
<file path=[Content_Types].xml><?xml version="1.0" encoding="utf-8"?>
<Types xmlns="http://schemas.openxmlformats.org/package/2006/content-types">
  <Default ContentType="image/jpeg" Extension="jpg"/>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基本のC表記" sheetId="1" r:id="rId5"/>
    <sheet state="hidden" name="出版社からの連絡事項" sheetId="2" r:id="rId6"/>
    <sheet state="visible" name="外部出稿用NGタイトル" sheetId="3" r:id="rId7"/>
    <sheet state="hidden" name="個別C表記リスト" sheetId="4" r:id="rId8"/>
    <sheet state="hidden" name="よくあるミス等" sheetId="5" r:id="rId9"/>
    <sheet state="hidden" name="GANMA!制作可否リスト" sheetId="6" r:id="rId10"/>
    <sheet state="hidden" name="アダルト媒体OK作品" sheetId="7" r:id="rId11"/>
    <sheet state="hidden" name="吹き出し移動可リスト" sheetId="8" r:id="rId12"/>
    <sheet state="hidden" name="エイシス制作可否リスト" sheetId="9" r:id="rId13"/>
    <sheet state="hidden" name="LINEコピーライト一覧" sheetId="10" r:id="rId14"/>
    <sheet state="hidden" name="スクエニコピーライト一覧" sheetId="11" r:id="rId15"/>
    <sheet state="hidden" name="リブレコピーライト" sheetId="12" r:id="rId16"/>
    <sheet state="hidden" name="オーバーラップ_コピーライト一覧" sheetId="13" r:id="rId17"/>
    <sheet state="hidden" name="ヒーローズコピーライト一覧" sheetId="14" r:id="rId18"/>
  </sheets>
  <definedNames>
    <definedName hidden="1" localSheetId="0" name="Z_A859DBA1_A43E_436E_9070_9BA6AEDC559F_.wvu.FilterData">'基本のC表記'!$A$1:$V$443</definedName>
  </definedNames>
  <calcPr/>
  <customWorkbookViews>
    <customWorkbookView activeSheetId="0" maximized="1" windowHeight="0" windowWidth="0" guid="{A859DBA1-A43E-436E-9070-9BA6AEDC559F}" name="牧野"/>
  </customWorkbookViews>
</workbook>
</file>

<file path=xl/sharedStrings.xml><?xml version="1.0" encoding="utf-8"?>
<sst xmlns="http://schemas.openxmlformats.org/spreadsheetml/2006/main" count="7477" uniqueCount="5975">
  <si>
    <t>出版社からの連絡事項</t>
  </si>
  <si>
    <t>出版社</t>
  </si>
  <si>
    <t>記入日</t>
  </si>
  <si>
    <t>タイトルID</t>
  </si>
  <si>
    <t>タイトル名</t>
  </si>
  <si>
    <t>内容</t>
  </si>
  <si>
    <t>備考</t>
  </si>
  <si>
    <t>すべて</t>
  </si>
  <si>
    <r>
      <rPr>
        <rFont val="Arial"/>
        <color rgb="FF000000"/>
        <sz val="11.0"/>
      </rPr>
      <t>タイトルの</t>
    </r>
    <r>
      <rPr>
        <rFont val="Arial"/>
        <color rgb="FFFF0000"/>
        <sz val="11.0"/>
      </rPr>
      <t>【分冊版】【単話売】（話売り）（フルカラー）【タテヨミ】</t>
    </r>
    <r>
      <rPr>
        <rFont val="Arial"/>
        <color rgb="FF000000"/>
        <sz val="11.0"/>
      </rPr>
      <t>などの表記は記載しない</t>
    </r>
  </si>
  <si>
    <t>類似の言い方等出版社によってさまざまですがタイトル名とは別の表記を指しています。</t>
  </si>
  <si>
    <t>Twitterは出版社関係なく配信元アカウント共有必須</t>
  </si>
  <si>
    <t>納品時テキストメモにて格納してください。</t>
  </si>
  <si>
    <r>
      <rPr>
        <rFont val="Arial"/>
        <color rgb="FF000000"/>
        <sz val="11.0"/>
      </rPr>
      <t>吹き出し・セリフを変更するのは基本NGですが
事前に出版社許諾を取ればOKの場合有。</t>
    </r>
    <r>
      <rPr>
        <rFont val="Arial"/>
        <color rgb="FFFF0000"/>
        <sz val="11.0"/>
      </rPr>
      <t>※必ず事前に相談してください</t>
    </r>
  </si>
  <si>
    <r>
      <rPr>
        <rFont val="Arial"/>
        <color theme="1"/>
        <sz val="11.0"/>
      </rPr>
      <t xml:space="preserve">基本の制作ルールは下記を参照してください。
</t>
    </r>
    <r>
      <rPr>
        <rFont val="Arial"/>
        <color rgb="FF1155CC"/>
        <sz val="15.0"/>
        <u/>
      </rPr>
      <t>https://docs.google.com/presentation/d/14reqR8ngPf5AGQGy9ZhaxNIKqtNYVb7e/edit#slide=id.p3</t>
    </r>
  </si>
  <si>
    <t>出版社問わず</t>
  </si>
  <si>
    <r>
      <rPr>
        <rFont val="Arial"/>
        <color rgb="FF000000"/>
        <sz val="11.0"/>
      </rPr>
      <t xml:space="preserve">つきのおまめ先生作品について
作家先生がネタバレに非常に敏感な為下記ルール徹底してください
</t>
    </r>
    <r>
      <rPr>
        <rFont val="Arial"/>
        <b/>
        <color rgb="FF000000"/>
        <sz val="11.0"/>
      </rPr>
      <t>ページをそのまま利用する形式は禁止（マルチフォトやLPなど）</t>
    </r>
  </si>
  <si>
    <t>https://www.cmoa.jp/search/author/15978/</t>
  </si>
  <si>
    <t>CLAPコミックス</t>
  </si>
  <si>
    <t>アンドロイドは愛の夢をみるか？</t>
  </si>
  <si>
    <t>コミックス版にて本文を大幅修正しているため、コミックス版の素材を使ってください。
★偏移先について・・・最も望ましいのは「原則、使用素材も偏移先もコミックス版」となりますが、
広告出稿に際して差し障りが出るようでしたら
「偏移先が分冊版の場合でも広告バナーはコミックス素材使用可」という運用でも問題ございません。</t>
  </si>
  <si>
    <t>KADOKAWA</t>
  </si>
  <si>
    <t>ブスに花束を</t>
  </si>
  <si>
    <t>作品に誤ったイメージを与えてしまう恐れがあるため、「ドロドロの三角関係」を連想させるような画像や
テキストを使用している場合も同様に修正もしくは削除頂けますでしょうか。</t>
  </si>
  <si>
    <t>煙と蜜</t>
  </si>
  <si>
    <t>・「許婚」の表記の徹底（「許嫁」「許婚様」はNG）
・主人公が子供であるため、性的な印象は避けてください。</t>
  </si>
  <si>
    <t>大蛇に嫁いだ娘</t>
  </si>
  <si>
    <t>子供が双子だというのを4巻単行本リリース(5/12配信予定)まではネタバレNG
⇒編集部の希望で広告出稿は5/19（金）以降解禁厳守
※日付が違うのでご注意ください。</t>
  </si>
  <si>
    <t>光が死んだ夏【分冊版】</t>
  </si>
  <si>
    <t>「体育館でヒカルの中身に触れるシーン」や「『好き』と言っているシーンなど、切り取ると恋愛的にもとれるシーン」についてはNGでお願いいたします。※BL要素を出したくないため</t>
  </si>
  <si>
    <t>【単話】オンニって呼んでもいいですか？</t>
  </si>
  <si>
    <t>版元様の意向により（１話配信の際に読者の方からご意見いただいたため）
1話P34右下「なちゅきさん」のセリフ部分の使用は控えてください。</t>
  </si>
  <si>
    <r>
      <rPr>
        <rFont val="Arial"/>
        <color theme="1"/>
        <sz val="11.0"/>
      </rPr>
      <t xml:space="preserve">1話P34右下
</t>
    </r>
    <r>
      <rPr>
        <rFont val="Arial"/>
        <color rgb="FF1155CC"/>
        <sz val="11.0"/>
        <u/>
      </rPr>
      <t>https://drive.google.com/drive/folders/1YrufLX_SF_IU9NYyhZ2dbDHsFnrmVfqb</t>
    </r>
  </si>
  <si>
    <t>NHN comico株式会社</t>
  </si>
  <si>
    <t>comico作品すべて</t>
  </si>
  <si>
    <t>タイトル名の【フルカラー】は削除</t>
  </si>
  <si>
    <t>ゲオインタラクティブ</t>
  </si>
  <si>
    <t>4/22より出版社名のみ変更　新C表記⇒「©作者名/forcs」</t>
  </si>
  <si>
    <t>新規制作分かつ4/22以降に出稿するものは新C表記にしてください</t>
  </si>
  <si>
    <t>CLLENN
※旧コミディア</t>
  </si>
  <si>
    <t>悪魔だった君たちへ</t>
  </si>
  <si>
    <t>5巻20Pに誤植があったため差し替えをお願いします。</t>
  </si>
  <si>
    <t>ドライブ「出版社からの共有素材」⇒「悪魔だった君たちへ修正画像.psd」</t>
  </si>
  <si>
    <t>奈々子と薫 堕落していく、僕たちは。</t>
  </si>
  <si>
    <t>作家の意向でインフルエンサー施策NG</t>
  </si>
  <si>
    <t>作家さんがネタバレに敏感な方のため各話の4ページ～巻末を使用する場合、
出版社側で別途ネタバレかどうかの個別判断が入ります。
特に最新巻の内容を使用している場合はNGとなる可能性が高いので要注意。
≪納品時のお願い≫
※下記は4ページ以降使用したクリエイティブのみ適用です※
タイトルフォルダ名を「「奈々子と薫 堕落していく、僕たちは。_4ページ以降使用」としてください。
納品チケットにも下記記載をお願いします。
------------------------------------
「奈々子と薫 堕落していく、僕たちは。」
4ページ以降使用クリエイティブあり</t>
  </si>
  <si>
    <t>シーモアコミックス</t>
  </si>
  <si>
    <t>上司がムコ入り!? ～極上の種馬になってやるよ</t>
  </si>
  <si>
    <t>作品ロゴ使用時は、4巻以降のデータを使用してください。
※1～3巻は「?」の抜けがある為</t>
  </si>
  <si>
    <t>蝶よ花よ、君よ</t>
  </si>
  <si>
    <r>
      <rPr>
        <rFont val="Arial"/>
        <color rgb="FFFF0000"/>
        <sz val="11.0"/>
      </rPr>
      <t xml:space="preserve">ソル編へ許諾確認必須
</t>
    </r>
    <r>
      <rPr>
        <rFont val="Arial"/>
        <color rgb="FF000000"/>
        <sz val="11.0"/>
      </rPr>
      <t>「実は、受は匂いフェチで攻の匂いで興奮している」のネタバレNG</t>
    </r>
  </si>
  <si>
    <t>使用不可ページ⇒P26「貴方のニオイに」～ラスト</t>
  </si>
  <si>
    <t>俺のやさしくない先輩</t>
  </si>
  <si>
    <r>
      <rPr>
        <rFont val="Arial"/>
        <color rgb="FFFF0000"/>
        <sz val="11.0"/>
      </rPr>
      <t xml:space="preserve">ソル編へ許諾確認必須
</t>
    </r>
    <r>
      <rPr>
        <rFont val="Arial"/>
        <color rgb="FF000000"/>
        <sz val="11.0"/>
      </rPr>
      <t>「実は、攻は泣き顔フェチ」のネタバレNG</t>
    </r>
  </si>
  <si>
    <t>使用不可ページ⇒P23「先輩助けてっ」～ラスト</t>
  </si>
  <si>
    <t>208565
243487</t>
  </si>
  <si>
    <t>オさナなじみと以心伝心</t>
  </si>
  <si>
    <r>
      <rPr>
        <rFont val="Arial"/>
        <color rgb="FFFF0000"/>
        <sz val="11.0"/>
      </rPr>
      <t xml:space="preserve">ソル編へ許諾確認必須
</t>
    </r>
    <r>
      <rPr>
        <rFont val="Arial"/>
        <color rgb="FF000000"/>
        <sz val="11.0"/>
      </rPr>
      <t>「実は、攻も受の声がきこえている」のネタバレNG</t>
    </r>
  </si>
  <si>
    <t>使用不可ページ⇒P35「…そうじゃないだろ」～ラスト</t>
  </si>
  <si>
    <t>208562
242966</t>
  </si>
  <si>
    <t>体感予報</t>
  </si>
  <si>
    <r>
      <rPr>
        <rFont val="Arial"/>
        <color rgb="FFFF0000"/>
        <sz val="11.0"/>
      </rPr>
      <t xml:space="preserve">ソル編へ許諾確認必須
</t>
    </r>
    <r>
      <rPr>
        <rFont val="Arial"/>
        <color rgb="FF000000"/>
        <sz val="11.0"/>
      </rPr>
      <t>「実は、攻は受にプロポーズをしていた」のネタバレNG
・攻が料理してくれたり映画観ようと誘ってくる理由が
「おうちデート」だった(攻的に)と名言されているのはネタバレのためNG</t>
    </r>
  </si>
  <si>
    <t>使用不可ページ⇒P31「お前が言ったんだろ」～ラスト</t>
  </si>
  <si>
    <t>とって食ったりしねぇから～元ヤンくんとの恋事情～</t>
  </si>
  <si>
    <t>▼使用禁止箇所（右記画像参照）
3巻 31ページ 1コマ目「舌ペロ」している口元のみ。</t>
  </si>
  <si>
    <t>メディアソフト</t>
  </si>
  <si>
    <t>その恋、自販機で買えますか？</t>
  </si>
  <si>
    <t>単話の1話無料などのキャンペーン以外は単行本の方の書影と本文画像を使用してください。</t>
  </si>
  <si>
    <t>メディアソフト（英和出版）</t>
  </si>
  <si>
    <t>幼なじみバーテンダーと始める快感レッスン</t>
  </si>
  <si>
    <t>キャッチ等で使用する単語でタイトルに合わせて「幼馴染」ではなく「幼なじみ」と表記してほしい</t>
  </si>
  <si>
    <t>ノース・スターズ・ピクチャーズ</t>
  </si>
  <si>
    <r>
      <rPr>
        <rFont val="Arial"/>
        <color rgb="FFFF0000"/>
        <sz val="11.0"/>
      </rPr>
      <t>2020/4/1～コアミックスと合併
2020/4月以降C表記変わります。⇒</t>
    </r>
    <r>
      <rPr>
        <rFont val="Arial"/>
        <color rgb="FFFF0000"/>
        <sz val="12.0"/>
      </rPr>
      <t>「©著者名／コアミックス」</t>
    </r>
  </si>
  <si>
    <t>ブライト出版</t>
  </si>
  <si>
    <t>巨乳ちゃんと巨根上司～会社でむさぼりセックス～</t>
  </si>
  <si>
    <t>「巨根」のみ伏せ字になっている書影は版元が用意したものを使用してください。</t>
  </si>
  <si>
    <t>ドライブ「出版社からの共有素材」⇒「巨乳ちゃんと巨根上司_伏せ字書影.png」</t>
  </si>
  <si>
    <t>Vやってたら相方に告白されました</t>
  </si>
  <si>
    <t>・広告制作の際はコミックス版の『Vやってたら相方に告白されました【電子限定漫画付き】』（タイトルID：301240）の素材で制作をお願いいたします。
・広告の遷移先は『Vやってたら相方に告白されました』(タイトルID：263206）でお願いいたします。</t>
  </si>
  <si>
    <t>フロンティアワークス</t>
  </si>
  <si>
    <t>C表記の文字間隔にかなり厳しいため、「©」前後や「/」前後のスペースを空けないようにお願いします。</t>
  </si>
  <si>
    <t>文苑堂</t>
  </si>
  <si>
    <t>原則タイトル名も表記（タイトルがあまりにも長い場合は省略化）</t>
  </si>
  <si>
    <t>秋田書店</t>
  </si>
  <si>
    <t>第3者配信NG</t>
  </si>
  <si>
    <t>笠倉出版社</t>
  </si>
  <si>
    <t>ラブチュコラレーベル全て</t>
  </si>
  <si>
    <t>ラブチュコラレーベル全て「ache」のクレジットは不要です。</t>
  </si>
  <si>
    <t>プラセボレーベル全て</t>
  </si>
  <si>
    <t>プラセボレーベル全て「alt」のクレジットは不要です。</t>
  </si>
  <si>
    <t>講談社</t>
  </si>
  <si>
    <t>Twitter・Facebookは配信元アカウント共有必須</t>
  </si>
  <si>
    <t>ウソ婚</t>
  </si>
  <si>
    <t>「OL」という文言がNGのため、「派遣女子」「アラサー女子」を使ってください。</t>
  </si>
  <si>
    <t>LP作成について</t>
  </si>
  <si>
    <t>※LPでのコマ使用について※
漫画のページ版面をＬＰ上に何枚も貼り付けて読ませる形式のＬＰは不可。
理由としては、画像を容易にダウンロードされてしまうためです。
しっかり中身を読ませたいのであれば、ビューワで試し読みを起動させるようにしてください。
もしＬＰ上に漫画のページ本文を貼り付ける形式にするのでしたら、１～２ページ程度に収めていただければと思います。</t>
  </si>
  <si>
    <t>美少女戦士セーラームーン</t>
  </si>
  <si>
    <t>セーラームーン以外のキャラに大きな偏りがないようご留意ください。
・基本はセーラームーンを大きく扱ってください。
（NG例：セーラームーン3p、セーラーヴィーナス5pなど）</t>
  </si>
  <si>
    <t>別冊フレンド作品全て</t>
  </si>
  <si>
    <t>作品タイトルに「ベツフレプチ」の記載は不要</t>
  </si>
  <si>
    <t>集英社</t>
  </si>
  <si>
    <t>カルーセル広告は冒頭8ページのみ使用可（先行作品をのぞく）</t>
  </si>
  <si>
    <t>※先行タイトルはルール除外</t>
  </si>
  <si>
    <t>すべての広告バナーで使用できる漫画ページに制限がかかりました</t>
  </si>
  <si>
    <t>詳細は集英社マニュアル更新済</t>
  </si>
  <si>
    <t>書影の背帯はキャンペーン訴求のものではなく通常時の帯あり書影を使用</t>
  </si>
  <si>
    <t>シーモアサイトでキャンペーン中は書影もキャンペーン用に変更されているので都度相談してください</t>
  </si>
  <si>
    <t>カルーセル広告の正方形トリミングNG（先行作品をのぞく）</t>
  </si>
  <si>
    <t>ゴールデンカムイ</t>
  </si>
  <si>
    <t>アイヌ関連の言及は避けてください。</t>
  </si>
  <si>
    <t>タテヨミ作品のセリフ移動について移動箇所を記載したメモ必須</t>
  </si>
  <si>
    <t>納品時テキストメモにて格納してください。
※【テンプレート】セリフ移動箇所.txtをご使用ください。</t>
  </si>
  <si>
    <t>ムカつくアイツに恋を教える 分冊版</t>
  </si>
  <si>
    <t>「腐男子」という単語はNG</t>
  </si>
  <si>
    <t>したい、されたい、したくない〜働くわたしの性事情〜</t>
  </si>
  <si>
    <t>バイラについては特殊でコミックレーベルではないためロゴは不要とのことです、</t>
  </si>
  <si>
    <t>操の契約</t>
  </si>
  <si>
    <t>アオリテキストにつきまして出版社様の意向により、
今後は「生徒」ではなく「学生」と表記いただくようお願いいたします。
ーーーーー
・パターン1
×：生徒
○：学生
・パターン2
×：女子生徒、女生徒
○：学生 or 女学生</t>
  </si>
  <si>
    <t>運命だから諦めて？</t>
  </si>
  <si>
    <t>「ゲイの知り合い紹介してよ」のセリフだけ切り取られると炎上する懸念があるため本コマは使用不可</t>
  </si>
  <si>
    <t>2話3ページ上部のコマ</t>
  </si>
  <si>
    <t>白泉社</t>
  </si>
  <si>
    <t xml:space="preserve">兎オトコ虎オトコ </t>
  </si>
  <si>
    <t>不要な線がepubにも入ってしまっているページがあるため、該当ページのみ版元が用意したものを使用してください。</t>
  </si>
  <si>
    <t>ドライブ「出版社からの共有素材」⇒「兎オトコ虎オトコ線なし.tif」</t>
  </si>
  <si>
    <t>虐殺ハッピーエンド～蒼の章～</t>
  </si>
  <si>
    <t>義父が小学生の娘に性行為を強要してるシーンはクリエイティブに使用NG
（P27と↑に該当するシーン全て）</t>
  </si>
  <si>
    <t>箱の男</t>
  </si>
  <si>
    <r>
      <rPr>
        <rFont val="Arial"/>
        <b/>
        <color rgb="FFFF0000"/>
        <sz val="11.0"/>
      </rPr>
      <t>9話（P83）以降の素材はネタバレのため使用NG</t>
    </r>
    <r>
      <rPr>
        <rFont val="Arial"/>
        <color theme="1"/>
        <sz val="11.0"/>
      </rPr>
      <t xml:space="preserve">
※なお、下記のみ9話以降で素材の使用OK（備考欄、画像参照）
p88：全コマOK（ページとしての使用もOK）
p185：上段の２コマのみ（母親の「はい」という画像、「警察です」のコマ画像OK）</t>
    </r>
  </si>
  <si>
    <t>小学館</t>
  </si>
  <si>
    <t>動画作成時書影やコマにエフェクト加工NG。</t>
  </si>
  <si>
    <t>色を変える、キラキラした加工等が書影やコマにかかるのもNG
とにかくすべての加工がNGとなります。
紙芝居のような動画のみOK</t>
  </si>
  <si>
    <t>ヤンデレ殺し!! ～執着ヤバめの幼馴染に「私も好き」と伝えたら、ラブコメルートにシフトしました～</t>
  </si>
  <si>
    <t>・「試し読み」に類する見え方（＝LPやTwitterのマルチフォト等）などでは1巻37ページまでの使用
・試し読みには類しない、バナーやカルーセル等のクリエイティブは1巻37ページ以降も使用可能</t>
  </si>
  <si>
    <t>※今後続刊が配信されましたら許容範囲変更の相談可となります。</t>
  </si>
  <si>
    <t>住みにごり</t>
  </si>
  <si>
    <r>
      <rPr>
        <rFont val="Arial"/>
        <strike/>
        <color theme="1"/>
        <sz val="11.0"/>
      </rPr>
      <t xml:space="preserve">1-3話の中でクリエイティブ作成してください。
</t>
    </r>
    <r>
      <rPr>
        <rFont val="Arial"/>
        <color theme="1"/>
        <sz val="11.0"/>
      </rPr>
      <t>2025/11/5～
1～26話の範囲内でクリエイティブ制作OK</t>
    </r>
  </si>
  <si>
    <t>作品問わず伏字加工ＮＧ、フキダシ移動もNG
構成上外せない場面で伏字加工、フキダシ移動する場合は要相談</t>
  </si>
  <si>
    <t>全て</t>
  </si>
  <si>
    <t>バナー作成時の加工についての注意 ⇒ 備考欄の資料をご確認ください</t>
  </si>
  <si>
    <t>【注意】バナー作成時の加工に関して_20240821.png</t>
  </si>
  <si>
    <t>インフルエンサー・AI使用の動画で小学館の作品は選定NG</t>
  </si>
  <si>
    <t>動画クリエイティブの許諾が通りにくいため</t>
  </si>
  <si>
    <t>264195
269875</t>
  </si>
  <si>
    <t>ホタルの嫁入り【単話】
※単行本含め</t>
  </si>
  <si>
    <r>
      <rPr>
        <rFont val="Arial"/>
        <color theme="1"/>
        <sz val="11.0"/>
      </rPr>
      <t xml:space="preserve">79話は重大なネタバレがいくつか含まれますので、
広告への使用は本文22Pまで。
</t>
    </r>
    <r>
      <rPr>
        <rFont val="Arial"/>
        <b/>
        <color rgb="FFFF0000"/>
        <sz val="11.0"/>
      </rPr>
      <t>23P以降は使用禁止です</t>
    </r>
    <r>
      <rPr>
        <rFont val="Arial"/>
        <color theme="1"/>
        <sz val="11.0"/>
      </rPr>
      <t xml:space="preserve"> 
具体的には、下記のネタバレがNGです。
・進平が老人になっている（1話冒頭と同一人物である）
・紗都子が生きている
・進平と紗都子が再会する</t>
    </r>
  </si>
  <si>
    <t>新書館</t>
  </si>
  <si>
    <t>運命の番がお前だなんて</t>
  </si>
  <si>
    <t>P30（「薬は？」「ないから頼んでんだろ」のページ）は使用不可です。</t>
  </si>
  <si>
    <t>ちょっと待とうよ、春虎くん</t>
  </si>
  <si>
    <t>アダルト面の出稿NG</t>
  </si>
  <si>
    <t>イースト・プレス</t>
  </si>
  <si>
    <t>【Sonyaコミックス NG事項】
・男女の性的な行為のシーンの使用
・ボカシなどの修正が必要なシーンの使用
・アダルト媒体への出稿</t>
  </si>
  <si>
    <t>スターツ出版</t>
  </si>
  <si>
    <t>noicomi鬼の花嫁</t>
  </si>
  <si>
    <r>
      <rPr>
        <rFont val="Arial"/>
        <color theme="1"/>
        <sz val="11.0"/>
      </rPr>
      <t xml:space="preserve">・新刊の最終ページは使用ＮＧ
・声優ＮＧ
・歌ＮＧ（BGMのみは可）
・動画にナレーションつけるのはＯＫ
・レビューをめちゃくちゃ気にする作家なんで、書き込み次第ではルールの追加あり。
</t>
    </r>
    <r>
      <rPr>
        <rFont val="Arial"/>
        <color rgb="FFFF0000"/>
        <sz val="11.0"/>
      </rPr>
      <t>・動画でモーションを付ける際は、レイヤー別のPSDファイルを使用してください。
　（素材場所は個別に連絡）
・漫画自体に色を塗るのは基本NG（事前に出版社許諾を取ればOK）</t>
    </r>
  </si>
  <si>
    <t>経緯
-----------------------------------
今配信しております4話目のラストぺージが含まれており、
「続きが気になって買ったけどラストページだった」などの事を
SNSなどに書かれている事が作家様が非常に危惧しており、
こちらのパターンは5話配信後（5/13以降）から配信していただく事は可能でしょうか？
5/13までは添付のページは使わないで頂きたいです。
基本的には
最新話の最終ページを使用する事は
NGとさせて頂きたいです。
-----------------------------------
確認したところ下記の対応になりました。
・現時点で配信しているクリエイティブで
4話の最終ページを使用しているもはそのままで良い。
新規作成したもので4巻最終ページを使用しているクリエイティブは
5月13日以降に広告配信開始にする。</t>
  </si>
  <si>
    <t>GANMA!</t>
  </si>
  <si>
    <t>兄だったモノ【単話版】</t>
  </si>
  <si>
    <t>作品タイトルをクリエイティブ内にいれる際は、
【単話版】は削除し「兄だったモノ」のみにする</t>
  </si>
  <si>
    <t>リブレ</t>
  </si>
  <si>
    <t>ENNEAD【タテヨミ】</t>
  </si>
  <si>
    <t>・新刊素材の解禁日：シーモアの販売日から8週間後</t>
  </si>
  <si>
    <t>スクウェア・エニックス</t>
  </si>
  <si>
    <t>ザコ姫さまは生きのびたい！～処刑の危機は、姫プレイで乗り切ります～</t>
  </si>
  <si>
    <t>１話　前編　P10ページ内のみ全て使用不可</t>
  </si>
  <si>
    <t>使用不可ページ⇒P10</t>
  </si>
  <si>
    <t>ベル・プペーのスパダリ婚約～「好みじゃない」と言われた人形姫、我慢をやめたら皇子がデレデレになった。実に愛い！～（コミック）【分冊版】</t>
  </si>
  <si>
    <r>
      <rPr>
        <rFont val="Arial"/>
        <color theme="1"/>
        <sz val="11.0"/>
      </rPr>
      <t>【BL訴求NG】
ＢＬ感なく（かなり薄めに）作成すること。
特に「</t>
    </r>
    <r>
      <rPr>
        <rFont val="Arial"/>
        <color rgb="FFFF0000"/>
        <sz val="11.0"/>
      </rPr>
      <t>ジルベールが竜帝に対して顔を赤らめているところをメインにしている</t>
    </r>
    <r>
      <rPr>
        <rFont val="Arial"/>
        <color theme="1"/>
        <sz val="11.0"/>
      </rPr>
      <t>」バナーはNG。</t>
    </r>
  </si>
  <si>
    <t>健全な作品のためエロシーンを想起させるクリエイティブはNG
具体例）
5巻の31P「さて行こうか旦那様」～32P「優しくしてもらえると嬉しい・・・」の流れで終わらせるのはNG。
該当の画像については右記参照
2025/1/24　追記
具体例2）
5巻の35Pの「ではすまないが少し部屋を借りるよ」のコマで終わらせるのはNG</t>
  </si>
  <si>
    <t>竜帝の絵（シーン）を「皇子は竜帝姿のほうが好き、レティシアの竜帝姿に惚れた（BL示唆）」
といったBLっぽい文脈で使用することはNG
※「可憐な人形姫が、皇子を救うため竜帝に変身！竜帝は超強い！」
　 という文脈でしたら、ご使用いただいてもまったく問題ございませんとのことです。</t>
  </si>
  <si>
    <t>マンガボックス</t>
  </si>
  <si>
    <t>にぶんのいち夫婦</t>
  </si>
  <si>
    <t>・友人のさやかが浮気相手（実際は未遂ですが）ということ
・和真の浮気（未遂ですが）は本意じゃないこと
・何者かに脅迫まがいのことをされていて、文を守るために嘘を重ねていること
上記はネタバレNGとのことです。</t>
  </si>
  <si>
    <t>マッグガーデン</t>
  </si>
  <si>
    <t>はめつのおうこく【分冊版】</t>
  </si>
  <si>
    <t>ドロテーアという登場人物につきましては作中の重大なネタバレとなるため使用NG</t>
  </si>
  <si>
    <t>すいもあまいも</t>
  </si>
  <si>
    <t>完結していて新作もないので作家との連絡が困難なため監修依頼する際は要注意</t>
  </si>
  <si>
    <t>双葉社</t>
  </si>
  <si>
    <t>パラダイスヘル 分冊版</t>
  </si>
  <si>
    <t>6巻　P4-11使用不可</t>
  </si>
  <si>
    <t>・当該箇所についてとあるユーザー様から権利侵害の問い合わせが存在
・顧問弁護士と法務部、コミックルーム様顧問弁護士の見解では著作権の侵害はないと
しているものの、そのことがそのユーザー様の問い合わせに対して満足させられる可能
性は極めて低いという判断を踏まえ、当該箇所をNGとさせていただきました。</t>
  </si>
  <si>
    <t>ドールハウス（コミック） 分冊版</t>
  </si>
  <si>
    <r>
      <rPr>
        <rFont val="Arial"/>
        <color theme="1"/>
        <sz val="11.0"/>
      </rPr>
      <t xml:space="preserve">NG訴求
①洗濯機の中で芽衣が死んでいるシーン
②捨てた人形が戻っていて、佳恵がめん棒で殴るシーン
③真衣だと思った紙袋を被った少女が人形だったシーン（入れ代わりの描写）
使用OKのコマについては下記参照
</t>
    </r>
    <r>
      <rPr>
        <rFont val="Arial"/>
        <color rgb="FF1155CC"/>
        <sz val="11.0"/>
        <u/>
      </rPr>
      <t>https://drive.google.com/drive/folders/1PxPjT--AT2ji35eqk11P9OtL-7_houws</t>
    </r>
  </si>
  <si>
    <t xml:space="preserve">NG表現
①「愛に飢えた人形が娘の命を！？」「嫉妬に狂った」「人形が嫉妬した」という人形が感情を抱いているような人間臭い表現はNG
（映画であくまでアヤ人形を、何をするか分からない謎に包まれた存在として描きたいため）
②人形に対して「不気味」という表現はNG
（映画で「可愛い人形」が牙を剥いていくという見せ方をしたく、「不気味な人形」としてはあえて描いていないため）
③人形が動くことが分かる表現はNG
（例：「コイツ…動くぞ」という表現はNGだが「コイツ…動く？」などのニュアンスならOK）
④人形に対して「代用品」「代用」という表現はNG
（物語上の意図では、アヤ人形を即物的なモノではなく、可愛く神秘的な存在として描いているため）
「亡くなった娘によく似た人形を購入」「死んだ娘の面影を残す人形」という表現ならOK
</t>
  </si>
  <si>
    <t>どうしても「嫉妬」や「動く」という表現を使う際は「伏字」であれば使用可能</t>
  </si>
  <si>
    <t>二人一組になってください（コミック） 分冊版</t>
  </si>
  <si>
    <t>NG訴求
どのキャラクターが消えていくかというものが各話の核心になるため、
そのあたりをある程度伏せるクリエイティブ内容にする
※作品構成は今後毎話１人ずつ（場合によっては２人）退場していく流れ</t>
  </si>
  <si>
    <t>ぶんか社</t>
  </si>
  <si>
    <t>復讐チャンネル ウラミン ～公開処刑ナマ配信中～（分冊版）</t>
  </si>
  <si>
    <t>2巻：25ページ（1コマ目がスマホ）～36ページ（1コマ目が記事のアップ）は出稿使用NG</t>
  </si>
  <si>
    <t>・過去クレームのあった箇所の為NGとさせていただきました</t>
  </si>
  <si>
    <t>祥伝社</t>
  </si>
  <si>
    <t>完璧な夫には謎がある～レス4年目の事情～</t>
  </si>
  <si>
    <t>第1話：P6、7 　第3話：P6、12、19、27、28　一部のコマ使用NG</t>
  </si>
  <si>
    <t>ドライブ「出版社からの共有素材」⇒「完璧な夫には謎がある～レス4年目の事情～_使用NGコマ一覧」参照</t>
  </si>
  <si>
    <t>レジンエンターテインメント</t>
  </si>
  <si>
    <t>【タテヨミ】⇔【フルカラー】の遷移先変更について
でコピーライトに【タテヨミ】もしくは【フルカラー】を明記してない場合に限り確認不要で実施可</t>
  </si>
  <si>
    <t>※出版社からNＧでた場合は即止めてください。</t>
  </si>
  <si>
    <t>ブシロードワークス</t>
  </si>
  <si>
    <t>推しを愛する私たち～推し×ファン～アンソロジーコミック</t>
  </si>
  <si>
    <t>『神様』の147ページ以降は物語の後半に該当するため使用不可</t>
  </si>
  <si>
    <t>クロスフォリオ出版</t>
  </si>
  <si>
    <t>THE猥談レーベル全て</t>
  </si>
  <si>
    <t xml:space="preserve">・THE猥談作品では佐伯ポインティ氏の起用不可
・THE猥談と佐伯ポインティ氏に関りがあるように見えるユーザーコミュニケーションは不可
</t>
  </si>
  <si>
    <t>メディア：全て
CRフォーマット：インフルエンサー起用したもの
※インフルエンサーしていなくても意図して佐伯ポインティ氏と関係があると見せることもNG
佐伯ポインティ氏とは
「THE猥談」のエピソードを募る場「猥談バー」に関連するインフルエンサー。
かつて猥談バーなどにプロジェクトに関わっていましたが、現在はまったく関わりなく、各作品の配信・発表においても無関係。</t>
  </si>
  <si>
    <t>299964
299968</t>
  </si>
  <si>
    <t>203号の隣人は鍵束一つ残して消えた。</t>
  </si>
  <si>
    <t>作家の意向でインフルエンサー起用施策はNG（AI音声もNG）</t>
  </si>
  <si>
    <t>・作家さん（この場合THE猥談サークル）の意向なので
　出版社として嫌がっているわけではない。
・猥談作品は同人からきてるので、商業色が色濃く出てしまいかねない
　インフルエンサーでの広告に対してちょっとネガティブな印象を受ける
・猥談作品全般として、あくまで2次元制作物にとどめたく
　3次元（つまリアルな人間）が絡むと、世界観がちょっと崩れてしまう</t>
  </si>
  <si>
    <t>taskey</t>
  </si>
  <si>
    <r>
      <rPr>
        <rFont val="Arial"/>
        <color theme="1"/>
        <sz val="11.0"/>
      </rPr>
      <t xml:space="preserve">AI音声が入った動画納品の場合、何の音声ツールを使っているか申告する必要あり。
もしこういった納品があった場合は、以下の対応が必須。
ーーーーーー
</t>
    </r>
    <r>
      <rPr>
        <rFont val="Arial"/>
        <b/>
        <color theme="1"/>
        <sz val="11.0"/>
      </rPr>
      <t>①backlogでAI音声ツールの内容を申告（構成案・動画両方）</t>
    </r>
    <r>
      <rPr>
        <rFont val="Arial"/>
        <color theme="1"/>
        <sz val="11.0"/>
      </rPr>
      <t xml:space="preserve">
例）以下作品に関しては「使用AI音声ツール.txt」も同時に格納しております。
mmdd納品バナー（SP：一般_AIナレーション_提案・構成案）　○○○○○（作品名）
</t>
    </r>
    <r>
      <rPr>
        <rFont val="Arial"/>
        <b/>
        <color theme="1"/>
        <sz val="11.0"/>
      </rPr>
      <t>②「</t>
    </r>
    <r>
      <rPr>
        <rFont val="Arial"/>
        <b/>
        <color rgb="FF1155CC"/>
        <sz val="11.0"/>
        <u/>
      </rPr>
      <t>使用AI音声ツール.txt</t>
    </r>
    <r>
      <rPr>
        <rFont val="Arial"/>
        <b/>
        <color theme="1"/>
        <sz val="11.0"/>
      </rPr>
      <t>」を納品時に格納</t>
    </r>
    <r>
      <rPr>
        <rFont val="Arial"/>
        <color theme="1"/>
        <sz val="11.0"/>
      </rPr>
      <t xml:space="preserve">
例）使用AI音声ツール.txtの内容
▼使用ツール
●●
https://www...</t>
    </r>
  </si>
  <si>
    <t>ジーオーティー</t>
  </si>
  <si>
    <t>218407
232080</t>
  </si>
  <si>
    <t>【分冊版】実験地区13
実験地区13</t>
  </si>
  <si>
    <t>スプラッタなど、過激な場面を使用したクリエイティブはNG</t>
  </si>
  <si>
    <t>ソル判断（ポリシー違反）</t>
  </si>
  <si>
    <t>アルファポリス</t>
  </si>
  <si>
    <t>新聞記者ヴィルヘルミナ（分冊版）</t>
  </si>
  <si>
    <t>NG表現
キャッチを記載する際に、主人公の生まれた場所が違うため、
「私の生まれた村」などという表現はNG
もしこのような表現をする場合は「私の育った村」などに変更
出版社様より
--------------
　実はこの主人公、生まれたのは別の場所で
　物語の後半以降、それにまつわるお話がサブの縦軸として走ります。
--------------</t>
  </si>
  <si>
    <t>Tugikuru Corp.</t>
  </si>
  <si>
    <t>出ていけ、と言われたので出ていきます</t>
  </si>
  <si>
    <t>作者様の意向により下記コマはクリエイティブ使用NG
・16話P10の2コマ目</t>
  </si>
  <si>
    <t>CLLENN</t>
  </si>
  <si>
    <t>キスはゆきどけのあとにして</t>
  </si>
  <si>
    <t>NG表現
作中で意図的に「高校」と明記することを避けているので、キャッチ等で明言しない形でお願い致します。
「高校」→「学校」</t>
  </si>
  <si>
    <t>ゲネシス</t>
  </si>
  <si>
    <t>桜田の××レポ</t>
  </si>
  <si>
    <t>一般媒体出稿によるユーザークレーム複数件あり
内容も加味して一般媒体への出稿NG。
アダルト媒体のみ出稿可</t>
  </si>
  <si>
    <t>BBコミック</t>
  </si>
  <si>
    <t>妊娠したら死にたくなった～産褥期精神病～</t>
  </si>
  <si>
    <r>
      <rPr>
        <rFont val="Arial"/>
        <color theme="1"/>
        <sz val="11.0"/>
      </rPr>
      <t xml:space="preserve">ユーザークレーム複数件あり
</t>
    </r>
    <r>
      <rPr>
        <rFont val="Arial"/>
        <color rgb="FF1155CC"/>
        <sz val="11.0"/>
        <u/>
      </rPr>
      <t>1巻6ページ</t>
    </r>
    <r>
      <rPr>
        <rFont val="Arial"/>
        <color theme="1"/>
        <sz val="11.0"/>
      </rPr>
      <t xml:space="preserve">のような拘束シーンは使用NG
その前後5～10ページも使用NG
【追加】
</t>
    </r>
    <r>
      <rPr>
        <rFont val="Arial"/>
        <color rgb="FF1155CC"/>
        <sz val="11.0"/>
        <u/>
      </rPr>
      <t>7巻15～18ページ</t>
    </r>
  </si>
  <si>
    <t>大洋図書</t>
  </si>
  <si>
    <t>太郎 DON’T ESCAPE!【特典ペーパー付】</t>
  </si>
  <si>
    <t>▼ネタバレの為使用NG
・1巻 102ページ １コマ目「俺がアイやで 太郎」
・105ページ以降全て
（3話目以降使用NG）
▼全ページ一気見せのような広告はNG
・1巻　P59～P103（2話目にあたる箇所）
※2話目を数ページ抜粋のようなかたちはおおむねOK</t>
  </si>
  <si>
    <t>【単話版】太郎 DON’T ESCAPE!</t>
  </si>
  <si>
    <t>単行本の使用NGシーンに追加して、
続刊にあたる5巻目以降も使用NG</t>
  </si>
  <si>
    <t>ロックンロール</t>
  </si>
  <si>
    <t>作者様のご意向により下記ページ、描き下ろし全ページ　クリエイティブ使用NG
・上巻　【1巻最大の山場となる告白シーン】上巻P90前後をそのまま使用はNG
　　　　※切り抜き使用はOK、この内容に該当するページを使用する場合は「俺ら恋人は無理やんなぁ」までに留める
　　　 【描き下ろし「キス」】P119～132
・下巻　P31まで使用可、P32以降使用NG</t>
  </si>
  <si>
    <t>ないしょのストーカーさん【電子限定かきおろし付】</t>
  </si>
  <si>
    <t>▼ネタバレの為使用NG
・1巻 114ページ以降で該当するシーン　
（「ストーカー＝後輩」だとハッキリ分かる広告はNG）</t>
  </si>
  <si>
    <t>ながたんと青と－いちかの料理帖－　プチキス</t>
  </si>
  <si>
    <t>作者様のご意向により単行本7巻（第三十五話）までクリエイティブ使用NG
※単行本8巻（第三十六話）以降のデータ使用OK</t>
  </si>
  <si>
    <t>Studio Moon6</t>
  </si>
  <si>
    <t>クリエイティブ制作時、有料巻数の素材は全体の20％以下のみ使用OK
※キャンペーンの提案もNG</t>
  </si>
  <si>
    <r>
      <rPr>
        <rFont val="Arial"/>
        <b val="0"/>
        <color rgb="FFFF0000"/>
        <sz val="11.0"/>
      </rPr>
      <t>C表記リスト</t>
    </r>
    <r>
      <rPr>
        <rFont val="Arial"/>
        <b val="0"/>
        <color rgb="FFFF0000"/>
        <sz val="10.0"/>
      </rPr>
      <t>※版元より個別で指示あった分のみ記載（スペースの有無やスラッシュの半角・全角などにもご注意ください）</t>
    </r>
  </si>
  <si>
    <t>C表記</t>
  </si>
  <si>
    <t>DPNブックス</t>
  </si>
  <si>
    <t>ブス無双～男はみんなわたくしのトリコ～</t>
  </si>
  <si>
    <t>©熊野いね・乙葉一華／DPNブックス</t>
  </si>
  <si>
    <t>ワタシ以外みんなバカ</t>
  </si>
  <si>
    <t>©かたおかみさお・egumi／DPNブックス</t>
  </si>
  <si>
    <t>社内探偵</t>
  </si>
  <si>
    <t>捨てられた皇妃</t>
  </si>
  <si>
    <t>© iNA, Yuna 2017 / D&amp;C WEBTOON Biz</t>
  </si>
  <si>
    <t>「/KADOKAWA」は不要</t>
  </si>
  <si>
    <t>異世界居酒屋「のぶ」</t>
  </si>
  <si>
    <t xml:space="preserve">©蝉川夏哉・転／宝島社 ©ヴァージニア二等兵／KADOKAWA </t>
  </si>
  <si>
    <t>異世界迷宮でハーレムを</t>
  </si>
  <si>
    <t xml:space="preserve">©2019 Shachi Sogano・Shikidouji/Shufunotomo Infos Co.,Ltd.©Issei Hyoujyu 2019 </t>
  </si>
  <si>
    <t>無職転生 ～異世界行ったら本気だす～</t>
  </si>
  <si>
    <t>©Yuka Fujikawa, Rifujin na Magonote</t>
  </si>
  <si>
    <t>日本国召喚</t>
  </si>
  <si>
    <t>©高野千春・みのろう/KADOKAWA</t>
  </si>
  <si>
    <t>ちょっぴりえっちな三姉妹でも、お嫁さんにしてくれますか？</t>
  </si>
  <si>
    <t>©Momiji Shika ©Akira Asaoka, Aldehyde</t>
  </si>
  <si>
    <t>復讐を誓った白猫は竜王の膝の上で惰眠をむさぼる</t>
  </si>
  <si>
    <t>©あき ©クレハ・ヤミーゴ</t>
  </si>
  <si>
    <t>シャバの「普通」は難しい</t>
  </si>
  <si>
    <t xml:space="preserve">©Batako ©Satsuki Nakamura ©Karuki Mura </t>
  </si>
  <si>
    <t>理想のヒモ生活</t>
  </si>
  <si>
    <t>©Neko Hinotsuki ©Tsunehiko Watanabe・Jyuu Ayakura/Shufunotomo Infos Co.,Ltd.</t>
  </si>
  <si>
    <t>悪役令嬢は嫌われ貴族に恋をする</t>
  </si>
  <si>
    <t>©You Ibuki ©Mitsuki Hayama</t>
  </si>
  <si>
    <t>恋の仕方がわからない</t>
  </si>
  <si>
    <t>©Yu Machio</t>
  </si>
  <si>
    <t>「/KADOKAWA」は不要・「Yuu」ではないので注意</t>
  </si>
  <si>
    <t>悪役令嬢、セシリア・シルビィは死にたくないので男装することにした。</t>
  </si>
  <si>
    <t>©Shino Akiyama ©Hiroro Akizakura, Dangmill</t>
  </si>
  <si>
    <t>ある日、お姫様になってしまった件について</t>
  </si>
  <si>
    <t xml:space="preserve">©Spoon/ CARROTOON、Plutu
</t>
  </si>
  <si>
    <t>【単話】大蛇に嫁いだ娘</t>
  </si>
  <si>
    <t>©Fushiashikumo</t>
  </si>
  <si>
    <t>後宮妃の管理人【分冊版】</t>
  </si>
  <si>
    <t>©Shiori Hiromoto　©Aki Shikimi, Izumi</t>
  </si>
  <si>
    <t>最強出涸らし皇子の暗躍帝位争い【分冊版】</t>
  </si>
  <si>
    <t>©Tanba　©Yukino Amagai　©Yunagi</t>
  </si>
  <si>
    <t>around1/4【フルカラー】</t>
  </si>
  <si>
    <t>©緒之/comico</t>
  </si>
  <si>
    <t>こんな夜更けにバナナかよ 愛しき実話</t>
  </si>
  <si>
    <t>「こんな夜更けにバナナかよ 愛しき実話」for comic©西造/comico</t>
  </si>
  <si>
    <t>君を愛した10年間【タテヨミ】</t>
  </si>
  <si>
    <t xml:space="preserve">©lovenovel </t>
  </si>
  <si>
    <t xml:space="preserve">罪から生まれた蜜 </t>
  </si>
  <si>
    <t>©animation Dong</t>
  </si>
  <si>
    <t>オーガス学院の秘密</t>
  </si>
  <si>
    <t>©SYball/快看漫画</t>
  </si>
  <si>
    <t>ヒヤシンス。</t>
  </si>
  <si>
    <t>©TENCENT Animation&amp; Comics</t>
  </si>
  <si>
    <t>愛も憎しみも沈黙の中で</t>
  </si>
  <si>
    <t>©QiangTang・TheShubl Website+kkworld+BailiJunxi/快看漫画</t>
  </si>
  <si>
    <t>脇役に憑依したら愛されすぎて困ってます【タテヨミ】</t>
  </si>
  <si>
    <t>(C)mongdo, Unicorn/NHN</t>
  </si>
  <si>
    <t>※(C)は〇囲みにC</t>
  </si>
  <si>
    <t>ＴＯブックス</t>
  </si>
  <si>
    <t>本好きの下剋上～司書になるためには手段を選んでいられません～</t>
  </si>
  <si>
    <t>© 鈴華・香月美夜 / ＴＯブックス</t>
  </si>
  <si>
    <t>©の後と半角スラッシュの前後に半角スペース</t>
  </si>
  <si>
    <t>アース・スター エンターテイメント</t>
  </si>
  <si>
    <t>野生のラスボスが現れた！黒翼の覇王</t>
  </si>
  <si>
    <t>©FireHead/YahaKo 2019,©Tsubasa Haduki 2019</t>
  </si>
  <si>
    <t>転生吸血鬼さんはお昼寝がしたい（コミカライズ）</t>
  </si>
  <si>
    <t>©Tyokingyo-maru/47AgDragon 2016 ©Sakura 2018</t>
  </si>
  <si>
    <t>私、能力は平均値でって言ったよね</t>
  </si>
  <si>
    <t>©Funa/Itsuki Akata 2016 ©Nekomint 2017</t>
  </si>
  <si>
    <t>四十七大戦</t>
  </si>
  <si>
    <t>©Hifumi 2016</t>
  </si>
  <si>
    <t>即死チートが最強すぎて、異世界のやつらがまるで相手にならないんですが。-ΑΩ-</t>
  </si>
  <si>
    <t>©納都花丸 ©藤孝剛志・成瀬ちさと/アース・スターエンターテイメント</t>
  </si>
  <si>
    <t>君が好きだから</t>
  </si>
  <si>
    <t xml:space="preserve">©井上美珠・幸村佳苗／アルファポリス </t>
  </si>
  <si>
    <t>原作者・漫画家の順</t>
  </si>
  <si>
    <t>152センチ62キロの恋人</t>
  </si>
  <si>
    <t>©高倉碧依・Remi ／アルファポリス</t>
  </si>
  <si>
    <t>野良猫は愛に溺れる</t>
  </si>
  <si>
    <t>©桜朱理・幸村佳苗 ／アルファポリス</t>
  </si>
  <si>
    <t>オーバーラップ</t>
  </si>
  <si>
    <t>とんでもスキルで異世界放浪メシ</t>
  </si>
  <si>
    <t>©赤岸K ©江口連／オーバーラップ</t>
  </si>
  <si>
    <t>コアミックス</t>
  </si>
  <si>
    <t>アンサングシンデレラ_病院薬剤師_葵みどり</t>
  </si>
  <si>
    <t>©荒井ママレ／コアミックス</t>
  </si>
  <si>
    <t>今日からCITY HUNTER</t>
  </si>
  <si>
    <t>©北条司／コアミックス 1985、 ©錦ソクラ</t>
  </si>
  <si>
    <t>19番目のカルテ_徳重晃の問診</t>
  </si>
  <si>
    <t>©富士屋カツヒト／コアミックス</t>
  </si>
  <si>
    <t>コミディア</t>
  </si>
  <si>
    <t>裏林檎</t>
  </si>
  <si>
    <t>©かざあな・淀壱/コミディア</t>
  </si>
  <si>
    <t>©古場みすみ・中津功介/コミディア</t>
  </si>
  <si>
    <t>ジーウォーク</t>
  </si>
  <si>
    <t>獣とΩ</t>
  </si>
  <si>
    <t xml:space="preserve">©青井さび/ジーウォーク </t>
  </si>
  <si>
    <t>そばにいたい</t>
  </si>
  <si>
    <t>©2021 白菊/ジーウォーク</t>
  </si>
  <si>
    <t>元カレが腐男子になっておりまして。</t>
  </si>
  <si>
    <t xml:space="preserve">©Mugiimo/SQUARE ENIX </t>
  </si>
  <si>
    <t>わたしの幸せな結婚</t>
  </si>
  <si>
    <t>©Akumi Agitogi Licensed by KADOKAWA CORPORATION ©Rito Kohsaka/SQUARE ENIX</t>
  </si>
  <si>
    <t>乙女ゲー転送、俺がヒロインで救世主!?</t>
  </si>
  <si>
    <t>©Tomo Takenagi/SQUARE ENIX ©Yu Tsujimoto/SQUARE ENIX</t>
  </si>
  <si>
    <t>ここは俺に任せて先に行けと言ってから10年がたったら伝説になっていた。</t>
  </si>
  <si>
    <t>©Ezogingitune / SB Creative Corp. キャラクター原案：DeeCHA
©Chaco Abeno/SQUARE ENIX ©Kitsune Tennoji/SQUARE ENIX</t>
  </si>
  <si>
    <t>ハーパーコリンズ・ジャパン</t>
  </si>
  <si>
    <t>甘い鳥籠</t>
  </si>
  <si>
    <t>©あづみ悠羽･舞姫美/ハーパーコリンズ・ジャパン</t>
  </si>
  <si>
    <t>上司が結婚を迫るので困っています！～私とアナタの境界線～</t>
  </si>
  <si>
    <t>©珈倉ともは・伽月るーこ/ハーパーコリンズ・ジャパン</t>
  </si>
  <si>
    <t>イケメン社長の恋人権限～くじ引きは溺愛のワナ！？～</t>
  </si>
  <si>
    <t>©雪園かなそ・あかし瑞穂/ハーパーコリンズ・ジャパン</t>
  </si>
  <si>
    <t>寡黙な皇帝の溺愛花嫁～蜜月のはじまりは取引から～</t>
  </si>
  <si>
    <t>©蝶野飛沫・舞 姫美／ハーパーコリンズ・ジャパン</t>
  </si>
  <si>
    <t>極道婚～コワモテ若頭は新妻をめちゃめちゃ愛したい～</t>
  </si>
  <si>
    <t>©深井結己・御厨 翠／ハーパーコリンズ・ジャパン</t>
  </si>
  <si>
    <t>冷徹侯爵の不器用な求愛</t>
  </si>
  <si>
    <t>©須貝あや・北山すずな/ハーパーコリンズ・ジャパン</t>
  </si>
  <si>
    <t>フレックスコミックス</t>
  </si>
  <si>
    <t>親友王子と腰巾着～推しの王子に求婚されて困ってます～</t>
  </si>
  <si>
    <t>©真籠 縁 ©流星ハニー／COMICポラリス</t>
  </si>
  <si>
    <t>誰かこの状況を説明してください！ ～契約から始まるウェディング～</t>
  </si>
  <si>
    <t xml:space="preserve">©KINOSAKI KAZURA・TSUREDUREBANA/Frontier Works Inc. </t>
  </si>
  <si>
    <t>©ONO AKIHITO・TOHNO KONOE/Frontier Works Inc.</t>
  </si>
  <si>
    <t xml:space="preserve">【分冊版】起きたら20年後なんですけど！ ～悪役令嬢のその後のその後～
</t>
  </si>
  <si>
    <t>©SHIRAYUKI SHION・TACHIBANA CHIAKI/Frontier Works Inc.</t>
  </si>
  <si>
    <t>表紙差し替えあり（ドライブアップ済）</t>
  </si>
  <si>
    <t>リコール_～復讐代行サービス～</t>
  </si>
  <si>
    <t>©Carlos, KeuKeuJ.J / TOONEED ©Frontier Works inc.</t>
  </si>
  <si>
    <t>ゾンビのあふれた世界で俺だけが襲われない</t>
  </si>
  <si>
    <t>© Masuda Chihiro・Uraji Rokuro / Frontier Works Inc.</t>
  </si>
  <si>
    <t>©KUREHA/Frontier Works Inc.　illust:Yamigo</t>
  </si>
  <si>
    <t>ライトノベル</t>
  </si>
  <si>
    <t>ボルテージ</t>
  </si>
  <si>
    <t>この男、メガネを外すと豹変します。</t>
  </si>
  <si>
    <t>©ボルテージ・えだじまさくら／ボルテージ</t>
  </si>
  <si>
    <t>マイクロマガジン社</t>
  </si>
  <si>
    <t>組長娘と世話係</t>
  </si>
  <si>
    <t>©つきや ©マイクロマガジン社</t>
  </si>
  <si>
    <t>暴食のベルセルク ～俺だけレベルという概念を突破する～</t>
  </si>
  <si>
    <t>©滝乃大祐 ©一色一凛 ©マイクロマガジン社</t>
  </si>
  <si>
    <t>健全な恋ってなんだっけ？</t>
  </si>
  <si>
    <t>©しましえみ ©七篠りこ ©マイクロマガジン社 ©エブリスタ</t>
  </si>
  <si>
    <t>ガチャを回して仲間を増やす 最強の美少女軍団を作り上げろ THE COMIC</t>
  </si>
  <si>
    <t>©晴野しゅー ©ちんくるり ©マイクロマガジン社</t>
  </si>
  <si>
    <t>魔法使いの嫁 詩篇.75  稲妻ジャックと妖精事件（分冊版）</t>
  </si>
  <si>
    <t>©五代ゆう・オイカワマコ/マッグガーデン ©ヤマザキコレ/マッグガーデン</t>
  </si>
  <si>
    <t>魔法使いの嫁 詩篇.108  魔術師の青（分冊版）</t>
  </si>
  <si>
    <t>©三田誠・ツクモイスオ/マッグガーデン ©ヤマザキコレ/マッグガーデン</t>
  </si>
  <si>
    <t>ドラゴン、家を買う。</t>
  </si>
  <si>
    <t>©Kawo Tanuki・Choco Aya/MAG Garden</t>
  </si>
  <si>
    <t>レイン</t>
  </si>
  <si>
    <t>©Megumi Sumikawa　2017/MAG Garden ©吉野匠/アルファポリス</t>
  </si>
  <si>
    <t>けんえん。</t>
  </si>
  <si>
    <t>©風越洞×壱村仁/マッグガーデン</t>
  </si>
  <si>
    <t>リイド社</t>
  </si>
  <si>
    <t>妻が他所で抱かれるわけ</t>
  </si>
  <si>
    <t>©黒金さつき/クリベロン</t>
  </si>
  <si>
    <t>SANCTIFY霊魂侵蝕</t>
  </si>
  <si>
    <t>©GODSSTATION/生鐵落/Fox^^/笠倉出版社</t>
  </si>
  <si>
    <t>幻冬舎コミックス</t>
  </si>
  <si>
    <t>異世界で土地を買って農場を作ろう</t>
  </si>
  <si>
    <t>©岡沢六十四・細雪純／オーバーラップ・幻冬舎コミックス</t>
  </si>
  <si>
    <t>新潮社</t>
  </si>
  <si>
    <t>白い巨塔【マイクロ】</t>
  </si>
  <si>
    <t>©山崎豊子 安藤慈朗／新潮社</t>
  </si>
  <si>
    <t>うどんの国の金色毛鞠</t>
  </si>
  <si>
    <t>©篠丸のどか／新潮社（スラッシュが全角）</t>
  </si>
  <si>
    <t>ブレイブ・ストーリー～新説～</t>
  </si>
  <si>
    <t>©宮部みゆき 小野洋一郎／新潮社</t>
  </si>
  <si>
    <t>虐殺ハッピーエンド</t>
  </si>
  <si>
    <t>©宮月新/向浦宏和/白泉社</t>
  </si>
  <si>
    <t>※作家様意向によりC表記の順番を統一</t>
  </si>
  <si>
    <t>後ハッピーマニア</t>
  </si>
  <si>
    <t>©安野モヨコ/Cork</t>
  </si>
  <si>
    <t>ハッピー・マニア</t>
  </si>
  <si>
    <t>じゃあ、君の代わりに殺そうか？</t>
  </si>
  <si>
    <t xml:space="preserve">©蔵人幸明/榊原宗々（秋田書店） </t>
  </si>
  <si>
    <t>榊→「木」+「神」。分冊・単行本版ともに</t>
  </si>
  <si>
    <t>生贄投票</t>
  </si>
  <si>
    <t>©江戸川エドガワ・葛西竜哉/エブリスタ・講談社</t>
  </si>
  <si>
    <t>デスラバ　分冊版</t>
  </si>
  <si>
    <t>©カズタカ・智弘カイ／講談社</t>
  </si>
  <si>
    <t>今夜は月が綺麗ですが、とりあえず死ね －last－</t>
  </si>
  <si>
    <t>©榊原宗々･要マジュロ/講談社</t>
  </si>
  <si>
    <t>榊→「木」+「神」。シリーズすべて</t>
  </si>
  <si>
    <t>落園の美女と野獣 分冊版</t>
  </si>
  <si>
    <t>©由貴香織里/講談社</t>
  </si>
  <si>
    <t>聖者無双</t>
  </si>
  <si>
    <t>©秋風緋色・ブロッコリーライオン／講談社</t>
  </si>
  <si>
    <t>©Naoko Takeuchi
・長体はかけず正体にしてください。（長体がかかったようにみえるフォントについても使用しないでください）
・視認性ができないなどの理由がなければ、©表記はスミ、ベタ文字正体でお願いします。</t>
  </si>
  <si>
    <t>ひとりでしにたい</t>
  </si>
  <si>
    <t>©カレー沢薫/講談社</t>
  </si>
  <si>
    <t>異世界魔王と召喚少女の奴隷魔術（ラノベ）</t>
  </si>
  <si>
    <t>©むらさきゆきや／講談社　イラスト：鶴崎貴大</t>
  </si>
  <si>
    <t>「／」・ブランク・「：」は全角</t>
  </si>
  <si>
    <t>INNU</t>
  </si>
  <si>
    <t>(C)大沼隆揮/小丸ひかり/講談社</t>
  </si>
  <si>
    <t xml:space="preserve"> 隆の字が、正しくは「隆」になります。
※「生」の上に「一」があります。
※環境依存文字なので使用できない場合はその旨記載</t>
  </si>
  <si>
    <t>神尾葉子作品すべて</t>
  </si>
  <si>
    <t>©神尾葉子・Leaf Production／集英社</t>
  </si>
  <si>
    <t>NARUTO―ナルト―</t>
  </si>
  <si>
    <t>©岸本斉史 スコット／集英社（「岸本斉史」 「スコット」の間は半角スペース）</t>
  </si>
  <si>
    <t>サレタガワのブルー</t>
  </si>
  <si>
    <t>©セモトちか／mixer／集英社</t>
  </si>
  <si>
    <t>【単話売】かわいいは僕のキズ</t>
  </si>
  <si>
    <t>©如月マナミ・無理薫/ホーム社</t>
  </si>
  <si>
    <t>主婦と生活社</t>
  </si>
  <si>
    <t xml:space="preserve">妃教育から逃げたい私（コミック）【電子版特典付】
</t>
  </si>
  <si>
    <t>©菅田うり・沢野いずみ/主婦と生活社</t>
  </si>
  <si>
    <t>太田出版</t>
  </si>
  <si>
    <t>中村明日美子先生作品すべて</t>
  </si>
  <si>
    <t>©nakamura Ink./太田出版</t>
  </si>
  <si>
    <t>一迅社</t>
  </si>
  <si>
    <t>悪役令嬢(予定)らしいけど、私はお菓子が食べたい～ブロックスキルで穏やかな人生目指します～ 連載版</t>
  </si>
  <si>
    <t>©kanata satsuki／OVERLAP　©chany／一迅社</t>
  </si>
  <si>
    <t>間のスペースは必須</t>
  </si>
  <si>
    <t>こぎつね、わらわら 稲荷神のまかない飯 いただきますっ！ 連載版</t>
  </si>
  <si>
    <t>©西実さく／一迅社／松幸かほ・テクノサマタ／メディアソフト・三交社</t>
  </si>
  <si>
    <t>復讐の甘い檻_連載版</t>
  </si>
  <si>
    <t>©最賀すみれ／ウエハラ蜂／イースト・プレス
©コヤマナユ／一迅社</t>
  </si>
  <si>
    <t xml:space="preserve">フェンリル騎士隊のたぐいまれなるモフモフ事情～異動先の上司が犬でした～_連載版
</t>
  </si>
  <si>
    <t>©Mashimesa Emoto/OVERLAP　©牛野こも/一迅社</t>
  </si>
  <si>
    <t>ストーカー騎士の誠実な求婚</t>
  </si>
  <si>
    <t>©秋野真珠／氷堂れん／イースト・プレス
©笹原智映／一迅社</t>
  </si>
  <si>
    <t>ナンバーナイン</t>
  </si>
  <si>
    <t>虹色の龍は女神を抱く</t>
  </si>
  <si>
    <t>©新條まゆ/ナンバーナイン</t>
  </si>
  <si>
    <t>追放悪役令嬢、只今監視中！</t>
  </si>
  <si>
    <t>©かりね。・扇つくも（ツギクル）／双葉社</t>
  </si>
  <si>
    <t>転生令嬢は逃げ出した森の中、スキルを駆使して潜伏生活を満喫する</t>
  </si>
  <si>
    <t>©七瀬真・灰羽アリス（ツギクル）／双葉社</t>
  </si>
  <si>
    <t>薬屋経営してみたら、利益が恐ろしいことになりました ～平民だからと追放 
された元宮廷錬金術士の物語～</t>
  </si>
  <si>
    <t>©樋木ゆいち・まいか（ツギクル）／双葉社</t>
  </si>
  <si>
    <t>「ドールハウス（コミック）」©2025 TOHO CO., LTD. ©矢口史靖・凸ノ高秀/双葉社</t>
  </si>
  <si>
    <t>※タイトルは省略可</t>
  </si>
  <si>
    <t>SEX_DRIVE</t>
  </si>
  <si>
    <t>©篁 ふみ／兎山もなか／ステラワース／libre</t>
  </si>
  <si>
    <t>動画の場合、声優様名の表記を求められることアリ</t>
  </si>
  <si>
    <t>ココレカ</t>
  </si>
  <si>
    <t>たぶんきっと、明日のナズナは</t>
  </si>
  <si>
    <t xml:space="preserve">©田中森よこた/ココレカ
</t>
  </si>
  <si>
    <t>ジュリアンパブリッシング</t>
  </si>
  <si>
    <t>転生男装王女は結婚相手を探さない</t>
  </si>
  <si>
    <t>©椎名秋乃/月神サキ/林マキ/ジュリアンパブリッシング</t>
  </si>
  <si>
    <t>異世界女王と転生デザイナー【タテヨミ】</t>
  </si>
  <si>
    <t>©Saedle, Jkyum / Wisdomhouse</t>
  </si>
  <si>
    <t>海王社</t>
  </si>
  <si>
    <t>不幸せな噛み痕（分冊版）</t>
  </si>
  <si>
    <t>『不幸せな嚙み痕』©隈世アキ/海王社</t>
  </si>
  <si>
    <t>タイトル名は必須ではありませんが、もし記載する場合は「噛」は書影にも使用されている機種依存の「嚙」を使用。</t>
  </si>
  <si>
    <t>DLcomics</t>
  </si>
  <si>
    <t>雛鳥の夢想【デジタル修正版】</t>
  </si>
  <si>
    <t>©疋田チヨ/GirlsCREATIVE</t>
  </si>
  <si>
    <t>仕事ができない榊くんは夜だけ有能【デジタル修正版】</t>
  </si>
  <si>
    <t>©ぽつねんじん/GirlsCREATIVE</t>
  </si>
  <si>
    <t>パチカ</t>
  </si>
  <si>
    <t>好きです、奪っていいですか？～ダウナー年下男子とずるい私</t>
  </si>
  <si>
    <t>©城目シロ / パチカ</t>
  </si>
  <si>
    <t>※発生率0にしたいです</t>
  </si>
  <si>
    <t>よくあるミス等</t>
  </si>
  <si>
    <t>※既にお伝えしているルールで修正が発生するのは工数の無駄になります</t>
  </si>
  <si>
    <t>※納品前にチェックする体制を作ってください</t>
  </si>
  <si>
    <t>集英社レーベルロゴがない</t>
  </si>
  <si>
    <t>納品前にチェックを！</t>
  </si>
  <si>
    <t>使用画像テキスト要の出版社なのに使用画像テキストが納品されていない</t>
  </si>
  <si>
    <t>PCバナー許諾と事前確認について_200122.xlsxに記載あるルールが守られていない</t>
  </si>
  <si>
    <t>制作時、エクセルは必ず参照</t>
  </si>
  <si>
    <t>mac作業後Windowsに移行した際、濁点・半濁点が文字化けしたファイルが送られてくる</t>
  </si>
  <si>
    <t>出版社へ送信時圧縮できなくすべてのファイル名をリネームする必要がでてくるため非常に困っています。</t>
  </si>
  <si>
    <t>コミディアのC表記ルールが守られない</t>
  </si>
  <si>
    <t>エクセルをしっかり参照</t>
  </si>
  <si>
    <t>祥伝社のC表記ルールが守られない</t>
  </si>
  <si>
    <t>白泉社のC表記ルールが守られない</t>
  </si>
  <si>
    <t>広告掲載案が未完成</t>
  </si>
  <si>
    <t>実施が決定していない施策の納品をする</t>
  </si>
  <si>
    <t>完全NGです。実施が決定後納品してください。</t>
  </si>
  <si>
    <t>周知したルールが守られない</t>
  </si>
  <si>
    <t>周知の徹底をお願いいたします。</t>
  </si>
  <si>
    <t>一般媒体用でシーモアロゴがない</t>
  </si>
  <si>
    <t>ロゴ、C表記が作中のセリフ、キャラの顔にかぶっている</t>
  </si>
  <si>
    <t>作中のセリフに見えるようなキャッチを挿入する</t>
  </si>
  <si>
    <t>作品の改ざんにあたる行為に該当します。キャッチとはっきりわかるフォント、色で挿入してください</t>
  </si>
  <si>
    <t>記載日</t>
  </si>
  <si>
    <t>タイトル</t>
  </si>
  <si>
    <t>制作可否</t>
  </si>
  <si>
    <t>OK</t>
  </si>
  <si>
    <t>作品タイトルをクリエイティブ内にいれる際は、
【単話版】は削除し「兄だったモノ」のみにしてほしい</t>
  </si>
  <si>
    <t>人間やめたい米沢さん【単話版】</t>
  </si>
  <si>
    <t>欲望屋アンダーグラウンド【単話版】</t>
  </si>
  <si>
    <t>作品タイトルをいれる際、作品名の【単話版】を除いて
「『欲望屋アンダーグラウンド』©青木ぶる／COMICSMART INC.」　と表記して欲しい。
（誘導先の関係で【単話版】をつけることが必須であれば【単話版】がついたままでも問題ない。）</t>
  </si>
  <si>
    <t>みにくい遊郭の子</t>
  </si>
  <si>
    <t>６</t>
  </si>
  <si>
    <t>更新日</t>
  </si>
  <si>
    <t>ジャンル</t>
  </si>
  <si>
    <t>メルトレーベル</t>
  </si>
  <si>
    <t>レーベル単位でＯＫ</t>
  </si>
  <si>
    <t>全て（トレモア含む）</t>
  </si>
  <si>
    <t>全てＯＫ</t>
  </si>
  <si>
    <t>ヤングコミックレーベル</t>
  </si>
  <si>
    <t>少年画報社</t>
  </si>
  <si>
    <t>レジンエンターテインメント（レジンコミックス）</t>
  </si>
  <si>
    <t>全て（Rush!含む）</t>
  </si>
  <si>
    <t>ファンギルド</t>
  </si>
  <si>
    <t>アムタス</t>
  </si>
  <si>
    <t>TOPCO JAPAN</t>
  </si>
  <si>
    <t>ウェイブ</t>
  </si>
  <si>
    <t>NHN comico</t>
  </si>
  <si>
    <t>ライドオン</t>
  </si>
  <si>
    <t>DEATH ANGEL【タテヨミ】</t>
  </si>
  <si>
    <t>SHINE Partners/大洋図書</t>
  </si>
  <si>
    <t>青年</t>
  </si>
  <si>
    <t>狼ドクター×仔羊ナース～看護師は今日もイジられる～</t>
  </si>
  <si>
    <t>女性</t>
  </si>
  <si>
    <t>少年王と年上王妃</t>
  </si>
  <si>
    <t>ライトリーズン</t>
  </si>
  <si>
    <t>烏ヶ丘Don’t be shy！！【電子単行本】</t>
  </si>
  <si>
    <t>BL</t>
  </si>
  <si>
    <t>大手出版社のため確認</t>
  </si>
  <si>
    <t>カッコウはまだカゴのなか</t>
  </si>
  <si>
    <t>異世界NTR～親友のオンナを最強スキルで堕とす方法～【電子単行本】</t>
  </si>
  <si>
    <t>[ハレム]あなたが甘くねだるまで</t>
  </si>
  <si>
    <t>比羅坂日菜子がエロかわいいことを俺だけが知っている。</t>
  </si>
  <si>
    <t>少年</t>
  </si>
  <si>
    <t>そのお言葉、喜んでお受けいたしますわ</t>
  </si>
  <si>
    <t>少女</t>
  </si>
  <si>
    <t>病んでるときも健やかなときも ～病んだ元王太子の婚約者になったので、全力で癒やして健やかにしてみた～</t>
  </si>
  <si>
    <t>うふふ、踏みつけられたままでいると思っていたのですか？</t>
  </si>
  <si>
    <t>スマイリー</t>
  </si>
  <si>
    <t>日本文芸社</t>
  </si>
  <si>
    <t>婚活バトルフィールド37</t>
  </si>
  <si>
    <t>いけにえの花嫁</t>
  </si>
  <si>
    <t>TL</t>
  </si>
  <si>
    <t>メルトではない為確認</t>
  </si>
  <si>
    <t>ヤンデレ魔法使いは石像の乙女しか愛せない 魔女は愛弟子の熱い口づけでとける【短編】</t>
  </si>
  <si>
    <t>竹書房</t>
  </si>
  <si>
    <t>君が寝ている間に…</t>
  </si>
  <si>
    <t>大手出版社の為確認</t>
  </si>
  <si>
    <t>瓜を破る【単話版】</t>
  </si>
  <si>
    <t>芳文社</t>
  </si>
  <si>
    <t>瓜を破る【シーモア限定おまけ付き】</t>
  </si>
  <si>
    <t>「推しの桂真くんにガチ恋してます[ばら売り]」</t>
  </si>
  <si>
    <t>白泉社様の為確認</t>
  </si>
  <si>
    <t>［話売］性癖クラブ</t>
  </si>
  <si>
    <t>CoMax</t>
  </si>
  <si>
    <t>キス7回。【電子限定おまけ付き】</t>
  </si>
  <si>
    <t>セクハラOK学園～チャイム鳴ったら即催眠！？～【単行本版】</t>
  </si>
  <si>
    <t>STK～好きです つきましては 嗅がせてください！～</t>
  </si>
  <si>
    <t>秋水社ORIGINAL</t>
  </si>
  <si>
    <t>TTM（たったら負け）【タテヨミ】</t>
  </si>
  <si>
    <t>HykeComic</t>
  </si>
  <si>
    <t>融点【タテヨミ】</t>
  </si>
  <si>
    <t>リバース</t>
  </si>
  <si>
    <t>小悪魔教師サイコ</t>
  </si>
  <si>
    <t>タテヨミ以外で過去許諾申請をしてOKが貰えた出版社リスト</t>
  </si>
  <si>
    <t>ここにない出版社で吹き出し移動をする際は必ず初回納品時にbacklogにて
リストにないが吹き出し移動が必要だった旨記載してください</t>
  </si>
  <si>
    <t>※許諾が取れてるからと言ってなんでもしていいわけじゃないです。
必要な場合のみ最小限に抑えてならOKです。</t>
  </si>
  <si>
    <t>詳細はマニュアル参照</t>
  </si>
  <si>
    <t>出版社名</t>
  </si>
  <si>
    <t>https://docs.google.com/presentation/d/1rf6FfFHuNt2nKs90D_tDb3VgNTLUdir9rPNFGlUvO5w/edit#slide=id.g2fccbbacc54_0_0</t>
  </si>
  <si>
    <t>ふゅーじょんぷろだくと</t>
  </si>
  <si>
    <t>ライブコミックス</t>
  </si>
  <si>
    <t>ガラン</t>
  </si>
  <si>
    <t>コミックルーム</t>
  </si>
  <si>
    <t>夢中文庫</t>
  </si>
  <si>
    <t>ソルマーレ編集部</t>
  </si>
  <si>
    <t>2024/9/20以降シーモアコミックス</t>
  </si>
  <si>
    <t>タイトル・©表記一覧（バナー用）2021.4.13更新</t>
  </si>
  <si>
    <t>※©、姓、名、スラッシュ、LINEの間は半角アキで</t>
  </si>
  <si>
    <t>著者</t>
  </si>
  <si>
    <t>©欧文表記 1</t>
  </si>
  <si>
    <t>©欧文表記 2</t>
  </si>
  <si>
    <t>©欧文表記 3</t>
  </si>
  <si>
    <t>Dの十字架</t>
  </si>
  <si>
    <t>井本仁</t>
  </si>
  <si>
    <t>© Hitoshi Imoto / LINE</t>
  </si>
  <si>
    <t>OSの魔法使い</t>
  </si>
  <si>
    <t>田中ててて</t>
  </si>
  <si>
    <t>© Tetete Tanaka / LINE</t>
  </si>
  <si>
    <t>qtμt キューティーミューティー</t>
  </si>
  <si>
    <t>[原作]さやわか [漫画]ふみふみこ</t>
  </si>
  <si>
    <t>© Sayawaka / LINE</t>
  </si>
  <si>
    <t>© Fumifumiko / LINE</t>
  </si>
  <si>
    <t>アーチェリーボーイ</t>
  </si>
  <si>
    <t>見原由真</t>
  </si>
  <si>
    <t>© Yuuma Mihara / LINE</t>
  </si>
  <si>
    <t>アオヨビ-青春予備校-</t>
  </si>
  <si>
    <t>深水チロリ</t>
  </si>
  <si>
    <t>© Tiroli Fukamizu / LINE</t>
  </si>
  <si>
    <t>ウラクラ！</t>
  </si>
  <si>
    <t>くも子</t>
  </si>
  <si>
    <t>© Kumoko / LINE</t>
  </si>
  <si>
    <t>うわようじょつよい</t>
  </si>
  <si>
    <t>派手な看護婦</t>
  </si>
  <si>
    <t>© Hadenakangofu / LINE</t>
  </si>
  <si>
    <t>くらやみくんと勇者ちゃん</t>
  </si>
  <si>
    <t>かねこもとき</t>
  </si>
  <si>
    <t>© Motoki Kaneko / LINE</t>
  </si>
  <si>
    <t>ぐるぐるてくてく</t>
  </si>
  <si>
    <t>帯屋ミドリ</t>
  </si>
  <si>
    <t>©Midori Obiya/LINE Digital Frontier</t>
  </si>
  <si>
    <t>「©」「/」前後のスペース不要なので注意
 スペースが足りない場合のみ以下短縮形使用可
 ©Midori Obiya/LDF</t>
  </si>
  <si>
    <t>こよみっこ</t>
  </si>
  <si>
    <t>[原作]納豆まぜお [作画]みちたか</t>
  </si>
  <si>
    <t>© Nattoumazeo / LINE</t>
  </si>
  <si>
    <t>© Michitaka / LINE</t>
  </si>
  <si>
    <t>さいこうび</t>
  </si>
  <si>
    <t>ななみね希</t>
  </si>
  <si>
    <t>© Nozomi Nanamine / LINE</t>
  </si>
  <si>
    <t>サヨナラさんかく</t>
  </si>
  <si>
    <t>© Midori Obiya / LINE</t>
  </si>
  <si>
    <t>シアロア</t>
  </si>
  <si>
    <t>田口囁一</t>
  </si>
  <si>
    <t>© Shouichi Taguchi / LINE</t>
  </si>
  <si>
    <t>シェア男!!</t>
  </si>
  <si>
    <t>照井にと</t>
  </si>
  <si>
    <t>© Nito Terui / LINE</t>
  </si>
  <si>
    <t>スマホを落としただけなのに</t>
  </si>
  <si>
    <t>[原作]志駕晃 [漫画]嶋田ひろあき</t>
  </si>
  <si>
    <t>© Hiroaki Shimada / Akira Shiga / 宝島社 / LINE</t>
  </si>
  <si>
    <t>ないしょはまつげ</t>
  </si>
  <si>
    <t>藤見よいこ</t>
  </si>
  <si>
    <t>© Yoiko Fujimi / LINE</t>
  </si>
  <si>
    <t>ハードボイルド園児 宇宙くん</t>
  </si>
  <si>
    <t>福星英春</t>
  </si>
  <si>
    <t>© Eishun Fukuboshi / LINE</t>
  </si>
  <si>
    <t>バレヱのお時間!!</t>
  </si>
  <si>
    <t>[原作]萱島のぞみ [作画]倉田嘘</t>
  </si>
  <si>
    <t>© Nozomi Kayashima / LINE</t>
  </si>
  <si>
    <t>© Uso Kurata / LINE</t>
  </si>
  <si>
    <t>マリーミー！</t>
  </si>
  <si>
    <t>夕希実久</t>
  </si>
  <si>
    <t>©Miku Yuki/LINE Digital Frontier</t>
  </si>
  <si>
    <t>※2021/3/4
 「©」「/」前後のスペース不要に変更</t>
  </si>
  <si>
    <t>ムラサキ</t>
  </si>
  <si>
    <t>厳男子</t>
  </si>
  <si>
    <t>© Kibidango / LINE</t>
  </si>
  <si>
    <t>やまとは恋のまほろば</t>
  </si>
  <si>
    <t>浜谷みお</t>
  </si>
  <si>
    <t>© Mio Hamatani / LINE</t>
  </si>
  <si>
    <t>ゆとのと</t>
  </si>
  <si>
    <t>泉紗紗</t>
  </si>
  <si>
    <t>© Sasa Izumi / LINE</t>
  </si>
  <si>
    <t>ラッパーに噛まれたらラッパーになる漫画</t>
  </si>
  <si>
    <t>インカ帝国</t>
  </si>
  <si>
    <t>© Inkateikoku / LINE</t>
  </si>
  <si>
    <t>リトル・ロータス</t>
  </si>
  <si>
    <t>西浦キオ</t>
  </si>
  <si>
    <t>©Kio Nishiura/LINE Digital Frontier</t>
  </si>
  <si>
    <t>ワカルトリ</t>
  </si>
  <si>
    <t>柴田賢志郎</t>
  </si>
  <si>
    <t>© Kenshiro Shibata / LINE</t>
  </si>
  <si>
    <t>嘘にも恋がいる</t>
  </si>
  <si>
    <t>河井あぽろ</t>
  </si>
  <si>
    <t>© Apolo Kawai / LINE</t>
  </si>
  <si>
    <t>※20/6/9 スペル修正</t>
  </si>
  <si>
    <t>鬼畜島</t>
  </si>
  <si>
    <t>外薗昌也</t>
  </si>
  <si>
    <t>©Masaya Hokazono/LINE Digital Frontier</t>
  </si>
  <si>
    <t>君は綺麗なアヒルの子</t>
  </si>
  <si>
    <t>タナカトモ</t>
  </si>
  <si>
    <t>© Tomo Tanaka / LINE</t>
  </si>
  <si>
    <t>月曜から金曜の男子高校生</t>
  </si>
  <si>
    <t>森つぶみ</t>
  </si>
  <si>
    <t>©Tsubumi Mori/LINE Digital Frontier</t>
  </si>
  <si>
    <t>「©」「/」前後のスペース不要なので注意
 スペースが足りない場合のみ以下短縮形使用可
 ©Tsubumi Mori/LDF</t>
  </si>
  <si>
    <t>黒脳シンドローム</t>
  </si>
  <si>
    <t>石川オレオ</t>
  </si>
  <si>
    <t>© Oreo Ishikawa / LINE</t>
  </si>
  <si>
    <t>左廻しのオデット</t>
  </si>
  <si>
    <t>Perico</t>
  </si>
  <si>
    <t>© Perico / LINE</t>
  </si>
  <si>
    <t>織部姉妹のいろいろ</t>
  </si>
  <si>
    <t>閃光ライド</t>
  </si>
  <si>
    <t>スズキイッセイ</t>
  </si>
  <si>
    <t>© Issei Suzuki / LINE</t>
  </si>
  <si>
    <t>地上100階～脱出確率0.0001%～</t>
  </si>
  <si>
    <t>[漫画]桃田テツ [原作]黒井嵐輔</t>
  </si>
  <si>
    <t>© Tetsu Momota / LINE</t>
  </si>
  <si>
    <t>© Ransuke Kuroi / LINE</t>
  </si>
  <si>
    <t>桃太郎くんは言うコトをきかない</t>
  </si>
  <si>
    <t>御守リツヒロ</t>
  </si>
  <si>
    <t>© Ritsuhiro Mikami / LINE</t>
  </si>
  <si>
    <t>鈍色の箱の中で</t>
  </si>
  <si>
    <t>篠原知宏</t>
  </si>
  <si>
    <t>© Tomohiro Shinohara / LINE</t>
  </si>
  <si>
    <t>不良退魔師レイナ</t>
  </si>
  <si>
    <t>OTOSAMA</t>
  </si>
  <si>
    <t>©OTOSAMA/LINE Digital Frontier</t>
  </si>
  <si>
    <t>※2021/3/25
 「©」「/」前後のスペース不要に変更</t>
  </si>
  <si>
    <t>文学処女</t>
  </si>
  <si>
    <t>中野まや花</t>
  </si>
  <si>
    <t>© Mayaka Nakano / LINE</t>
  </si>
  <si>
    <t>目指せ東大！たぬ子さん</t>
  </si>
  <si>
    <t>川井みる</t>
  </si>
  <si>
    <t>© Miru Kawai / LINE</t>
  </si>
  <si>
    <t>流星イニシャライズ ～1/5の恋人～</t>
  </si>
  <si>
    <t>[原作]ENZO [漫画]花糸</t>
  </si>
  <si>
    <t>© ENZO / LINE</t>
  </si>
  <si>
    <t>© Keito / LINE</t>
  </si>
  <si>
    <t>恋は思えば思わるる</t>
  </si>
  <si>
    <t>大和アカ</t>
  </si>
  <si>
    <t>© Aka Yamato / LINE</t>
  </si>
  <si>
    <t>Devil May Cry 5 - Visions of V -</t>
  </si>
  <si>
    <t>[漫画]尾方富生 [原作]カプコン</t>
  </si>
  <si>
    <t>© Tomio Ogata / LINE</t>
  </si>
  <si>
    <t>©CAPCOM CO., LTD. 2019 ALL RIGHTS RESERVED.</t>
  </si>
  <si>
    <t>※CAPCOMのほうは©後の半角スペース不要</t>
  </si>
  <si>
    <t>パンプキンナイト</t>
  </si>
  <si>
    <t>[漫画]谷口世磨 [原作]外薗昌也</t>
  </si>
  <si>
    <t>© Seima Taniguchi / LINE</t>
  </si>
  <si>
    <t>© Masaya Hokazono / LINE</t>
  </si>
  <si>
    <t>臓物島</t>
  </si>
  <si>
    <t>サンタ・カンパニー</t>
  </si>
  <si>
    <t>糸曽賢志 [原作者];野口周三 [監修者]; [漫画]桃井優月; [漫画]品川千陽</t>
  </si>
  <si>
    <t>©WORLD EGGS / KENJI STUDIO / LINE</t>
  </si>
  <si>
    <t>俺、限定コミュ症なんでっ。</t>
  </si>
  <si>
    <t>桐谷のば</t>
  </si>
  <si>
    <t>© Noba Kiritani / LINE</t>
  </si>
  <si>
    <t>モノのケの妖菓子屋さん</t>
  </si>
  <si>
    <t>兎原シイタ</t>
  </si>
  <si>
    <t>© Shiita Usahara / LINE</t>
  </si>
  <si>
    <t>ドラゴンのおまわりさん</t>
  </si>
  <si>
    <t>澄谷ゼニコ</t>
  </si>
  <si>
    <t>© Zeniko Sumiya / LINE</t>
  </si>
  <si>
    <t>大阪バトルロイヤル</t>
  </si>
  <si>
    <t>shoco</t>
  </si>
  <si>
    <t>© Shoco / LINE</t>
  </si>
  <si>
    <t>アイムアグリーバー！</t>
  </si>
  <si>
    <t>ひさまつえいと</t>
  </si>
  <si>
    <t>© Eight Hisamatsu / LINE</t>
  </si>
  <si>
    <t>名前のない怪物 蜘蛛と少女と猟奇殺人</t>
  </si>
  <si>
    <t>[原作]黒木京也 [漫画]万丈 梓</t>
  </si>
  <si>
    <t>© Kyoya Kuroki / LINE</t>
  </si>
  <si>
    <t>© Azusa Banjo / LINE</t>
  </si>
  <si>
    <t>かくれイタリアン</t>
  </si>
  <si>
    <t>ふくしま正保</t>
  </si>
  <si>
    <t>© Masayasu Fukushima / LINE</t>
  </si>
  <si>
    <t>LINEの答えあわせ〜男と女の勘違い〜</t>
  </si>
  <si>
    <t>[原作]ドラマ「LINEの答えあわせ～男と女の勘違い～」 [漫画]蜆ツバサ</t>
  </si>
  <si>
    <t>©2020 “Texting in Tokyo” Production Committee</t>
  </si>
  <si>
    <t>© Tsubasa Shijimi / LINE</t>
  </si>
  <si>
    <t>青春ストラテジー</t>
  </si>
  <si>
    <t>栗山優弥</t>
  </si>
  <si>
    <t>© Yuya Kuriyama / LINE</t>
  </si>
  <si>
    <t>ホームメイド・スイートホーム</t>
  </si>
  <si>
    <t>中村ユキチ</t>
  </si>
  <si>
    <t>© Yukichi Nakamura / LINE</t>
  </si>
  <si>
    <t>仮面病棟</t>
  </si>
  <si>
    <t>[原作]知念実希人(実業之日本社) [漫画]NICOMICHIHIRO</t>
  </si>
  <si>
    <t>©︎Mikito Chinen/Jitsugyo no Nihon Sha</t>
  </si>
  <si>
    <t>©︎ NICOMICHIHIRO / LINE</t>
  </si>
  <si>
    <t>一度死んでみた</t>
  </si>
  <si>
    <t>[映画脚本]澤本嘉光 [漫画]葛目 迅</t>
  </si>
  <si>
    <t>©2020 Shochiku Co., Ltd./Fuji Television Network, Inc. All Rights reserved</t>
  </si>
  <si>
    <t>© Jin Kuzume / LINE</t>
  </si>
  <si>
    <t>いいねだいすき ふぁぼこちゃん</t>
  </si>
  <si>
    <t>ノド山</t>
  </si>
  <si>
    <t>© Nodoyama / LINE</t>
  </si>
  <si>
    <t>異世界居酒屋「のぶ」 しのぶと大将の古都ごはん</t>
  </si>
  <si>
    <t>[原作]蝉川夏哉 [漫画]くるり</t>
  </si>
  <si>
    <t>© Natsuya Semikawa / Kururi / 宝島社 / LINE</t>
  </si>
  <si>
    <t>誰かいい人いませんか？</t>
  </si>
  <si>
    <t>バラマツヒトミ</t>
  </si>
  <si>
    <t>© Hitomi Baramatsu / LINE</t>
  </si>
  <si>
    <t>恋はくせもの</t>
  </si>
  <si>
    <t>大箕すず</t>
  </si>
  <si>
    <t>© Suzu Omi / LINE</t>
  </si>
  <si>
    <t>異世界居酒屋「のぶ」 エーファとまかないおやつ</t>
  </si>
  <si>
    <t>[原作]蝉川夏哉 [漫画]ノブヨシ侍 [キャラクター原案]転</t>
  </si>
  <si>
    <t>© Natsuya Semikawa / Nobuyoshi Zamurai / Kururi / 宝島社 / LINE</t>
  </si>
  <si>
    <t>灰色の季節、箱庭で</t>
  </si>
  <si>
    <t>はみ</t>
  </si>
  <si>
    <t>© hami / LINE</t>
  </si>
  <si>
    <t>異世界居酒屋「げん」</t>
  </si>
  <si>
    <t>[原作]蝉川夏哉 [漫画]碓井ツカサ</t>
  </si>
  <si>
    <t>© Natsuya Semikawa / Tsukasa Usui / 宝島社 / LINE</t>
  </si>
  <si>
    <t>#ティールブルーの羽色</t>
  </si>
  <si>
    <t>きび様といっしょ</t>
  </si>
  <si>
    <t>みやまるん</t>
  </si>
  <si>
    <t>© Miyamarun / LINE</t>
  </si>
  <si>
    <t>ブレデュール家の娘たち</t>
  </si>
  <si>
    <t>財賀アカネ</t>
  </si>
  <si>
    <t>© Akane Saiga / LINE</t>
  </si>
  <si>
    <t>これは、恋かな…？〜マッチングアプリ奮闘記〜</t>
  </si>
  <si>
    <t>野中かをる</t>
  </si>
  <si>
    <t>© Kaworu Nonaka / LINE</t>
  </si>
  <si>
    <t>君とメリーバッドエンド</t>
  </si>
  <si>
    <t>時雨さよ</t>
  </si>
  <si>
    <t>© Sayo Shigure / LINE</t>
  </si>
  <si>
    <t>LIBER-リベル-異質犯罪捜査係</t>
  </si>
  <si>
    <t>倉薗紀彦</t>
  </si>
  <si>
    <t>© Norihiko Kurazono / LINE</t>
  </si>
  <si>
    <t>うそつきなテトラ</t>
  </si>
  <si>
    <t>ななのいち</t>
  </si>
  <si>
    <t>© Ichi Nanano / LINE</t>
  </si>
  <si>
    <t>君の嘘すら愛してる</t>
  </si>
  <si>
    <t>如月あい</t>
  </si>
  <si>
    <t>© Ai Kisaragi / LINE</t>
  </si>
  <si>
    <t>それは、君が見た青だった</t>
  </si>
  <si>
    <t>三永ワヲ</t>
  </si>
  <si>
    <t>© Wawo Mitsunaga / LINE</t>
  </si>
  <si>
    <t>おとぎぶっ殺シアム</t>
  </si>
  <si>
    <t>クロタロウ</t>
  </si>
  <si>
    <t>© Kurotaro / LINE</t>
  </si>
  <si>
    <t>推理系女子の探偵試験 夜挽理の殺人への傾向と対策</t>
  </si>
  <si>
    <t>[原作]伏見和真 [漫画]カガミツキ</t>
  </si>
  <si>
    <t>© Kazuma Fushimi / LINE</t>
  </si>
  <si>
    <t>© Kagamitsuki / LINE</t>
  </si>
  <si>
    <t>スーパーノヴァはキスの前に</t>
  </si>
  <si>
    <t>なめたけ</t>
  </si>
  <si>
    <t>Ⓒ Nametake / LINE</t>
  </si>
  <si>
    <t>アラフォーリーマンのシンデレラ転生</t>
  </si>
  <si>
    <t>[原作]原田まりる(KADOKAWA刊) [原作キャラクターデザイン]森倉円 [漫画]荒木宰</t>
  </si>
  <si>
    <t>© Harada Mariru / KADOKAWA 2018</t>
  </si>
  <si>
    <t>© Harada Mariru / Tsukasa Araki / LINE</t>
  </si>
  <si>
    <t>3Bの恋人〜付き合ってはいけない職業男子との恋遊戯〜</t>
  </si>
  <si>
    <t>[原作]LINEマンガ・朝日放送テレビ [漫画]横山もよ</t>
  </si>
  <si>
    <t>©ABCTV</t>
  </si>
  <si>
    <t>© Moyo Yokoyama / LINE</t>
  </si>
  <si>
    <t>クレバテス−魔獣の王と赤子と屍の勇者−</t>
  </si>
  <si>
    <t>岩原裕二</t>
  </si>
  <si>
    <t>©️ Yuji Iwahara / LINE</t>
  </si>
  <si>
    <t>クレバテス−魔獣の王と赤子と屍の勇者−【フルカラー版】</t>
  </si>
  <si>
    <t>糸</t>
  </si>
  <si>
    <t>[映画脚本]林民夫 [漫画]海乃エル [原案]平野隆</t>
  </si>
  <si>
    <t>© 2020 “Threads - Our Tapestry of Love”Film Partners</t>
  </si>
  <si>
    <t>© Eru Umino / LINE</t>
  </si>
  <si>
    <t>僕のソルシエール</t>
  </si>
  <si>
    <t>© Miku Yuki / LINE</t>
  </si>
  <si>
    <t>戦慄の魔術師と五帝獣</t>
  </si>
  <si>
    <t>[漫画]日野入緒 [原作]戸津秋太 [キャラクター原案]しらこみそ</t>
  </si>
  <si>
    <t>© Akita Totsu / Irio Hino / Shirakomiso / 宝島社 / LINE</t>
  </si>
  <si>
    <t>生活魔術師達、ダンジョンに挑む</t>
  </si>
  <si>
    <t>[漫画]川上ちまき [原作]丘野境界 [キャラクター原案]東西</t>
  </si>
  <si>
    <t>© Kyokai Okano / Chimaki Kawakami / Tozai / 宝島社 / LINE</t>
  </si>
  <si>
    <t>生活魔術師達、海底神殿に挑む</t>
  </si>
  <si>
    <t>悲熊</t>
  </si>
  <si>
    <t>キューライス</t>
  </si>
  <si>
    <t>© Q-rais / LINE</t>
  </si>
  <si>
    <t>ウル松さん</t>
  </si>
  <si>
    <t>[原作]赤塚不二夫 [漫画]わんにゃんぷー</t>
  </si>
  <si>
    <t>©円谷プロ</t>
  </si>
  <si>
    <t>©赤塚不二夫／おそ松さん製作委員会</t>
  </si>
  <si>
    <t>© Wannyanpu / LINE</t>
  </si>
  <si>
    <t>転生して田舎でスローライフをおくりたい</t>
  </si>
  <si>
    <t>[漫画]小杉繭 [原作]錬金王 [キャラクター原案]阿倍野ちゃこ</t>
  </si>
  <si>
    <t>© Renkino / Mayu Kosugi / Chaco Abeno / 宝島社 / LINE</t>
  </si>
  <si>
    <t>STAR WARS／ロスト・スターズ</t>
  </si>
  <si>
    <t>[漫画]小宮山優作 [原作]Claudia Gray
 [監修]ルーカスフィルム</t>
  </si>
  <si>
    <t>©&amp;™ Lucasfilm Ltd.</t>
  </si>
  <si>
    <t>LINEの答えあわせ～男と女の勘違い～</t>
  </si>
  <si>
    <t>著者：ドラマ「LINEの答えあわせ～男と女の勘違い～」/著者：蜆ツバサ</t>
  </si>
  <si>
    <t>流星イニシャライズ</t>
  </si>
  <si>
    <t>ENZO,花糸</t>
  </si>
  <si>
    <t>女神降臨</t>
  </si>
  <si>
    <t>yaongyi</t>
  </si>
  <si>
    <t>©yaongyi/LINE</t>
  </si>
  <si>
    <t>スペース不要なので注意</t>
  </si>
  <si>
    <t>営業スマイル男女</t>
  </si>
  <si>
    <t>mako</t>
  </si>
  <si>
    <t>©mako/LINE Digital Frontier</t>
  </si>
  <si>
    <t>【SQEX】デジタル版コミックス_コピーライト一覧</t>
  </si>
  <si>
    <t>※原則としてバナーや特集ページなど、SQEX側で制作いたただいたものの監修を行う場合に入れていただくコピーライトです。
※基本的には、省略せずに完全形でご使用ください。バナーなど、スペースが足りない場合のみ省略形の使用が可能です。
※同一のバナーや特集ぺージなどに2作品以上のコピーライトを記載する場合、一部の作品のみ省略形を利用することは避けてください。（他社作品と掲載される場合も同様です。）
※一覧にある(C)はバナー等制作いただく際、可能な限り©（○＋Cの記号）で記載いただければと思います
※2名以上の先生のコピーライト表記を並べて記載する場合は、原則として全角か半角のスペースか改行を入れてください。
（例：〇→(C)Yuji Yuji/SB Creative Corp.　Original Character Designs:(C)llo/SB Creative Corp. 　(C)Nanasuke/SQUARE ENIX
　　　×→(C)Yuji Yuji/SB Creative Corp.Original Character Designs:(C)llo/SB Creative Corp.(C)Nanasuke/SQUARE ENIX</t>
  </si>
  <si>
    <t>コンテンツID</t>
  </si>
  <si>
    <t>初巻配信月(予定含む）</t>
  </si>
  <si>
    <t>著者名</t>
  </si>
  <si>
    <t>コピーライト</t>
  </si>
  <si>
    <t>コピーライト(省略)</t>
  </si>
  <si>
    <t>鋼の錬金術師</t>
  </si>
  <si>
    <t>荒川弘</t>
  </si>
  <si>
    <t>(C)Hiromu Arakawa/SQUARE ENIX</t>
  </si>
  <si>
    <t>(C)HA/SQEX</t>
  </si>
  <si>
    <t>ソウルイーター</t>
  </si>
  <si>
    <t>大久保篤</t>
  </si>
  <si>
    <t>(C)Atsushi Ohkubo/SQUARE ENIX</t>
  </si>
  <si>
    <t>(C)AO/SQEX</t>
  </si>
  <si>
    <t>ドラゴンクエスト列伝 ロトの紋章 完全版</t>
  </si>
  <si>
    <t>作画：藤原カムイ
脚本：小柳順治
設定：川又千秋</t>
  </si>
  <si>
    <t>(C)Kamui Fujiwara (C)Junji Koyanagi  (C) 1991-1997,2006 SQUARE ENIX CO.,LTD.  All Rights Reserved.</t>
  </si>
  <si>
    <t>(C)KF/SQEX (C)JK/SQEX (C)CK/SQEX (C) 1991-1997,2006 SQUARE ENIX CO.,LTD.  All Rights Reserved.</t>
  </si>
  <si>
    <t>All Rights Reserved.の前は半角スペース2つアキ</t>
  </si>
  <si>
    <t>とある魔術の禁書目録</t>
  </si>
  <si>
    <t>原作：鎌池和馬
作画：近木野中哉
キャラクター原案：はいむらきよたか</t>
  </si>
  <si>
    <t>(C)Kazuma Kamachi
(C)Chuya Kogino/SQUARE ENIX
Licensed by KADOKAWA CORPORATION ASCII MEDIA WORKS</t>
  </si>
  <si>
    <t>(C)Kazuma Kamachi
(C)CK/SQEX
Licensed by KADOKAWA CORPORATION ASCII MEDIA WORKS</t>
  </si>
  <si>
    <t>【CORPORATION】と【ASCII MEDIA WORKS】の間は半角スペースでお願いします。※「とある」シリーズのみ他の電撃文庫作品と異なります。（他作品は全角スペース）</t>
  </si>
  <si>
    <t>ソウルイーターノット！</t>
  </si>
  <si>
    <t>JUDGE</t>
  </si>
  <si>
    <t>外海良基</t>
  </si>
  <si>
    <t>(C)Yoshiki Tonogai/SQUARE ENIX</t>
  </si>
  <si>
    <t>(C)YT/SQEX</t>
  </si>
  <si>
    <t>絶園のテンペスト</t>
  </si>
  <si>
    <t>原作：城平京
構成：左有秀
作画：彩崎廉</t>
  </si>
  <si>
    <t xml:space="preserve">(C)Kyo Shirodaira/SQUARE ENIX
(C)Arihide Sano/SQUARE ENIX
(C)Ren Saizaki/SQUARE ENIX </t>
  </si>
  <si>
    <t>(C)KS/SQEX
(C)AS/SQEX
(C)RS/SQEX</t>
  </si>
  <si>
    <t>ブラッディ・クロス</t>
  </si>
  <si>
    <t>米山シヲ</t>
  </si>
  <si>
    <t>(C)Shiwo Komeyama/SQUARE ENIX</t>
  </si>
  <si>
    <t>(C)SK/SQEX</t>
  </si>
  <si>
    <t>ながされて藍蘭島</t>
  </si>
  <si>
    <t>藤代健</t>
  </si>
  <si>
    <t>(C)Takeshi Fujishiro/SQUARE ENIX</t>
  </si>
  <si>
    <t>(C)TF/SQEX</t>
  </si>
  <si>
    <t>屍姫</t>
  </si>
  <si>
    <t>赤人義一</t>
  </si>
  <si>
    <t>(C)Yoshiichi Akahito/SQUARE ENIX</t>
  </si>
  <si>
    <t>(C)YA/SQEX</t>
  </si>
  <si>
    <t>紅心王子</t>
  </si>
  <si>
    <t>桑原草太</t>
  </si>
  <si>
    <t>(C)Souta Kuwahara/SQUARE ENIX</t>
  </si>
  <si>
    <t>勤しめ！ 仁岡先生</t>
  </si>
  <si>
    <t>尾高純一</t>
  </si>
  <si>
    <t>(C)Junichi Odaka/SQUARE ENIX</t>
  </si>
  <si>
    <t>(C)JO/SQEX</t>
  </si>
  <si>
    <t>咲-Saki-阿知賀編 episode of side-A</t>
  </si>
  <si>
    <t>原作：小林立
作画：五十嵐あぐり</t>
  </si>
  <si>
    <t>(C)Ritz Kobayashi/SQUARE ENIX
(C)Aguri Igarashi/SQUARE ENIX</t>
  </si>
  <si>
    <t>(C)RK/SQEX (C)AI/SQEX</t>
  </si>
  <si>
    <t>魔法陣グルグル</t>
  </si>
  <si>
    <t>衛藤ヒロユキ</t>
  </si>
  <si>
    <t>(C)Hiroyuki Eto/SQUARE ENIX</t>
  </si>
  <si>
    <t>(C)HE/SQEX</t>
  </si>
  <si>
    <t>南国少年パプワくん</t>
  </si>
  <si>
    <t>柴田亜美</t>
  </si>
  <si>
    <t>(C)Ami Shibata/SQUARE ENIX</t>
  </si>
  <si>
    <t>(C)AS/SQEX</t>
  </si>
  <si>
    <t>ジャングルはいつもハレのちグゥ</t>
  </si>
  <si>
    <t>金田一蓮十郎</t>
  </si>
  <si>
    <t>(C)Renjuro Kindaichi/SQUARE ENIX</t>
  </si>
  <si>
    <t>(C)RK/SQEX</t>
  </si>
  <si>
    <t>スパイラル ～推理の絆～</t>
  </si>
  <si>
    <t>作：城平京、画：水野英多</t>
  </si>
  <si>
    <t>(C)Kyo Shirodaira/SQUARE ENIX
(C)Eita Mizuno/SQUARE ENIX</t>
  </si>
  <si>
    <t>(C)KS/SQEX (C)EM/SQEX</t>
  </si>
  <si>
    <t>ハレグゥ</t>
  </si>
  <si>
    <t>獣神演武</t>
  </si>
  <si>
    <t>作画：荒川弘
原案：黄金周
シナリオ：社綾
美術設定：草薙</t>
  </si>
  <si>
    <t>(C)Hiromu Arakawa/SQUARE ENIX
(C)HUANG JIN-ZHOU・GENCO・FLAG
(C)2007 獣神演武製作委員会</t>
  </si>
  <si>
    <t>(C)HA/SQEX
(C)HUANG JIN-ZHOU・GENCO・FLAG
(C)2007 獣神演武製作委員会</t>
  </si>
  <si>
    <t>Doubt</t>
  </si>
  <si>
    <t>スパイラル・アライヴ</t>
  </si>
  <si>
    <t>ドラゴンクエスト 幻の大地</t>
  </si>
  <si>
    <t>作画：神崎まさおみ
監修：堀井雄二
設定協力・脚本：とまとあき</t>
  </si>
  <si>
    <t>(C)Masaomi Kanzaki (C)Yuji Horii (C)Aki Tomato (C)SQUARE ENIX CO.,LTD.  All Rights Reserved.</t>
  </si>
  <si>
    <t>(C)MK/SQEX (C)YH/SQEX (C)AT/SQEX (C)SQUARE ENIX CO.,LTD.  All Rights Reserved.</t>
  </si>
  <si>
    <t>PAPUWA</t>
  </si>
  <si>
    <t>ドラゴンクエスト エデンの戦士たち</t>
  </si>
  <si>
    <t>藤原カムイ
監修：堀井雄二</t>
  </si>
  <si>
    <t>(C)Kamui Fujiwara (C) 2000 ARMOR PROJECT/BIRD STUDIO/HEART BEAT/ARTEPIAZZA/SQUARE ENIX  All Rights Reserved.</t>
  </si>
  <si>
    <t>(C)KF/SQEX (C) 2000 ARMOR PROJECT/BIRD STUDIO/HEART BEAT/ARTEPIAZZA/SQUARE ENIX  All Rights Reserved.</t>
  </si>
  <si>
    <t>ドラゴンクエストモンスターズ＋新装版</t>
  </si>
  <si>
    <t>吉崎観音</t>
  </si>
  <si>
    <t>(C)Mine Yoshizaki (C) 1998,2012 ARMOR PROJECT/BIRD STUDIO/SQUARE ENIX  All Rights Reserved.</t>
  </si>
  <si>
    <t>(C)MY/SQEX (C) 1998,2012 ARMOR PROJECT/BIRD STUDIO/SQUARE ENIX  All Rights Reserved.</t>
  </si>
  <si>
    <t>666～サタン～</t>
  </si>
  <si>
    <t>岸本聖史</t>
  </si>
  <si>
    <t>(C)Seishi Kishimoto/SQUARE ENIX</t>
  </si>
  <si>
    <t>黒執事</t>
  </si>
  <si>
    <t>枢やな</t>
  </si>
  <si>
    <t>(C)Yana Toboso/SQUARE ENIX</t>
  </si>
  <si>
    <t>PandoraHearts</t>
  </si>
  <si>
    <t>望月淳</t>
  </si>
  <si>
    <t>(C)Jun Mochizuki/SQUARE ENIX</t>
  </si>
  <si>
    <t>(C)JM/SQEX</t>
  </si>
  <si>
    <t>デュラララ!!</t>
  </si>
  <si>
    <t>原作：成田良悟
キャラクターデザイン：ヤスダスズヒト
作画：茶鳥木明代</t>
  </si>
  <si>
    <t>(C)Ryohgo Narita
(C)Akiyo Satorigi/SQUARE ENIX
Licensed by KADOKAWA CORPORATION　ASCII MEDIA WORKS</t>
  </si>
  <si>
    <t>(C)Ryohgo Narita
(C)AS/SQEX
Licensed by KADOKAWA CORPORATION　ASCII MEDIA WORKS</t>
  </si>
  <si>
    <t>【CORPORATION】と【ASCII MEDIA WORKS】の間は全角スペースでお願いします。</t>
  </si>
  <si>
    <t>君と僕。</t>
  </si>
  <si>
    <t>堀田きいち</t>
  </si>
  <si>
    <t>(C)Kiichi Hotta/SQUARE ENIX</t>
  </si>
  <si>
    <t>(C)KH/SQEX</t>
  </si>
  <si>
    <t>ぱにぽに</t>
  </si>
  <si>
    <t>氷川へきる</t>
  </si>
  <si>
    <t>(C)Hekiru Hikawa/SQUARE ENIX</t>
  </si>
  <si>
    <t>(C)HH/SQEX</t>
  </si>
  <si>
    <t>まじかる無双天使　突き刺せ!!　呂布子ちゃん</t>
  </si>
  <si>
    <t>鈴木次郎</t>
  </si>
  <si>
    <t>(C)Jiro Suzuki/SQUARE ENIX</t>
  </si>
  <si>
    <t>(C)JS/SQEX</t>
  </si>
  <si>
    <t>隠の王</t>
  </si>
  <si>
    <t>鎌谷悠希</t>
  </si>
  <si>
    <t>(C)Yuhki Kamatani/SQUARE ENIX</t>
  </si>
  <si>
    <t>(C)YK/SQEX</t>
  </si>
  <si>
    <t>セキレイ</t>
  </si>
  <si>
    <t>極楽院櫻子</t>
  </si>
  <si>
    <t>(C)Sakurako Gokurakuin/SQUARE ENIX</t>
  </si>
  <si>
    <t>(C)SG/SQEX</t>
  </si>
  <si>
    <t>荒川アンダー ザ ブリッジ</t>
  </si>
  <si>
    <t>中村光</t>
  </si>
  <si>
    <t>(C)Hikaru Nakamura/SQUARE ENIX</t>
  </si>
  <si>
    <t>(C)HN/SQEX</t>
  </si>
  <si>
    <t>WORKING!!</t>
  </si>
  <si>
    <t>高津カリノ</t>
  </si>
  <si>
    <t>(C)Karino Takatsu/SQUARE ENIX</t>
  </si>
  <si>
    <t>(C)KT/SQEX</t>
  </si>
  <si>
    <t>咲-Saki-</t>
  </si>
  <si>
    <t>小林立</t>
  </si>
  <si>
    <t>(C)Ritz Kobayashi/SQUARE ENIX</t>
  </si>
  <si>
    <t>ドラゴンクエスト列伝 ロトの紋章～紋章を継ぐ者達へ～</t>
  </si>
  <si>
    <t>作画：藤原カムイ
脚本：映島巡、梅村崇
監修：堀井雄二</t>
  </si>
  <si>
    <t>(C)Kamui Fujiwara (C)Takashi Umemura (C)Jun Eishima  (C) 2004 SQUARE ENIX CO.,LTD.  All Rights Reserved.</t>
  </si>
  <si>
    <t>(C)KF/SQEX (C)TU/SQEX (C)JE/SQEX (C) 2004 SQUARE ENIX CO.,LTD.  All Rights Reserved.</t>
  </si>
  <si>
    <t>黒神</t>
  </si>
  <si>
    <t>原作：林達永
作画：朴晟佑</t>
  </si>
  <si>
    <t>(C)Artlimmedia Co.,Ltd.
(C)Park Sung Woo/SQUARE ENIX</t>
  </si>
  <si>
    <t>(C)Artlimmedia Co.,Ltd.  (C)PSW/SQEX</t>
  </si>
  <si>
    <t>天体戦士サンレッド</t>
  </si>
  <si>
    <t>くぼたまこと</t>
  </si>
  <si>
    <t>(C)Makoto Kubota/SQUARE ENIX</t>
  </si>
  <si>
    <t>(C)MK/SQEX</t>
  </si>
  <si>
    <t>はなまる幼稚園</t>
  </si>
  <si>
    <t>勇人</t>
  </si>
  <si>
    <t>(C)YUTO/SQUARE ENIX</t>
  </si>
  <si>
    <t>(C)YUTO/SQEX</t>
  </si>
  <si>
    <t>マンガ家さんとアシスタントさんと</t>
  </si>
  <si>
    <t>ヒロユキ</t>
  </si>
  <si>
    <t>(C)Hiroyuki/SQUARE ENIX</t>
  </si>
  <si>
    <t>(C)Hiroyuki/SQEX</t>
  </si>
  <si>
    <t>死がふたりを分かつまで</t>
  </si>
  <si>
    <t>原作：たかしげ宙
作画：DOUBLE-S</t>
  </si>
  <si>
    <t>(C)Hiroshi Takashige/SQUARE ENIX
(C)DOUBLE-S/SQUARE ENIX</t>
  </si>
  <si>
    <t>(C)HT/SQEX (C)DOUBLE-S/SQEX</t>
  </si>
  <si>
    <t>Ubel Blatt～ユーベルブラット～</t>
  </si>
  <si>
    <t>塩野干支郎次</t>
  </si>
  <si>
    <t>(C)Etorouji Shiono/SQUARE ENIX</t>
  </si>
  <si>
    <t>(C)ES/SQEX</t>
  </si>
  <si>
    <t>サーバント×サービス</t>
  </si>
  <si>
    <t>BAMBOO BLADE</t>
  </si>
  <si>
    <t>原作：土塚理弘
作画：五十嵐あぐり</t>
  </si>
  <si>
    <t>(C)Masahiro Totsuka/SQUARE ENIX
(C)Aguri Igarashi/SQUARE ENIX</t>
  </si>
  <si>
    <t>(C)MT/SQEX (C)AI/SQEX</t>
  </si>
  <si>
    <t>すもももももも～地上最強のヨメ～</t>
  </si>
  <si>
    <t>大高忍</t>
  </si>
  <si>
    <t>(C)Shinobu Ohtaka/SQUARE ENIX</t>
  </si>
  <si>
    <t>(C)SO/SQEX</t>
  </si>
  <si>
    <t>DARKER THAN BLACK-漆黒の花-</t>
  </si>
  <si>
    <t>岩原裕二
原作：BONES・岡村天斎</t>
  </si>
  <si>
    <t>(C)Yuji Iwahara/SQUARE ENIX
(C)BONES・岡村天斎/DTBG製作委員会・MBS</t>
  </si>
  <si>
    <t>(C)YI/SQEX
(C)BONES・岡村天斎/DTBG製作委員会・MBS</t>
  </si>
  <si>
    <t>ばらかもん</t>
  </si>
  <si>
    <t>ヨシノサツキ</t>
  </si>
  <si>
    <t>(C)Satsuki Yoshino/SQUARE ENIX</t>
  </si>
  <si>
    <t>©SY/SQEX</t>
  </si>
  <si>
    <t>男子高校生の日常</t>
  </si>
  <si>
    <t>山内泰延</t>
  </si>
  <si>
    <t>(C)Yasunobu Yamauchi/SQUARE ENIX</t>
  </si>
  <si>
    <t>(C)YY/SQEX</t>
  </si>
  <si>
    <t>ヤンデレ彼女</t>
  </si>
  <si>
    <t>忍</t>
  </si>
  <si>
    <t>(C)Shinobi/SQUARE ENIX</t>
  </si>
  <si>
    <t>(C)Shinobi/SQEX</t>
  </si>
  <si>
    <t>055</t>
  </si>
  <si>
    <t>妖狐×僕SS</t>
  </si>
  <si>
    <t>藤原ここあ</t>
  </si>
  <si>
    <t>(C)Cocoa Fujiwara/SQUARE ENIX</t>
  </si>
  <si>
    <t>(C)CF/SQEX</t>
  </si>
  <si>
    <t>戦國ストレイズ</t>
  </si>
  <si>
    <t>七海慎吾</t>
  </si>
  <si>
    <t>(C)Shingo Nanami/SQUARE ENIX</t>
  </si>
  <si>
    <t>(C)SN/SQEX</t>
  </si>
  <si>
    <t>花咲くいろは</t>
  </si>
  <si>
    <t>原作：P.A.WORKS
作画：千田衛人</t>
  </si>
  <si>
    <t>(C)花いろ旅館組合
(C)Eito Chida/SQUARE ENIX</t>
  </si>
  <si>
    <t>(C)花いろ旅館組合
(C)EC/SQEX</t>
  </si>
  <si>
    <t>黄昏乙女×アムネジア</t>
  </si>
  <si>
    <t>めいびい</t>
  </si>
  <si>
    <t>(C)MAYBE/SQUARE ENIX</t>
  </si>
  <si>
    <t>(C)MAYBE/SQEX</t>
  </si>
  <si>
    <t>まほらば</t>
  </si>
  <si>
    <t>小島あきら</t>
  </si>
  <si>
    <t>(C)Akira Kojima/SQUARE ENIX</t>
  </si>
  <si>
    <t>(C)AK/SQEX</t>
  </si>
  <si>
    <t>機工魔術士-enchanter-</t>
  </si>
  <si>
    <t>河内和泉</t>
  </si>
  <si>
    <t>(C)Izumi Kawachi/SQUARE ENIX</t>
  </si>
  <si>
    <t>(C)IK/SQEX</t>
  </si>
  <si>
    <t>ひぐらしのなく頃に　鬼隠し編</t>
  </si>
  <si>
    <t>原作・監修：竜騎士07、
作画：鈴羅木かりん</t>
  </si>
  <si>
    <t>(C)竜騎士07/07th Expansion
(C)Karin Suzuragi/SQUARE ENIX</t>
  </si>
  <si>
    <t>(C)竜騎士07/07th Expansion (C)KS/SQEX</t>
  </si>
  <si>
    <t>バナー等で竜騎士07先生作品を複数掲載した場合、竜騎士先生のコピーライトの重複掲載は不要。</t>
  </si>
  <si>
    <t>ひぐらしのなく頃に　綿流し編</t>
  </si>
  <si>
    <t>原作・監修：竜騎士07、
作画：方條ゆとり</t>
  </si>
  <si>
    <t>(C)竜騎士07/07th Expansion
(C)Yutori Houjyou/SQUARE ENIX</t>
  </si>
  <si>
    <t>(C)竜騎士07/07th Expansion (C)YH/SQEX</t>
  </si>
  <si>
    <t>ひぐらしのなく頃に　祟殺し編</t>
  </si>
  <si>
    <t>原作・監修：竜騎士07、
作画：鈴木次郎</t>
  </si>
  <si>
    <t>(C)竜騎士07/07th Expansion
(C)Jiro Suzuki/SQUARE ENIX</t>
  </si>
  <si>
    <t>(C)竜騎士07/07th Expansion (C)JS/SQEX</t>
  </si>
  <si>
    <t>ひぐらしのなく頃に　暇潰し編</t>
  </si>
  <si>
    <t>原作・監修：竜騎士07、
作画：外海良基</t>
  </si>
  <si>
    <t>(C)竜騎士07/07th Expansion
(C)Yoshiki Tonogai/SQUARE ENIX</t>
  </si>
  <si>
    <t>(C)竜騎士07/07th Expansion (C)YT/SQEX</t>
  </si>
  <si>
    <t>ひぐらしのなく頃に　宵越し編</t>
  </si>
  <si>
    <t>原作・監修：竜騎士07、
作画：みもり</t>
  </si>
  <si>
    <t>(C)竜騎士07/07th Expansion
(C)Mimori/SQUARE ENIX</t>
  </si>
  <si>
    <t>(C)竜騎士07/07th Expansion (C)Mimori/SQEX</t>
  </si>
  <si>
    <t>ひぐらしのなく頃に解　目明し編</t>
  </si>
  <si>
    <t>原作・監修：竜騎士07
作画：方條ゆとり</t>
  </si>
  <si>
    <t>ひぐらしのなく頃に解　罪滅し編</t>
  </si>
  <si>
    <t>原作・監修：竜騎士07
作画：鈴羅木かりん</t>
  </si>
  <si>
    <t>ひぐらしのなく頃に解　皆殺し編</t>
  </si>
  <si>
    <t>原作・監修：竜騎士07
作画：桃山ひなせ</t>
  </si>
  <si>
    <t>(C)竜騎士07/07th Expansion
(C)Hinase Momoyama/SQUARE ENIX</t>
  </si>
  <si>
    <t>(C)竜騎士07/07th Expansion (C)HM/SQEX</t>
  </si>
  <si>
    <t>ひぐらしのなく頃に解　祭囃し編</t>
  </si>
  <si>
    <t>ひぐらしのなく頃に礼　賽殺し編</t>
  </si>
  <si>
    <t>ひぐらしのなく頃に　昼壊し編</t>
  </si>
  <si>
    <t>原作・監修：竜騎士07
作画：佳月玲茅</t>
  </si>
  <si>
    <t>(C)竜騎士07/07th Expansion
(C)Rechi Kazuki/SQUARE ENIX</t>
  </si>
  <si>
    <t>(C)竜騎士07/07th Expansion (C)RK/SQEX</t>
  </si>
  <si>
    <t>うみねこのなく頃に　Episode1:Legend of the golden witch</t>
  </si>
  <si>
    <t>原作・監修：竜騎士07
作画：夏海ケイ</t>
  </si>
  <si>
    <t>(C)竜騎士07/07th Expansion
(C)Kei Natsumi/SQUARE ENIX</t>
  </si>
  <si>
    <t>(C)竜騎士07/07th Expansion
(C)KN/SQEX</t>
  </si>
  <si>
    <t>うみねこのなく頃に　Episode2:Turn of the golden witch</t>
  </si>
  <si>
    <t>原作・監修：竜騎士07
作画：鈴木次郎</t>
  </si>
  <si>
    <t>(C)竜騎士07/07th Expansion
(C)JS/SQEX</t>
  </si>
  <si>
    <t>うみねこのなく頃に　Episode3:Banquet of the golden witch</t>
  </si>
  <si>
    <t>うみねこのなく頃に　Episode4:Alliance of the golden witch</t>
  </si>
  <si>
    <t>原作・監修：竜騎士07
作画：宗一郎</t>
  </si>
  <si>
    <t>(C)竜騎士07/07th Expansion
(C)Souichirou/SQUARE ENIX</t>
  </si>
  <si>
    <t>(C)竜騎士07/07th Expansion
(C)Souichirou/SQEX</t>
  </si>
  <si>
    <t>うみねこのなく頃に散　Episode5:End of the golden witch</t>
  </si>
  <si>
    <t>原作・監修：竜騎士07
作画：秋タカ</t>
  </si>
  <si>
    <t>(C)竜騎士07/07th Expansion
(C)Akitaka/SQUARE ENIX</t>
  </si>
  <si>
    <t>(C)竜騎士07/07th Expansion
(C)Akitaka/SQEX</t>
  </si>
  <si>
    <t>うみねこのなく頃に散　Episode6:Dawn of the golden witch</t>
  </si>
  <si>
    <t>うみねこのなく頃に散　Episode7:Requiem of the golden witch</t>
  </si>
  <si>
    <t>原作・監修：竜騎士07
作画：水野英多</t>
  </si>
  <si>
    <t>(C)竜騎士07/07th Expansion
(C)Eita Mizuno/SQUARE ENIX</t>
  </si>
  <si>
    <t>(C)竜騎士07/07th Expansion
(C)EM/SQEX</t>
  </si>
  <si>
    <t>うみねこのなく頃に散　Episode8:Twilight of the golden witch</t>
  </si>
  <si>
    <t>キューティクル探偵因幡</t>
  </si>
  <si>
    <t>もち</t>
  </si>
  <si>
    <t>(C)Mochi/SQUARE ENIX</t>
  </si>
  <si>
    <t>(C)Mochi/SQEX</t>
  </si>
  <si>
    <t>咲日和</t>
  </si>
  <si>
    <t>木吉紗
キャラクター原案：小林立</t>
  </si>
  <si>
    <t>(C)Saya Kiyoshi/SQUARE ENIX
(C)Ritz Kobayashi/SQUARE ENIX</t>
  </si>
  <si>
    <t>(C)SK/SQEX (C)RK/SQEX</t>
  </si>
  <si>
    <t>ドラゴンクエスト列伝 ロトの紋章 Returns</t>
  </si>
  <si>
    <t>(C)Kamui Fujiwara (C)Junji Koyanagi (C) 2004 SQUARE ENIX CO.,LTD.All Rights Reserved.</t>
  </si>
  <si>
    <t>(C)KF/SQEX (C)JK/SQEX (C) 2004 SQUARE ENIX CO.,LTD.  All Rights Reserved.</t>
  </si>
  <si>
    <t>みしかか！　ヨシノサツキ短編集</t>
  </si>
  <si>
    <t>(C)YS/SQEX</t>
  </si>
  <si>
    <t>夏のあらし！</t>
  </si>
  <si>
    <t>小林尽</t>
  </si>
  <si>
    <t>(C)Jin Kobayashi/SQUARE ENIX</t>
  </si>
  <si>
    <t>(C)JK/SQEX</t>
  </si>
  <si>
    <t>伏　少女とケモノの烈花譚</t>
  </si>
  <si>
    <t>原作：桜庭一樹 著　『伏 贋作・里見八犬伝』（文春文庫刊）
作画：hakus
脚色構成：続真琴</t>
  </si>
  <si>
    <t>原作：桜庭一樹 著　『伏 贋作・里見八犬伝』（文春文庫刊）
(C)hakus/SQUARE ENIX
(C)Makoto Tsuduki/SQUARE ENIX</t>
  </si>
  <si>
    <t>原作：桜庭一樹 著　『伏 贋作・里見八犬伝』（文春文庫刊）
(C)hakus/SQEX
(C)MT/SQEX</t>
  </si>
  <si>
    <t>原作：桜庭一樹 著　『伏 贋作・里見八犬伝』（文春文庫刊）はバナー内に別途テキスト等で記載されている場合は、コピーライトとしての掲載は省略可能。</t>
  </si>
  <si>
    <t>私がモテないのはどう考えてもお前らが悪い！</t>
  </si>
  <si>
    <t>谷川ニコ</t>
  </si>
  <si>
    <t>(C)Nico Tanigawa/SQUARE ENIX</t>
  </si>
  <si>
    <t>(C)NT/SQEX</t>
  </si>
  <si>
    <t>月刊少女野崎くん</t>
  </si>
  <si>
    <t>椿いづみ</t>
  </si>
  <si>
    <t>(C)Izumi Tsubaki/SQUARE ENIX</t>
  </si>
  <si>
    <t>(C)IT/SQEX</t>
  </si>
  <si>
    <t>中村工房</t>
  </si>
  <si>
    <t>牙の旅商人</t>
  </si>
  <si>
    <t>原作：七月鏡一
作画：梟</t>
  </si>
  <si>
    <t>(C)Kyoichi Nanatsuki/SQUARE ENIX
(C)Night Owl/SQUARE ENIX</t>
  </si>
  <si>
    <t>(C)KN/SQEX
(C)Night Owl/SQEX</t>
  </si>
  <si>
    <t>緋弾のアリアＡＡ</t>
  </si>
  <si>
    <t>原作：赤松中学
キャラクターデザイン：こぶいち
漫画：橘書画子</t>
  </si>
  <si>
    <t>(C)Chugaku Akamatsu 2010
Licensed by KADOKAWA CORPORATION
(C)Shogako Tachibana/SQUARE ENIX</t>
  </si>
  <si>
    <t>(C)Chugaku Akamatsu 2010
Licensed by KADOKAWA CORPORATION
(C)ST/SQEX</t>
  </si>
  <si>
    <t>うみねこのなく頃に翼</t>
  </si>
  <si>
    <t>原作・監修：竜騎士07
作画：伊東フミ</t>
  </si>
  <si>
    <t>(C)竜騎士07/07th Expansion
(C)Fumi Ito/SQUARE ENIX</t>
  </si>
  <si>
    <t>(C)竜騎士07/07th Expansion
(C)FI/SQEX</t>
  </si>
  <si>
    <t>魔法科高校の劣等生 入学編</t>
  </si>
  <si>
    <t>原作：佐島勤
キャラクターデザイン：石田可奈
構成：林ふみの
作画：きたうみつな</t>
  </si>
  <si>
    <t>(C)TSUTOMU SATO
(C)Tsuna Kitaumi, Fumino Hayashi/SQUARE ENIX
Licensed by KADOKAWA CORPORATION</t>
  </si>
  <si>
    <t>(C)TSUTOMU SATO
(C)TK・FH/SQEX
Licensed by KADOKAWA CORPORATION</t>
  </si>
  <si>
    <t>バナー等にイラストのみ掲載する場合のコピーライトには、林ふみの先生の記載は不要です。</t>
  </si>
  <si>
    <t>繰繰れ！　コックリさん</t>
  </si>
  <si>
    <t>遠藤ミドリ</t>
  </si>
  <si>
    <t>(C)Midori Endo/SQUARE ENIX</t>
  </si>
  <si>
    <t>(C)ME/SQEX</t>
  </si>
  <si>
    <t>バナー等でタイトル名をロゴ利用以外で使用する場合は、原則「繰繰」に「ググ」とカタカナのルビを振ること。（ただしバナーサイズの関係で入れられない場合の省略可。）</t>
  </si>
  <si>
    <t>俺の彼女と幼なじみが修羅場すぎる</t>
  </si>
  <si>
    <t>原作：裕時悠示（ＧＡ文庫／SBクリエイティブ刊）
漫画：七介
キャラクター原案：るろお</t>
  </si>
  <si>
    <t>(C)Yuji Yuji/SB Creative Corp.
Original Character Designs:(C)llo/SB Creative Corp.
(C)Nanasuke/SQUARE ENIX</t>
  </si>
  <si>
    <t>(C)YY,l/SBCr
(C)N/SQEX</t>
  </si>
  <si>
    <t>作者表記（キャラクターデザイン表記までのフル表記）がある場合は新コピーライトのイラストレーター部分の省略可。
通常/短縮のどちらも使用OK。</t>
  </si>
  <si>
    <t>俺の彼女と幼なじみが修羅場すぎる４コマ</t>
  </si>
  <si>
    <t>原作：裕時悠示（ＧＡ文庫／SBクリエイティブ刊）
漫画：まりも 
キャラクター原案：るろお</t>
  </si>
  <si>
    <t>(C)Yuji Yuji/SB Creative Corp.
Original Character Designs:(C)llo/SB Creative Corp.
(C)Marimo/SQUARE ENIX</t>
  </si>
  <si>
    <t>(C)YY,l/SBCr
(C)M/SQEX</t>
  </si>
  <si>
    <t>ハイスコアガール　／　ハイスコアガール ＣＯＮＴＩＮＵＥ</t>
  </si>
  <si>
    <t>押切蓮介</t>
  </si>
  <si>
    <t>(C)Rensuke Oshikiri/SQUARE ENIX</t>
  </si>
  <si>
    <t>(C)RO/SQEX</t>
  </si>
  <si>
    <t>ゲームのキャラクター等の入った画像を販促に利用する場合、別のコピーライト記載や監修期間が必要になるので要注意。</t>
  </si>
  <si>
    <t>雛見沢停留所 ～ひぐらしのなく頃に原典～</t>
  </si>
  <si>
    <t>原作・監修：竜騎士07
作画：ともぞ</t>
  </si>
  <si>
    <t>(C)竜騎士07/07th Expansion
(C)Tomozo/SQUARE ENIX</t>
  </si>
  <si>
    <t>(C)竜騎士07/07th Expansion
(C)Tomozo/SQEX</t>
  </si>
  <si>
    <t>魔法陣グルグル外伝　舞勇伝キタキタ</t>
  </si>
  <si>
    <t>コープスパーティー BloodCovered</t>
  </si>
  <si>
    <t>原作・監修：祁答院 慎(チームグリグリ)
作画：篠宮トシミ</t>
  </si>
  <si>
    <t>(C)2008 TeamGrisGris/ALL RIGHTS RESERVED.
(C)Toshimi Shinomiya/SQUARE ENIX</t>
  </si>
  <si>
    <t>(C)2008 TeamGrisGris/ALL RIGHTS RESERVED
(C)TS/SQEX</t>
  </si>
  <si>
    <t>祁答院先生の「祁」はバナーなどでは可能な限り「しめすへん+おおざと」の表記。（単行本表紙を参照）</t>
  </si>
  <si>
    <t>アカメが斬る！</t>
  </si>
  <si>
    <t>原作：タカヒロ
作画：田代哲也</t>
  </si>
  <si>
    <t>(C)Takahiro/SQUARE ENIX
(C)Tetsuya Tashiro/SQUARE ENIX</t>
  </si>
  <si>
    <t>(C)Takahiro/SQEX
(C)TT/SQEX</t>
  </si>
  <si>
    <t>プラナス・ガール</t>
  </si>
  <si>
    <t>松本トモキ</t>
  </si>
  <si>
    <t>(C)Tomoki Matsumoto/SQUARE ENIX</t>
  </si>
  <si>
    <t>(C)TM/SQEX</t>
  </si>
  <si>
    <t>絶対☆霊域</t>
  </si>
  <si>
    <t>吉辺あくろ</t>
  </si>
  <si>
    <t>(C)Akuro Yoshibe/SQUARE ENIX</t>
  </si>
  <si>
    <t>(C)AY/SQEX</t>
  </si>
  <si>
    <t>浅尾さんと倉田くん</t>
  </si>
  <si>
    <t>HERO</t>
  </si>
  <si>
    <t>（C)HERO</t>
  </si>
  <si>
    <t xml:space="preserve">(c)HERO・OOZ→(c)HEROに変更（20/9/14）
</t>
  </si>
  <si>
    <t>ホリミヤ</t>
  </si>
  <si>
    <t>原作：HERO
マンガ：萩原ダイスケ</t>
  </si>
  <si>
    <t>（C)HERO
（C)Daisuke Hagiwara/SQUARE ENIX</t>
  </si>
  <si>
    <t>（C)HERO
（C)DH/SQEX</t>
  </si>
  <si>
    <t>サーバント×サービス(特別編）</t>
  </si>
  <si>
    <t>ゾンビッチはビッチに含まれますか？</t>
  </si>
  <si>
    <t>柊裕一</t>
  </si>
  <si>
    <t>(C)Yuichi Hiiragi/SQUARE ENIX</t>
  </si>
  <si>
    <t>(C)YH/SQEX</t>
  </si>
  <si>
    <t>ＥＩＧＨＴＨ</t>
  </si>
  <si>
    <t>アラクニド</t>
  </si>
  <si>
    <t>原作：村田真哉
作画：いふじシンセン</t>
  </si>
  <si>
    <t>(C)Shinya Murata/SQUARE ENIX
(C)Shinsen Ifuji/SQUARE ENIX</t>
  </si>
  <si>
    <t>(C)SM/SQEX
(C)SI/SQEX</t>
  </si>
  <si>
    <t>私のおウチはＨＯＮ屋さん</t>
  </si>
  <si>
    <t>横山知生</t>
  </si>
  <si>
    <t>(C)Tomoo Yokoyama/SQUARE ENIX</t>
  </si>
  <si>
    <t>(C)TY/SQEX</t>
  </si>
  <si>
    <t>ディメンション W</t>
  </si>
  <si>
    <t>(C)YUJI IWAHARA/SQUARE ENIX</t>
  </si>
  <si>
    <t>(C)YI/SQEX</t>
  </si>
  <si>
    <t>アホリズムaphorism</t>
  </si>
  <si>
    <t>宮条カルナ</t>
  </si>
  <si>
    <t>(C)Karuna Kujō/SQUARE ENIX</t>
  </si>
  <si>
    <t>(C)KK/SQEX</t>
  </si>
  <si>
    <t>(C)Karuna Kujō　の最後の文字ははローマ字「o」の長音にあたる「ō」です。</t>
  </si>
  <si>
    <t>葬儀屋リドル</t>
  </si>
  <si>
    <t>赤井ヒガサ</t>
  </si>
  <si>
    <t>(C)Higasa Akai/SQUARE ENIX</t>
  </si>
  <si>
    <t>リューシカ・リューシカ</t>
  </si>
  <si>
    <t>安倍吉俊</t>
  </si>
  <si>
    <t>(C)yoshitoshi ABe/SQUARE ENIX</t>
  </si>
  <si>
    <t>吉俊の「吉」の字は、画像の時など可能な限りは土+口での「つちよし」で掲載すること。（表記が難しい場合の、テキスト表記に関しては「吉」のままで良い）</t>
  </si>
  <si>
    <t>ひゃくえん！</t>
  </si>
  <si>
    <t>遠山えま</t>
  </si>
  <si>
    <t>(C)Ema Tohyama/SQUARE ENIX</t>
  </si>
  <si>
    <t>(C)ET/SQEX</t>
  </si>
  <si>
    <t>クラスメート、上村ユウカはこう言った。</t>
  </si>
  <si>
    <t>原作：桜井慎 
作画：川上真樹</t>
  </si>
  <si>
    <t>(C)Tsutsushi Sakurai/SQUARE ENIX
(C)Masaki Kawakami/SQUARE ENIX</t>
  </si>
  <si>
    <t>(C)TS/SQEX
(C)MK/SQEX</t>
  </si>
  <si>
    <t>BAMBOO BLADE B</t>
  </si>
  <si>
    <t>著者：土塚理弘＆スタジオねこ</t>
  </si>
  <si>
    <t>(C)Masahiro Totsuka/SQUARE ENIX</t>
  </si>
  <si>
    <t>(C)MT/SQEX</t>
  </si>
  <si>
    <t>ギルティクラウン</t>
  </si>
  <si>
    <t>作画：満月シオン 
構成：宮城陽亮</t>
  </si>
  <si>
    <t>(C)ギルティクラウン製作委員会
(C)Shion Mizuki/SQUARE ENIX</t>
  </si>
  <si>
    <t>(C)ギルティクラウン製作委員会
(C)SM/SQEX</t>
  </si>
  <si>
    <t>Red Raven</t>
  </si>
  <si>
    <t>藤本新太</t>
  </si>
  <si>
    <t>(C)Shinta Fujimoto/SQUARE ENIX</t>
  </si>
  <si>
    <t>(C)SF/SQEX</t>
  </si>
  <si>
    <t>プラスチック姉さん（+チック姉さん）</t>
  </si>
  <si>
    <t>栗井茶</t>
  </si>
  <si>
    <t>(C)Kuriicha/SQUARE ENIX</t>
  </si>
  <si>
    <t>(C)Kuriicha/SQEX</t>
  </si>
  <si>
    <t>ニコイチ</t>
  </si>
  <si>
    <t>FRONT MISSION DOG LIFE &amp; DOG STYLE</t>
  </si>
  <si>
    <t>原作：太田垣康男 
作画：C.H.LINE</t>
  </si>
  <si>
    <t>(C)太田垣康男/SQUARE ENIX (C)C.H.LINE/SQUARE ENIX 
(C)SQUARE ENIX CO.,LTD.  All Rights Reserved.</t>
  </si>
  <si>
    <t>(C)太田垣康男/SQEX (C)C.H.LINE/SQEX 
(C)SQUARE ENIX CO.,LTD.  All Rights Reserved.</t>
  </si>
  <si>
    <t>太田垣康男先生のお名前はコピーライト表記でも漢字とする。All Rights Reserved.の前は半角スペース2つアキ</t>
  </si>
  <si>
    <t>のうりん</t>
  </si>
  <si>
    <t>原作：白鳥士郎(GA文庫／SBクリエイティブ刊)
漫画：亜桜まる
構成協力：松浦はこ
キャラクター原案：切符</t>
  </si>
  <si>
    <t>(C)Shirow Shiratori/SB Creative Corp.　
Original Character Designs:(C)kippu/SB Creative Corp.
(C)Maru Asakura/SQUARE ENIX  
(C)Haco Matsuura/SQUARE ENIX</t>
  </si>
  <si>
    <t>(C)SS,k/SBCr
(C)MA,HM/SQEX</t>
  </si>
  <si>
    <t>射～Sya～</t>
  </si>
  <si>
    <t>大塚志郎</t>
  </si>
  <si>
    <t>(C)Shiroh Ohtsuka/SQUARE ENIX</t>
  </si>
  <si>
    <t>シスプラス</t>
  </si>
  <si>
    <t>化けてりや</t>
  </si>
  <si>
    <t>たかはし慶行</t>
  </si>
  <si>
    <t>(C)Yoshiyuki Takahashi/SQUARE ENIX</t>
  </si>
  <si>
    <t>群青</t>
  </si>
  <si>
    <t>原作：坂本虹 
作画：桐原いづみ</t>
  </si>
  <si>
    <t>(C)Kou Sakamoto/SQUARE ENIX
(C)Idumi Kirihara/SQUARE ENIX</t>
  </si>
  <si>
    <t>(C)KS/SQEX
(C)IK/SQEX</t>
  </si>
  <si>
    <t>階段途中のビッグ・ノイズ</t>
  </si>
  <si>
    <t>原作：越谷オサム 
作画：亀屋樹</t>
  </si>
  <si>
    <t>(C)Osamu Koshigaya 2010
(C)Itsuki Kameya/SQUARE ENIX</t>
  </si>
  <si>
    <t>(C)Osamu Koshigaya 2010
(C)IK/SQEX</t>
  </si>
  <si>
    <t>ペコロス</t>
  </si>
  <si>
    <t>シバユウスケ</t>
  </si>
  <si>
    <t>(C)Yusuke Shiba/SQUARE ENIX</t>
  </si>
  <si>
    <t>アイドルは××××なんてしませんッ！</t>
  </si>
  <si>
    <t>柚木涼太</t>
  </si>
  <si>
    <t>(C)Ryota Yuzuki/SQUARE ENIX</t>
  </si>
  <si>
    <t>(C)RY/SQEX</t>
  </si>
  <si>
    <t>詠う！ 平安京</t>
  </si>
  <si>
    <t>真柴真</t>
  </si>
  <si>
    <t>(C)Shin Mashiba/SQUARE ENIX</t>
  </si>
  <si>
    <t>(C)SM/SQEX</t>
  </si>
  <si>
    <t>迷子屋</t>
  </si>
  <si>
    <t>木村りん</t>
  </si>
  <si>
    <t>(C)Rin Kimura/SQUARE ENIX</t>
  </si>
  <si>
    <t>135</t>
  </si>
  <si>
    <t>2017予定</t>
  </si>
  <si>
    <t>DEVIL SURVIVOR2 the ANIMATION</t>
  </si>
  <si>
    <t>原作：ATLUS
脚本：上江洲誠
漫画：汐田晴人</t>
  </si>
  <si>
    <t>(C)Haruto Shiota/SQUARE ENIX
(C)Index Corporation/「デビルサバイバー2」アニメーション製作委員会</t>
  </si>
  <si>
    <t>(C)HS/SQEX
(C)Index/DS2A</t>
  </si>
  <si>
    <t>ももも怪レストラン</t>
  </si>
  <si>
    <t>ヤマダ</t>
  </si>
  <si>
    <t>(C)Yamada/SQUARE ENIX</t>
  </si>
  <si>
    <t>(C)Yamada/SQEX</t>
  </si>
  <si>
    <t>花とハリネズミ</t>
  </si>
  <si>
    <t>鈴木さん</t>
  </si>
  <si>
    <t>アイドルマスター シンデレラガールズ ロッキングガール</t>
  </si>
  <si>
    <t xml:space="preserve">原作：バンダイナムコエンターテインメント
漫画：ハマちょん </t>
  </si>
  <si>
    <t xml:space="preserve">(C)BANDAI NAMCO Entertainment Inc.
(C)Hamatyon/SQUARE ENIX　</t>
  </si>
  <si>
    <t xml:space="preserve">(C)BNEI
(C)Hamatyon/SQEX　</t>
  </si>
  <si>
    <t>バンダイナムコエンターテイメントの省略形のコピーライトは原則使わないこと。</t>
  </si>
  <si>
    <t>アイドルマスター シンデレラガールズ シャッフル!!</t>
  </si>
  <si>
    <t>原作：バンダイナムコエンターテインメント</t>
  </si>
  <si>
    <t>(C)BANDAI NAMCO Entertainment Inc.</t>
  </si>
  <si>
    <t>(C)BNEI</t>
  </si>
  <si>
    <t>アイドルマスター シンデレラガールズ ニュージェネレーションズ</t>
  </si>
  <si>
    <t>原作：バンダイナムコエンターテインメント
漫画：namo</t>
  </si>
  <si>
    <t>(C)BANDAI NAMCO Entertainment Inc.
(C)namo/SQUARE ENIX</t>
  </si>
  <si>
    <t xml:space="preserve">(C)BNEI
(C)namo/SQEX　</t>
  </si>
  <si>
    <t>009 RE:CYBORG</t>
  </si>
  <si>
    <t>原作：石ノ森章太郎 
ストーリー：神山健治 
漫画：麻生我等</t>
  </si>
  <si>
    <t>(C)2012 「009 RE:CYBORG」製作委員会
(C)Gato Aso/SQUARE ENIX</t>
  </si>
  <si>
    <t>(C)2012 「009 RE:CYBORG」製作委員会
(C)GA/SQEX</t>
  </si>
  <si>
    <t>やはり俺の青春ラブコメはまちがっている。－妄言録－</t>
  </si>
  <si>
    <t xml:space="preserve">原作：渡 航　
キャラクター原案：ぽんかん⑧
漫画：佳月玲茅 </t>
  </si>
  <si>
    <t>(C)2013 渡 航、小学館／やはりこの製作委員会はまちがっている。
(C)渡 航、小学館／やはりこの製作委員会はまちがっている。続
(C)渡 航、小学館／やはりこの製作委員会はまちがっている。完
(C)Rechi Kazuki/SQUARE ENIX</t>
  </si>
  <si>
    <t>(C)2013 渡 航、小学館／やはりこの製作委員会はまちがっている。
(C)渡 航、小学館／やはりこの製作委員会はまちがっている。続
(C)渡 航、小学館／やはりこの製作委員会はまちがっている。完
(C)RK/SQEX</t>
  </si>
  <si>
    <t>※１～５巻が1期、６～14巻が2期、15～3期。</t>
  </si>
  <si>
    <t>CANDY POP NIGHTMARE</t>
  </si>
  <si>
    <t>クズの本懐</t>
  </si>
  <si>
    <t>横槍メンゴ</t>
  </si>
  <si>
    <t>(C)mengo yokoyari/SQUARE ENIX</t>
  </si>
  <si>
    <t>(C)my/SQEX</t>
  </si>
  <si>
    <t>帰宅部活動記録</t>
  </si>
  <si>
    <t>くろは</t>
  </si>
  <si>
    <t>(C)Kuroha/SQUARE ENIX</t>
  </si>
  <si>
    <t>(C)Kuroha/SQEX</t>
  </si>
  <si>
    <t>キングダム ハーツ FINAL MIX</t>
  </si>
  <si>
    <t>著者：天野シロ
原案：野村哲也</t>
  </si>
  <si>
    <t>(C)Disney Developed by SQUARE ENIX</t>
  </si>
  <si>
    <t>(C)Disney</t>
  </si>
  <si>
    <t>キングダム ハーツ チェイン オブ メモリーズ</t>
  </si>
  <si>
    <t>(C)Disney Video Game Developed by SQUARE ENIX/Jupiter</t>
  </si>
  <si>
    <t>キングダム ハーツ 358/2 Days</t>
  </si>
  <si>
    <t>著者：天野シロ 
原案：野村哲也</t>
  </si>
  <si>
    <t>(C)Disney Developed by SQUARE ENIX/h.a.n.d.</t>
  </si>
  <si>
    <t>キングダム ハーツII</t>
  </si>
  <si>
    <t>どーにゃつ</t>
  </si>
  <si>
    <t>コザキユースケ</t>
  </si>
  <si>
    <t>(C)KOZAKI YUSUKE/SQUARE ENIX</t>
  </si>
  <si>
    <t>(C)KY/SQEX</t>
  </si>
  <si>
    <t>FINAL FANTASY零式外伝　氷剣の死神</t>
  </si>
  <si>
    <t>作画：塩沢天人志
監修：野村哲也</t>
  </si>
  <si>
    <t>(C)Takatoshi Shiozawa/SQUARE ENIX
(C) 2011 SQUARE ENIX CO.,LTD.  All Rights Reserved.
CHARACTER DESIGN:TETSUYA NOMURA</t>
  </si>
  <si>
    <t>(C)TS/SQEX
(C) 2011 SQUARE ENIX CO.,LTD.  All Rights Reserved.
CHARACTER DESIGN:TETSUYA NOMURA</t>
  </si>
  <si>
    <t>恋するみちるお嬢様</t>
  </si>
  <si>
    <t>若林稔弥</t>
  </si>
  <si>
    <t>(C)Toshiya Wakabayashi/SQUARE ENIX</t>
  </si>
  <si>
    <t>(C)TW/SQEX</t>
  </si>
  <si>
    <t>ピース＊２</t>
  </si>
  <si>
    <t>鳴海けい</t>
  </si>
  <si>
    <t>(C)Kei Narumi/SQUARE ENIX</t>
  </si>
  <si>
    <t>(C)KN/SQEX</t>
  </si>
  <si>
    <t>ルネサンス･イヴ</t>
  </si>
  <si>
    <t>伊藤砂務</t>
  </si>
  <si>
    <t>(C)Sｈamu Ito/SQUARE ENIX</t>
  </si>
  <si>
    <t>(C)SI/SQEX</t>
  </si>
  <si>
    <t>一週間フレンズ。</t>
  </si>
  <si>
    <t>葉月抹茶</t>
  </si>
  <si>
    <t>(C)Matcha Hazuki/SQUARE ENIX</t>
  </si>
  <si>
    <t>(C)MH/SQEX</t>
  </si>
  <si>
    <t>キャタピラー</t>
  </si>
  <si>
    <t>原作：村田真哉
作画：速水時貞
キャラクター原案：匣咲いすか</t>
  </si>
  <si>
    <t>(C)Shinya Murata/SQUARE ENIX
(C)Isuka Hakozaki/SQUARE ENIX
(C)Tokisada Hayami/SQUARE ENIX</t>
  </si>
  <si>
    <t>(C)SM/SQEX
(C)IH/SQEX
(C)TH/SQEX</t>
  </si>
  <si>
    <t>1-3巻は著者情報下記の通りです。
原作：村田真哉
作画：匣咲いすか</t>
  </si>
  <si>
    <t>神と一緒に</t>
  </si>
  <si>
    <t>原作：Ju Homin 
漫画：三輪ヨシユキ</t>
  </si>
  <si>
    <t>(C)2012 Nulook Media/Ju Homin
(C)Yoshiyuki Miwa/SQUARE ENIX</t>
  </si>
  <si>
    <t>(C)NM/JH
(C)YM/SQEX</t>
  </si>
  <si>
    <t>いろは坂、上がってすぐ。</t>
  </si>
  <si>
    <t>キッド アイ ラック！</t>
  </si>
  <si>
    <t>長田悠幸
構成協力：町田一八</t>
  </si>
  <si>
    <t>(C)Yuko Osada/SQUARE ENIX
(C)Kazuya Machida/SQUARE ENIX</t>
  </si>
  <si>
    <t>(C)YO/SQEX
(C)KM/SQEX</t>
  </si>
  <si>
    <t>アソビバ</t>
  </si>
  <si>
    <t>小玉有起</t>
  </si>
  <si>
    <t>(C)Yuuki Kodama/SQUARE ENIX</t>
  </si>
  <si>
    <t>僕のアイドロイド</t>
  </si>
  <si>
    <t>瀬口たかひろ</t>
  </si>
  <si>
    <t>(C)Takahiro Seguchi/SQUARE ENIX</t>
  </si>
  <si>
    <t>(C)TS/SQEX</t>
  </si>
  <si>
    <t>天使の裁量</t>
  </si>
  <si>
    <t>いとだまる</t>
  </si>
  <si>
    <t>(C)Itodamaru/SQUARE ENIX</t>
  </si>
  <si>
    <t>(C)Itodamaru/SQEX</t>
  </si>
  <si>
    <t>少女芸人トリオ ごるもあ</t>
  </si>
  <si>
    <t>青稀シン</t>
  </si>
  <si>
    <t>(C)Shin Aoki/SQUARE ENIX</t>
  </si>
  <si>
    <t>(C)SA/SQEX</t>
  </si>
  <si>
    <t>思春期のアイアンメイデン</t>
  </si>
  <si>
    <t>渡辺静</t>
  </si>
  <si>
    <t>(C)Shizumu Watanabe/SQUARE ENIX</t>
  </si>
  <si>
    <t>(C)SW/SQEX</t>
  </si>
  <si>
    <t>とある魔術の禁書目録 エンデュミオンの奇蹟</t>
  </si>
  <si>
    <t>原案：鎌池和馬
原作：PROJECT-INDEX
構成：西野リュウ
作画：朝倉亮介 
キャラクター原案：はいむらきよたか</t>
  </si>
  <si>
    <t>(C)鎌池和馬/アスキー・メディアワークス/PROJECT-INDEX MOVIE
(C)Ryu Nishino/SQUARE ENIX
(C)Ryosuke Asakura/SQUARE ENIX</t>
  </si>
  <si>
    <t>(C)鎌池和馬/アスキー・メディアワークス/PROJECT-INDEX MOVIE
(C)RN/SQEX
(C)RA/SQEX</t>
  </si>
  <si>
    <t>鳥籠ノ番</t>
  </si>
  <si>
    <t>陽東太郎</t>
  </si>
  <si>
    <t>(C)Toutaro Minami/SQUARE ENIX</t>
  </si>
  <si>
    <t>明るいセカイ計画</t>
  </si>
  <si>
    <t>原作：蒼木アキ
作画：出水高軌</t>
  </si>
  <si>
    <t>(C)Aki Aoki/Koki Izumi/SQUARE ENIX</t>
  </si>
  <si>
    <t>(C)AA/KI/SQEX</t>
  </si>
  <si>
    <t>魔法陣グルグル２</t>
  </si>
  <si>
    <t>幻影ヲ駆ケル太陽</t>
  </si>
  <si>
    <t>原作：sole;viola
作画：加藤コウキ</t>
  </si>
  <si>
    <t>(C)sole; viola/Progetto 幻影太陽
(C)Koki Kato/SQUARE ENIX</t>
  </si>
  <si>
    <t>(C)sv/Gt
(C)KK/SQEX</t>
  </si>
  <si>
    <t>藤村くんメイツ</t>
  </si>
  <si>
    <t>敷誠一</t>
  </si>
  <si>
    <t>(C)Seiichi Shiki/SQUARE ENIX</t>
  </si>
  <si>
    <t>(C)SS/SQEX</t>
  </si>
  <si>
    <t>かへたんていぶ</t>
  </si>
  <si>
    <t>ハヤチネ！</t>
  </si>
  <si>
    <t>福盛田藍子</t>
  </si>
  <si>
    <t>(C)Aiko Fukumorita/SQUARE ENIX</t>
  </si>
  <si>
    <t>(C)AF/SQEX</t>
  </si>
  <si>
    <t>魔女の心臓</t>
  </si>
  <si>
    <t>matoba</t>
  </si>
  <si>
    <t>(C)matoba/SQUARE ENIX</t>
  </si>
  <si>
    <t>(C)matoba/SQEX</t>
  </si>
  <si>
    <t>放課後ヒーロー</t>
  </si>
  <si>
    <t>ウダノゾミ</t>
  </si>
  <si>
    <t>(C)Nozomi Uda/SQUARE ENIX</t>
  </si>
  <si>
    <t>(C)NU/SQEX</t>
  </si>
  <si>
    <t>コミック　忘却の覇王ロラン</t>
  </si>
  <si>
    <t>著者：吉野匠 
作画：葉月翼 
キャラクターデザイン：望月淳</t>
  </si>
  <si>
    <t>(C)Takumi Yoshino/SQUARE ENIX
(C)Tubasa Hazuki/SQUARE ENIX</t>
  </si>
  <si>
    <t>(C)TY/SQEX
(C)TH/SQEX</t>
  </si>
  <si>
    <t>女声男子</t>
  </si>
  <si>
    <t>険持ちよ</t>
  </si>
  <si>
    <t>(C)Chiyo Kenmotsu/SQUARE ENIX</t>
  </si>
  <si>
    <t>(C)CK/SQEX</t>
  </si>
  <si>
    <t>シンデレ少女と孤独な死神</t>
  </si>
  <si>
    <t>構成：新木場ユキ 
作画：加藤よし江</t>
  </si>
  <si>
    <t>(C)Yuki Shinkiba・Yoshie Kato/SQUARE ENIX</t>
  </si>
  <si>
    <t>(C)YS・YK/SQEX</t>
  </si>
  <si>
    <t>犬神姫の徒</t>
  </si>
  <si>
    <t>水沢充</t>
  </si>
  <si>
    <t>(C)Michiru Mizusawa/SQUARE ENIX</t>
  </si>
  <si>
    <t>(C)MM/SQEX</t>
  </si>
  <si>
    <t>ＢＬＯＯＤＹ　ＪＵＮＫＩＥ</t>
  </si>
  <si>
    <t>蓮見ナツメ</t>
  </si>
  <si>
    <t>(C)Natsume Hasumi/SQUARE ENIX</t>
  </si>
  <si>
    <t>(C)NH/SQEX</t>
  </si>
  <si>
    <t>ＤＡＧＡＳＹ 放課後超能力戦争</t>
  </si>
  <si>
    <t>原作：日日日
作画：りすまい</t>
  </si>
  <si>
    <t>(C)Akira/Risumai/SQUARE ENIX</t>
  </si>
  <si>
    <t>(C)Akira/Risumai/SQEX</t>
  </si>
  <si>
    <t>よいこの君主論</t>
  </si>
  <si>
    <t xml:space="preserve">原作：架神恭介＋辰巳一世（ちくま文庫／筑摩書房刊）
キャラクター原案：川奈梶馬、M.W、天然君ii、マエサキ 
漫画：ミサオ
</t>
  </si>
  <si>
    <t>(C)KYOSUKE KAGAMI＆ISSEI TATSUMI
(C)Misao/SQUARE ENIX</t>
  </si>
  <si>
    <t>(C)KYOSUKE KAGAMI＆ISSEI TATSUMI
(C)Misao/SQEX</t>
  </si>
  <si>
    <t>エスとエフ</t>
  </si>
  <si>
    <t>渡辺しま</t>
  </si>
  <si>
    <t>(C)Shima Watanabe/SQUARE ENIX</t>
  </si>
  <si>
    <t>ケイオスリングス</t>
  </si>
  <si>
    <t>原作：北島行徳
作画：パク・ジンジュン</t>
  </si>
  <si>
    <t>(C)Park Jinjun/SQUARE ENIX
(C)Yukinori Kitajima/SQUARE ENIX
(C)SQUARE ENIX CO., LTD.  All Rights Reserved.</t>
  </si>
  <si>
    <t>(C)PJ/SQEX
(C)YK/SQEX
(C)SQUARE ENIX CO., LTD.  All Rights Reserved.</t>
  </si>
  <si>
    <t>伊達人間</t>
  </si>
  <si>
    <t>宮永龍</t>
  </si>
  <si>
    <t>(C)Ryu Miyanaga/SQUARE ENIX</t>
  </si>
  <si>
    <t>(C)RM/SQEX</t>
  </si>
  <si>
    <t>よしのぶがっ！</t>
  </si>
  <si>
    <t>ウメマツカヲル</t>
  </si>
  <si>
    <t>(C)Kaworu Umematsu/SQUARE ENIX</t>
  </si>
  <si>
    <t>(C)KU/SQEX</t>
  </si>
  <si>
    <t>伊達柱</t>
  </si>
  <si>
    <t>霜月かいり</t>
  </si>
  <si>
    <t>(C)Kairi Shimotsuki/SQUARE ENIX</t>
  </si>
  <si>
    <t>(C)KS/SQEX</t>
  </si>
  <si>
    <t>みんなの呉</t>
  </si>
  <si>
    <t>“文学少女”と飢え渇く幽霊</t>
  </si>
  <si>
    <t>原作：野村美月 
作画：高坂りと 
キャラクター原案：竹岡美穂</t>
  </si>
  <si>
    <t xml:space="preserve">(C)Mizuki Nomura・Miho Takeoka
Licensed by KADOKAWA CORPORATION
(C)Rito Kohsaka/SQUARE ENIX
</t>
  </si>
  <si>
    <t>(C)Mizuki Nomura・Miho Takeoka
Licensed by KADOKAWA CORPORATION
(C)RK/SQEX</t>
  </si>
  <si>
    <t>正しくは、(C)Mizuki Nomura・Miho Takeoka 2006 
だが、年号が古く感じられる場合は年号の省略可。</t>
  </si>
  <si>
    <t>“文学少女”と死にたがりの道化</t>
  </si>
  <si>
    <t>原作：野村美月
作画：高坂りと
キャラクター原案：竹岡美穂</t>
  </si>
  <si>
    <t>(C)Mizuki Nomura・Miho Takeoka
Licensed by KADOKAWA CORPORATION
(C)Rito Kohsaka/SQUARE ENIX</t>
  </si>
  <si>
    <t>同棲レシピ</t>
  </si>
  <si>
    <t>大島永遠</t>
  </si>
  <si>
    <t>(C)Towa Oshima/SQUARE ENIX</t>
  </si>
  <si>
    <t>(C)TO/SQEX</t>
  </si>
  <si>
    <t>193</t>
  </si>
  <si>
    <t>JACKALS ～ジャッカル～</t>
  </si>
  <si>
    <t>原作：村田真哉
作画：キム・ビョンジン</t>
  </si>
  <si>
    <t>(C)Shinya Murata/SQUARE ENIX
(C)Kim Byung Jin/SQUARE ENIX</t>
  </si>
  <si>
    <t>(C)SM/SQEX
(C)KBJ/SQEX</t>
  </si>
  <si>
    <t>フダンシズム－腐男子主義－</t>
  </si>
  <si>
    <t>もりしげ</t>
  </si>
  <si>
    <t>(C)Morishige/SQUARE ENIX</t>
  </si>
  <si>
    <t>(C)Morishige/SQEX</t>
  </si>
  <si>
    <t>新選組刃義抄 アサギ</t>
  </si>
  <si>
    <t>原作：山村竜也
作画：蜷川ヤエコ
構成協力：町田一八</t>
  </si>
  <si>
    <t>(C)Tatsuya Yamamura/SQUARE ENIX
(C)Yaeko Ninagawa/SQUARE ENIX
(C)Kazuya Machida/SQUARE ENIX</t>
  </si>
  <si>
    <t>(C)TY/SQEX
(C)YN/SQEX
(C)KM/SQEX</t>
  </si>
  <si>
    <t>鬼燈の島―ホオズキノシマ―</t>
  </si>
  <si>
    <t>三部けい</t>
  </si>
  <si>
    <t>(C)Kei Sanbe/SQUARE ENIX</t>
  </si>
  <si>
    <t>カノジョは官能小説家</t>
  </si>
  <si>
    <t>後藤晶</t>
  </si>
  <si>
    <t>(C)Akira Gotoh/SQUARE ENIX</t>
  </si>
  <si>
    <t>(C)AG/SQEX</t>
  </si>
  <si>
    <t>魍魎の揺りかご</t>
  </si>
  <si>
    <t>拡散性ミリオンアーサー ファニーガイズ型４コマ</t>
  </si>
  <si>
    <t>倉林青</t>
  </si>
  <si>
    <t xml:space="preserve">(C) 2012-2014 SQUARE ENIX CO., LTD.  All Rights Reserved.
(C)Ao Kurabayashi/SQUARE ENIX
</t>
  </si>
  <si>
    <t xml:space="preserve">(C) 2012-2014 SQUARE ENIX CO., LTD.  All Rights Reserved.
(C)AK/SQEX
</t>
  </si>
  <si>
    <t>コピーライトはゲーム→著者の順番で記載。All Rights Reserved.の前は半角スペース2つアキ</t>
  </si>
  <si>
    <t>晴れ、ときどきミリオンアーサー</t>
  </si>
  <si>
    <t>とりうみいたち</t>
  </si>
  <si>
    <t>(C) 2012-2014 SQUARE ENIX CO., LTD.  All Rights Reserved.
(C)toriumi itati/SQUARE ENIX</t>
  </si>
  <si>
    <t>(C) 2012-2014 SQUARE ENIX CO., LTD.  All Rights Reserved.
(C)ti/SQEX</t>
  </si>
  <si>
    <t>202</t>
  </si>
  <si>
    <t>2017未定</t>
  </si>
  <si>
    <t>BITTER VIRGIN</t>
  </si>
  <si>
    <t>楠桂</t>
  </si>
  <si>
    <t>(C)Kei Kusunoki/SQUARE ENIX</t>
  </si>
  <si>
    <t>青春×機関銃</t>
  </si>
  <si>
    <t>NAOE</t>
  </si>
  <si>
    <t>(C)NAOE/SQUARE ENIX</t>
  </si>
  <si>
    <t>(C)NAOE/SQEX</t>
  </si>
  <si>
    <t>ゆずべんとう</t>
  </si>
  <si>
    <t>葵梅太郎</t>
  </si>
  <si>
    <t>(C)Umetaro Aoi/SQUARE ENIX</t>
  </si>
  <si>
    <t>(C)UA/SQEX</t>
  </si>
  <si>
    <t>ＮＯｅＳＩＳ 嘘を吐いた記憶の物語</t>
  </si>
  <si>
    <t>原作：クラシック ショコラ
構成：緋原俊介
作画：芹之由奈</t>
  </si>
  <si>
    <t>(C)2011 Classic Chocolat
(C)Shunsuke Hibaru/Yuna Serino/SQUARE ENIX</t>
  </si>
  <si>
    <t>(C)2011 Classic Chocolat
(C)SH/YS/SQEX</t>
  </si>
  <si>
    <t>ROSE GUNS DAYS Season1</t>
  </si>
  <si>
    <t>ROSE GUNS DAYS Season2</t>
  </si>
  <si>
    <t xml:space="preserve">原作・監修：竜騎士07　
作画：夏西七 </t>
  </si>
  <si>
    <t>(C)竜騎士07/07th Expansion
(C)Nana Natsunishi /SQUARE ENIX</t>
  </si>
  <si>
    <t>(C)竜騎士07/07th Expansion
(C)NN/SQEX</t>
  </si>
  <si>
    <t>ROSE GUNS DAYS 哀愁のクロスナイフ</t>
  </si>
  <si>
    <t>原作・監修：竜騎士07
漫画：髙木勇志</t>
  </si>
  <si>
    <t>(C)竜騎士07/07th Expansion
(C)Tsuyoshi Takaki/SQUARE ENIX</t>
  </si>
  <si>
    <t>(C)竜騎士07/07th Expansion
(C)TT/SQEX</t>
  </si>
  <si>
    <t>俺の彼女と幼なじみが修羅場すぎる 愛</t>
  </si>
  <si>
    <t>原作：裕時悠示（ＧＡ文庫／SBクリエイティブ刊）
漫画：睦茸
キャラクター原案：るろお</t>
  </si>
  <si>
    <t>(C)Yuji Yuji/SB Creative Corp.
Original Character Designs:(C)llo/SB Creative Corp.
(C)Mutsutake/SQUARE ENIX</t>
  </si>
  <si>
    <t>悪魔曰く俺の嫁</t>
  </si>
  <si>
    <t>宮城りん</t>
  </si>
  <si>
    <t>(C)Rin Miyashiro/SQUARE ENIX</t>
  </si>
  <si>
    <t>ガールズ・ゴー・アラウンド</t>
  </si>
  <si>
    <t>千田衛人</t>
  </si>
  <si>
    <t>(C)Eight Chida/SQUARE ENIX</t>
  </si>
  <si>
    <t>(C)EC/SQEX</t>
  </si>
  <si>
    <t>浮かれバケモノの朗らかな破綻</t>
  </si>
  <si>
    <t>家の裏でマンボウが死んでるＰ
原作：タカハシヨウ 
作画：竜宮ツカサ</t>
  </si>
  <si>
    <t>(C)タカハシヨウ&amp;竜宮ツカサ(家の裏でマンボウが死んでるP)</t>
  </si>
  <si>
    <t>(C)家裏死P</t>
  </si>
  <si>
    <t>はじめての甲子園</t>
  </si>
  <si>
    <t>火村正紀</t>
  </si>
  <si>
    <t>(C)Masaki Himura/SQUARE ENIX</t>
  </si>
  <si>
    <t>勇しぶ。～勇者になれなかった俺はしぶしぶ就職を決意しました。～</t>
  </si>
  <si>
    <t>原作：左京潤
漫画：柚木ガオ
キャラクター原案：戌角柾</t>
  </si>
  <si>
    <t>(C)Jun sakyou.Masaki Inuzumi 2012
Licensed by KADOKAWA CORPORATION
(C)Gao Yuzuki/SQUARE ENIX</t>
  </si>
  <si>
    <t>(C)Jun sakyou.Masaki Inuzumi 2012
Licensed by KADOKAWA CORPORATION
(C)GY/SQEX</t>
  </si>
  <si>
    <t>西悠々記</t>
  </si>
  <si>
    <t>黒の探偵</t>
  </si>
  <si>
    <t>日丘円</t>
  </si>
  <si>
    <t>(C)Yen Hioka/SQUARE ENIX</t>
  </si>
  <si>
    <t>UNKNOWN</t>
  </si>
  <si>
    <t>吉村旋</t>
  </si>
  <si>
    <t>(C)Tsumuji Yoshimura/SQUARE ENIX</t>
  </si>
  <si>
    <t>吉村の「吉」の字は、画像の時など可能な限りは土+口での「つちよし」で掲載すること。（表記が難しい場合の、テキスト表記に関しては「吉」のままで良い）</t>
  </si>
  <si>
    <t>ふたごザウルス</t>
  </si>
  <si>
    <t>ラブカレンダー</t>
  </si>
  <si>
    <t>原案：DECO*27　
作画：水瀬マユ
アートディレクション：坂本ヒメミ</t>
  </si>
  <si>
    <t>(C)Pinc Inc. / U/M/A/A Inc.
(C)Mayu Minase/SQUARE ENIX</t>
  </si>
  <si>
    <t>(C)Pinc Inc. / U/M/A/A Inc.
(C)MM/SQEX</t>
  </si>
  <si>
    <t>蒐集奇譚イット</t>
  </si>
  <si>
    <t>座紀光倫</t>
  </si>
  <si>
    <t>(C)Mitsunori Zaki/SQUARE ENIX</t>
  </si>
  <si>
    <t>(C)MZ/SQEX</t>
  </si>
  <si>
    <t>ミリオンの○×△□</t>
  </si>
  <si>
    <t>アストロベリー</t>
  </si>
  <si>
    <t>BAMBOO BLADE C</t>
  </si>
  <si>
    <t>原作：土塚理弘
作画：高尾じんぐ</t>
  </si>
  <si>
    <t>(C)Masahiro Totsuka/SQUARE ENIX
(C)Jingu Takao/SQUARE ENIX</t>
  </si>
  <si>
    <t>(C)MT/SQEX (C)JT/SQEX</t>
  </si>
  <si>
    <t>他作品は「Jingu Takao」としておりましたが、本作品のみ「Jing Takao」です。</t>
  </si>
  <si>
    <t>ラララ</t>
  </si>
  <si>
    <t>サカサマのパテマ　another side</t>
  </si>
  <si>
    <t>漫画：toi8 
原案：吉浦康裕</t>
  </si>
  <si>
    <t>(C)Yasuhiro YOSHIURA／Sakasama Film Committee 2013
(C)toi8/SQUARE ENIX</t>
  </si>
  <si>
    <t>(C)Yasuhiro YOSHIURA／Sakasama Film Committee 2013
(C)toi8/SQEX</t>
  </si>
  <si>
    <t>デュラララ!! 黄巾賊編</t>
  </si>
  <si>
    <t>原作：成田良悟（電撃文庫『デュラララ!!』）
キャラクターデザイン：ヤスダスズヒト
作画：茶鳥木明代</t>
  </si>
  <si>
    <t>DRAG-ON DRAGOON 死ニ至ル赤</t>
  </si>
  <si>
    <t>原作：映島巡
作画：ZET
監修：ヨコオタロウ</t>
  </si>
  <si>
    <t xml:space="preserve">(C) 2013 SQUARE ENIX CO.,LTD.  All Rights Reserved. 
(C)Jun Eishima/SQUARE ENIX
(C)ZET/SQUARE ENIX
</t>
  </si>
  <si>
    <t xml:space="preserve">(C) 2013 SQUARE ENIX CO.,LTD.  All Rights Reserved. (C)JE/SQEX
(C)ZET/SQEX
</t>
  </si>
  <si>
    <t>どらっぐ おん どらぐーん ウタヒメファイブ</t>
  </si>
  <si>
    <t>脚本：映島巡　
漫画：IsII　
監修：ヨコオタロウ</t>
  </si>
  <si>
    <t>(C) 2013 SQUARE ENIX CO.,LTD.  All Rights Reserved. 
(C)Jun Eishima/SQUARE ENIX
(C)IsII/SQUARE ENIX</t>
  </si>
  <si>
    <t>(C) 2013 SQUARE ENIX CO.,LTD.  All Rights Reserved. 
(C)JE/SQEX
(C)IsII/SQEX</t>
  </si>
  <si>
    <t>春になるとウズウズしちゃう</t>
  </si>
  <si>
    <t>藤村歩実</t>
  </si>
  <si>
    <t>(C)Fumi Fujimura/SQUARE ENIX</t>
  </si>
  <si>
    <t>(C)FF/SQEX</t>
  </si>
  <si>
    <t>回転る賢者のシュライブヴァーレ</t>
  </si>
  <si>
    <t>星屑七号</t>
  </si>
  <si>
    <t>(C)Hoshikuzu7go/SQUARE ENIX</t>
  </si>
  <si>
    <t>(C)Hoshikuzu7go/SQEX</t>
  </si>
  <si>
    <t>『くーろんず』シリーズ　空論基礎</t>
  </si>
  <si>
    <t>ダ・ヴィンチ・恐山</t>
  </si>
  <si>
    <t>(C)D_V_osorezan/SQUARE ENIX</t>
  </si>
  <si>
    <t>(C)D_V_osorezan/SQEX</t>
  </si>
  <si>
    <t>B壱</t>
  </si>
  <si>
    <t>ちちとこ</t>
  </si>
  <si>
    <t>うち子</t>
  </si>
  <si>
    <t>(C)Uchiko/SQUARE ENIX</t>
  </si>
  <si>
    <t>(C)Uchiko/SQEX</t>
  </si>
  <si>
    <t>渡る世間はバカばかり</t>
  </si>
  <si>
    <t>丸美甘</t>
  </si>
  <si>
    <t>(C)Marumikan/SQUARE ENIX</t>
  </si>
  <si>
    <t>(C)Marumikan/SQEX</t>
  </si>
  <si>
    <t>高橋さんが聞いている。</t>
  </si>
  <si>
    <t>北欧ゆう</t>
  </si>
  <si>
    <t>(C)Yu Hokuo/SQUARE ENIX</t>
  </si>
  <si>
    <t>死神様と４人の彼女</t>
  </si>
  <si>
    <t>原作：巣山真
作画：CHuN(Friendly Land)</t>
  </si>
  <si>
    <t>(C)Shin Suyama･Friendly Land/SQUARE ENIX</t>
  </si>
  <si>
    <t>（C)SS・FL/SQEX</t>
  </si>
  <si>
    <t>皇国の緋色</t>
  </si>
  <si>
    <t>原作：月岡帆恣郎
作画：田中ひかる</t>
  </si>
  <si>
    <t>(C)Hanjiro Tsukioka･Hikaru Tanaka/SQUARE ENIX</t>
  </si>
  <si>
    <t>(C)HT･HT/SQEX</t>
  </si>
  <si>
    <t>アイドルマスター シンデレラガールズ あんさんぶる！</t>
  </si>
  <si>
    <t>原作：バンダイナムコエンターテインメント
漫画：千葉サドル
脚本：樫葉ハルキ</t>
  </si>
  <si>
    <t>(C)BANDAI NAMCO Entertainment Inc.
(C)Sadoru Chiba/SQUARE ENIX
(C)Haruki Kashiba/SQUARE ENIX</t>
  </si>
  <si>
    <t>(C)BNEI
(C)SC/SQEX
(C)HK/SQEX</t>
  </si>
  <si>
    <t>制服DUTY</t>
  </si>
  <si>
    <t>山崎童々</t>
  </si>
  <si>
    <t>(C)Dodo Yamasaki/SQUARE ENIX</t>
  </si>
  <si>
    <t>(C)DY/SQEX</t>
  </si>
  <si>
    <t>ACCA13区監察課</t>
  </si>
  <si>
    <t>オノ・ナツメ</t>
  </si>
  <si>
    <t>(C)Natsume Ono/SQUARE ENIX</t>
  </si>
  <si>
    <t>(C)NO/SQEX</t>
  </si>
  <si>
    <t>アイドルマスター シンデレラガールズ 本日のアイドルさん</t>
  </si>
  <si>
    <t>原作：バンダイナムコエンターテインメント
漫画：木吉紗</t>
  </si>
  <si>
    <t>(C)BANDAI NAMCO Entertainment Inc.
(C)Saya Kiyoshi/SQUARE ENIX</t>
  </si>
  <si>
    <t>(C)BNEI
(C)SK/SQEX</t>
  </si>
  <si>
    <t>小南正太郎、家から出るをはじめました。</t>
  </si>
  <si>
    <t>いちかわ暖</t>
  </si>
  <si>
    <t>(C)Dan Ichikawa/SQUARE ENIX</t>
  </si>
  <si>
    <t>(C)DI/SQEX</t>
  </si>
  <si>
    <t>イヴの時間</t>
  </si>
  <si>
    <t>原作：吉浦康裕
漫画：太田優姫</t>
  </si>
  <si>
    <t>(C)Yasuhiro YOSHIURA/DIRECTIONS,Inc.
(C)YUUKI OHTA/SQUARE ENIX</t>
  </si>
  <si>
    <t>(C)Yasuhiro YOSHIURA/DIRECTIONS,Inc.
(C)YO/SQEX</t>
  </si>
  <si>
    <t>ヴァンパイア十字界</t>
  </si>
  <si>
    <t>作：城平京
画：木村有里</t>
  </si>
  <si>
    <t>(C)Kyo Shirodaira/SQUARE ENIX
(C)Yuri Kimura/SQUARE ENIX</t>
  </si>
  <si>
    <t>(C)KS/SQEX
(C)YK/SQEX</t>
  </si>
  <si>
    <t>ドラゴンクエストＸ　４コママンガ劇場</t>
  </si>
  <si>
    <t>著者：あべゆうき</t>
  </si>
  <si>
    <t>(C) 2012-20XX ARMOR PROJECT/BIRD STUDIO/SQUARE ENIX All Rights Reserved.</t>
  </si>
  <si>
    <t>(C)SQUARE ENIX
それでも入らない場合(C)SQEX</t>
  </si>
  <si>
    <t>「ドラゴンクエストＸ」のコピーライトの年号は毎年更新。All Rights Reserved.の前は半角スペース2つアキ</t>
  </si>
  <si>
    <t>ダンジョンに出会いを求めるのは間違っているだろうか</t>
  </si>
  <si>
    <t>原作：大森藤ノ（GA文庫／SBクリエイティブ刊）
漫画：九二枝
キャラクター原案：ヤスダスズヒト</t>
  </si>
  <si>
    <t>(C)Fujino Omori/SB Creative Corp. 
Original Character Designs:(C)Suzuhito Yasuda/SB Creative Corp.
(C)Kunieda/SQUARE ENIX</t>
  </si>
  <si>
    <t>(C)FO,SY/SBCr
(C)K/SQEX</t>
  </si>
  <si>
    <t>ルートダブル Before Crime * After Days √After</t>
  </si>
  <si>
    <t>原作／イエティ・レジスタ
企画・原案・監督／中澤工
シナリオ／月島総記・月島トラ・日向もやし
メインキャラクターデザイン／みけおう
作画／桃山ひなせ</t>
  </si>
  <si>
    <t>(C)イエティ/Regista
(C)Hinase Momoyama/SQUARE ENIX</t>
  </si>
  <si>
    <t>(C)イエティ/Regista
(C)HM/SQEX</t>
  </si>
  <si>
    <t>ルートダブル Before Crime * After Days √Before</t>
  </si>
  <si>
    <t xml:space="preserve">
(C)イエティ/Regista
(C)Hinase Momoyama/SQUARE ENIX</t>
  </si>
  <si>
    <t>隻眼ノ少年　オカルトメイデン～影章～</t>
  </si>
  <si>
    <t>原作・監修：平坂読
漫画：茶戸</t>
  </si>
  <si>
    <t>(C)Chado/SQUARE ENIX
(C) 2013,2014 SQUARE ENIX CO., LTD.  All Rights Reserved.</t>
  </si>
  <si>
    <t>(C)Chado/SQEX
(C) 2013,2014 SQUARE ENIX CO., LTD.  All Rights Reserved.</t>
  </si>
  <si>
    <t>シノハユ</t>
  </si>
  <si>
    <t>(C)RK/SQEX
(C)AI/SQEX</t>
  </si>
  <si>
    <t>Missウィザード(仮)</t>
  </si>
  <si>
    <t>葉月京&amp;エヌ山+TON</t>
  </si>
  <si>
    <t>(C)Kyo Hatsuki&amp;Enuyama+Ton/SQUARE ENIX</t>
  </si>
  <si>
    <t>(C)KH&amp;E+T/SQEX</t>
  </si>
  <si>
    <t>めがねーちゃん</t>
  </si>
  <si>
    <t>私屋カヲル</t>
  </si>
  <si>
    <t>(C)KAWORU WATASHIYA/SQUARE ENIX</t>
  </si>
  <si>
    <t>(C)KW/SQEX</t>
  </si>
  <si>
    <t>今日のケルベロス</t>
  </si>
  <si>
    <t>桜井亜都</t>
  </si>
  <si>
    <t>(C)Ato Sakurai/SQUARE ENIX</t>
  </si>
  <si>
    <t>小さな魔女の首輪</t>
  </si>
  <si>
    <t>チノク</t>
  </si>
  <si>
    <t>(C)Chinoku/SQUARE ENIX</t>
  </si>
  <si>
    <t>(C)Chinoku/SQEX</t>
  </si>
  <si>
    <t>妄想高校教員 森下</t>
  </si>
  <si>
    <t>西渡 槇</t>
  </si>
  <si>
    <t>(C)Maki Nishiwatari/SQUARE ENIX</t>
  </si>
  <si>
    <t>(C)MN/SQEX</t>
  </si>
  <si>
    <t>のらうさぎ</t>
  </si>
  <si>
    <t>小城徹也</t>
  </si>
  <si>
    <t>(C)Tetsuya Kojo/SQUARE ENIX</t>
  </si>
  <si>
    <t>(C)TK/SQEX</t>
  </si>
  <si>
    <t>のうりん プチ</t>
  </si>
  <si>
    <t>原作：白鳥士郎
(GA文庫/SBクリエイティブ刊)
キャラクター原案：切符
漫画：琴慈</t>
  </si>
  <si>
    <t>(C)Shirow Shiratori/SB Creative Corp.　
Original Character Designs:(C)kippu/SB Creative Corp.
(C)Cotoji/SQUARE ENIX</t>
  </si>
  <si>
    <t>(C)SS,k/SBCr
(C)C/SQEX</t>
  </si>
  <si>
    <t>SECRET×SIBLINGS～シークレット×シブリングス～</t>
  </si>
  <si>
    <t>野原ゆた</t>
  </si>
  <si>
    <t>(C)Yuta Nohara/SQUARE ENIX</t>
  </si>
  <si>
    <t>(C)YN/SQEX</t>
  </si>
  <si>
    <t>シューピアリア</t>
  </si>
  <si>
    <t>ichtys</t>
  </si>
  <si>
    <t>(C)ichtys/SQUARE ENIX</t>
  </si>
  <si>
    <t>(C)ichtys/SQEX</t>
  </si>
  <si>
    <t>シューピアリア・クロス</t>
  </si>
  <si>
    <t>仕立屋工房 Artelier Collection</t>
  </si>
  <si>
    <t>魔法使いの弟子が笑う時。</t>
  </si>
  <si>
    <t>金井千咲貴</t>
  </si>
  <si>
    <t>(C)Chisaki Kanai/SQUARE ENIX</t>
  </si>
  <si>
    <t>とある日常のいんでっくすさん</t>
  </si>
  <si>
    <t>漫画：みじんこうか
原作：鎌池和馬
キャラクター原案：はいむらきよたか</t>
  </si>
  <si>
    <t>(C)Kazuma Kamachi
(C)Mijinkouca/SQUARE ENIX
Licensed by KADOKAWA CORPORATION ASCII MEDIA WORKS</t>
  </si>
  <si>
    <t>(C)Kazuma Kamachi
(C)Mijinkouca/SQEX
Licensed by KADOKAWA CORPORATION ASCII MEDIA WORKS</t>
  </si>
  <si>
    <t>月夜田定の世界の救い方</t>
  </si>
  <si>
    <t>原作：志賀伯
作画：雨水龍</t>
  </si>
  <si>
    <t>(C)Shigahaku/SQUARE ENIX
(C)Ryu Usui/SQUARE ENIX</t>
  </si>
  <si>
    <t>(C)Shigahaku/SQEX
(C)Ryu Usui/SQEX</t>
  </si>
  <si>
    <t>Ｑの系譜</t>
  </si>
  <si>
    <t>佐藤マコト</t>
  </si>
  <si>
    <t>(C)Makoto Sato/SQUARE ENIX</t>
  </si>
  <si>
    <t>(C)MS/SQEX</t>
  </si>
  <si>
    <t>272</t>
  </si>
  <si>
    <t>GOGO!ぷりん帝国</t>
  </si>
  <si>
    <t>273</t>
  </si>
  <si>
    <t>衛星ウサギテレビ</t>
  </si>
  <si>
    <t>275</t>
  </si>
  <si>
    <t>新装版 パパムパ</t>
  </si>
  <si>
    <t>清村くんと杉小路くんと</t>
  </si>
  <si>
    <t>土塚理弘</t>
  </si>
  <si>
    <t>清村くんと杉小路くんよ</t>
  </si>
  <si>
    <t>清村くんと杉小路くんろ</t>
  </si>
  <si>
    <t>ちょく！</t>
  </si>
  <si>
    <t>Secret</t>
  </si>
  <si>
    <t>アフォガード</t>
  </si>
  <si>
    <t>ミキマキ</t>
  </si>
  <si>
    <t>(C)Mikimaki/SQUARE ENIX</t>
  </si>
  <si>
    <t>(C)Mikimaki/SQEX</t>
  </si>
  <si>
    <t>第三次性徴期、大塚くん！</t>
  </si>
  <si>
    <t>君塚力</t>
  </si>
  <si>
    <t>(C)Chikara Kimizuka/SQUARE ENIX</t>
  </si>
  <si>
    <t>織田さん家の乱法師</t>
  </si>
  <si>
    <t>みもり</t>
  </si>
  <si>
    <t>(C)Mimori/SQUARE ENIX</t>
  </si>
  <si>
    <t>(C)Mimori/SQEX</t>
  </si>
  <si>
    <t>スペース☆ダンディ</t>
  </si>
  <si>
    <t>原作：BONES
構成：原田雅史
作画：朴晟佑＋REDICE</t>
  </si>
  <si>
    <t>(C)2014 BONES/Project SPACE DANDY
(C)Park Sung Woo/SQUARE ENIX</t>
  </si>
  <si>
    <t>(C)2014 BONES/Project SPACE DANDY
(C)PSW/SQEX</t>
  </si>
  <si>
    <t>少年少女18禁</t>
  </si>
  <si>
    <t>くずしろ</t>
  </si>
  <si>
    <t>(C)Kuzushiro/SQUARE ENIX</t>
  </si>
  <si>
    <t>(C)Kuzushiro/SQEX</t>
  </si>
  <si>
    <t>サムライフラメンコ Another Days</t>
  </si>
  <si>
    <t>漫画： 水沢翔
原作：manglobe
構成協力：高木聖子</t>
  </si>
  <si>
    <t>(C)manglobe/Project Samumenco 
(C)Sho Mizusawa/SQUARE ENIX</t>
  </si>
  <si>
    <t>(C)manglobe/Project Samumenco 
(C)SM/SQEX</t>
  </si>
  <si>
    <t>少年探偵 犬神ゲル</t>
  </si>
  <si>
    <t>ゴツボ☆マサル</t>
  </si>
  <si>
    <t>(C)Masaru Gotsubo/SQUARE ENIX</t>
  </si>
  <si>
    <t>(C)MG/SQEX</t>
  </si>
  <si>
    <t>LUNO</t>
  </si>
  <si>
    <t>冬目景</t>
  </si>
  <si>
    <t>(C)Kei Toume/SQUARE ENIX</t>
  </si>
  <si>
    <t>柚子ペパーミント</t>
  </si>
  <si>
    <t>原作：佐藤大
作画：ゴツボ☆マサル</t>
  </si>
  <si>
    <t>(C)佐藤大とストーリーライダーズ
(C)Masaru Gotsubo/SQUARE ENIX</t>
  </si>
  <si>
    <t>(C)佐藤大とストーリーライダーズ
(C)MG/SQEX</t>
  </si>
  <si>
    <t>室町学院高校生徒指導室!!</t>
  </si>
  <si>
    <t>髙枝景水</t>
  </si>
  <si>
    <t>(C)Keisui Takaeda/SQUARE ENIX</t>
  </si>
  <si>
    <t>探偵になるための893の方法</t>
  </si>
  <si>
    <t>原作：我孫子武丸
作画：坂本あきら</t>
  </si>
  <si>
    <t>(C)Takemaru Abiko/SQUARE ENIX
(C)Akira Sakamoto/SQUARE ENIX</t>
  </si>
  <si>
    <t>(C)TA/SQEX
(C)AS/SQEX</t>
  </si>
  <si>
    <t>輪廻のラグランジェ</t>
  </si>
  <si>
    <t>原作：Production I.G
作画：IsII</t>
  </si>
  <si>
    <t>(C)Lagrange Project
(C)IsII/SQUARE ENIX</t>
  </si>
  <si>
    <t>(C)Lagrange Project
(C)IsII/SQEX</t>
  </si>
  <si>
    <t>輪廻のラグランジェ～暁月のメモリア～</t>
  </si>
  <si>
    <t>漫画：吉岡公威
シナリオ：菅正太郎
原案・協力：Production I.G
協力：XEBEC　バンダイビジュアル</t>
  </si>
  <si>
    <t>(C)Kimitake Yoshioka/SQUARE ENIX
(C)Psychedelic Human Writing Inc.
(C)Lagrange Project</t>
  </si>
  <si>
    <t>(C)KY/SQEX
(C)Psychedelic Human Writing Inc.
(C)Lagrange Project</t>
  </si>
  <si>
    <t>マテリアル・パズル</t>
  </si>
  <si>
    <t>マテリアル・パズル～彩光少年～</t>
  </si>
  <si>
    <t>マテリアル・パズル ゼロクロイツ</t>
  </si>
  <si>
    <t>原作：土塚理弘
画：吉岡公威</t>
  </si>
  <si>
    <t>(C)Masahiro Totsuka/SQUARE ENIX
(C)Kimitake Yoshioka/SQUARE ENIX</t>
  </si>
  <si>
    <t>(C)MT/SQEX
(C)KY/SQEX</t>
  </si>
  <si>
    <t>魔法科高校の劣等生 九校戦編</t>
  </si>
  <si>
    <t>原作：佐島勤
キャラクター原案：石田可奈
作画：きたうみつな</t>
  </si>
  <si>
    <t>(C)TSUTOMU SATO
(C)Tsuna Kitaumi/SQUARE ENIX
Licensed by KADOKAWA CORPORATION</t>
  </si>
  <si>
    <t>(C)TSUTOMU SATO
(C)TK/SQEX
Licensed by KADOKAWA CORPORATION</t>
  </si>
  <si>
    <t>魔法科高校の劣等生 横浜騒乱編</t>
  </si>
  <si>
    <t>原作：佐島勤
キャラクター原案：石田可奈
作画：天羽銀</t>
  </si>
  <si>
    <t>(C)TSUTOMU SATO
(C)Gin Amou/SQUARE ENIX
Licensed by KADOKAWA CORPORATION</t>
  </si>
  <si>
    <t>(C)TSUTOMU SATO
(C)GA/SQEX
Licensed by KADOKAWA CORPORATION</t>
  </si>
  <si>
    <t>しらつゆの怪～廻りの章～</t>
  </si>
  <si>
    <t>原作：オトメイト／片岡色
作画：空揚羽</t>
  </si>
  <si>
    <t>(C)2013 IDEA FACTORY
(C)Karaageha/SQUARE ENIX</t>
  </si>
  <si>
    <t>(C)2013 IDEA FACTORY
(C)Karaageha/SQEX</t>
  </si>
  <si>
    <t>MURCIÉLAGO -ムルシエラゴ-</t>
  </si>
  <si>
    <t>よしむらかな</t>
  </si>
  <si>
    <t>(C)Yoshimurakana/SQUARE ENIX</t>
  </si>
  <si>
    <t>(C)Yk/SQEX</t>
  </si>
  <si>
    <t>冴えない彼女の育てかた 恋するメトロノーム</t>
  </si>
  <si>
    <t>原作：丸戸史明
（ファンタジア文庫/富士見書房）
漫画：武者サブ
キャラクター原案：深崎暮人</t>
  </si>
  <si>
    <t xml:space="preserve">(C)Fumiaki Maruto, Kurehito Misaki 2012 Licensed by KADOKAWA CORPORATION (C)Musyasabu/SQUARE ENIX
</t>
  </si>
  <si>
    <t>(C)Fumiaki Maruto, Kurehito Misaki 2012 Licensed by KADOKAWA CORPORATION (C)Musyasabu/SQEX</t>
  </si>
  <si>
    <t>罪×10</t>
  </si>
  <si>
    <t>ROSE GUNS DAYS Season3</t>
  </si>
  <si>
    <t>原作・監修：竜騎士07
作画：大村陽</t>
  </si>
  <si>
    <t>(C)竜騎士07/07th Expansion
(C)You Omura/SQUARE ENIX</t>
  </si>
  <si>
    <t>(C)竜騎士07/07th Expansion
(C)YO/SQEX</t>
  </si>
  <si>
    <t>斑目先生の妄想学級日誌</t>
  </si>
  <si>
    <t>永瀬ようすけ</t>
  </si>
  <si>
    <t>(C)Yousuke Nagase/SQUARE ENIX</t>
  </si>
  <si>
    <t>田中くんはいつもけだるげ</t>
  </si>
  <si>
    <t>失楽園</t>
  </si>
  <si>
    <t>尚村透</t>
  </si>
  <si>
    <t>(C)Toru Naomura/SQUARE ENIX</t>
  </si>
  <si>
    <t>(C)TN/SQEX</t>
  </si>
  <si>
    <t>よん駒！</t>
  </si>
  <si>
    <t>作画：みやびあきの
原作：maa坊</t>
  </si>
  <si>
    <t>(C)Akino Miyabi/SQUARE ENIX
(C)maabou/SQUARE ENIX</t>
  </si>
  <si>
    <t>(C)AM/SQEX
(C)maabou/SQEX</t>
  </si>
  <si>
    <t>鈴木さんの鈴木くん</t>
  </si>
  <si>
    <t>ＳＴＥＡＬ ＡＮＤ ＤＥＡＤ</t>
  </si>
  <si>
    <t>不機嫌なモノノケ庵</t>
  </si>
  <si>
    <t>ワザワキリ</t>
  </si>
  <si>
    <t>(C)Kiri Wazawa/SQUARE ENIX</t>
  </si>
  <si>
    <t>はんだくん</t>
  </si>
  <si>
    <t>(C)SY/SQEX</t>
  </si>
  <si>
    <t>アカメが斬る！零</t>
  </si>
  <si>
    <t>原作：タカヒロ
作画：戸流ケイ</t>
  </si>
  <si>
    <t>(C)Takahiro/SQUARE ENIX
(C)Kei Toru/SQUARE ENIX</t>
  </si>
  <si>
    <t>(C)Takahiro/SQEX
(C)KT/SQEX</t>
  </si>
  <si>
    <t>学園Ｋ</t>
  </si>
  <si>
    <t>原作：GoRA・GoHands
ストーリー原作：鈴木鈴（GoRA)
漫画：鈴木次郎</t>
  </si>
  <si>
    <t>（C)GoRA・GoHands/k-project
（C)Jiro Suzuki/SQUARE ENIX</t>
  </si>
  <si>
    <t>（C)GoRA・GoHands/k-project
（C)JS/SQEX</t>
  </si>
  <si>
    <t>K -THE FIRST-</t>
  </si>
  <si>
    <t>漫画：木村りん
ストーリー構成：古橋秀之（GoRA）
原作：GoRA・GoHands</t>
  </si>
  <si>
    <t>（C)GoRA・GoHands/k-project
（C)Rin Kimura/SQUARE ENIX</t>
  </si>
  <si>
    <t>（C)GoRA・GoHands/k-project
（C)RK/SQEX</t>
  </si>
  <si>
    <t>王室教師ハイネ</t>
  </si>
  <si>
    <t>マンガ家さんとアシスタントさんと２（ツー）</t>
  </si>
  <si>
    <t>お嬢様と妖怪執事 ―藤原ここあ短編集―</t>
  </si>
  <si>
    <t>dear新装版</t>
  </si>
  <si>
    <t>わたしの狼さん。新装版</t>
  </si>
  <si>
    <t>生徒会のヲタのしみ。</t>
  </si>
  <si>
    <t>BEHIND MASTER</t>
  </si>
  <si>
    <t>坂本あきら</t>
  </si>
  <si>
    <t>(C)Akira Sakamoto/SQUARE ENIX</t>
  </si>
  <si>
    <t>ちょこっとヒメ</t>
  </si>
  <si>
    <t>カザマアヤミ</t>
  </si>
  <si>
    <t>(C)Ayami Kazama/SQUARE ENIX</t>
  </si>
  <si>
    <t>はつきあい</t>
  </si>
  <si>
    <t>ひとりみ葉月さんと。</t>
  </si>
  <si>
    <t>マジカルロリポップ</t>
  </si>
  <si>
    <t>夜の珈琲</t>
  </si>
  <si>
    <t>左東武之</t>
  </si>
  <si>
    <t>(C)Takeyuki Sato/SQUARE ENIX</t>
  </si>
  <si>
    <t>ぶっしのぶっしん 鎌倉半分仏師録</t>
  </si>
  <si>
    <t>トライピース</t>
  </si>
  <si>
    <t>丸智之</t>
  </si>
  <si>
    <t>(C)Tomoyuki Maru/SQUARE ENIX</t>
  </si>
  <si>
    <t>ショショリカ</t>
  </si>
  <si>
    <t>上杉匠</t>
  </si>
  <si>
    <t>(C)Takumi Uesugi/SQUARE ENIX</t>
  </si>
  <si>
    <t>(C)TU/SQEX</t>
  </si>
  <si>
    <t>楽園Ｎｏｄｅ</t>
  </si>
  <si>
    <t>杜康潤のトコトコ三国志紀行</t>
  </si>
  <si>
    <t>杜康潤</t>
  </si>
  <si>
    <t>(C)Jun Tokoh/SQUARE ENIX</t>
  </si>
  <si>
    <t>(C)JT/SQEX</t>
  </si>
  <si>
    <t>ゆらふるべ</t>
  </si>
  <si>
    <t>原作：河村塔
漫画：坂本あきら</t>
  </si>
  <si>
    <t>(C)Toh Kawamura/SQUARE ENIX
(C)Akira Sakamoto/SQUARE ENIX</t>
  </si>
  <si>
    <t>(C)TK/SQEX
(C)AS/SQEX</t>
  </si>
  <si>
    <t>夢喰見聞</t>
  </si>
  <si>
    <t>夢喰見聞零　妄鏡堂</t>
  </si>
  <si>
    <t>鳥籠学級</t>
  </si>
  <si>
    <t>ナイショのマンガ家となりのゆとりさん</t>
  </si>
  <si>
    <t>佐伯イチ</t>
  </si>
  <si>
    <t>(C)Ichi Saeki/SQUARE ENIX</t>
  </si>
  <si>
    <t>(C)IS/SQEX</t>
  </si>
  <si>
    <t>今日も待ちわびて</t>
  </si>
  <si>
    <t>魔女に与える鉄鎚</t>
  </si>
  <si>
    <t>原作：村田真哉
作画：檜山大輔</t>
  </si>
  <si>
    <t>(C)Shinya Murata/SQUARE ENIX
(C)Daisuke Hiyama/SQUARE ENIX</t>
  </si>
  <si>
    <t>(C)SM/SQEX
(C)DH/SQEX</t>
  </si>
  <si>
    <t>ブレイド三国志</t>
  </si>
  <si>
    <t>原案・構成：真壁太陽
作画：壱河柳乃助</t>
  </si>
  <si>
    <t>(C)Taiyou Makabe/SQUARE ENIX
(C)Ryunosuke Ichikawa/SQUARE ENIX</t>
  </si>
  <si>
    <t>(C)TM/SQEX
(C)RI/SQEX</t>
  </si>
  <si>
    <t>ブレイド三国志 赤壁</t>
  </si>
  <si>
    <t>ガーディアン・ガーデン～護り人の庭～</t>
  </si>
  <si>
    <t>壱河柳乃助</t>
  </si>
  <si>
    <t>(C)Ryunosuke Ichikawa/SQUARE ENIX</t>
  </si>
  <si>
    <t>(C)RI/SQEX</t>
  </si>
  <si>
    <t>ＰＰＰのピクシブたん</t>
  </si>
  <si>
    <t>上倉エク</t>
  </si>
  <si>
    <t>(C)Eku Uekura/SQUARE ENIX</t>
  </si>
  <si>
    <t>(C)EU/SQEX</t>
  </si>
  <si>
    <t>ＢＢデフォルメ</t>
  </si>
  <si>
    <t>土塚理弘×亜積沙紀</t>
  </si>
  <si>
    <t>(C)Masahiro Totsuka/SQUARE ENIX
(C)Saki Azumi/SQUARE ENIX</t>
  </si>
  <si>
    <t>(C)MT/SQEX
(C)SA/SQEX</t>
  </si>
  <si>
    <t>謎解きドリル</t>
  </si>
  <si>
    <t>河添太一</t>
  </si>
  <si>
    <t>(C)Taichi Kawazoe/SQUARE ENIX</t>
  </si>
  <si>
    <t>プラネットガーディアン</t>
  </si>
  <si>
    <t>高坂りと</t>
  </si>
  <si>
    <t>(C)Rito Kohsaka/SQUARE ENIX</t>
  </si>
  <si>
    <t>たそがれのにわ</t>
  </si>
  <si>
    <t>天正やおよろず</t>
  </si>
  <si>
    <t>稀捺かのと</t>
  </si>
  <si>
    <t>(C)Kanoto Kinatsu/SQUARE ENIX</t>
  </si>
  <si>
    <t>まじぴこる</t>
  </si>
  <si>
    <t>悪魔事典</t>
  </si>
  <si>
    <t>巣山真也</t>
  </si>
  <si>
    <t>(C)Shinya Suyama/SQUARE ENIX</t>
  </si>
  <si>
    <t>学校のせんせい</t>
  </si>
  <si>
    <t>天のおとしもの</t>
  </si>
  <si>
    <t>住吉文子</t>
  </si>
  <si>
    <t>(C)Yukiko Sumiyoshi/SQUARE ENIX</t>
  </si>
  <si>
    <t>たまごのきみ。</t>
  </si>
  <si>
    <t>グランネリエ</t>
  </si>
  <si>
    <t>宝井理人</t>
  </si>
  <si>
    <t>(C)Rihito Takarai/SQUARE ENIX</t>
  </si>
  <si>
    <t>(C)RT/SQEX</t>
  </si>
  <si>
    <t>賭ケグルイ</t>
  </si>
  <si>
    <t>原作：河本ほむら
作画：尚村透</t>
  </si>
  <si>
    <t>(C)Homura Kawamoto・Toru Naomura/SQUARE ENIX</t>
  </si>
  <si>
    <t>(C)HK・TN/SQEX</t>
  </si>
  <si>
    <t>魔女の下僕と魔王のツノ</t>
  </si>
  <si>
    <t>相沢さん増殖</t>
  </si>
  <si>
    <t>公務ですから！</t>
  </si>
  <si>
    <t>原作・絵コンテ：坂口いく
作画：清水ユウ</t>
  </si>
  <si>
    <t>(C)Iku Sakaguchi/SQUARE ENIX
(C)You Shimizu/SQUARE ENIX</t>
  </si>
  <si>
    <t>(C)IS/SQEX
(C)YS/SQEX</t>
  </si>
  <si>
    <t>今日の魔王様</t>
  </si>
  <si>
    <t>月刊少女野崎くん アンソロジー</t>
  </si>
  <si>
    <t>原作：椿いづみ</t>
  </si>
  <si>
    <t>El Shaddai 外伝 エクソダス</t>
  </si>
  <si>
    <t>原作：イグニッション・エンターテイメント・リミテッド
作画：青桐良</t>
  </si>
  <si>
    <t>(C)2013 crim
(C)Makoto Aogiri/SQUARE ENIX</t>
  </si>
  <si>
    <t>(C)2013 crim
(C)MA/SQEX</t>
  </si>
  <si>
    <t>葉真己</t>
  </si>
  <si>
    <t>(C)Maki Hashiba/SQUARE ENIX</t>
  </si>
  <si>
    <t>葉芝先生の「芝」のくさかんむりは間の離れたくさかんむり（艸部）になります。テキストでの表記の場合「葉芝」で構いませんが、画像などに名前を記載する際は単行本の表紙と同様の表記にしてください。</t>
  </si>
  <si>
    <t>ドミノキック 並べられたドミノをキックしたらどうなるのかしら？</t>
  </si>
  <si>
    <t>下神木るこ</t>
  </si>
  <si>
    <t>(C)Ruco Shitakamiki/SQUARE ENIX</t>
  </si>
  <si>
    <t>(C)RS/SQEX</t>
  </si>
  <si>
    <t>うちの魔王かみませんよ</t>
  </si>
  <si>
    <t>おとうさん</t>
  </si>
  <si>
    <t>(C)Otousan/SQUARE ENIX</t>
  </si>
  <si>
    <t>(C)Otousan/SQEX</t>
  </si>
  <si>
    <t>El Shaddai ceta</t>
  </si>
  <si>
    <t>竹安佐和記</t>
  </si>
  <si>
    <t>(C)2014 crim</t>
  </si>
  <si>
    <t>一鬼夜行</t>
  </si>
  <si>
    <t>原作：小松エメル（『一鬼夜行』ポプラ文庫ピュアフル刊）
漫画：森川侑</t>
  </si>
  <si>
    <t>(C)Emel Komatsu 2010
(C)Yuu Morikawa/SQUARE ENIX</t>
  </si>
  <si>
    <t>(C)Emel.K 2010
(C)YM/SQEX</t>
  </si>
  <si>
    <t>原作者コピーライトの省略版の年号表記 「2010」については、都度確認ください。（先方確認のため通常より監修期間が必要）</t>
  </si>
  <si>
    <t>おしげりなんし 篭鳥探偵・芙蓉の夜伽噺</t>
  </si>
  <si>
    <t>原作：加藤実秋
漫画：丸山朝ヲ
構成：わたり</t>
  </si>
  <si>
    <t>(C)Miaki Kato/SQUARE ENIX
(C)Tomō Maruyama/SQUARE ENIX
(C)Watari/SQUARE ENIX</t>
  </si>
  <si>
    <t>(C)MK/SQEX
(C)TM/SQEX
(C)Watari/SQEX</t>
  </si>
  <si>
    <t>(C)Tomō Maruyamaの「mo」文字はローマ字「o」の長音にあたる「ō」です。表記できない場合はご相談ください。</t>
  </si>
  <si>
    <t>SHIORI EXPERIENCE ジミなわたしとヘンなおじさん</t>
  </si>
  <si>
    <t>著者：長田悠幸　町田一八</t>
  </si>
  <si>
    <t>(C)YO/SQEX (C)KM/SQEX</t>
  </si>
  <si>
    <t>コピーライトは横並びにしてください。</t>
  </si>
  <si>
    <t>投票げぇむ あなたに黒き一票を</t>
  </si>
  <si>
    <t>原作：ごぉ
構成：CHIHIRO
作画：たつひこ</t>
  </si>
  <si>
    <t>(C)G.O./SQUARE ENIX
(C)CHIHIRO/SQUARE ENIX
(C)Tatsuhiko/SQUARE ENIX</t>
  </si>
  <si>
    <t>(C)G.O./SQEX
(C)CHIHIRO/SQEX
(C)Tatsuhiko/SQEX</t>
  </si>
  <si>
    <t>殺意の戦鬼</t>
  </si>
  <si>
    <t>小林大樹</t>
  </si>
  <si>
    <t>(C)Daiki Kobayashi/SQUARE ENIX</t>
  </si>
  <si>
    <t>(C)DK/SQEX</t>
  </si>
  <si>
    <t>ダンジョンに出会いを求めるのは間違っているだろうか 外伝　ソード・オラトリア</t>
  </si>
  <si>
    <t>原作：大森藤ノ（GA文庫／SBクリエイティブ刊）
漫画：矢樹貴
キャラクターデザイン：はいむらきよたか／ヤスダスズヒト</t>
  </si>
  <si>
    <t>(C)Fujino Omori/SB Creative Corp.　
Original Character Designs:(C)Kiyotaka Haimura/SB Creative Corp.
Original Character Designs:(C)Suzuhito Yasuda/SB Creative Corp.
(C)Takashi Yagi/SQUARE ENIX</t>
  </si>
  <si>
    <t>(C)FO,KH,SY/SBCr
(C)TY/SQEX</t>
  </si>
  <si>
    <t>恨み来、恋、恨み恋。</t>
  </si>
  <si>
    <t>秋タカ</t>
  </si>
  <si>
    <t>(C)Akitaka/SQUARE ENIX</t>
  </si>
  <si>
    <t>(C)Akitaka/SQEX</t>
  </si>
  <si>
    <t>ドラゴンクエスト 精霊ルビス伝説</t>
  </si>
  <si>
    <t>原作：久美沙織
作画：阿部ゆたか
ゲームドラゴンクエストシリーズ シナリオ：堀井雄二</t>
  </si>
  <si>
    <t xml:space="preserve">（C）Saori Kumi/SQUARE ENIX
（C）Yutaka Abe/SQUARE ENIX
（C）SQUARE ENIX CO.,LTD.  All Rights Reserved. </t>
  </si>
  <si>
    <t xml:space="preserve">（C）SK/SQEX
（C）YA/SQEX
（C）SQUARE ENIX CO.,LTD.  All Rights Reserved. </t>
  </si>
  <si>
    <t>俺の彼女に何かようかい</t>
  </si>
  <si>
    <t>結婚指輪物語</t>
  </si>
  <si>
    <t>ブタイウラ</t>
  </si>
  <si>
    <t>最弱無敗の神装機竜《バハムート》</t>
  </si>
  <si>
    <t>原作：明月千里
作画：唯浦史
構成：渡辺樹
キャラクター原案：春日歩</t>
  </si>
  <si>
    <t>(C)Senri Akatsuki/SB Creative Corp. 
Original Character Designs:(C)Ayumu Kasuga/SB Creative Corp.
(C)Fumi Tadaura/SQUARE ENIX
(C)Itsuki Watanabe/SQUARE ENIX</t>
  </si>
  <si>
    <t>(C)SA,AK/SBCr
(C)FT,IW/SQEX</t>
  </si>
  <si>
    <t>落第騎士の英雄譚《キャバルリィ》</t>
  </si>
  <si>
    <t>原作：海空りく
漫画：空路恵
キャラクター原案：をん</t>
  </si>
  <si>
    <t>(C)Riku Misora/SB Creative Corp.
Original Character Designs:(C)Won/SB Creative Corp.
(C)Megumu Soramichi/SQUARE ENIX</t>
  </si>
  <si>
    <t>(C)RM,W/SBCr
(C)MS/SQEX</t>
  </si>
  <si>
    <t>俺、ツインテールになります。π</t>
  </si>
  <si>
    <t>原作：水沢 夢
キャラクター原案：春日 歩
漫画：柚木涼太</t>
  </si>
  <si>
    <t>(C)水沢 夢･春日 歩／小学館「ガガガ文庫」
(C)Ryota Yuzuki/SQUARE ENIX</t>
  </si>
  <si>
    <t>(C)水沢 夢･春日 歩／小学館「ガガガ文庫」
(C)RY/SQEX</t>
  </si>
  <si>
    <t>愚愚れ！　信楽さん ―繰繰れ！　コックリさん 信楽おじさんスピンオフ―</t>
  </si>
  <si>
    <t>原作：遠藤ミドリ
作画：宗一郎</t>
  </si>
  <si>
    <t>(C)Midori Endo/SQUARE ENIX
(C)Souichirou/SQUARE ENIX</t>
  </si>
  <si>
    <t>(C)ME/SQEX
(C)Souichirou/SQEX</t>
  </si>
  <si>
    <t>バナー等でタイトル名をロゴ利用以外で使用する場合は、原則「愚愚」に「ググ」とカタカナのルビを振ること。（ただしバナーサイズの関係で入れられない場合の省略可。）</t>
  </si>
  <si>
    <t>んぐるわ会報</t>
  </si>
  <si>
    <t>高尾じんぐ</t>
  </si>
  <si>
    <t>(C)Jingu Takao/SQUARE ENIX</t>
  </si>
  <si>
    <t>オシエシラバス</t>
  </si>
  <si>
    <t>漫専魔王少女エナ様</t>
  </si>
  <si>
    <t>愛狼童話 赤ずきん！</t>
  </si>
  <si>
    <t>青神香月</t>
  </si>
  <si>
    <t>(C)Kazuki Aogami/SQUARE ENIX</t>
  </si>
  <si>
    <t>(C)KA/SQEX</t>
  </si>
  <si>
    <t>わ！</t>
  </si>
  <si>
    <t>げきぶの。</t>
  </si>
  <si>
    <t>極道チェリー</t>
  </si>
  <si>
    <t>未須あゆみ</t>
  </si>
  <si>
    <t>(C)Miss Ayumi/SQUARE ENIX</t>
  </si>
  <si>
    <t>(C)MA/SQEX</t>
  </si>
  <si>
    <t>マニアッター☆</t>
  </si>
  <si>
    <t>IKARING</t>
  </si>
  <si>
    <t>(C)IKARING/SQUARE ENIX</t>
  </si>
  <si>
    <t>(C)IKARING/SQEX</t>
  </si>
  <si>
    <t>イビツ</t>
  </si>
  <si>
    <t>了 春刀</t>
  </si>
  <si>
    <t>(C)Haruto Ryo/SQUARE ENIX</t>
  </si>
  <si>
    <t>(C)HR/SQEX</t>
  </si>
  <si>
    <t>その吸血鬼は正しくない夢をみる</t>
  </si>
  <si>
    <t>葉月めぐみ</t>
  </si>
  <si>
    <t>(C)Megumi Hazuki/SQUARE ENIX</t>
  </si>
  <si>
    <t>selector infected WIXOSS -Re/verse-</t>
  </si>
  <si>
    <t>原作：LRIG
ストーリー原案：岡田麿里
漫画：めきめき</t>
  </si>
  <si>
    <t>(C) TOMY
(C)LRIG/Project Selector
(C)Mekimeki/SQUARE ENIX</t>
  </si>
  <si>
    <t>(C) TOMY
(C)LRIG/Project Selector
(C)Mekimeki/SQEX</t>
  </si>
  <si>
    <t>役職ディストピアリ</t>
  </si>
  <si>
    <t>原作：千賀史貴
作画：テルミン</t>
  </si>
  <si>
    <t>(C)Fumitaka Senga/SQUARE ENIX
(C)Tellmin'/SQUARE ENIX</t>
  </si>
  <si>
    <t>(C)FS/SQEX
(C)Tellmin'/SQEX</t>
  </si>
  <si>
    <t>うらさい</t>
  </si>
  <si>
    <t>原作：しろがね杏
作画：柚弦</t>
  </si>
  <si>
    <t>(C)An Shirogane/SQUARE ENIX
(C)Yu Hyun/SQUARE ENIX</t>
  </si>
  <si>
    <t>(C)AS/SQEX
(C)YH/SQEX</t>
  </si>
  <si>
    <t>シスターハニービスケット</t>
  </si>
  <si>
    <t>おみおみ</t>
  </si>
  <si>
    <t>(C)OmiOmi/SQUARE ENIX</t>
  </si>
  <si>
    <t>(C)OmiOmi/SQEX</t>
  </si>
  <si>
    <t>スクールガールストライカーズ Comic Channel</t>
  </si>
  <si>
    <t>桃山ひなせ</t>
  </si>
  <si>
    <t>(C) 2014-2016 SQUARE ENIX CO., LTD.  All Rights Reserved.
(C)Hinase Momoyama/SQUARE ENIX</t>
  </si>
  <si>
    <t>(C) 2014-2016 SQUARE ENIX CO., LTD.  All Rights Reserved.
(C)HM/SQEX</t>
  </si>
  <si>
    <t>ラヴァーズ・ハイ</t>
  </si>
  <si>
    <t>大久保樹</t>
  </si>
  <si>
    <t>(C)Tatsuki Okubo/SQUARE ENIX</t>
  </si>
  <si>
    <t>（C)TO/SQEX</t>
  </si>
  <si>
    <t>しのりん本番入ります！</t>
  </si>
  <si>
    <t>玉上八宏</t>
  </si>
  <si>
    <t>(C)Yatsuhiro Tamagami/SQUARE ENIX</t>
  </si>
  <si>
    <t>Re：ゼロから始める異世界生活 第二章 屋敷の一週間編</t>
  </si>
  <si>
    <t>原作：長月達平（「Re:ゼロから始める異世界生活」KADOKAWA/MF文庫J刊）
漫画：楓月誠
キャラクター原案：大塚真一郎</t>
  </si>
  <si>
    <t>(C)Tappei Nagatsuki 2014
Licensed by KADOKAWA CORPORATION
(C)Makoto Fugetsu/SQUARE ENIX</t>
  </si>
  <si>
    <t>(C)Tappei Nagatsuki 2014
Licensed by KADOKAWA CORPORATION
(C)MF/SQEX</t>
  </si>
  <si>
    <t>シークレット ラブ スクーリー</t>
  </si>
  <si>
    <t>中村力斗</t>
  </si>
  <si>
    <t>(C)Rikito Nakamura/SQUARE ENIX</t>
  </si>
  <si>
    <t>(C)RN/SQEX</t>
  </si>
  <si>
    <t>ゆうべはお楽しみでしたね</t>
  </si>
  <si>
    <t>(C) ARMOR PROJECT/BIRD STUDIO/SQUARE ENIX
(C)Renjuro Kindaichi/SQUARE ENIX</t>
  </si>
  <si>
    <t>(C) ARMOR PROJECT/BIRD STUDIO/SQUARE ENIX
(C)RK/SQEX</t>
  </si>
  <si>
    <t>「ドラゴンクエストＸ」のコピーライト更新（20230829）</t>
  </si>
  <si>
    <t>みこみみみみこ〜妖魔討伐神子録〜</t>
  </si>
  <si>
    <t>いしとゆうら</t>
  </si>
  <si>
    <t>(C)ishitoyura/SQUARE ENIX</t>
  </si>
  <si>
    <t>(C)ishitoyura/SQEX</t>
  </si>
  <si>
    <t>RUN day BURST</t>
  </si>
  <si>
    <t>長田悠幸</t>
  </si>
  <si>
    <t>(C)Yuko Osada/SQUARE ENIX</t>
  </si>
  <si>
    <t>(C)YO/SQEX</t>
  </si>
  <si>
    <t>君と紙ヒコーキと。</t>
  </si>
  <si>
    <t>ばのてん！</t>
  </si>
  <si>
    <t>ばのてん！ SUMMER DAYS</t>
  </si>
  <si>
    <t>死神様に最期のお願いを</t>
  </si>
  <si>
    <t>山口ミコト</t>
  </si>
  <si>
    <t>(C)Mikoto Yamaguti/SQUARE ENIX</t>
  </si>
  <si>
    <t>(C)MY/SQEX</t>
  </si>
  <si>
    <t>絶対セカイの黒い虎 ～realtime★classic～</t>
  </si>
  <si>
    <t>日本橋恵太朗</t>
  </si>
  <si>
    <t>(C)Keitarou Nihonbashi/SQUARE ENIX</t>
  </si>
  <si>
    <t>閉ざされたネルガル</t>
  </si>
  <si>
    <t>あるま るみ</t>
  </si>
  <si>
    <t>(C)Rumi Aruma/SQUARE ENIX</t>
  </si>
  <si>
    <t>(C)RA/SQEX</t>
  </si>
  <si>
    <t>君と紙ヒコーキと。回</t>
  </si>
  <si>
    <t>原作：葉月抹茶
作画：片桐辺</t>
  </si>
  <si>
    <t>(C)Matcha Hazuki/SQUARE ENIX
(C)Atari Katagiri/SQUARE ENIX</t>
  </si>
  <si>
    <t>(C)MH/SQEX
(C)AK/SQEX</t>
  </si>
  <si>
    <t>ブレイブリーデフォルトアンソロジー</t>
  </si>
  <si>
    <t>シナリオ：チーム月島
作画：朝倉亮介
作画：東ジュン
作画：鈴木次郎
作画：藤本新太</t>
  </si>
  <si>
    <t>(C)2012-2015 SQUARE ENIX CO., LTD.  All Rights Reserved.
MAIN CHARACTER DESIGN：Akihiko Yoshida.</t>
  </si>
  <si>
    <t>なし</t>
  </si>
  <si>
    <t>ダンジョンに出会いを求めるのは間違っているだろうか４コマ【神様の日常】</t>
  </si>
  <si>
    <t>原作：大森藤ノ
漫画：タカムラマサヤ
キャラクター原案：ヤスダスズヒト</t>
  </si>
  <si>
    <t>(C)Fujino Omori/SB Creative Corp. 
Original Character Designs:(C)Suzuhito Yasuda/SB Creative Corp.
(C)Masaya Takamura/SQUARE ENIX</t>
  </si>
  <si>
    <t>(C)FO,SY/SBCr
(C)MT/SQEX</t>
  </si>
  <si>
    <t>インディゴの夜</t>
  </si>
  <si>
    <t>原作：加藤実秋 （集英社文庫「インディゴの夜」シリーズ）
作画：白木苺
構成・背景設定：中村朝</t>
  </si>
  <si>
    <t>(C)Miaki Kato 2013
(C)Ichigo Shiraki/SQUARE ENIX
(C)Asa Nakamura/SQUARE ENIX</t>
  </si>
  <si>
    <t>(C)Miaki Kato 2013
(C)IS/SQEX
(C)AN/SQEX</t>
  </si>
  <si>
    <t>神とよばれた吸血鬼</t>
  </si>
  <si>
    <t>桜井海</t>
  </si>
  <si>
    <t>(C)Umi Sakurai/SQUARE ENIX</t>
  </si>
  <si>
    <t>(C)US/SQEX</t>
  </si>
  <si>
    <t>地縛少年 花子くん</t>
  </si>
  <si>
    <t>あいだいろ</t>
  </si>
  <si>
    <t>(C)AidaIro/SQUARE ENIX</t>
  </si>
  <si>
    <t>(C)AidaIro/SQEX</t>
  </si>
  <si>
    <t>妖怪学校の先生はじめました！</t>
  </si>
  <si>
    <t>田中まい</t>
  </si>
  <si>
    <t>(C)Mai Tanaka/SQUARE ENIX</t>
  </si>
  <si>
    <t>©MT/SQEX</t>
  </si>
  <si>
    <t>Now playing</t>
  </si>
  <si>
    <t>一二三</t>
  </si>
  <si>
    <t>(C)Hifumi/SQUARE ENIX</t>
  </si>
  <si>
    <t>(C)Hifumi/SQEX</t>
  </si>
  <si>
    <t>クロノス　次世代犯罪情報室</t>
  </si>
  <si>
    <t>原作：神永学　「クロノス―天命探偵Next Gear―」(新潮社刊)より
作画：優月祥</t>
  </si>
  <si>
    <t>(C)2013 Manabu Kaminaga/Shinchosha
(C)Shou Yuduki/SQUARE ENIX</t>
  </si>
  <si>
    <t>(C)2013 Manabu Kaminaga/Shinchosha
(C)SY/SQEX</t>
  </si>
  <si>
    <t>ＤＵＥＬ！</t>
  </si>
  <si>
    <t>藍井彬</t>
  </si>
  <si>
    <t>(C)Akira Aoi/SQUARE ENIX</t>
  </si>
  <si>
    <t>(C)AA/SQEX</t>
  </si>
  <si>
    <t>ダンまち４コマ そもそもダンジョンにもぐるのが間違いではないだろうか</t>
  </si>
  <si>
    <t>原作：大森藤ノ
キャラクター原案：ヤスダスズヒト
漫画：ちょぼらうにょぽみ</t>
  </si>
  <si>
    <t>(C)Fujino Omori/SB Creative Corp. 
Original Character Designs:(C)Suzuhito Yasuda/SB Creative Corp.
(C)Choboraunyopomi/SQUARE ENIX</t>
  </si>
  <si>
    <t>(C)FO,SY/SBCr
(C)C/SQEX</t>
  </si>
  <si>
    <t>WORKING!! Re:オーダー</t>
  </si>
  <si>
    <t>WEB版 WORKING!!</t>
  </si>
  <si>
    <t>Im～イム～</t>
  </si>
  <si>
    <t>森下真</t>
  </si>
  <si>
    <t>(C)Makoto Morishita/SQUARE ENIX</t>
  </si>
  <si>
    <t>死神と銀の騎士</t>
  </si>
  <si>
    <t>イロノ</t>
  </si>
  <si>
    <t>(C)Irono/SQUARE ENIX</t>
  </si>
  <si>
    <t>(C)Irono/SQEX</t>
  </si>
  <si>
    <t>イヌカイ×トライヴ</t>
  </si>
  <si>
    <t>作：原田庵十
コミック：綾村切人</t>
  </si>
  <si>
    <t>(C)Anjyu Harada/SQUARE ENIX
(C)Kirihito Ayamura/SQUARE ENIX</t>
  </si>
  <si>
    <t>(C)AH/SQEX
(C)KA/SQEX</t>
  </si>
  <si>
    <t>フダンシフル！</t>
  </si>
  <si>
    <t>助太刀09</t>
  </si>
  <si>
    <t>シャドルーのベガさん</t>
  </si>
  <si>
    <t>著者：大和田秀樹
原案：カプコン</t>
  </si>
  <si>
    <t>(C)Hideki Ohwada/SQUARE ENIX
(C)CAPCOM U.S.A., INC. ALL RIGHTS RESERVED.</t>
  </si>
  <si>
    <t>(C)HO/SQEX
(C)CAPCOM U.S.A., INC. ALL RIGHTS RESERVED.</t>
  </si>
  <si>
    <t>デュラララ!! RE;ダラーズ編</t>
  </si>
  <si>
    <t>原作：成田良悟
キャラクターデザイン：ヤスダスズヒト
作画：あおぎり</t>
  </si>
  <si>
    <t>(C)Ryohgo Narita
(C)Aogiri/SQUARE ENIX
Licensed by KADOKAWA CORPORATION  ASCII MEDIA WORKS</t>
  </si>
  <si>
    <t>(C)Ryohgo Narita
(C)Aogiri/SQEX
Licensed by KADOKAWA CORPORATION  ASCII MEDIA WORKS</t>
  </si>
  <si>
    <t>とある魔術のヘヴィーな座敷童が簡単な殺人妃の婚活事情</t>
  </si>
  <si>
    <t>原作：鎌池和馬　
構成：西野リュウ　
作画：臥待始
キャラクター原案：はいむらきよたか、凪良、真早、葛西 心 ほか</t>
  </si>
  <si>
    <t>(C)Kazuma Kamachi
(C)Ryu Nishino/SQUARE ENIX
(C)Hajime Fusemachi/SQUARE ENIX
Licensed by KADOKAWA CORPORATION ASCII MEDIA WORKS</t>
  </si>
  <si>
    <t>(C)Kazuma Kamachi
(C)RN/SQEX
(C)HF/SQEX
Licensed by KADOKAWA CORPORATION ASCII MEDIA WORKS</t>
  </si>
  <si>
    <t>K ドッグ&amp;キャット</t>
  </si>
  <si>
    <t>漫画：木村りん
ストーリー原作：古橋秀之（GoRA ）
原作：GoRA・GoHands</t>
  </si>
  <si>
    <t>(C)GoRA・GoHands/k-project
(C)RK/SQEX</t>
  </si>
  <si>
    <t>妖飼兄さん</t>
  </si>
  <si>
    <t>アインシュタインの怪物</t>
  </si>
  <si>
    <t>K MISSING KINGS</t>
  </si>
  <si>
    <t xml:space="preserve">漫画：汐田晴人
ストーリー構成：古橋秀之（GoRA ）
原作：GoRA・GoHands
</t>
  </si>
  <si>
    <t>(C)Haruto Shiota/SQUARE ENIX
(C)GoRA・GoHands/k-project</t>
  </si>
  <si>
    <t>(C)HS/SQEX
(C)GoRA・GoHands/k-project</t>
  </si>
  <si>
    <t>私の友達がモテないのはどう考えてもお前らが悪い。</t>
  </si>
  <si>
    <t>ROSE GUNS DAYS　Last Season</t>
  </si>
  <si>
    <t>原作・監修：竜騎士07
作画：座紀光倫</t>
  </si>
  <si>
    <t>(C)竜騎士07/07th Expansion
(C)Mitsunori Zaki/SQUARE ENIX</t>
  </si>
  <si>
    <t>(C)竜騎士07/07th Expansion
(C)MZ/SQEX</t>
  </si>
  <si>
    <t>真実の魔法少女</t>
  </si>
  <si>
    <t>備長炭</t>
  </si>
  <si>
    <t>(C)Binchotan/SQUARE ENIX</t>
  </si>
  <si>
    <t>(C)Binchotan/SQEX</t>
  </si>
  <si>
    <t>地獄の教頭</t>
  </si>
  <si>
    <t>大沼良太</t>
  </si>
  <si>
    <t>(C)Ryota Onuma/SQUARE ENIX</t>
  </si>
  <si>
    <t>ドラゴンクエストVIII　４コママンガ劇場　復刻版</t>
  </si>
  <si>
    <t>(C) 2004, 2015 ARMOR PROJECT/BIRD STUDIO/SQUARE ENIX  All Rights Reserved.</t>
  </si>
  <si>
    <t>刀剣乱舞-ONLINE-アンソロジーコミック～刀剣男士幕間劇～</t>
  </si>
  <si>
    <t>原案：刀剣乱舞-ONLINE-アンソロジーコミック～刀剣男士幕間劇～</t>
  </si>
  <si>
    <t>原案　「刀剣乱舞-ONLINE-」より (DMMゲームズ/Nitroplus)
(C) 2015 DMMゲームズ/Nitroplus</t>
  </si>
  <si>
    <t>再世のファンタズマ</t>
  </si>
  <si>
    <t>ベルゼブブ嬢のお気に召すまま。</t>
  </si>
  <si>
    <t>454</t>
  </si>
  <si>
    <t>非日常的なネパール滞在記</t>
  </si>
  <si>
    <t>三部けい＆りえ</t>
  </si>
  <si>
    <t>アオイココロが地球を割る(削る)</t>
  </si>
  <si>
    <t>魔法少女特殊戦あすか</t>
  </si>
  <si>
    <t>原作：深見 真
作画：刻夜セイゴ
軍事設定協力：田村尚也</t>
  </si>
  <si>
    <t>(C)Makoto Fukami/SQUARE ENIX
(C)Seigo Tokiya/SQUARE ENIX</t>
  </si>
  <si>
    <t>(C)MF/SQEX
(C)ST/SQEX</t>
  </si>
  <si>
    <t>銀彩の川</t>
  </si>
  <si>
    <t>原作：萱島のぞみ
作画：倉田噓
監修：黒田一樹（中小企業診断士、１級販売士）</t>
  </si>
  <si>
    <t>(C)Nozomi Kayashima/SQUARE ENIX
(C)Uso Kurata/SQUARE ENIX</t>
  </si>
  <si>
    <t>(C)NK/SQEX
(C)UK/SQEX</t>
  </si>
  <si>
    <t>灰と幻想のグリムガル</t>
  </si>
  <si>
    <t>原作：十文字青(オーバーラップ文庫刊)
漫画：奥橋睦
キャラクター原案：白井鋭利</t>
  </si>
  <si>
    <t>(C)Ao Jyumonji／OVERLAP
(C)Mutsumi Okubashi/SQUARE ENIX</t>
  </si>
  <si>
    <t xml:space="preserve">(C)Ao Jyumonji／OVERLAP
(C)MO/SQEX </t>
  </si>
  <si>
    <t>神恋―カミコイ―</t>
  </si>
  <si>
    <t>スクールガールストライカーズ Anthology Channel</t>
  </si>
  <si>
    <t>(C) 2014, 2015 SQUARE ENIX CO., LTD.  All Rights Reserved.</t>
  </si>
  <si>
    <t>コープスパーティー</t>
  </si>
  <si>
    <t>原作：映画「コープスパーティー」製作委員会
ネーム構成：CHIHIRO
作画：肝匠(Friendly Land)</t>
  </si>
  <si>
    <t>(C)2015 Team GrisGris/MAGES./5pb./映画「コープスパーティー」製作委員会
(C)CHIHIRO/SQUARE ENIX
(C)Friendly Land/SQUARE ENIX</t>
  </si>
  <si>
    <t>(C)2015 Team GrisGris/MAGES./5pb./映画「コープスパーティー」製作委員会
(C)CHIHIRO/SQEX
(C)FL/SQEX</t>
  </si>
  <si>
    <t>悪魔も踏むを恐れるところ</t>
  </si>
  <si>
    <t>天賀井さんは案外ふつう</t>
  </si>
  <si>
    <t>原作：城平 京
作画：水野英多</t>
  </si>
  <si>
    <t xml:space="preserve">(C)Kyo Shirodaira/SQUARE ENIX 
(C)Eita Mizuno/SQUARE ENIX </t>
  </si>
  <si>
    <t>(C)KS/SQEX
(C)EM/SQEX</t>
  </si>
  <si>
    <t>ハッピーシュガーライフ</t>
  </si>
  <si>
    <t>鍵空とみやき</t>
  </si>
  <si>
    <t>(C)Tomiyaki Kagisora/SQUARE ENIX</t>
  </si>
  <si>
    <t>制服のヴァンピレスロード</t>
  </si>
  <si>
    <t>NEWS×it</t>
  </si>
  <si>
    <t>まりまりマリーゴールド</t>
  </si>
  <si>
    <t>カサイ</t>
  </si>
  <si>
    <t>(C)Kasai/SQUARE ENIX</t>
  </si>
  <si>
    <t>(C)Kasai/SQEX</t>
  </si>
  <si>
    <t>Classi9</t>
  </si>
  <si>
    <t>君死ニタマフ事ナカレ</t>
  </si>
  <si>
    <t>原作：ヨコオタロウ
作画：森山大輔
制服デザイン原案：倉花千夏</t>
  </si>
  <si>
    <t>(C)Yoko Taro/SQUARE ENIX
(C)Daisuke Moriyama/SQUARE ENIX</t>
  </si>
  <si>
    <t>(C)YT/SQEX
(C)DM/SQEX</t>
  </si>
  <si>
    <t>銀河ロケットにお葉書ください</t>
  </si>
  <si>
    <t>原案・脚本：太田垣康男 スタジオ・トア
漫画：太田優姫</t>
  </si>
  <si>
    <t>(C)太田垣康男/スタジオ・トア
(C)YUUKI OHTA/SQUARE ENIX</t>
  </si>
  <si>
    <t>トゥー・マッチ・ペイン</t>
  </si>
  <si>
    <t>原田雅史</t>
  </si>
  <si>
    <t>(C)Masafumi Harada/SQUARE ENIX</t>
  </si>
  <si>
    <t>久住くん、空気読めてますか？</t>
  </si>
  <si>
    <t>もすこ</t>
  </si>
  <si>
    <t>(C)Mosco/SQUARE ENIX</t>
  </si>
  <si>
    <t>(C)Mosco/SQEX</t>
  </si>
  <si>
    <t>そんぐり！</t>
  </si>
  <si>
    <t>藤咲ユウ</t>
  </si>
  <si>
    <t>(C)You Fujisaki/SQUARE ENIX</t>
  </si>
  <si>
    <t>(C)YF/SQEX</t>
  </si>
  <si>
    <t>葬除屋XRAID</t>
  </si>
  <si>
    <t>原作：生田さやか INDIVISION
作画：しほうあきら</t>
  </si>
  <si>
    <t>(C)INDIVISION</t>
  </si>
  <si>
    <t>聖樹のパン</t>
  </si>
  <si>
    <t>原作：山花典之
作画：たかはし慶行</t>
  </si>
  <si>
    <t>(C)Noriyuki Yamahana
/SQUARE ENIX
(C)Yoshiyuki Takahashi/SQUARE ENIX</t>
  </si>
  <si>
    <t>(C)NY/SQEX
(C)YT/SQEX</t>
  </si>
  <si>
    <t>廻生のカリカチュア</t>
  </si>
  <si>
    <t>原案・設定・コンテ：極楽院櫻子
脚本：もぎひろむ
作画：轟斗ソラ</t>
  </si>
  <si>
    <t>(C)Sakurako Gokurakuin/SQUARE ENIX
(C)Mogihiromu/SQUARE ENIX
(C)Sora Goto/SQUARE ENIX</t>
  </si>
  <si>
    <t>(C)SG/SQEX
(C)Mogihiromu/SQEX
(C)SG/SQEX</t>
  </si>
  <si>
    <t>むつの花＊エクソダす</t>
  </si>
  <si>
    <t>(C)Shamu Ito/SQUARE ENIX</t>
  </si>
  <si>
    <t>Dance with Devils -Blight-</t>
  </si>
  <si>
    <t>原案：岩崎大介（Rejet)
原作：グリモワール編纂室
ストーリー構成：中瀬理香
キャラクター原案：前田浩孝（Rejet）
漫画：七都サマコ</t>
  </si>
  <si>
    <t>(C)グリモワール編纂室／Dance with Devils製作委員会
(C)Samako Natsu/SQUARE ENIX</t>
  </si>
  <si>
    <t>(C)RG／DwD
(C)SN/SQEX</t>
  </si>
  <si>
    <t>賭ケグルイ双</t>
  </si>
  <si>
    <t>原作：河本ほむら
作画：斎木桂</t>
  </si>
  <si>
    <t>(C)Homura Kawamoto・Kei Saiki/SQUARE ENIX</t>
  </si>
  <si>
    <t>(C)HK・KS/SQEX</t>
  </si>
  <si>
    <t>偉大なる魔女プアン様の観察日記</t>
  </si>
  <si>
    <t>高瀬飛鳥</t>
  </si>
  <si>
    <t>(C)Asuka Takase/SQUARE ENIX</t>
  </si>
  <si>
    <t>(C)AT/SQEX</t>
  </si>
  <si>
    <t>481</t>
  </si>
  <si>
    <t>綴－目を開けて見えた景色－</t>
  </si>
  <si>
    <t>椿あす</t>
  </si>
  <si>
    <t>(C)Asu Tsubaki/SQUARE ENIX</t>
  </si>
  <si>
    <t>祝姫</t>
  </si>
  <si>
    <t>脚本:竜騎士07
原作・監修：株式会社DMM.comラボ
作画：タナカトモ
キャラクター原案:和遥キナ</t>
  </si>
  <si>
    <t>(C)DMM GAMES
(C)Tomo Tanaka/SQUARE ENIX</t>
  </si>
  <si>
    <t>(C)DMM GAMES
(C)TT/SQEX</t>
  </si>
  <si>
    <t>※(C)DMMゲームズから(C)DMM GAMESに変更（１９／７／１８）（</t>
  </si>
  <si>
    <t>りゅうおうのおしごと！</t>
  </si>
  <si>
    <t>原作：白鳥士郎（GA文庫／SBクリエイティブ刊）
構成：カズキ
作画：こげたおこげ
キャラクター原案：しらび
監修：西遊棋</t>
  </si>
  <si>
    <t>(C)Shirow Shiratori/SB Creative Corp. 
Original Character Designs:(C)Shirabii/SB Creative Corp.
(C)Kazuki/SQUARE ENIX
(C)Kogetaokoge/SQUARE ENIX</t>
  </si>
  <si>
    <t>(C)SS,S/SBCr
(C)K,K/SQEX</t>
  </si>
  <si>
    <t>くまふれぃば。</t>
  </si>
  <si>
    <t>たかたゆうじ</t>
  </si>
  <si>
    <t>(C)Yuji Takata/SQUARE ENIX</t>
  </si>
  <si>
    <t>Romsen Saga</t>
  </si>
  <si>
    <t>顔に出せない吉沢くん</t>
  </si>
  <si>
    <t>(C)Sato/SQUARE ENIX</t>
  </si>
  <si>
    <t>(C)Sato/SQEX</t>
  </si>
  <si>
    <t>トキオトナナミ</t>
  </si>
  <si>
    <t>みか</t>
  </si>
  <si>
    <t>(C)Mika/SQUARE ENIX</t>
  </si>
  <si>
    <t>(C)Mika/SQEX</t>
  </si>
  <si>
    <t>ライオット・ガール</t>
  </si>
  <si>
    <t>(C)mako/SQUARE ENIX</t>
  </si>
  <si>
    <t>(C)mako/SQEX</t>
  </si>
  <si>
    <t>三月は俺様になります</t>
  </si>
  <si>
    <t>紺吉</t>
  </si>
  <si>
    <t>(C)Konkichi/SQUARE ENIX</t>
  </si>
  <si>
    <t>(C)Konkichi/SQEX</t>
  </si>
  <si>
    <t>壁にメリー.com</t>
  </si>
  <si>
    <t>コバシコ</t>
  </si>
  <si>
    <t>(C)Kobashiko/SQUARE ENIX</t>
  </si>
  <si>
    <t>(C)Kobashiko/SQEX</t>
  </si>
  <si>
    <t>くましろくろ</t>
  </si>
  <si>
    <t>僕のランチを邪魔するな！</t>
  </si>
  <si>
    <t>香穂</t>
  </si>
  <si>
    <t>(C)Kaho/SQUARE ENIX</t>
  </si>
  <si>
    <t>(C)Kaho/SQEX</t>
  </si>
  <si>
    <t>Man In The Window</t>
  </si>
  <si>
    <t>原作：マサトキ
漫画：アナジロ</t>
  </si>
  <si>
    <t>(C)Masatoki/SQUARE ENIX
(C)Anajiro/SQUARE ENIX</t>
  </si>
  <si>
    <t>(C)Masatoki/SQEX
(C)Anajiro/SQEX</t>
  </si>
  <si>
    <t>499</t>
  </si>
  <si>
    <t>しょぼしょぼマン</t>
  </si>
  <si>
    <t>500</t>
  </si>
  <si>
    <t>博多豚骨ラーメンズ</t>
  </si>
  <si>
    <t>原作：木崎ちあき
キャラクターデザイン：一色箱
作画：秋野キサラ</t>
  </si>
  <si>
    <t>(C)CHIAKI KISAKI 20XX
(C)KISARA AKINO/SQUARE ENIX</t>
  </si>
  <si>
    <t>(C)CHIAKI KISAKI 20XX
(C)KA/SQEX</t>
  </si>
  <si>
    <t>年号は毎年更新</t>
  </si>
  <si>
    <t>ななしのアステリズム</t>
  </si>
  <si>
    <t>小林キナ</t>
  </si>
  <si>
    <t>(C)Kina Kobayashi/SQUARE ENIX</t>
  </si>
  <si>
    <t>立-Ritz-</t>
  </si>
  <si>
    <t>大和田秀樹</t>
  </si>
  <si>
    <t>(C)Hideki Ohwada/SQUARE ENIX</t>
  </si>
  <si>
    <t>(C)HO/SQEX</t>
  </si>
  <si>
    <t>クラスメートは全員メガネ？</t>
  </si>
  <si>
    <t>高嶺の花なら落ちてこい!!</t>
  </si>
  <si>
    <t>夏目あやの</t>
  </si>
  <si>
    <t>(C)Ayano Natsume/SQUARE ENIX</t>
  </si>
  <si>
    <t>(C)AN/SQEX</t>
  </si>
  <si>
    <t>フラツキ</t>
  </si>
  <si>
    <t>幽落町おばけ駄菓子屋</t>
  </si>
  <si>
    <t>作画：明日香さつき
原作：蒼月海里（角川ホラー文庫刊）
キャラクターデザイン：六七質</t>
  </si>
  <si>
    <t>(C)20XX Kairi Aotsuki／KADOKAWA HORROR BUNKO
(C)Satsuki Asuka/SQUARE ENIX</t>
  </si>
  <si>
    <t>(C)20XX Kairi Aotsuki／KADOKAWA HORROR BUNKO
(C)SA/SQEX</t>
  </si>
  <si>
    <t>年号は基本毎年更新</t>
  </si>
  <si>
    <t>黒田氏の授業</t>
  </si>
  <si>
    <t>日向きょう</t>
  </si>
  <si>
    <t>(C)Kyo Hinata/SQUARE ENIX</t>
  </si>
  <si>
    <t>プリンセスビヨリ</t>
  </si>
  <si>
    <t>K RETURN OF KINGS</t>
  </si>
  <si>
    <t>漫画：汐田晴人
ストーリー構成：古橋秀之（GoRA）
原作：GoRA・GoHands</t>
  </si>
  <si>
    <t>賽ドリル</t>
  </si>
  <si>
    <t>陽だまりのピニュ</t>
  </si>
  <si>
    <t>こがわみさき</t>
  </si>
  <si>
    <t>(C)Misaki Kogawa/SQUARE ENIX</t>
  </si>
  <si>
    <t>セツナカナイカナ</t>
  </si>
  <si>
    <t>しあわせインベーダー</t>
  </si>
  <si>
    <t>魅惑のビーム</t>
  </si>
  <si>
    <t>演技もん遠藤くん</t>
  </si>
  <si>
    <t>黒戸</t>
  </si>
  <si>
    <t>(C)Kuroto/SQUARE ENIX</t>
  </si>
  <si>
    <t>(C)Kuroto/SQEX</t>
  </si>
  <si>
    <t>戦×恋（ヴァルラヴ）</t>
  </si>
  <si>
    <t>朝倉亮介</t>
  </si>
  <si>
    <t>(C)Ryosuke Asakura/SQUARE ENIX</t>
  </si>
  <si>
    <t>517</t>
  </si>
  <si>
    <t>無能なナナ</t>
  </si>
  <si>
    <t>原作：るーすぼーい
作画：古屋　庵</t>
  </si>
  <si>
    <t>(C)Looseboy・Iori Furuya/SQUARE ENIX</t>
  </si>
  <si>
    <t>(C)L・IF/SQEX</t>
  </si>
  <si>
    <t>僕が僕であるために。</t>
  </si>
  <si>
    <t>ブレイブスター☆ロマンティクス</t>
  </si>
  <si>
    <t>兄の嫁と暮らしています。</t>
  </si>
  <si>
    <t>文具少女ののの</t>
  </si>
  <si>
    <t>522</t>
  </si>
  <si>
    <t>紅井さんは今日も詰んでる。</t>
  </si>
  <si>
    <t>原作：尾高純一
作画：野田大輔</t>
  </si>
  <si>
    <t>(C)Junichi Odaka
/SQUARE ENIX
(C)Daisuke Noda/SQUARE ENIX</t>
  </si>
  <si>
    <t>(C)JO/SQEX
(C)DN/SQEX</t>
  </si>
  <si>
    <t>バッカーノ！</t>
  </si>
  <si>
    <t>原作：成田良悟
作画：藤本新太
キャラクターデザイン：エナミカツミ</t>
  </si>
  <si>
    <t>(C)Ryohgo Narita
(C)Shinta Fujimoto/SQUARE ENIX
Licensed by KADOKAWA CORPORATION　ASCII MEDIA WORKS</t>
  </si>
  <si>
    <t>(C)Ryohgo Narita
(C)SF/SQEX
Licensed by KADOKAWA CORPORATION　ASCII MEDIA WORKS</t>
  </si>
  <si>
    <t>星姫と孤高のきつねくん</t>
  </si>
  <si>
    <t>東ジュン</t>
  </si>
  <si>
    <t>(C)Jun Azuma/SQUARE ENIX</t>
  </si>
  <si>
    <t>(C)JA/SQEX</t>
  </si>
  <si>
    <t>たとえ灰になっても</t>
  </si>
  <si>
    <t>鬼八頭かかし</t>
  </si>
  <si>
    <t>(C)Kakashi Oniyazu/SQUARE ENIX</t>
  </si>
  <si>
    <t>(C)KO/SQEX</t>
  </si>
  <si>
    <t>最底辺の男-Scumbag Loser-</t>
  </si>
  <si>
    <t>(C)Mikoto Yamaguchi/SQUARE ENIX</t>
  </si>
  <si>
    <t>カミヨメ</t>
  </si>
  <si>
    <t>ひとひらり</t>
  </si>
  <si>
    <t>嶋つばさ</t>
  </si>
  <si>
    <t>(C)Tsubasa Shima/SQUARE ENIX</t>
  </si>
  <si>
    <t>雨水リンダ</t>
  </si>
  <si>
    <t>構成／松永きなこ</t>
  </si>
  <si>
    <t>原作：ピエール杉浦
漫画：清水しの</t>
  </si>
  <si>
    <t>(C)Pierre Sugiura・Shino Shimizu/SQUARE ENIX</t>
  </si>
  <si>
    <t>(C)PS・SS/SQEX</t>
  </si>
  <si>
    <t>ヴァニタスの手記</t>
  </si>
  <si>
    <t>猫かぶりの池ヶ谷くん</t>
  </si>
  <si>
    <t>はくり</t>
  </si>
  <si>
    <t>(C)Hakuri/SQUARE ENIX</t>
  </si>
  <si>
    <t>(C)Hakuri/SQEX</t>
  </si>
  <si>
    <t>明治ハナアリ同盟</t>
  </si>
  <si>
    <t>加藤よし江</t>
  </si>
  <si>
    <t>(C)Yoshie Kato/SQUARE ENIX</t>
  </si>
  <si>
    <t>王様の耳はオコノミミ</t>
  </si>
  <si>
    <t>夏海ケイ</t>
  </si>
  <si>
    <t>(C)Kei Natsumi/SQUARE ENIX</t>
  </si>
  <si>
    <t>魔法科高校の劣等生 来訪者編</t>
  </si>
  <si>
    <t>原作：佐島勤
キャラクターデザイン：石田可奈
作画：マジコ！</t>
  </si>
  <si>
    <t>(C)TSUTOMU SATO
(C)Majiko!
/SQUARE ENIX
Licensed by KADOKAWA CORPORATION</t>
  </si>
  <si>
    <t>(C)TSUTOMU SATO
(C)Majiko!
/SQEX
Licensed by KADOKAWA CORPORATION</t>
  </si>
  <si>
    <t>537</t>
  </si>
  <si>
    <t>大谷さんちの天使様</t>
  </si>
  <si>
    <t>鳥乃桐</t>
  </si>
  <si>
    <t>(C)Kiri Torino/SQUARE ENIX</t>
  </si>
  <si>
    <t>カントリーガアル「トライアンソロジー～三面鏡の国のアリス～」より</t>
  </si>
  <si>
    <t>原作：07th Expansion（竜騎士07×田中ロミオ）
作画：たつひこ</t>
  </si>
  <si>
    <t>(C)07th Expansion
(C)Tatsuhiko/SQUARE ENIX</t>
  </si>
  <si>
    <t>(C)07th Expansion
(C)Tatsuhiko/SQEX</t>
  </si>
  <si>
    <t>田中くんはいつもけだるげアンソロジー</t>
  </si>
  <si>
    <t>原作：ウダノゾミ</t>
  </si>
  <si>
    <t>精霊の守り人</t>
  </si>
  <si>
    <t>藤原カムイ
原作：上橋菜穂子
設定協力：Production I.G</t>
  </si>
  <si>
    <t>(C)Kamui Fujiwara/SQUARE ENIX
(C)上橋菜穂子/偕成社/｢精霊の守り人｣製作委員会</t>
  </si>
  <si>
    <t>(C)KF/SQEX
(C)上橋菜穂子/偕成社/｢精霊の守り人｣製作委員会</t>
  </si>
  <si>
    <t>「はんだくん」公式アンソロジー</t>
  </si>
  <si>
    <t>原作：ヨシノサツキ</t>
  </si>
  <si>
    <t>542</t>
  </si>
  <si>
    <t>八雲さんは餌づけがしたい。</t>
  </si>
  <si>
    <t>里見U</t>
  </si>
  <si>
    <t>(C)Satomi U/SQUARE ENIX</t>
  </si>
  <si>
    <t>(C)SU/SQEX</t>
  </si>
  <si>
    <t>543</t>
  </si>
  <si>
    <t>Lightning Anchor</t>
  </si>
  <si>
    <t>河上大志郎</t>
  </si>
  <si>
    <t>(C)Daishirou Kawakami/SQUARE ENIX</t>
  </si>
  <si>
    <t>544</t>
  </si>
  <si>
    <t>梅衣堂ひよと旦那様の野望</t>
  </si>
  <si>
    <t>トリマニア</t>
  </si>
  <si>
    <t>久世岳</t>
  </si>
  <si>
    <t>(C)Gaku Kuze/SQUARE ENIX</t>
  </si>
  <si>
    <t>(C)GK/SQEX</t>
  </si>
  <si>
    <t>546</t>
  </si>
  <si>
    <t>白衣の王様</t>
  </si>
  <si>
    <t>綾瀬れつ</t>
  </si>
  <si>
    <t>(C)Retsu Ayase/SQUARE ENIX</t>
  </si>
  <si>
    <t>547</t>
  </si>
  <si>
    <t>安達としまむら</t>
  </si>
  <si>
    <t>原作：入間人間
作画：まに
キャラクター原案：のん</t>
  </si>
  <si>
    <t>(C)Mani/SQUARE ENIX
(C)Hitoma Iruma
Licensed by KADOKAWA CORPORATION　ASCII MEDIA WORKS</t>
  </si>
  <si>
    <t>(C)Mani/SQEX
(C)Hitoma Iruma
Licensed by KADOKAWA CORPORATION　ASCII MEDIA WORKS</t>
  </si>
  <si>
    <t>桜雪 ichtys作品集</t>
  </si>
  <si>
    <t>あずみさんは倒せないっ</t>
  </si>
  <si>
    <t>新闇狩人</t>
  </si>
  <si>
    <t>原作・絵コンテ：坂口いく
作画：細川真義</t>
  </si>
  <si>
    <t>(C)Iku Sakaguchi/SQUARE ENIX
(C)Shingi Hosokawa/SQUARE ENIX</t>
  </si>
  <si>
    <t>(C)IS/SQEX
(C)SH/SQEX</t>
  </si>
  <si>
    <t>551</t>
  </si>
  <si>
    <t>ゴブリンスレイヤー</t>
  </si>
  <si>
    <t>原作：蝸牛くも（GA文庫／ＳＢクリエイティブ刊）
作画：黒瀬浩介
キャラクター原案：神奈月昇</t>
  </si>
  <si>
    <t>(C)Kumo Kagyu/SB Creative Corp.
Original Character Designs:(C)Noboru Kannatuki/SB Creative Corp.
(C)Kousuke Kurose/SQUARE ENIX</t>
  </si>
  <si>
    <t>(C)KK,NK/SBCr
(C)KK/SQEX</t>
  </si>
  <si>
    <t>552</t>
  </si>
  <si>
    <t>ナイツ＆マジック</t>
  </si>
  <si>
    <t>原作：天酒之瓢（ヒーロー文庫／イマジカインフォス）
漫画：加藤拓弐
キャラクター原案：黒銀</t>
  </si>
  <si>
    <t>(C)20XX Hisago Amazake-no /Imagica Infos Co.,Ltd.
(C)Takuji Kato/SQUARE ENIX</t>
  </si>
  <si>
    <t>(C)20XX Hisago Amazake-no /Imagica Infos Co.,Ltd.
(C)TK/SQEX</t>
  </si>
  <si>
    <t>年号は毎年更新
和文コピーライト：(C)天酒之瓢/イマジカインフォス</t>
  </si>
  <si>
    <t>553</t>
  </si>
  <si>
    <t>超人高校生たちは異世界でも余裕で生き抜くようです!</t>
  </si>
  <si>
    <t>原作：海空りく（GA文庫／SBクリエイティブ刊）
漫画：山田こたろ
キャラクター原案：さくらねこ</t>
  </si>
  <si>
    <t>(C)Riku Misora/SB Creative Corp.　
Original Character Designs:(C)Sacraneco/SB Creative Corp.
(C)Kotaro Yamada/SQUARE ENIX</t>
  </si>
  <si>
    <t>(C)RM,S/SBCr
(C)KY/SQEX</t>
  </si>
  <si>
    <t>554</t>
  </si>
  <si>
    <t>ダストボックス2.5</t>
  </si>
  <si>
    <t>妖怪の賃貸事情</t>
  </si>
  <si>
    <t>君塚 力</t>
  </si>
  <si>
    <t>556</t>
  </si>
  <si>
    <t>ソフィー・ローズと荊棘の人形師</t>
  </si>
  <si>
    <t>エトオミユキ</t>
  </si>
  <si>
    <t>(C)Miyuki Etoo/SQUARE ENIX</t>
  </si>
  <si>
    <t>557</t>
  </si>
  <si>
    <t>小５な彼女とオトナの愛</t>
  </si>
  <si>
    <t>原作：裕時悠示
作画：睦茸</t>
  </si>
  <si>
    <t>(C)Yuji Yuji/SQUARE ENIX
(C)Mutsutake/SQUARE ENIX</t>
  </si>
  <si>
    <t>(C)ＹＹ/SQEX
(C)Mutsutake/SQEX</t>
  </si>
  <si>
    <t>おそ松さん 公式コミックアンソロジー～スクエニセンバツ～</t>
  </si>
  <si>
    <t>原作：赤塚不二夫（『おそ松くん』）
監修：おそ松さん製作委員会</t>
  </si>
  <si>
    <t>(C)赤塚不二夫／おそ松さん製作委員会</t>
  </si>
  <si>
    <t>566</t>
  </si>
  <si>
    <t>女王騎士物語</t>
  </si>
  <si>
    <t>下村トモヒロ</t>
  </si>
  <si>
    <t>(C)Tomohiro Shimomura/SQUARE ENIX</t>
  </si>
  <si>
    <t>581</t>
  </si>
  <si>
    <t>ひょっとこスクール</t>
  </si>
  <si>
    <t>武凪知</t>
  </si>
  <si>
    <t>(C)Tomo Takenagi/SQUARE ENIX</t>
  </si>
  <si>
    <t>(C)TT/SQEX</t>
  </si>
  <si>
    <t>582</t>
  </si>
  <si>
    <t>FULL MOON</t>
  </si>
  <si>
    <t>塩沢天人志</t>
  </si>
  <si>
    <t>(C)Takatoshi Shiozawa/SQUARE ENIX</t>
  </si>
  <si>
    <t>584</t>
  </si>
  <si>
    <t>ＨＥＬＬ ＨＥＬＬ</t>
  </si>
  <si>
    <t>E'S</t>
  </si>
  <si>
    <t>結賀さとる</t>
  </si>
  <si>
    <t>(C)Satol Yuiga/SQUARE ENIX</t>
  </si>
  <si>
    <t>609</t>
  </si>
  <si>
    <t>新感覚癒し系魔法少女ベホイミちゃん</t>
  </si>
  <si>
    <t>612</t>
  </si>
  <si>
    <t>Diabolic Garden</t>
  </si>
  <si>
    <t>白木苺</t>
  </si>
  <si>
    <t>(C)Ichigo Shiraki/SQUARE ENIX</t>
  </si>
  <si>
    <t>615</t>
  </si>
  <si>
    <t>ランメルモールの少年騎兵隊</t>
  </si>
  <si>
    <t>夏西七</t>
  </si>
  <si>
    <t>(C)Nana Natsunishi/SQUARE ENIX</t>
  </si>
  <si>
    <t>(C)NN/SQEX</t>
  </si>
  <si>
    <t>2018/</t>
  </si>
  <si>
    <t>あいどる</t>
  </si>
  <si>
    <t>高瀬志帆</t>
  </si>
  <si>
    <t>(C)Shiho Takase/SQUARE ENIX</t>
  </si>
  <si>
    <t>(C)ST/SQEX</t>
  </si>
  <si>
    <t>2019/04/05</t>
  </si>
  <si>
    <t>アマノイワト姫</t>
  </si>
  <si>
    <t>KAMUI</t>
  </si>
  <si>
    <t>Rust Blaster</t>
  </si>
  <si>
    <t>学園革命伝ミツルギ 新装版</t>
  </si>
  <si>
    <t>原作：河田雄志
作画：行徒</t>
  </si>
  <si>
    <t>(C)Yushi Kawata/SQUARE ENIX
(C)Yukito/SQUARE ENIX</t>
  </si>
  <si>
    <t>(C)YK/SQEX
(C)Yukito/SQEX</t>
  </si>
  <si>
    <t>学園革命伝ミツルギ なかよし</t>
  </si>
  <si>
    <t>2016/8予定</t>
  </si>
  <si>
    <t>御指名武将真田幸村かげろひ-KAGEROI-</t>
  </si>
  <si>
    <t>浅岡しゅく</t>
  </si>
  <si>
    <t>(C)Shuku Asaoka/SQUARE ENIX</t>
  </si>
  <si>
    <t>665</t>
  </si>
  <si>
    <t>部活、好きじゃなきゃダメですか？</t>
  </si>
  <si>
    <t>いづみかつき</t>
  </si>
  <si>
    <t>(C)Katsuki Izumi/SQUARE ENIX</t>
  </si>
  <si>
    <t>(C)KI/SQEX</t>
  </si>
  <si>
    <t>666</t>
  </si>
  <si>
    <t>怜-Toki-</t>
  </si>
  <si>
    <t>原案：小林立
漫画：めきめき</t>
  </si>
  <si>
    <t>(C)Ritz Kobayashi/SQUARE ENIX
(C)Mekimeki/SQUARE ENIX</t>
  </si>
  <si>
    <t>(C)RK/SQEX
(C)Mekimeki/SQEX</t>
  </si>
  <si>
    <t>667</t>
  </si>
  <si>
    <t>異能メイズ</t>
  </si>
  <si>
    <t>原作：岡田伸一
作画：山田Ｊ太</t>
  </si>
  <si>
    <t>(C)Shinichi Okada/J-ta Yamada/SQUARE ENIX</t>
  </si>
  <si>
    <t>(C)SO/JY/SQEX</t>
  </si>
  <si>
    <t>668</t>
  </si>
  <si>
    <t>Jヲタ男子☆朝比奈くん</t>
  </si>
  <si>
    <t>669</t>
  </si>
  <si>
    <t>学園塔に魔女はオドる</t>
  </si>
  <si>
    <t>670</t>
  </si>
  <si>
    <t>渋谷金魚</t>
  </si>
  <si>
    <t>蒼伊宏海</t>
  </si>
  <si>
    <t>(C)Hiroumi Aoi/SQUARE ENIX</t>
  </si>
  <si>
    <t>ライルと槍</t>
  </si>
  <si>
    <t>672</t>
  </si>
  <si>
    <t>冥界のケルベロス</t>
  </si>
  <si>
    <t>うみハル</t>
  </si>
  <si>
    <t>(C)Umiharu/SQUARE ENIX</t>
  </si>
  <si>
    <t>(C)Umiharu/SQEX</t>
  </si>
  <si>
    <t>673</t>
  </si>
  <si>
    <t>いなかのおまわりさん</t>
  </si>
  <si>
    <t>674</t>
  </si>
  <si>
    <t>天誅×神曲《アイウタ》</t>
  </si>
  <si>
    <t>よしだもろへ</t>
  </si>
  <si>
    <t>(C)Morohe Yoshida/SQUARE ENIX</t>
  </si>
  <si>
    <t>好きな彼のパパはじめます</t>
  </si>
  <si>
    <t>大原ロロン</t>
  </si>
  <si>
    <t>(C)Roron Oohara/SQUARE ENIX</t>
  </si>
  <si>
    <t>676</t>
  </si>
  <si>
    <t>犬神くんはツンだけどバレてる</t>
  </si>
  <si>
    <t>反転シャロウ</t>
  </si>
  <si>
    <t>(C)Sharoh Hanten/SQUARE ENIX</t>
  </si>
  <si>
    <t>(C)SH/SQEX</t>
  </si>
  <si>
    <t>677</t>
  </si>
  <si>
    <t>青春Re:トライ</t>
  </si>
  <si>
    <t>将良</t>
  </si>
  <si>
    <t>(C)Masayoshi/SQUARE ENIX</t>
  </si>
  <si>
    <t>(C)Masayoshi/SQEX</t>
  </si>
  <si>
    <t>678</t>
  </si>
  <si>
    <t>みくみくパンデミック</t>
  </si>
  <si>
    <t>679</t>
  </si>
  <si>
    <t>クイーン・オブ・サーカスの猫</t>
  </si>
  <si>
    <t>680</t>
  </si>
  <si>
    <t>クロスプレイ -CLOSE PLAY-</t>
  </si>
  <si>
    <t>芹之由奈</t>
  </si>
  <si>
    <t>(C)Yuna Serino/SQUARE ENIX</t>
  </si>
  <si>
    <t>681</t>
  </si>
  <si>
    <t>好き×透き</t>
  </si>
  <si>
    <t>緋原俊介</t>
  </si>
  <si>
    <t>(C)Shunsuke Hibaru/SQUARE ENIX</t>
  </si>
  <si>
    <t>685</t>
  </si>
  <si>
    <t>qtμt キューティーミューティ</t>
  </si>
  <si>
    <t>原作：さやわか
漫画：ふみふみこ</t>
  </si>
  <si>
    <t>(C)Sayawaka/SQUARE ENIX
(C)Fumifumiko/SQUARE ENIX</t>
  </si>
  <si>
    <t>(C)Sayawaka/SQEX
(C)Fumifumiko/SQEX</t>
  </si>
  <si>
    <t>686</t>
  </si>
  <si>
    <t>ソドムの市</t>
  </si>
  <si>
    <t>田中文</t>
  </si>
  <si>
    <t>(C)Aya Tanaka/SQUARE ENIX</t>
  </si>
  <si>
    <t>687</t>
  </si>
  <si>
    <t>ねねね</t>
  </si>
  <si>
    <t>原作：徒々野雫
作画：萩原ダイスケ</t>
  </si>
  <si>
    <t>(C)Shizuku Totono・Daisuke Hagiwara/SQUARE ENIX</t>
  </si>
  <si>
    <t>(C)ST・DH/SQEX</t>
  </si>
  <si>
    <t>688</t>
  </si>
  <si>
    <t>BLACK BOARD</t>
  </si>
  <si>
    <t>イズミダフユキ</t>
  </si>
  <si>
    <t>(C)Fuyuki Izumida/SQUARE ENIX</t>
  </si>
  <si>
    <t>(C)FI/SQEX</t>
  </si>
  <si>
    <t>689</t>
  </si>
  <si>
    <t>生きてますか？ 本田くん</t>
  </si>
  <si>
    <t>690</t>
  </si>
  <si>
    <t>モドキドモ</t>
  </si>
  <si>
    <t>蒼川なな</t>
  </si>
  <si>
    <t>(C)Nana Aokawa/SQUARE ENIX</t>
  </si>
  <si>
    <t>(C)NA/SQEX</t>
  </si>
  <si>
    <t>691</t>
  </si>
  <si>
    <t>英雄教室</t>
  </si>
  <si>
    <t>原作：新木伸
作画：岸田こあら
キャラクター原案：森沢晴行</t>
  </si>
  <si>
    <t>(C)Koara Kishida/SQUARE ENIX
(C)新木伸・森沢晴行／集英社ダッシュエックス文庫</t>
  </si>
  <si>
    <t>(C)KK/SQEX
(C)新木伸・森沢晴行／集英社ダッシュエックス文庫</t>
  </si>
  <si>
    <t>692</t>
  </si>
  <si>
    <t>魔法少年なつき×らびっツ</t>
  </si>
  <si>
    <t>693</t>
  </si>
  <si>
    <t>やおよろず</t>
  </si>
  <si>
    <t>斎藤かよこ</t>
  </si>
  <si>
    <t>(C)Kayoko Saito/SQUARE ENIX</t>
  </si>
  <si>
    <t>694</t>
  </si>
  <si>
    <t>蟻馬くんは現実を見ない。</t>
  </si>
  <si>
    <t>有村唯</t>
  </si>
  <si>
    <t>(C)Yui Arimura/SQUARE ENIX</t>
  </si>
  <si>
    <t>695</t>
  </si>
  <si>
    <t>かつて魔法少女と悪は敵対していた。</t>
  </si>
  <si>
    <t>696</t>
  </si>
  <si>
    <t>怪異撲滅ミンチちゃん</t>
  </si>
  <si>
    <t>ささきゆうちゃん</t>
  </si>
  <si>
    <t>(C)yuchang sasaki/SQUARE ENIX</t>
  </si>
  <si>
    <t>(C)ys/SQEX</t>
  </si>
  <si>
    <t>697</t>
  </si>
  <si>
    <t>童の草</t>
  </si>
  <si>
    <t>698</t>
  </si>
  <si>
    <t>ヤンキーショタとオタクおねえさん</t>
  </si>
  <si>
    <t>星海ユミ</t>
  </si>
  <si>
    <t>(C)Yumi Hoshimi/SQUARE ENIX</t>
  </si>
  <si>
    <t>699</t>
  </si>
  <si>
    <t>妹さえいればいい。外伝 妹にさえなればいい！</t>
  </si>
  <si>
    <t>原作：平坂読（小学館「ガガガ文庫」刊）
キャラクター原案：カントク
漫画：コバシコ</t>
  </si>
  <si>
    <t>(C)平坂 読・カントク／小学館「ガガガ文庫」刊
(C)Kobashiko/SQUARE ENIX</t>
  </si>
  <si>
    <t>(C)平坂 読・カントク／小学館「ガガガ文庫」刊
(C)Kobashiko/SQEX</t>
  </si>
  <si>
    <t>幽霊の正体見たり、枯れ頭。</t>
  </si>
  <si>
    <t>小花オト</t>
  </si>
  <si>
    <t>(C)Oto Obana/SQUARE ENIX</t>
  </si>
  <si>
    <t>(C)OO/SQEX</t>
  </si>
  <si>
    <t>701</t>
  </si>
  <si>
    <t>彩音お嬢様はサノバ○ッチにあらせられる</t>
  </si>
  <si>
    <t>高野裕也</t>
  </si>
  <si>
    <t>(C)Yuya Takano/SQUARE ENIX</t>
  </si>
  <si>
    <t>702</t>
  </si>
  <si>
    <t>スカイブルー</t>
  </si>
  <si>
    <t>7'04</t>
  </si>
  <si>
    <t>ライフ・イズ・マネー</t>
  </si>
  <si>
    <t>原作・監修：朝虹照
作画：櫓刃鉄火</t>
  </si>
  <si>
    <t>(C)Teru Asaniji/SQUARE ENIX
(C)Tekka Yaguraba/SQUARE ENIX</t>
  </si>
  <si>
    <t>(C)TA/SQEX
(C)TY/SQEX</t>
  </si>
  <si>
    <t>705</t>
  </si>
  <si>
    <t>入院ノート</t>
  </si>
  <si>
    <t>706</t>
  </si>
  <si>
    <t>青春は獣充だ</t>
  </si>
  <si>
    <t>魔法科高校の劣等生 ダブルセブン編</t>
  </si>
  <si>
    <t>原作：佐島勤
キャラクターデザイン：石田可奈
作画：きたうみつな</t>
  </si>
  <si>
    <t>(C)TSUTOMU SATO 
(C)Tsuna Kitaumi/SQUARE ENIX
Licensed by KADOKAWA CORPORATION</t>
  </si>
  <si>
    <t>(C)TSUTOMU SATO 
(C)Tsuna Kitaumi/SQEX
Licensed by KADOKAWA CORPORATION</t>
  </si>
  <si>
    <t>708</t>
  </si>
  <si>
    <t>メメメメメメメメメメンヘラぁ…</t>
  </si>
  <si>
    <t>賭ケグルイ（仮）</t>
  </si>
  <si>
    <t>原作・監修：河本ほむら
作画：川村拓</t>
  </si>
  <si>
    <t>(C)Homura Kawamoto・Taku Kawamura/SQUARE ENIX</t>
  </si>
  <si>
    <t>(C)HK・TK/SQEX</t>
  </si>
  <si>
    <t>711</t>
  </si>
  <si>
    <t>イノセントデビル</t>
  </si>
  <si>
    <t>原作：中村基
作画：宗一郎</t>
  </si>
  <si>
    <t>(C)Moto Nakamura/SQUARE ENIX
(C)Souichirou/SQUARE ENIX</t>
  </si>
  <si>
    <t>(C)MN/SQEX
(C)Souichirou/SQEX</t>
  </si>
  <si>
    <t>712</t>
  </si>
  <si>
    <t>TARI TARI</t>
  </si>
  <si>
    <t>原作：EVERGREEN
キャラクター原案：tanu
構成：尚村透
作画：鍵空とみやき</t>
  </si>
  <si>
    <t>(C)tari tari project
(C)Toru Naomura/SQUARE ENIX
(C)Tomiyaki Kagisora/SQUARE ENIX</t>
  </si>
  <si>
    <t>(C)tari tari project
(C)TN/SQEX
(C)TK/SQEX</t>
  </si>
  <si>
    <t>715</t>
  </si>
  <si>
    <t>そらいろフラッター</t>
  </si>
  <si>
    <t>原作：おくら
作画：橋井こま</t>
  </si>
  <si>
    <t>(C)Okura・Coma Hashii/SQUARE ENIX</t>
  </si>
  <si>
    <t>(C)O・CH/SQEX</t>
  </si>
  <si>
    <t>716</t>
  </si>
  <si>
    <t>異世界で最強の杖に転生した俺が嫌がる少女をムリヤリ魔法少女にＰする！</t>
  </si>
  <si>
    <t>原作：桜井慎
作画：鷹嶋大輔</t>
  </si>
  <si>
    <t>(C)Tsutsushi Sakurai/SQUARE ENIX
(C)Daisuke Takashima/SQUARE ENIX</t>
  </si>
  <si>
    <t>(C)TS/SQEX
(C)DT/SQEX</t>
  </si>
  <si>
    <t>(C)Tsutsushi Sakurai･Daisuke Takashima/SQUARE ENIX　も可</t>
  </si>
  <si>
    <t>717</t>
  </si>
  <si>
    <t>そのアイドル吸血鬼につき</t>
  </si>
  <si>
    <t>七都サマコ</t>
  </si>
  <si>
    <t>(C)Samako Natsu/SQUARE ENIX</t>
  </si>
  <si>
    <t>幻想グルメ</t>
  </si>
  <si>
    <t>原作：天那光汰
作画：おつじ</t>
  </si>
  <si>
    <t>(C)Kouta Amana/SQUARE ENIX
(C)Otsuji/SQUARE ENIX</t>
  </si>
  <si>
    <t>(C)KA/SQEX
(C)Otsuji/SQEX</t>
  </si>
  <si>
    <t>719</t>
  </si>
  <si>
    <t>ケーキ王子の名推理</t>
  </si>
  <si>
    <t>原作：七月隆文
作画：星見ＳＫ</t>
  </si>
  <si>
    <t>(C)2015 Takafumi Nanatsuki / Shinchosha
(C)Hoshimi SK/SQUARE ENIX</t>
  </si>
  <si>
    <t>(C)2015 Takafumi Nanatsuki / Shinchosha
(C)HSK/SQEX</t>
  </si>
  <si>
    <t>722</t>
  </si>
  <si>
    <t>ACCA13区監察課 P.S.</t>
  </si>
  <si>
    <t>723</t>
  </si>
  <si>
    <t>冥土の恋は閻魔次第！</t>
  </si>
  <si>
    <t>平井るな</t>
  </si>
  <si>
    <t>(C)Runa Hirai/SQUARE ENIX</t>
  </si>
  <si>
    <t>(C)RH/SQEX</t>
  </si>
  <si>
    <t>724</t>
  </si>
  <si>
    <t>美味しい妖</t>
  </si>
  <si>
    <t>725</t>
  </si>
  <si>
    <t>グッドモーニング・ベートーヴェン</t>
  </si>
  <si>
    <t>原作：左　有秀
作画：伊藤砂務</t>
  </si>
  <si>
    <t>(C)Arihide Sano/SQUARE ENIX
(C)Shamu Ito/SQUARE ENIX</t>
  </si>
  <si>
    <t>(C)AS/SQEX
(C)SI/SQEX</t>
  </si>
  <si>
    <t>僕は何度でも、きみに初めての恋をする。</t>
  </si>
  <si>
    <t>原作：沖田円
作画：西崎りいち</t>
  </si>
  <si>
    <t>(C)En Okita / STARTS PUBLISHING
(C)Riichi Nishizaki/SQUARE ENIX</t>
  </si>
  <si>
    <t>(C)En Okita / STARTS PUBLISHING
(C)Riichi Nishizaki/SQEX</t>
  </si>
  <si>
    <t>僕達の魔王は普通</t>
  </si>
  <si>
    <t>中村朝</t>
  </si>
  <si>
    <t>(C)Asa Nakamura/SQUARE ENIX</t>
  </si>
  <si>
    <t>〆切はおとといです。</t>
  </si>
  <si>
    <t>Team.きんだいち</t>
  </si>
  <si>
    <t>(C)Team. Kindaichi/SQUARE ENIX</t>
  </si>
  <si>
    <t>(C)Team. K/SQEX</t>
  </si>
  <si>
    <t>729</t>
  </si>
  <si>
    <t>幸色のワンルーム</t>
  </si>
  <si>
    <t>異世界食堂</t>
  </si>
  <si>
    <t>原作：犬塚惇平（ヒーロー文庫／イマジカインフォス）
漫画：九月タカアキ
キャラクター原案：エナミカツミ</t>
  </si>
  <si>
    <t>(C)20XX Junpei Inuzuka/Imagica Infos Co.,Ltd.
(C)Takaaki Kugatsu/SQUARE ENIX</t>
  </si>
  <si>
    <t>(C)20XX Junpei Inuzuka/Imagica Infos Co.,Ltd.
(C)TK/SQEX</t>
  </si>
  <si>
    <t>年号は毎年更新
(C)犬塚惇平/イマジカインフォス</t>
  </si>
  <si>
    <t>現実の彼女はいりません！</t>
  </si>
  <si>
    <t>原作：田尾 典丈[中古でも恋がしたい！](GA文庫／SBクリエイティブ刊)
漫画：三雲ジョージ
キャラクター原案：ReDrop</t>
  </si>
  <si>
    <t>(C)Noritake Tao/SB Creative Corp.
Original Character Designs:(C)ReDrop/SB Creative Corp.
(C)George Mikumo/SQUARE ENIX</t>
  </si>
  <si>
    <t>(C)NT,R/SBCr
(C)GM/SQEX</t>
  </si>
  <si>
    <t>732</t>
  </si>
  <si>
    <t>ＲＤＢ-レッドデータブック-</t>
  </si>
  <si>
    <t>原作：たかしげ宙
作画：六本順</t>
  </si>
  <si>
    <t>(C)Hiroshi Takashige/SQUARE ENIX
(C)Jun Rokumoto/SQUARE ENIX</t>
  </si>
  <si>
    <t>(C)HT/SQEX
(C)JR/SQEX</t>
  </si>
  <si>
    <t>千本桜-大正百年帝都桜京-</t>
  </si>
  <si>
    <t>原曲：黒うさＰ／WhiteFlame
原作・キャラクターデザイン：一斗まる
漫画：石見翔子</t>
  </si>
  <si>
    <t>(C) WhiteFlame/一斗まる　Licensed by KADOKAWA CORPORATION ASCII MEDIA WORKS
(C)Shoko Iwami/SQUARE ENIX
(C) Crypton Future Media, INC. www.piapro.net　【piaproロゴ】</t>
  </si>
  <si>
    <t>(C) WhiteFlame/一斗まる　Licensed by KADOKAWA CORPORATION ASCII MEDIA WORKS
(C)SI/SQEX
(C) Crypton Future Media, INC. www.piapro.net　【piaproロゴ】</t>
  </si>
  <si>
    <t>黒ゆり荘の変なゐきもの。</t>
  </si>
  <si>
    <t>柚木ガオ</t>
  </si>
  <si>
    <t>(C)Gao Yuzuki/SQUARE ENIX</t>
  </si>
  <si>
    <t>(C)GY/SQEX</t>
  </si>
  <si>
    <t>735</t>
  </si>
  <si>
    <t>賭ケグルイ妄</t>
  </si>
  <si>
    <t>原作：河本ほむら
作画：柊裕一</t>
  </si>
  <si>
    <t>(C)Homura Kawamoto・Yuichi Hiiragi/SQUARE ENIX</t>
  </si>
  <si>
    <t>(C)HK・YH/SQEX</t>
  </si>
  <si>
    <t>KING OF PRISM by PrettyRhythm-パーティータイム-</t>
  </si>
  <si>
    <t>作画：澄生澄佳
原案：青葉譲
監修：キングオブプリズム製作委員会</t>
  </si>
  <si>
    <t>(C)Ｔ－ＡＲＴＳ / syn Sophia / キングオブプリズム製作委員会
(C)Ｔ－ＡＲＴＳ / syn Sophia / エイベックス・ピクチャーズ / タツノコプロ / キングオブプリズムPH製作委員会
(C)Sumika Sumio/SQUARE ENIX</t>
  </si>
  <si>
    <t>(C)Ｔ－ＡＲＴＳ / syn Sophia / キングオブプリズム製作委員会
(C)Ｔ－ＡＲＴＳ / syn Sophia / エイベックス・ピクチャーズ / タツノコプロ / キングオブプリズムPH製作委員会
(C)SS/SQEX</t>
  </si>
  <si>
    <t>※PH委員会のマルシーを２L表記する場合の改行位置は下記でお願いします。
(C)Ｔ－ＡＲＴＳ / syn Sophia / エイベックス・ピクチャーズ 
/ タツノコプロ / キングオブプリズムPH製作委員会</t>
  </si>
  <si>
    <t>異世界召喚グルメ　マジカルテーブルクロス</t>
  </si>
  <si>
    <t>原作：下村トモヒロ
作画：月島さと</t>
  </si>
  <si>
    <t>(C)Tomohiro Shimomura･Sato Tsukishima/SQUARE ENIX</t>
  </si>
  <si>
    <t>(C)TS・ST/SQEX</t>
  </si>
  <si>
    <t>738</t>
  </si>
  <si>
    <t>ラグナクリムゾン</t>
  </si>
  <si>
    <t>メイのメイデン</t>
  </si>
  <si>
    <t>原作：ガクキリオ
作画：レルシー</t>
  </si>
  <si>
    <t>(C)Kirio Gaku
/SQUARE ENIX
(C)Relucy/SQUARE ENIX</t>
  </si>
  <si>
    <t>(C)KG/SQEX
(C)Relucy/SQEX</t>
  </si>
  <si>
    <t>740</t>
  </si>
  <si>
    <t>Pico★Pico</t>
  </si>
  <si>
    <t>741</t>
  </si>
  <si>
    <t>すすめ!! ダイナマン</t>
  </si>
  <si>
    <t>池田 匠</t>
  </si>
  <si>
    <t>(C)Takumi Ikeda/SQUARE ENIX</t>
  </si>
  <si>
    <t>(C)TI/SQEX</t>
  </si>
  <si>
    <t>742</t>
  </si>
  <si>
    <t>半熟忍法帳</t>
  </si>
  <si>
    <t>新山たかし</t>
  </si>
  <si>
    <t>(C)Takashi Niiyama/SQUARE ENIX</t>
  </si>
  <si>
    <t>743</t>
  </si>
  <si>
    <t>ダンジョンに出会いを求めるのは間違っているだろうか ファミリアクロニクル episodeリュー</t>
  </si>
  <si>
    <t>原作：大森藤ノ（GA文庫／SBクリエイティブ刊） 
漫画：桃山ひなせ
原作イラスト：ニリツ
キャラクター原案：ヤスダスズヒト</t>
  </si>
  <si>
    <t>(C)Fujino Omori/SB Creative Corp.　
Original Character Designs:(C)nilitsu/SB Creative Corp.
Original Character Designs:(C)Suzuhito Yasuda/SB Creative Corp.
(C)Hinase Momoyama/SQUARE ENIX</t>
  </si>
  <si>
    <t>(C)FO,n,SY/SBCr
(C)HM/SQEX</t>
  </si>
  <si>
    <t>744</t>
  </si>
  <si>
    <t>宇津野先生はメランコリック</t>
  </si>
  <si>
    <t>745</t>
  </si>
  <si>
    <t>罪と快</t>
  </si>
  <si>
    <t>染谷ユウ</t>
  </si>
  <si>
    <t>(C)You Someya/SQUARE ENIX</t>
  </si>
  <si>
    <t>746</t>
  </si>
  <si>
    <t>ダンまち４コマ どう考えてもダンジョンにもぐるのが間違いではないだろうか</t>
  </si>
  <si>
    <t>原作：大森藤ノ
漫画：ちょぼらうにょぽみ
キャラクター原案：ヤスダスズヒト</t>
  </si>
  <si>
    <t>747</t>
  </si>
  <si>
    <t>不完全な人の為に</t>
  </si>
  <si>
    <t>東385</t>
  </si>
  <si>
    <t>(C)Higashi385/SQUARE ENIX</t>
  </si>
  <si>
    <t>(C)H385/SQEX</t>
  </si>
  <si>
    <t>748</t>
  </si>
  <si>
    <t>旦那さんはオネェさん</t>
  </si>
  <si>
    <t>749</t>
  </si>
  <si>
    <t>賭ケグルイ万　賭ケグルイ公式アンソロジー</t>
  </si>
  <si>
    <t>原作：河本ほむら・尚村透</t>
  </si>
  <si>
    <t>750</t>
  </si>
  <si>
    <t>ヒノワが征く！</t>
  </si>
  <si>
    <t>原作：タカヒロ
作画：strelka</t>
  </si>
  <si>
    <t>(C)Takahiro/SQUARE ENIX
(C)strelka/SQUARE ENIX</t>
  </si>
  <si>
    <t>(C)Takahiro/SQEX
(C)strelka/SQEX</t>
  </si>
  <si>
    <t>751</t>
  </si>
  <si>
    <t>あの夏のイヴ</t>
  </si>
  <si>
    <t>如月命</t>
  </si>
  <si>
    <t>(C)Makoto Kisaragi/SQUARE ENIX</t>
  </si>
  <si>
    <t>妖怪の嫁になりまして</t>
  </si>
  <si>
    <t>鉢谷くじら</t>
  </si>
  <si>
    <t>(C)Kujira Hachiya/SQUARE ENIX</t>
  </si>
  <si>
    <t>753</t>
  </si>
  <si>
    <t>はっぴぃヱンド。</t>
  </si>
  <si>
    <t>有田イマリ</t>
  </si>
  <si>
    <t>(C)Imari Arita/SQUARE ENIX</t>
  </si>
  <si>
    <t>(C)IA/SQEX</t>
  </si>
  <si>
    <t>755</t>
  </si>
  <si>
    <t>FINAL FANTASY LOST STRANGER</t>
  </si>
  <si>
    <t>原作：水瀬葉月
作画：亀屋樹</t>
  </si>
  <si>
    <t>(C)Hazuki Minase/SQUARE ENIX
(C)Itsuki Kameya/SQUARE ENIX
(C) SQUARE ENIX</t>
  </si>
  <si>
    <t>(C)HM/SQEX
(C)IK/SQEX
(C) SQEX</t>
  </si>
  <si>
    <t>年号は毎年更新。</t>
  </si>
  <si>
    <t>薬屋のひとりごと</t>
  </si>
  <si>
    <t>原作：日向夏（ヒーロー文庫／イマジカインフォス）
作画：ねこクラゲ
構成：七緒一綺
キャラクター原案：しのとうこ</t>
  </si>
  <si>
    <t>(C)20XX Natsu Hyuuga/Imagica Infos Co.,Ltd.
(C)Nekokurage/SQUARE ENIX
(C)Itsuki Nanao/SQUARE ENIX</t>
  </si>
  <si>
    <t>(C)20XX Natsu Hyuuga/Imagica Infos Co.,Ltd.
(C)Nekokurage/SQEX
(C)IN/SQEX</t>
  </si>
  <si>
    <t>年号は毎年更新
「小説家になろう」と表記する際は、【「小説家になろう」は株式会社ヒナプロジェクトの登録商標です。】を入れてください。
和文コピーライト：(C)日向夏/イマジカインフォス</t>
  </si>
  <si>
    <t>757</t>
  </si>
  <si>
    <t>ダンジョンに出会いを求めるのは間違っているだろうか４コマ【神様の非日常】</t>
  </si>
  <si>
    <t>不徳のギルド</t>
  </si>
  <si>
    <t>博多豚骨ラーメンズ 第2幕</t>
  </si>
  <si>
    <t>原作：木崎ちあき
キャラクターデザイン：一色 箱
作画：長岡千秋</t>
  </si>
  <si>
    <t>(C)CHIAKI KISAKI 20XX
(C)CHIAKI NAGAOKA/SQUARE ENIX</t>
  </si>
  <si>
    <t>(C)CHIAKI KISAKI 20XX
(C)CHIAKI NAGAOKA/SQEX</t>
  </si>
  <si>
    <t>ガーデンスフィア</t>
  </si>
  <si>
    <t>紺野賢護</t>
  </si>
  <si>
    <t>(C)Kengo Konno/SQUARE ENIX</t>
  </si>
  <si>
    <t>うっかり体育大生-マンガ家ですが、ニチジョに通っていました-</t>
  </si>
  <si>
    <t>もすこ
監修：日本女子体育大学</t>
  </si>
  <si>
    <t>764</t>
  </si>
  <si>
    <t>半熟英雄</t>
  </si>
  <si>
    <t>原作：株式会社スクウェア・エニックス
監修：時田貴司
漫画：沖野真歩</t>
  </si>
  <si>
    <t>(C)Maho Okino/SQUARE ENIX
(C)1992,2002,2017 SQUARE ENIX CO., LTD. All Rights Reserved.
(C)SUGIYAMA KOBO</t>
  </si>
  <si>
    <t>(C)MO/SQEX
(C)1992,2002,2017 SQUARE ENIX CO., LTD. All Rights Reserved.
(C)SUGIYAMA KOBO</t>
  </si>
  <si>
    <t>蝶撫の忍</t>
  </si>
  <si>
    <t>原作：村田真哉
作画：速水時貞</t>
  </si>
  <si>
    <t>(C)Shinya Murata
/SQUARE ENIX
(C)Tokisada Hayami/SQUARE ENIX</t>
  </si>
  <si>
    <t>(C)SM/SQEX
(C)TH/SQEX</t>
  </si>
  <si>
    <t>偽り王のグラディウス</t>
  </si>
  <si>
    <t>ザザロン亞南</t>
  </si>
  <si>
    <t>(C)Anan　Zazalon/SQUARE ENIX</t>
  </si>
  <si>
    <t>(C)AZ/SQEX</t>
  </si>
  <si>
    <t>768</t>
  </si>
  <si>
    <t>失格紋の最強賢者 ～世界最強の賢者が更に強くなるために転生しました～</t>
  </si>
  <si>
    <t>原作：進行諸島（GAノベル／SBクリエイティブ刊）
漫画：肝匠＆馮昊（Friendly Land）
キャラクター原案：風花風花</t>
  </si>
  <si>
    <t>(C)Shinkoshoto/SB Creative Corp.　
Original Character Designs:(C)Huuka Kazabana/SB Creative Corp.
(C)Friendly Land/SQUARE ENIX</t>
  </si>
  <si>
    <t>(C)S,HK/SBCr
(C)FL/SQEX</t>
  </si>
  <si>
    <t>君のために、お姉ちゃんがみんな殺してあげる～プロジェクト ディアホライゾン～</t>
  </si>
  <si>
    <t>原作：三河ごーすと
作画：木虎こん
構成：大村　陽</t>
  </si>
  <si>
    <t>(C)2017 SQUARE ENIX CO.,LTD. All Rights Reserved.
(C)Ghost Mikawa / Con Kitora / You Omura /SQUARE ENIX</t>
  </si>
  <si>
    <t>(C)2017 SQUARE ENIX CO.,LTD. All Rights Reserved.
(C)GM / CK / YO /SQEX</t>
  </si>
  <si>
    <t>俺の現実は恋愛ゲーム？？　～かと思ったら命がけのゲームだった～</t>
  </si>
  <si>
    <t>原作：わるいおとこ
漫画：彭傑&amp;奈栩（Friendly Land）
キャラクター原案：夕薙</t>
  </si>
  <si>
    <t>(C)Waruiotoko/Yunagi
(C)Friendly Land/SQUARE ENIX</t>
  </si>
  <si>
    <t>(C)Waruiotoko/Yunagi
(C)FL/SQEX</t>
  </si>
  <si>
    <t>「小説家になろう」と表記する際は、【「小説家になろう」は株式会社ヒナプロジェクトの登録商標です。】を入れてください。</t>
  </si>
  <si>
    <t>王宮のトリニティ</t>
  </si>
  <si>
    <t>雨壱絵穹</t>
  </si>
  <si>
    <t>(C)Esora Amaichi/SQUARE ENIX</t>
  </si>
  <si>
    <t>(C)EA/SQEX</t>
  </si>
  <si>
    <t>スライム倒して300年、知らないうちにレベルMAXになってました</t>
  </si>
  <si>
    <t>原作：森田季節（GAノベル／SBクリエイティブ刊）
漫画：シバユウスケ
キャラクター原案：紅緒</t>
  </si>
  <si>
    <t>(C)Kisetsu Morita/SB Creative Corp.
Original Character Designs:(C)Benio/SB Creative Corp.
(C)Yusuke Shiba/SQUARE ENIX</t>
  </si>
  <si>
    <t>(C)KM,B/SBCr
(C)YS/SQEX</t>
  </si>
  <si>
    <t>白石君の動級生</t>
  </si>
  <si>
    <t>Ｉ生徒と担任Ｐ</t>
  </si>
  <si>
    <t>柴日和</t>
  </si>
  <si>
    <t>(C)Hiyori Shiba/SQUARE ENIX</t>
  </si>
  <si>
    <t>(C)HS/SQEX</t>
  </si>
  <si>
    <t>ジャヒー様はくじけない！</t>
  </si>
  <si>
    <t>昆布わかめ</t>
  </si>
  <si>
    <t>(C)Wakame Konbu/SQUARE ENIX</t>
  </si>
  <si>
    <t>(C)WK/SQEX</t>
  </si>
  <si>
    <t>なつやすみの友</t>
  </si>
  <si>
    <t>雨野さやか</t>
  </si>
  <si>
    <t>(C)Sayaka Ameno/SQUARE ENIX</t>
  </si>
  <si>
    <t>記憶屋</t>
  </si>
  <si>
    <t>原作：織守きょうや
作画：村山なちよ</t>
  </si>
  <si>
    <t>(C)Kyoya Origami/KADOKAWA
(C)Nachiyo Murayama/SQUARE ENIX</t>
  </si>
  <si>
    <t>(C)Kyoya Origami/KADOKAWA
(C)NM/SQEX</t>
  </si>
  <si>
    <t>綺麗にしてもらえますか。</t>
  </si>
  <si>
    <t>はっとりみつる</t>
  </si>
  <si>
    <t>(C)Mitsuru Hattori/SQUARE ENIX</t>
  </si>
  <si>
    <t>ゴブリンスレイヤー外伝：イヤーワン</t>
  </si>
  <si>
    <t>原作：蝸牛くも（GA文庫／ＳＢクリエイティブ刊）
作画：栄田健人
キャラクター原案：足立慎吾／神奈月昇</t>
  </si>
  <si>
    <t>(C)Kumo Kagyu/SB Creative Corp.
Original Character Designs:(C)Shingo Adachi/SB Creative Corp.
Original Character Designs:(C)Noboru Kannatuki/SB Creative Corp.
(C)Kento Sakaeda/SQUARE ENIX</t>
  </si>
  <si>
    <t>(C)KK,SA,NK/SBCr
(C)KS/SQEX</t>
  </si>
  <si>
    <t>781</t>
  </si>
  <si>
    <t>先生のやさしい殺し方</t>
  </si>
  <si>
    <t>アンティケール・メモワール～曰く憑き取扱骨董品店～</t>
  </si>
  <si>
    <t>マツキトウ</t>
  </si>
  <si>
    <t>(C)Tou Matsuki/SQUARE ENIX</t>
  </si>
  <si>
    <t>チルドレン</t>
  </si>
  <si>
    <t>三浦みう</t>
  </si>
  <si>
    <t>(C)Miu Miura/SQUARE ENIX</t>
  </si>
  <si>
    <t>若者の黒魔法離れが深刻ですが、就職してみたら待遇いいし、社長も使い魔もかわいくて最高です!</t>
  </si>
  <si>
    <t>原作：森田季節（集英社ダッシュエックス文庫）
作画：出水高軌
キャラクター原案：47AgDragon</t>
  </si>
  <si>
    <t>(C)森田季節・47AgDragon/集英社ダッシュエックス文庫 
(C)Koki Izumi/SQUARE ENIX</t>
  </si>
  <si>
    <t>(C)森田季節・47AgDragon/集英社ダッシュエックス文庫 
(C)KI/SQEX</t>
  </si>
  <si>
    <t>DYNAMIC CHORD</t>
  </si>
  <si>
    <t>因幡シホ</t>
  </si>
  <si>
    <t>(C)Shiho Inaba/SQUARE ENIX
(C)ASGARD/DYNAMIC CHORD</t>
  </si>
  <si>
    <t>(C)SI/SQEX
(C)ASGARD/DYNAMIC CHORD</t>
  </si>
  <si>
    <t>みにみに部-沙々木美仁のミニチュアレシピ-</t>
  </si>
  <si>
    <t>FINAL FANTASY BRAVE EXVIUS リコドキッ!</t>
  </si>
  <si>
    <t>まつもと剛志</t>
  </si>
  <si>
    <t>(C) 2015-2018 SQUARE ENIX CO., LTD. All Rights Reserved. Developed by Alim Co., Ltd.</t>
  </si>
  <si>
    <t>裏世界ピクニック</t>
  </si>
  <si>
    <t>原作：宮澤伊織
作画：水野英多
キャラクター原案：shirakaba</t>
  </si>
  <si>
    <t>(C)Iori Miyazawa/Hayakawa Publishing Corporation
(C)Eita Mizuno/SQUARE ENIX</t>
  </si>
  <si>
    <t>(C)Iori Miyazawa/Hayakawa Publishing Corporation
(C)EM/SQEX</t>
  </si>
  <si>
    <t>井戸端は憑かれやすい</t>
  </si>
  <si>
    <t>竹屋まり子</t>
  </si>
  <si>
    <t>(C)Mariko Takeya/SQUARE ENIX</t>
  </si>
  <si>
    <t>おじさまと猫</t>
  </si>
  <si>
    <t>デッドマウント・デスプレイ</t>
  </si>
  <si>
    <t>原作：成田良悟
作画：藤本新太</t>
  </si>
  <si>
    <t>(C)Ryohgo Narita・Shinta Fujimoto/SQUARE ENIX</t>
  </si>
  <si>
    <t>(C)RN・SF/SQEX</t>
  </si>
  <si>
    <t>オタカレ腐女カノ</t>
  </si>
  <si>
    <t>遺書､公開。</t>
  </si>
  <si>
    <t>(C)Toutarou Minami/SQUARE ENIX</t>
  </si>
  <si>
    <t>(C)TＭ/SQEX</t>
  </si>
  <si>
    <t>796</t>
  </si>
  <si>
    <t>2017/12予定</t>
  </si>
  <si>
    <t>変身王子ケエル</t>
  </si>
  <si>
    <t>797</t>
  </si>
  <si>
    <t>ＳＣＲＡＭＢＬＥ！</t>
  </si>
  <si>
    <t>お従兄さんの引っ越しの片づけが進まない</t>
  </si>
  <si>
    <t>29とJK</t>
  </si>
  <si>
    <t>原作：裕時悠示（GA文庫／SBクリエイティブ刊）
作画：加藤かきと
構成：渡辺樹
キャラクター原案：Yan-Yam</t>
  </si>
  <si>
    <t>(C)Yuji Yuji/SB Creative Corp.
Original Character Designs:(C)Yan-Yam/SB Creative Corp.
(C)Kakito Kato/SQUARE ENIX
(C)Itsuki Watanabe/SQUARE ENIX</t>
  </si>
  <si>
    <t>(C)YY,YY/SBCr
(C)KK,IW/SQEX</t>
  </si>
  <si>
    <t>ブサメンガチファイター</t>
  </si>
  <si>
    <t>原作：弘松涼
漫画：上月ヲサム</t>
  </si>
  <si>
    <t>(C)Ryo Hiromatsu
(C)Osamu Kozuki/SQUARE ENIX</t>
  </si>
  <si>
    <t>(C)Ryo Hiromatsu
(C)OK/SQEX</t>
  </si>
  <si>
    <t>ボクと師匠の秘密工房</t>
  </si>
  <si>
    <t>僕の名前は｢少年Ａ｣</t>
  </si>
  <si>
    <t>原作：君塚 力
作画：日丘円</t>
  </si>
  <si>
    <t>(C)Chikara Kimizuka/SQUARE ENIX
(C)Yen Hioka/SQUARE ENIX</t>
  </si>
  <si>
    <t>(C)CK/SQEX
(C)YH/SQEX</t>
  </si>
  <si>
    <t>たとえばラストダンジョン前の村の少年が序盤の街で暮らすような物語</t>
  </si>
  <si>
    <t>原作：サトウとシオ（GA文庫／SBクリエイティブ刊）
作画：臥待始
キャラクター原案：和狸ナオ</t>
  </si>
  <si>
    <t>(C)Toshio Satou/SB Creative Corp.
Original Character Designs:(C)Nao Watanuki/SB Creative Corp.
(C)Hajime Fusemachi/SQUARE ENIX</t>
  </si>
  <si>
    <t>(C)TS,NW/SBCr
(C)HF/SQEX</t>
  </si>
  <si>
    <t>804</t>
  </si>
  <si>
    <t>ACCA13区監察課　外伝　ポーラとミシェル</t>
  </si>
  <si>
    <t>異世界コンビニNewDays</t>
  </si>
  <si>
    <t>原作：昼熊
漫画：キキ</t>
  </si>
  <si>
    <t>(C)Hirukuma/SQUARE ENIX
(C)KIKI/SQUARE ENIX</t>
  </si>
  <si>
    <t>(C)Hirukuma/SQEX
(C)KIKI//SQEX</t>
  </si>
  <si>
    <t>ニル・アドミラリの天秤</t>
  </si>
  <si>
    <t>原作：「ニル・アドミラリの天秤 帝都幻惑綺譚」
作画：優月祥</t>
  </si>
  <si>
    <t>(C)IF/Nil Admirari PROJECT
(C)Syo Yuduki/SQUARE ENIX</t>
  </si>
  <si>
    <t>(C)IF/Nil Admirari PROJECT
(C)SY/SQEX</t>
  </si>
  <si>
    <t>弱キャラ友崎くん-ＣＯＭＩＣ-</t>
  </si>
  <si>
    <t>原作：屋久ユウキ(小学館「ガガガ文庫」刊）
キャラクター原案：フライ
漫画：千田衛人</t>
  </si>
  <si>
    <t>(C)屋久ユウキ・フライ／小学館 
(C)Eight Chida/SQUARE ENIX</t>
  </si>
  <si>
    <t>(C)屋久ユウキ・フライ／小学館 
(C)EC/SQEX</t>
  </si>
  <si>
    <t>神達に拾われた男</t>
  </si>
  <si>
    <t>原作：Roy
漫画：蘭々
キャラクター原案：りりんら</t>
  </si>
  <si>
    <t>(C)Roy 
(C)Ranran/SQUARE ENIX</t>
  </si>
  <si>
    <t>(C)Roy 
(C)Ranran/SQEX</t>
  </si>
  <si>
    <t>あやかさんは駄メギツネ</t>
  </si>
  <si>
    <t>したらなな</t>
  </si>
  <si>
    <t>(C)Shitaranana/SQUARE ENIX</t>
  </si>
  <si>
    <t>(C)Shitaranana/SQEX</t>
  </si>
  <si>
    <t>ガールズ×セクハライフ</t>
  </si>
  <si>
    <t>河合朗</t>
  </si>
  <si>
    <t>(C)Roh Kawai/SQUARE ENIX</t>
  </si>
  <si>
    <t>よなかのれいじにハーレムを！</t>
  </si>
  <si>
    <t>原作：小島あきら
作画：香澤陽平</t>
  </si>
  <si>
    <t>(C)Akira Kojima･Yohei Kazawa/SQUARE ENIX</t>
  </si>
  <si>
    <t>(C)AK・YK/SQEX</t>
  </si>
  <si>
    <t>義賊のススメ</t>
  </si>
  <si>
    <t>温木アツシ</t>
  </si>
  <si>
    <t>(C)Atsushi Haruki/SQUARE ENIX</t>
  </si>
  <si>
    <t>(C)AH/SQEX</t>
  </si>
  <si>
    <t>麦芋</t>
  </si>
  <si>
    <t>(C)Mugiimo/SQUARE ENIX</t>
  </si>
  <si>
    <t>(C)Mugiimo/SQEX</t>
  </si>
  <si>
    <t>おとぎの孫</t>
  </si>
  <si>
    <t>(C)Zeniko Sumiya/SQUARE ENIX</t>
  </si>
  <si>
    <t>(C)ZS/SQEX</t>
  </si>
  <si>
    <t>その着せ替え人形は恋をする</t>
  </si>
  <si>
    <t>福田晋一</t>
  </si>
  <si>
    <t>(C)Shinichi Fukuda/SQUARE ENIX</t>
  </si>
  <si>
    <t>それほど暇ではありません。</t>
  </si>
  <si>
    <t>MURCIÉLAGO -ムルシエラゴ- BYPRODUCT -アラーニァ-</t>
  </si>
  <si>
    <t>原作：よしむらかな
作画：アラカワシン</t>
  </si>
  <si>
    <t>(C)Yoshimurakana/SQUARE ENIX
(C)Shin Arakawa/SQUARE ENIX</t>
  </si>
  <si>
    <t>(C)Yk/SQEX
(C)SA/SQEX</t>
  </si>
  <si>
    <t>英雄教室 -ガールズミッション-</t>
  </si>
  <si>
    <t>原作：新木伸
作画：満月シオン
キャラクター原案：森沢晴行</t>
  </si>
  <si>
    <t>(C)Shion Mizuki/SQUARE ENIX
(C)新木伸・森沢晴行／集英社ダッシュエックス文庫</t>
  </si>
  <si>
    <t>(C)SM/SQEX
(C)新木伸・森沢晴行／集英社ダッシュエックス文庫</t>
  </si>
  <si>
    <t>レンタルおにいちゃん</t>
  </si>
  <si>
    <t>一色 箱</t>
  </si>
  <si>
    <t>(C)Hako Ichiiro/SQUARE ENIX</t>
  </si>
  <si>
    <t>(C)HI/SQEX</t>
  </si>
  <si>
    <t>星の砂 雨野さやか短編集</t>
  </si>
  <si>
    <t>齢5000年の草食ドラゴン、いわれなき邪竜認定 ～やだこの生贄、人の話を聞いてくれない～</t>
  </si>
  <si>
    <t>原作：榎本快晴
漫画：ムロコウイチ
キャラクター原案：しゅがお</t>
  </si>
  <si>
    <t>(C)Kaisei Enomoto・Shugao/KADOKAWA
(C)Murokouichi/SQUARE ENIX</t>
  </si>
  <si>
    <t>(C)Kaisei Enomoto・Shugao/KADOKAWA
(C)Murokouichi/SQEX</t>
  </si>
  <si>
    <t>我が驍勇にふるえよ天地 ―アレクシス帝国興隆記―</t>
  </si>
  <si>
    <t>原作：あわむら赤光（GA文庫／SBクリエイティブ刊）
漫画：佐藤勇
キャラクター原案：卵の黄身</t>
  </si>
  <si>
    <t>(C)Akamitsu Awamura/SB Creative Corp.
Original Character Designs:(C)Tamago no kimi/SB Creative Corp.
(C)Yu Sato/SQUARE ENIX</t>
  </si>
  <si>
    <t>(C)AA,Tnk/SBCr
(C)YS/SQEX</t>
  </si>
  <si>
    <t>86ーエイティシックスー</t>
  </si>
  <si>
    <t>原作：安里アサト（株式会社KADOKAWA／電撃文庫刊）
漫画：吉原基貴
キャラクターデザイン：しらび
メカニックデザイン：I-IV</t>
  </si>
  <si>
    <t>(C) ASATO ASATO 20XX　Licensed by KADOKAWA CORPORATION ASCII MEDIA WORKS 
(C)MOTOKI YOSHIHARA/SQUARE ENIX</t>
  </si>
  <si>
    <t>(C) ASATO ASATO 20XX　Licensed by KADOKAWA CORPORATION ASCII MEDIA WORKS 
(C)MY/SQEX</t>
  </si>
  <si>
    <t>826</t>
  </si>
  <si>
    <t>いなくなれ、群青 Fragile Light of Pistol Star</t>
  </si>
  <si>
    <t>原作・シナリオ：河野裕（新潮文庫刊）
キャラクター原案：越島はぐ
作画：兎月あい</t>
  </si>
  <si>
    <t>(C)Yutaka Kono
(C)Ai Uzuki/SQUARE ENIX</t>
  </si>
  <si>
    <t>(C)Yutaka Kono
(C)AU/SQEX</t>
  </si>
  <si>
    <t>※バナーの監修がとても手間がかかるため、書店さまからの強いご希望がある場合以外は他の作品でバナー作成をお願いいたします。</t>
  </si>
  <si>
    <t>14歳でも幸せにします！</t>
  </si>
  <si>
    <t>アラサーだけど、初恋です。</t>
  </si>
  <si>
    <t>魔王学院の不適合者　～史上最強の魔王の始祖、転生して子孫たちの学校へ通う～</t>
  </si>
  <si>
    <t>原作：秋
漫画：かやはるか
キャラクター原案：しずまよしのり</t>
  </si>
  <si>
    <t>(C)SHU 20XX
(C)Kayaharuka/SQUARE ENIX
Licensed by KADOKAWA CORPORATION</t>
  </si>
  <si>
    <t>(C)SHU 20XX
(C)Kayaharuka/SQEX
Licensed by KADOKAWA CORPORATION</t>
  </si>
  <si>
    <t>エルフと狩猟士のアイテム工房</t>
  </si>
  <si>
    <t>旅とごはんと終末世界</t>
  </si>
  <si>
    <t>文ノ梛</t>
  </si>
  <si>
    <t>(C)Fuminonagi/SQUARE ENIX</t>
  </si>
  <si>
    <t>(C)Fuminonagi/SQEX</t>
  </si>
  <si>
    <t>しらたまめぐり</t>
  </si>
  <si>
    <t>有馬ツカサ</t>
  </si>
  <si>
    <t>(C)Tsukasa Arima/SQUARE ENIX</t>
  </si>
  <si>
    <t>(C)TA/SQEX</t>
  </si>
  <si>
    <t>本日の神降ろし</t>
  </si>
  <si>
    <t>八咫緑</t>
  </si>
  <si>
    <t>(C)Midori Yata/SQUARE ENIX</t>
  </si>
  <si>
    <t>海も川もないので女子高で釣りしてみた</t>
  </si>
  <si>
    <t>神代三鈴の瞬き</t>
  </si>
  <si>
    <t>古町ゆき</t>
  </si>
  <si>
    <t>(C)Yuki Komachi/SQUARE ENIX</t>
  </si>
  <si>
    <t>Jog! Jog! Jog!</t>
  </si>
  <si>
    <t>つづら涼</t>
  </si>
  <si>
    <t>(C)Ryo Tsuzura/SQUARE ENIX</t>
  </si>
  <si>
    <t>マリア先生は妹ガチ勢！</t>
  </si>
  <si>
    <t>ゴブリンスレイヤー：ブランニュー・デイ</t>
  </si>
  <si>
    <t>原作：蝸牛くも（GA文庫／ＳＢクリエイティブ刊）
作画：池野雅博
キャラクター原案：神奈月昇</t>
  </si>
  <si>
    <t>(C)Kumo Kagyu/SB Creative Corp.
Original Character Designs:(C)Noboru Kannatuki/SB Creative Corp.
(C)Masahiro Ikeno/SQUARE ENIX</t>
  </si>
  <si>
    <t>(C)KK,NK/SBCr
(C)MI/SQEX</t>
  </si>
  <si>
    <t>俺は犬ではありません！</t>
  </si>
  <si>
    <t>雨沢もっけ</t>
  </si>
  <si>
    <t>(C)Mokke Amesawa/SQUARE ENIX</t>
  </si>
  <si>
    <t>導国の魔術師 –BRAVE&amp;CHICKEN-</t>
  </si>
  <si>
    <t>原作：はらわたさいぞう
漫画：鈴木匡</t>
  </si>
  <si>
    <t>(C)Saizou Harawata
/SQUARE ENIX
(C)Masashi Suzuki/SQUARE ENIX</t>
  </si>
  <si>
    <t>(C)SH/SQEX
(C)MS/SQEX</t>
  </si>
  <si>
    <t>曹植系男子</t>
  </si>
  <si>
    <t>ねこクラゲ</t>
  </si>
  <si>
    <t>(C)Nekokurage/SQUARE ENIX</t>
  </si>
  <si>
    <t>(C)Nekokurage/SQEX</t>
  </si>
  <si>
    <t>魔王と俺の叛逆記</t>
  </si>
  <si>
    <t>吉川英朗</t>
  </si>
  <si>
    <t>(C)Hideaki Yoshikawa/SQUARE ENIX</t>
  </si>
  <si>
    <t>(C)HY/SQEX</t>
  </si>
  <si>
    <t>怪人麗嬢</t>
  </si>
  <si>
    <t>田代哲也</t>
  </si>
  <si>
    <t>(C)Tetsuya Tashiro/SQUARE ENIX</t>
  </si>
  <si>
    <t>美少女菩薩ミロクちゃん</t>
  </si>
  <si>
    <t>原作：中村基
作画：針義孝</t>
  </si>
  <si>
    <t>(C)Moto Nakamura･Yoshitaka Hari/SQUARE ENIX</t>
  </si>
  <si>
    <t>(C)MN・YH/SQEX</t>
  </si>
  <si>
    <t>ときいろ家族</t>
  </si>
  <si>
    <t>淡沢さわ</t>
  </si>
  <si>
    <t>(C)Sawa Awasawa/SQUARE ENIX</t>
  </si>
  <si>
    <t>ハラサキ</t>
  </si>
  <si>
    <t>原作：野城亮（角川ホラー文庫刊）
作画：櫻シノ</t>
  </si>
  <si>
    <t xml:space="preserve">(C)Ryo Noshiro/KADOKAWA
(C)Shino Sakura/SQUARE ENIX </t>
  </si>
  <si>
    <t>(C)Ryo Noshiro/KADOKAWA
(C)SS/SQEX</t>
  </si>
  <si>
    <t>しろいろとくろいろ 鍵空とみやき初期作品</t>
  </si>
  <si>
    <t>その恋はいちごのように</t>
  </si>
  <si>
    <t>856</t>
  </si>
  <si>
    <t>スライム転生。大賢者が養女エルフに抱きしめられてます</t>
  </si>
  <si>
    <t>原作：月夜涙(オーバーラップノベルス刊）
作画：わらびもちきなこ
キャラクター原案：イチリ</t>
  </si>
  <si>
    <t>(C)Kinako Warabimochi/SQUARE ENIX
(C)月夜 涙/オーバーラップ</t>
  </si>
  <si>
    <t>(C)KW/SQEX
(C)月夜 涙/オーバーラップ</t>
  </si>
  <si>
    <t>857</t>
  </si>
  <si>
    <t>ゲーム脳カップル</t>
  </si>
  <si>
    <t>小賀ちさと</t>
  </si>
  <si>
    <t>(C)Chisato Oga/SQUARE ENIX</t>
  </si>
  <si>
    <t>(C)CO/SQEX</t>
  </si>
  <si>
    <t>30歳まで童貞だと魔法使いになれるらしい</t>
  </si>
  <si>
    <t>豊田悠</t>
  </si>
  <si>
    <t>(C)Yuu Toyota/SQUARE ENIX</t>
  </si>
  <si>
    <t>私のおっとり旦那</t>
  </si>
  <si>
    <t>木崎アオコ</t>
  </si>
  <si>
    <t>(C)Aoko Kizaki
/SQUARE ENIX</t>
  </si>
  <si>
    <t>命運探偵　神田川</t>
  </si>
  <si>
    <t>泉すずしろ</t>
  </si>
  <si>
    <t>(C)Suzushiro Izumi/SQUARE ENIX</t>
  </si>
  <si>
    <t>死神のラメント</t>
  </si>
  <si>
    <t>青辺マヒト</t>
  </si>
  <si>
    <t>(C)Mahito Aobe/SQUARE ENIX</t>
  </si>
  <si>
    <t>三年差</t>
  </si>
  <si>
    <t>島崎無印</t>
  </si>
  <si>
    <t>(C)Mujirushi Shimazaki/SQUARE ENIX</t>
  </si>
  <si>
    <t>JKと家庭教師</t>
  </si>
  <si>
    <t>魔物たちは片付けられない</t>
  </si>
  <si>
    <t>クールドジ男子</t>
  </si>
  <si>
    <t>那多ここね</t>
  </si>
  <si>
    <t>(C)Kokone Nata/SQUARE ENIX</t>
  </si>
  <si>
    <t>アイドルの姉が死にました</t>
  </si>
  <si>
    <t>性別「モナリザ」の君へ。</t>
  </si>
  <si>
    <t>少女辞典</t>
  </si>
  <si>
    <t>安井万里絵</t>
  </si>
  <si>
    <t>(C)Marie Yasui/SQUARE ENIX</t>
  </si>
  <si>
    <t>座敷娘と料理人</t>
  </si>
  <si>
    <t>佐保里</t>
  </si>
  <si>
    <t>(C)Sahori/SQUARE ENIX</t>
  </si>
  <si>
    <t>(C)Sahori/SQEX</t>
  </si>
  <si>
    <t>弩アホリズム</t>
  </si>
  <si>
    <t>堕アホリズム</t>
  </si>
  <si>
    <t>原作：宮条カルナ
作画：田中ひかる</t>
  </si>
  <si>
    <t>(C)Karuna Kujō/SQUARE ENIX
(C)Hikaru Tanaka/SQUARE ENIX</t>
  </si>
  <si>
    <t>(C)KK/SQEX
(C)HT/SQEX</t>
  </si>
  <si>
    <t>転生賢者の異世界ライフ～第二の職業を得て、世界最強になりました～</t>
  </si>
  <si>
    <t>原作：進行諸島（GAノベル／SBクリエイティブ刊）
漫画：彭傑
キャラクター原案：風花風花</t>
  </si>
  <si>
    <t>死ぬときはまばゆく</t>
  </si>
  <si>
    <t>小鳥游ミズキ</t>
  </si>
  <si>
    <t>(C)Mizuki Takanashi/SQUARE ENIX</t>
  </si>
  <si>
    <t>戦国BASARA-猿飛佐助 影忍伝-</t>
  </si>
  <si>
    <t>漫画：漆児皐
監修・協力：カプコン</t>
  </si>
  <si>
    <t>(C)Satsuki Urushiji/SQUARE ENIX
(C)CAPCOM CO., LTD. ALL RIGHTS RESERVED.</t>
  </si>
  <si>
    <t>(C)SU/SQEX
(C)CAPCOM CO., LTD. ALL RIGHTS RESERVED.</t>
  </si>
  <si>
    <t>先生、俺に構わずイッてください！</t>
  </si>
  <si>
    <t>イガラシユイ</t>
  </si>
  <si>
    <t>(C)Igarashiyui/SQUARE ENIX</t>
  </si>
  <si>
    <t>(C)Igarashiyui/SQEX</t>
  </si>
  <si>
    <t>ツン甘な彼氏</t>
  </si>
  <si>
    <t>星見ＳＫ</t>
  </si>
  <si>
    <t>(C)Hoshimi SK/SQUARE ENIX</t>
  </si>
  <si>
    <t>(C)HSK/SQEX</t>
  </si>
  <si>
    <t>続・〆切はおとといです。</t>
  </si>
  <si>
    <t>通りがかりにワンポイントアドバイスしていくタイプのヤンキー</t>
  </si>
  <si>
    <t>おつじ</t>
  </si>
  <si>
    <t>(C)Otsuji/SQUARE ENIX</t>
  </si>
  <si>
    <t>(C)Otsuji/SQEX</t>
  </si>
  <si>
    <t>鬼島さんと山田さん</t>
  </si>
  <si>
    <t>13年後の君</t>
  </si>
  <si>
    <t>餅田まか</t>
  </si>
  <si>
    <t>(C)Maka Mochida/SQUARE ENIX</t>
  </si>
  <si>
    <t>UTAKATA80[S]</t>
  </si>
  <si>
    <t>884</t>
  </si>
  <si>
    <t>金装のヴェルメイユ～崖っぷち魔術師は最強の厄災と魔法世界を突き進む～</t>
  </si>
  <si>
    <t>原作：天那光汰
作画：梅津葉子</t>
  </si>
  <si>
    <t>(C)Kouta Amana
/SQUARE ENIX
(C)Youko Umezu
/SQUARE ENIX</t>
  </si>
  <si>
    <t>(C)KA/SQEX
(C)YU
/SQEX</t>
  </si>
  <si>
    <t>事情を知らない転校生がグイグイくる。</t>
  </si>
  <si>
    <t>川村拓</t>
  </si>
  <si>
    <t>(C)Taku Kawamura/SQUARE ENIX</t>
  </si>
  <si>
    <t>イビルば～じん</t>
  </si>
  <si>
    <t>あわ箱</t>
  </si>
  <si>
    <t>(C)AWABAKO/SQUARE ENIX</t>
  </si>
  <si>
    <t>(C)AWABAKO/SQEX</t>
  </si>
  <si>
    <t>女装コスプレイヤーと弟</t>
  </si>
  <si>
    <t>ナナホシとタチバナ</t>
  </si>
  <si>
    <t>890</t>
  </si>
  <si>
    <t>織田信長という謎の職業が魔法剣士よりチートだったので、王国を作ることにしました</t>
  </si>
  <si>
    <t>原作：森田季節（GAノベル／SBクリエイティブ刊）
漫画：西梨玖
キャラクター原案：柴乃櫂人</t>
  </si>
  <si>
    <t>(C)Kisetsu Morita/SB Creative Corp.　
Original Character Designs:(C)Kaito Shibano/SB Creative Corp.
(C)Riku Nishi/SQUARE ENIX</t>
  </si>
  <si>
    <t>(C)KM,KS/SBCr
(C)RN/SQEX</t>
  </si>
  <si>
    <t>フェンリル</t>
  </si>
  <si>
    <t>原作：赤松中学
漫画：大西実生子</t>
  </si>
  <si>
    <t>(C)Chugaku Akamatsu/SQUARE ENIX
(C)Mioko Ohnishi/SQUARE ENIX</t>
  </si>
  <si>
    <t>(C)CA/SQEX
(C)MO/SQEX</t>
  </si>
  <si>
    <t>星鳴エコーズ　スピカダイアリー</t>
  </si>
  <si>
    <t>原作・原案：ジークレスト
ストーリー原案：鈴木鈴（サウザンドスクリプト）
作画：水沢翔</t>
  </si>
  <si>
    <t>(C)GCREST, Inc.
(C)Sho Mizusawa/SQUARE ENIX</t>
  </si>
  <si>
    <t>(C)GCREST, Inc.
(C)SM/SQEX</t>
  </si>
  <si>
    <t>ラブコメ（物理）</t>
  </si>
  <si>
    <t>えきあ</t>
  </si>
  <si>
    <t>(C)ekia/SQUARE ENIX</t>
  </si>
  <si>
    <t>(C)ekia/SQEX</t>
  </si>
  <si>
    <t>三白眼ちゃんは伝えたい。</t>
  </si>
  <si>
    <t>空翔俊介</t>
  </si>
  <si>
    <t>(C)Shunsuke Sorato/SQUARE ENIX</t>
  </si>
  <si>
    <t>イジメカエシ。－復讐の31（カランドリエ）－</t>
  </si>
  <si>
    <t>村下玖臓</t>
  </si>
  <si>
    <t>(C)Q-ZOU Murashita/SQUARE ENIX</t>
  </si>
  <si>
    <t>(C)QM/SQEX</t>
  </si>
  <si>
    <t>オネェ課長たまきさん～オネェは社畜を救う～</t>
  </si>
  <si>
    <t>高瀬雛</t>
  </si>
  <si>
    <t>(C)Hina Takase/SQUARE ENIX</t>
  </si>
  <si>
    <t>(C)HT/SQEX</t>
  </si>
  <si>
    <t>占者高生 星見先輩</t>
  </si>
  <si>
    <t>花乃軍</t>
  </si>
  <si>
    <t>(C)ikusa kano/SQUARE ENIX</t>
  </si>
  <si>
    <t>(C)ik/SQEX</t>
  </si>
  <si>
    <t>教国のレクエルド</t>
  </si>
  <si>
    <t>放課後少年　花子くん</t>
  </si>
  <si>
    <t>妖怪学校の生徒はじめました！</t>
  </si>
  <si>
    <t>901</t>
  </si>
  <si>
    <t>高比良さんの恩返し</t>
  </si>
  <si>
    <t>ほしな</t>
  </si>
  <si>
    <t>(C)Hoshina/SQUARE ENIX</t>
  </si>
  <si>
    <t>(C)Hoshina/SQEX</t>
  </si>
  <si>
    <t>サツジンゲーム『配神限定』～なんでも願いが叶うアプリを落としたら、神々の殺し合いゲームに巻き込まれました～</t>
  </si>
  <si>
    <t>弘川ニウ</t>
  </si>
  <si>
    <t>(C)New Hirokawa/SQUARE ENIX</t>
  </si>
  <si>
    <t>903</t>
  </si>
  <si>
    <t>父は英雄、母は精霊、娘の私は転生者。</t>
  </si>
  <si>
    <t>原作：松浦（カドカワBOOKS）
作画：大堀ユタカ
キャラクター原案：keepout</t>
  </si>
  <si>
    <t>(C)Matsuura,keepout 2018 Licensed by KADOKAWA CORPORATION
(C)Yutaka Ohhori/SQUARE ENIX</t>
  </si>
  <si>
    <t>(C)Matsuura,keepout 2018 Licensed by KADOKAWA CORPORATION
(C)YO/SQEX</t>
  </si>
  <si>
    <t>勇者パーティーを追放されたビーストテイマー、最強種の猫耳少女と出会う</t>
  </si>
  <si>
    <t>原作：深山鈴
漫画：茂村モト</t>
  </si>
  <si>
    <t xml:space="preserve">(C)Suzu Miyama
(C)Moto Shigemura/SQUARE ENIX </t>
  </si>
  <si>
    <t>(C)Suzu Miyama
(C)MS/SQEX</t>
  </si>
  <si>
    <t>906</t>
  </si>
  <si>
    <t>世界でただ一人の魔物使い　～転職したら魔王に間違われました～</t>
  </si>
  <si>
    <t>原作：筧千里
作画：堂島ノリオ
キャラクター原案：hu-ko</t>
  </si>
  <si>
    <t>(C)Senri Kakei,hu-ko 2018
(C)Norio Doujima/SQUARE ENIX</t>
  </si>
  <si>
    <t>(C)Senri Kakei,hu-ko 2018
(C)ND/SQEX</t>
  </si>
  <si>
    <t>おっさん冒険者ケインの善行</t>
  </si>
  <si>
    <t>原作：風来山（GAノベル／SBクリエイティブ刊）
漫画：沖野真歩
キャラクター原案：すーぱーぞんび</t>
  </si>
  <si>
    <t>(C)huuraisan/SB Creative Corp.　
Original Character Designs:(C)Super Zombie/SB Creative Corp.
(C)Maho Okino/SQUARE ENIX</t>
  </si>
  <si>
    <t>(C)h,SZ/SBCr
(C)MO/SQEX</t>
  </si>
  <si>
    <t>千剣の魔術師と呼ばれた剣士</t>
  </si>
  <si>
    <t>原作：高光 晶(角川スニーカー文庫/KADOKAWA) 
キャラクター原案：Gilse
作画：黒須恵麻</t>
  </si>
  <si>
    <t>(C)Akira Takamitsu・Gilse/KADOKAWA
(C)Ema Kurosu
/SQUARE ENIX</t>
  </si>
  <si>
    <t>(C)Akira Takamitsu・Gilse/KADOKAWA
(C)EK
/SQEX</t>
  </si>
  <si>
    <t>909</t>
  </si>
  <si>
    <t>すべて灰になっても</t>
  </si>
  <si>
    <t>原案：鬼八頭かかし
原作：辻森惺
作画：鮭no.マリネ</t>
  </si>
  <si>
    <t>(C)Kakashi Oniyazu
/SQUARE ENIX
(C)Sei Tsujimori
/SQUARE ENIX
(C)salmon no. marine/SQUARE ENIX</t>
  </si>
  <si>
    <t>(C)KO
/SQEX
(C)ST/SQEX
(C)sn.m/SQEX</t>
  </si>
  <si>
    <t>910</t>
  </si>
  <si>
    <t>あやかし温泉奇譚綺譚</t>
  </si>
  <si>
    <t>原作：辻󠄀森惺
作画：吉村悠希</t>
  </si>
  <si>
    <t>(C)Sei Tsujimori
/SQUARE ENIX
(C)Haruki Yoshimura/SQUARE ENIX</t>
  </si>
  <si>
    <t>(C)ST/SQEX
(C)HY/SQEX</t>
  </si>
  <si>
    <t>冒険者ライセンスを剥奪されたおっさんだけど、愛娘ができたのでのんびり人生を謳歌する</t>
  </si>
  <si>
    <t>原作：斧名田マニマニ（GAノベル／SBクリエイティブ刊）
作画：唯浦史
構成：渡辺樹
キャラクター原案：藤ちょこ</t>
  </si>
  <si>
    <t>(C)Manimani Ononata/SB Creative Corp.　
Original Character Designs:(C)Fuzichoco/SB Creative Corp.
(C)Fumi Tadaura/SQUARE ENIX
(C)Itsuki Watanabe/SQUARE ENIX</t>
  </si>
  <si>
    <t>(C)MO,F/SBCr
(C)FT,IW/SQEX</t>
  </si>
  <si>
    <t>912</t>
  </si>
  <si>
    <t>魔女の旅々</t>
  </si>
  <si>
    <t>原作：白石定規
漫画：七緒一綺
キャラクター原案：あずーる</t>
  </si>
  <si>
    <t>(C)Jougi Shiraishi/SB Creative Corp.　
Original Character Designs:(C)Azure/SB Creative Corp.
(C)Itsuki Nanao/SQUARE ENIX</t>
  </si>
  <si>
    <t>(C)JS,A/SBCr
(C)IN/SQEX</t>
  </si>
  <si>
    <t>異世界帰りの勇者が現代最強！</t>
  </si>
  <si>
    <t>原作：白石　新
漫画：さめだ小判
キャラクター原案：たかやKi</t>
  </si>
  <si>
    <t>(C)Arata Shiraishi/SB Creative Corp.　
Original Character Designs:(C)TaKaYa Ki/SB Creative Corp.
(C)Koban Sameda/SQUARE ENIX</t>
  </si>
  <si>
    <t>(C)AS,TK/SBCr
(C)KS/SQEX</t>
  </si>
  <si>
    <t>夢喰いバクと悪夢の子</t>
  </si>
  <si>
    <t>日下幹之</t>
  </si>
  <si>
    <t>(C)Mikiyuki Kusaka/SQUARE ENIX</t>
  </si>
  <si>
    <t>モンスターがあふれる世界になったので、好きに生きたいと思います</t>
  </si>
  <si>
    <t>原作：よっしゃあっ！（GAノベル／ＳＢクリエイティブ刊）
漫画：ラルサン
キャラクター原案：こるせ</t>
  </si>
  <si>
    <t>(C)yosshaa！/SB Creative Corp.
Original Character Designs:(C)koruse/SB Creative Corp.
(C)Ralsan/SQUARE ENIX</t>
  </si>
  <si>
    <t>(C)y,k/SBCr
(C)R/SQEX</t>
  </si>
  <si>
    <t>万年Dランクの中年冒険者、酔った勢いで伝説の剣を引っこ抜く</t>
  </si>
  <si>
    <t>原作：九頭七尾（GAノベル／SBクリエイティブ刊）
漫画：温木アツシ
キャラクター原案：へいろー</t>
  </si>
  <si>
    <t>(C)Shichio Kuzu/SB Creative Corp. 
Original Character Designs:(C)Heiro/SB Creative Corp.
(C)Atsushi Haruki/SQUARE ENIX</t>
  </si>
  <si>
    <t>(C)SK,H/SBCr
(C)AH/SQEX</t>
  </si>
  <si>
    <t>天下一蹴-今川氏真無用剣-</t>
  </si>
  <si>
    <t>原作：蝸牛くも（GA文庫／ＳＢクリエイティブ刊）
漫画：湯野由之
キャラクター原案：伊藤悠</t>
  </si>
  <si>
    <t>(C)Kumo Kagyu/SB Creative Corp.　
Original Character Designs:(C)Yu Itou/SB Creative Corp.
(C)Yoshiyuki Yuno/SQUARE ENIX</t>
  </si>
  <si>
    <t>(C)KK,YI/SBCr
(C)YY/SQEX</t>
  </si>
  <si>
    <t>アラフォー賢者の異世界生活日記～気ままな異世界教師ライフ～</t>
  </si>
  <si>
    <t>原作：寿安清（「アラフォー賢者の異世界生活日記」KADOKAWA/MFブックス刊）
作画：招来
構成：西野リュウ
キャラクター原案：ジョンディー</t>
  </si>
  <si>
    <t>(C)Kotobuki Yasukiyo 20XX Licensed by KADOKAWA CORPORATION
(C)Maneki/SQUARE ENIX
(C)Ryu Nishino/SQUARE ENIX</t>
  </si>
  <si>
    <t>(C)Kotobuki Yasukiyo 20XX Licensed by KADOKAWA CORPORATION
(C)Maneki/SQEX
(C)RN/SQEX</t>
  </si>
  <si>
    <t>919</t>
  </si>
  <si>
    <t>聖女の揺籃、毒女の柩</t>
  </si>
  <si>
    <t>小林さんは地味だけど。</t>
  </si>
  <si>
    <t>玉姫なお</t>
  </si>
  <si>
    <t>(C)Nao Tamaki/SQUARE ENIX</t>
  </si>
  <si>
    <t>ヤクザの大親分が幼女に生まれ変わった話</t>
  </si>
  <si>
    <t>アメノ</t>
  </si>
  <si>
    <t>(C)Ameno/SQUARE ENIX</t>
  </si>
  <si>
    <t>(C)Ameno/SQEX</t>
  </si>
  <si>
    <t>922</t>
  </si>
  <si>
    <t>死後の世界でも死ぬまで働く話</t>
  </si>
  <si>
    <t>山口えいと</t>
  </si>
  <si>
    <t>(C)Eito Yamaguchi/SQUARE ENIX</t>
  </si>
  <si>
    <t>(C)EY/SQEX</t>
  </si>
  <si>
    <t>923</t>
  </si>
  <si>
    <t>BLマンガ脳妹×少女マンガ脳兄</t>
  </si>
  <si>
    <t>鳥原習</t>
  </si>
  <si>
    <t>(C)Shu Torihara/SQUARE ENIX</t>
  </si>
  <si>
    <t>ビブリオコレクト</t>
  </si>
  <si>
    <t>原作・シナリオ：蒼月海里
作画：明日香さつき</t>
  </si>
  <si>
    <t>(C)Kairi Aotsuki/SQUARE ENIX
(C)Satsuki Asuka/SQUARE ENIX</t>
  </si>
  <si>
    <t>(C)KA/SQEX
(C)SA/SQEX</t>
  </si>
  <si>
    <t>925</t>
  </si>
  <si>
    <t>フェイク・リベリオン</t>
  </si>
  <si>
    <t>休日のわるものさん</t>
  </si>
  <si>
    <t>森川侑</t>
  </si>
  <si>
    <t>(C)Yuu Morikawa/SQUARE ENIX</t>
  </si>
  <si>
    <t>(C)YM/SQEX</t>
  </si>
  <si>
    <t>928</t>
  </si>
  <si>
    <t>口裂け姐さん</t>
  </si>
  <si>
    <t>櫻日和鮎実</t>
  </si>
  <si>
    <t>(C)Ayumi Sakurakawa/SQUARE ENIX</t>
  </si>
  <si>
    <t>私の神様</t>
  </si>
  <si>
    <t>夢野つくし</t>
  </si>
  <si>
    <t>(C)Tsukushi Yumeno/SQUARE ENIX</t>
  </si>
  <si>
    <t>931</t>
  </si>
  <si>
    <t>最強勇者はお払い箱→魔王になったらずっと俺の無双ターン</t>
  </si>
  <si>
    <t>原作：澄守彩
キャラクター原案：jimmy
作画：まさゆみ</t>
  </si>
  <si>
    <t>(C)澄守彩・jimmy
(C)Masayumi/SQUARE ENIX</t>
  </si>
  <si>
    <t>(C)澄守彩・jimmy
(C)Masayumi/SQEX</t>
  </si>
  <si>
    <t>腐男子家族</t>
  </si>
  <si>
    <t>すずり街</t>
  </si>
  <si>
    <t>(C)Suzuri Machi/SQUARE ENIX</t>
  </si>
  <si>
    <t>好きな子がめがねを忘れた</t>
  </si>
  <si>
    <t>藤近小梅</t>
  </si>
  <si>
    <t>(C)Koume Fujichika/SQUARE ENIX</t>
  </si>
  <si>
    <t>(C)KF/SQEX</t>
  </si>
  <si>
    <t>934</t>
  </si>
  <si>
    <t>ロクショウ！</t>
  </si>
  <si>
    <t>プロジェクト東京ドールズ　忘却のイミテーション・ドール</t>
  </si>
  <si>
    <t>原作：スクウェア・エニックス
脚本：与田想・手ノ上あるく（dot works)
作画：Bcoca
構成：大村陽</t>
  </si>
  <si>
    <t>(C)2017-20XX SQUARE ENIX CO., LTD. All Rights Reserved.
(C)Bcoca/SQUARE ENIX
(C)You Omura/SQUARE ENIX</t>
  </si>
  <si>
    <t>(C)2017-20XX SQUARE ENIX CO., LTD. All Rights Reserved.
(C)Bcoca/SQEX
(C)YO/SQEX</t>
  </si>
  <si>
    <t>936</t>
  </si>
  <si>
    <t>魔法女子学園の助っ人教師</t>
  </si>
  <si>
    <t>原作：東導号（HJノベルス刊『魔法女子学園の助っ人教師』）
キャラクターデザイン：とよた瑣織
作画：藤本桜</t>
  </si>
  <si>
    <t xml:space="preserve">(C)Go Todo
(C)Sakura Fujimoto/SQUARE ENIX </t>
  </si>
  <si>
    <t>(C)Go Todo
(C)SF/SQEX</t>
  </si>
  <si>
    <t>裸のるーくん</t>
  </si>
  <si>
    <t>青目槙斗</t>
  </si>
  <si>
    <t>(C)Makito Aome/SQUARE ENIX</t>
  </si>
  <si>
    <t>938</t>
  </si>
  <si>
    <t>ヨシノズイカラ</t>
  </si>
  <si>
    <t>939</t>
  </si>
  <si>
    <t>憑き神とぼんぼん</t>
  </si>
  <si>
    <t>硝音あや</t>
  </si>
  <si>
    <t>(C)Aya Shouoto/SQUARE ENIX</t>
  </si>
  <si>
    <t>原作：顎木あくみ（富士見L文庫／KADOKAWA刊）
漫画：高坂りと 
キャラクター原案：月岡月穂</t>
  </si>
  <si>
    <t>(C)Akumi Agitogi Licensed by KADOKAWA CORPORATION 
(C)Rito Kohsaka/SQUARE ENIX</t>
  </si>
  <si>
    <t>(C)Akumi Agitogi Licensed by KADOKAWA CORPORATION 
(C)RK/SQEX</t>
  </si>
  <si>
    <t>シンソウノイズ　～受信探偵の事件簿～</t>
  </si>
  <si>
    <t>脚本：海原望
原作・監修：合同会社DMM　GAMES
作画：伊東フミ
キャラクター原案：はましま薫夫</t>
  </si>
  <si>
    <t>(C)2016 EXNOA LLC
(C)Fumi Ito/SQUARE ENIX</t>
  </si>
  <si>
    <t>(C)2016 EXNOA LLC
(C)FI/SQEX</t>
  </si>
  <si>
    <t>ヒラ役人やって1500年、魔王の力で大臣にされちゃいました</t>
  </si>
  <si>
    <t>原作：森田季節（ＧＡノベル/ＳＢクリエイティブ刊）
漫画：村上メイシ
キャラクター原案：紅緒</t>
  </si>
  <si>
    <t>(C)Kisetsu Morita/SB Creative Corp.　
Original Character Designs:(C)Benio/SB Creative Corp.
(C)Meishi Murakami/SQUARE ENIX</t>
  </si>
  <si>
    <t>(C)KM,B/SBCr
(C)MM/SQEX</t>
  </si>
  <si>
    <t>捕食系ヒロインにあと1年以内に食べられます</t>
  </si>
  <si>
    <t>森下suu</t>
  </si>
  <si>
    <t>(C)suu Morishita/SQUARE ENIX</t>
  </si>
  <si>
    <t>(C)sM/SQEX</t>
  </si>
  <si>
    <t>あくまのまま</t>
  </si>
  <si>
    <t>旦那観察日記～AV男優との新婚生活～</t>
  </si>
  <si>
    <t>はあちゅう</t>
  </si>
  <si>
    <t>(C)ha-chu/SQUARE ENIX</t>
  </si>
  <si>
    <t>(C)ha-chu/SQEX</t>
  </si>
  <si>
    <t>光流坊ちゃんはぼっち</t>
  </si>
  <si>
    <t>ワケあり薬師の万覚帳</t>
  </si>
  <si>
    <t>nyaroro</t>
  </si>
  <si>
    <t>(C)nyaroro/SQUARE ENIX</t>
  </si>
  <si>
    <t>(C)nyaroro/SQEX</t>
  </si>
  <si>
    <t>アラフォー男の異世界通販生活</t>
  </si>
  <si>
    <t>原作：朝倉一二三（ツギクルブックス）
キャラクターデザイン：やまかわ
漫画：うみハル</t>
  </si>
  <si>
    <t>(C)Hifumi Asakura/Tugikuru Corp.
(C)Umiharu/SQUARE ENIX</t>
  </si>
  <si>
    <t>(C)Hifumi Asakura/Tugikuru Corp.
(C)Umiharu/SQEX</t>
  </si>
  <si>
    <t>お子様王子はとめられない！</t>
  </si>
  <si>
    <t>ありこ</t>
  </si>
  <si>
    <t>(C)Ariko/SQUARE ENIX</t>
  </si>
  <si>
    <t>(C)Ariko/SQEX</t>
  </si>
  <si>
    <t>ちょっぴり年上でも彼女にしてくれますか？</t>
  </si>
  <si>
    <t>原作：望公太(GA文庫／SBクリエイティブ刊)
漫画：浦稀えんや
キャラクター原案：ななせめるち</t>
  </si>
  <si>
    <t>(C)Kota Nozomi/SB Creative Corp.
Original Character Designs:(C)Meruchi Nanase/SB Creative Corp.
(C)Enya Uraki/SQUARE ENIX</t>
  </si>
  <si>
    <t>(C)KN,MN/SBCr
(C)EU/SQEX</t>
  </si>
  <si>
    <t>高２にタイムリープした俺が、当時好きだった先生に告った結果</t>
  </si>
  <si>
    <t>原作：ケンノジ(GA文庫／SBクリエイティブ刊)
漫画：松元こみかん
キャラクター原案：やすゆき</t>
  </si>
  <si>
    <t>(C)Kennoji/SB Creative Corp.　
Original Character Designs:(C)Yasuyuki/SB Creative Corp.
(C)Komikan Matsumoto/SQUARE ENIX</t>
  </si>
  <si>
    <t>(C)K,Y/SBCr
(C)KM/SQEX</t>
  </si>
  <si>
    <t>ゴブリンスレイヤー外伝2 鍔鳴の太刀《ダイ・カタナ》</t>
  </si>
  <si>
    <t>原作：蝸牛くも（ＧＡノベル／ＳＢクリエイティブ刊）
作画：青木翔吾
キャラクター原案：lack</t>
  </si>
  <si>
    <t>(C)Kumo Kagyu/SB Creative Corp.
Original Character Designs:(C)lack/SB Creative Corp.
(C)Shogo Aoki/SQUARE ENIX</t>
  </si>
  <si>
    <t>(C)KK,l/SBCr
(C)SA/SQEX</t>
  </si>
  <si>
    <t>天つ狐と封印詩</t>
  </si>
  <si>
    <t>寝子暇子</t>
  </si>
  <si>
    <t>(C)Himako Neko/SQUARE ENIX</t>
  </si>
  <si>
    <t>鬼さんの所へ参りました</t>
  </si>
  <si>
    <t>自動販売機の前で、</t>
  </si>
  <si>
    <t>斉藤ヒュウ</t>
  </si>
  <si>
    <t>(C)Hugh Saito/SQUARE ENIX</t>
  </si>
  <si>
    <t>テツヲベルッタ ～テツのもとに来たのは長靴をはいた猫ではなくドーベルマンだった～</t>
  </si>
  <si>
    <t>大野ツトム</t>
  </si>
  <si>
    <t>(C)Tsutomu Oono/SQUARE ENIX</t>
  </si>
  <si>
    <t>極道パラサイツ</t>
  </si>
  <si>
    <t>原作：まつたけうめ
漫画：武六甲理衣</t>
  </si>
  <si>
    <t>(C)Matsutakeume/SQUARE ENIX
(C)BroccoLee/SQUARE ENIX</t>
  </si>
  <si>
    <t>(C)Matsutakeume/SQEX
(C)BroccoLee/SQEX</t>
  </si>
  <si>
    <t>ガンズ n’ プライド</t>
  </si>
  <si>
    <t>伊藤イット</t>
  </si>
  <si>
    <t>(C)Itto Itou/SQUARE ENIX</t>
  </si>
  <si>
    <t>(C)II/SQEX</t>
  </si>
  <si>
    <t>史上最強の大魔王、 村人Ａに転生する</t>
  </si>
  <si>
    <t>原作：下等妙人（ファンタジア文庫/KADOKAWA刊）
漫画：こぼた みすほ
キャラクター原案：水野早桜</t>
  </si>
  <si>
    <t>(C)Myojin Katou, Sao Mizuno 2018 Licensed by KADOKAWA CORPORATION
(C)Misuho Kobota/SQUARE ENIX</t>
  </si>
  <si>
    <t>(C)Myojin Katou, Sao Mizuno 2018 Licensed by KADOKAWA CORPORATION
(C)MK/SQEX</t>
  </si>
  <si>
    <t>漆黒使いの最強勇者　仲間全員に裏切られたので最強の魔物と組みます</t>
  </si>
  <si>
    <t>原作：瀬戸メグル
作画：木村有里
キャラクター原案：ジョンディー</t>
  </si>
  <si>
    <t>(C)瀬戸メグル・ジョンディー
(C)Yuri Kimura/SQUARE ENIX</t>
  </si>
  <si>
    <t>(C)瀬戸メグル・ジョンディー
(C)YK/SQEX</t>
  </si>
  <si>
    <t>BADON</t>
  </si>
  <si>
    <t>最強の魔導士。ひざに矢をうけてしまったので田舎の衛兵になる</t>
  </si>
  <si>
    <t>原作：えぞぎんぎつね
漫画：アヤノマサキ
キャラクター原案：TEDDY</t>
  </si>
  <si>
    <t xml:space="preserve">(C)Ezogingitune/SB Creative Corp.　
Original Character Designs:(C)TEDDY/SB Creative Corp.
(C)Masaki Ayano/SQUARE ENIX </t>
  </si>
  <si>
    <t>(C)E,T/SBCr
(C)MA/SQEX</t>
  </si>
  <si>
    <t>冒険に、ついてこないでお母さん！ ～ 超過保護な最強ドラゴンに育てられた息子、母親同伴で冒険者になる</t>
  </si>
  <si>
    <t>原作：茨木野
漫画：四志丸</t>
  </si>
  <si>
    <t>(C)ibarakino
(C)Shishimaru/SQUARE ENIX</t>
  </si>
  <si>
    <t>(C)ibarakino
(C)Shishimaru/SQEX</t>
  </si>
  <si>
    <t>履いてください、鷹峰さん</t>
  </si>
  <si>
    <t>心理学で異世界ハーレム建国記</t>
  </si>
  <si>
    <t>原作：ゆうきゆう
漫画：とんぷう
キャラクター原案：Blue_GK</t>
  </si>
  <si>
    <t>(C)Yu Yuuki 2018 Licensed by KADOKAWA CORPORATION
(C)Tongpoo/SQUARE ENIX</t>
  </si>
  <si>
    <t>(C)Yu Yuuki 2018 Licensed by KADOKAWA CORPORATION
(C)Tongpoo/SQEX</t>
  </si>
  <si>
    <t>自宅警備姫テラス</t>
  </si>
  <si>
    <t>「攻略本」を駆使する最強の魔法使い ～＜命令させろ＞とは言わせない俺流魔王討伐最善ルート～</t>
  </si>
  <si>
    <t>原作：福山松江（GAノベル／SBクリエイティブ）
作画：舞嶋大
キャラクター原案：かかげ</t>
  </si>
  <si>
    <t>(C)Matsue Fukuyama/SB Creative Corp.
Original Character Designs:(C)kakage/SB Creative Corp.
(C)Hiro Maijima/SQUARE ENIX</t>
  </si>
  <si>
    <t>(C)MF,k/SBCr
(C)HM/SQEX</t>
  </si>
  <si>
    <t>クレーンゲームはやめられない！</t>
  </si>
  <si>
    <t>10th</t>
  </si>
  <si>
    <t>伊鳴優子</t>
  </si>
  <si>
    <t>(C)Yuko Inari/SQUARE ENIX</t>
  </si>
  <si>
    <t>僕の彼女は布団系女子です。</t>
  </si>
  <si>
    <t>埜生</t>
  </si>
  <si>
    <t>(C)Yao/SQUARE ENIX</t>
  </si>
  <si>
    <t>(C)Yao/SQEX</t>
  </si>
  <si>
    <t>氷属性男子とクールな同僚女子</t>
  </si>
  <si>
    <t>殿ヶ谷美由記</t>
  </si>
  <si>
    <t>(C)Miyuki Tonogaya/SQUARE ENIX</t>
  </si>
  <si>
    <t>二度転生した少年はＳランク冒険者として平穏に過ごす　～前世が賢者で英雄だったボクは来世では地味に生きる～</t>
  </si>
  <si>
    <t>原作：十一屋　翠・がおう
漫画：イケシタ</t>
  </si>
  <si>
    <t>(C)Juuichiya Sui / Gaou 20XX
(C)IKESHITA/SQUARE ENIX</t>
  </si>
  <si>
    <t>(C)Juuichiya Sui / Gaou 20XX
(C)IKESHITA/SQEX</t>
  </si>
  <si>
    <t>錆喰いビスコ</t>
  </si>
  <si>
    <t>原作：瘤久保慎司（株式会社KADOKAWA/電撃文庫刊）
漫画：高橋佑輔
キャラクターデザイン：赤岸K
世界観デザイン：mocha</t>
  </si>
  <si>
    <t>(C)Shinji Cobkubo 20XX Licensed by KADOKAWA CORPORATION ASCII MEDIA WORKS
(C)Yusuke Takahashi/SQUARE ENIX</t>
  </si>
  <si>
    <t>(C)Shinji Cobkubo 20XX Licensed by KADOKAWA CORPORATION ASCII MEDIA WORKS
(C)YT/SQEX</t>
  </si>
  <si>
    <t>死霊術師のお手伝い</t>
  </si>
  <si>
    <t>原作：島崎無印
作画：はま</t>
  </si>
  <si>
    <t>(C)Mujirushi Shimazaki/SQUARE ENIX
(C)Hama/SQUARE ENIX</t>
  </si>
  <si>
    <t>(C)MS/SQEX
(C)Hama/SQEX</t>
  </si>
  <si>
    <t>977</t>
  </si>
  <si>
    <t>これだからゲーム作りはやめられない!</t>
  </si>
  <si>
    <t>たかし♂</t>
  </si>
  <si>
    <t>(C)Takashi/SQUARE ENIX</t>
  </si>
  <si>
    <t>(C)Takashi/SQEX</t>
  </si>
  <si>
    <t>死神様に最期のお願いをRE</t>
  </si>
  <si>
    <t>原作：山口ミコト
作画：古代甲</t>
  </si>
  <si>
    <t>(C)Mikoto Yamaguchi・Kabuto Kodai/SQUARE ENIX</t>
  </si>
  <si>
    <t>(C)MY・KK/SQEX</t>
  </si>
  <si>
    <t>君のお母さんを僕に下さい！</t>
  </si>
  <si>
    <t>田澤裕</t>
  </si>
  <si>
    <t>(C)Yutaka Tazawa/SQUARE ENIX</t>
  </si>
  <si>
    <t>最強タンクの迷宮攻略　～体力9999のレアスキル持ちタンク、勇者パーティーを追放される～</t>
  </si>
  <si>
    <t>原作：木嶋隆太（ヒーロー文庫／イマジカインフォス）
漫画：如月命
キャラクター原案：さんど</t>
  </si>
  <si>
    <t>(C)20XX Kijima Ryuta/Imagica Infos Co.,Ltd.
(C)Makoto Kisaragi/SQUARE ENIX</t>
  </si>
  <si>
    <t>(C)20XX Kijima Ryuta/Imagica Infos Co.,Ltd.
(C)MK/SQEX</t>
  </si>
  <si>
    <t>年号は毎年更新
和文コピーライト：(C)木嶋隆太/イマジカインフォス</t>
  </si>
  <si>
    <t>25時のゴーストライター</t>
  </si>
  <si>
    <t>梶本あかり</t>
  </si>
  <si>
    <t>(C)Akari Kajimoto/SQUARE ENIX</t>
  </si>
  <si>
    <t>復讐の星</t>
  </si>
  <si>
    <t>伊藤寿規</t>
  </si>
  <si>
    <t>(C)Toshinori Ito/SQUARE ENIX</t>
  </si>
  <si>
    <t>コンビニで君との５分間。</t>
  </si>
  <si>
    <t>一永のぞみ</t>
  </si>
  <si>
    <t>(C)Nozomi Ichinaga/SQUARE ENIX</t>
  </si>
  <si>
    <t>(C)NI/SQEX</t>
  </si>
  <si>
    <t>少年の初恋は美少女♂でした。</t>
  </si>
  <si>
    <t>なにがなんでもハッピーエンド～立葵作品集～</t>
  </si>
  <si>
    <t>立葵</t>
  </si>
  <si>
    <t>(C)Tachi Aoi/SQUARE ENIX</t>
  </si>
  <si>
    <t>めんどくさがり男子が朝起きたら女の子になっていた話</t>
  </si>
  <si>
    <t>予知能力まんが・九能ちよ</t>
  </si>
  <si>
    <t>装備枠ゼロの最強剣士 でも、呪いの装備(可愛い)なら9999個つけ放題</t>
  </si>
  <si>
    <t>原作：坂木持丸
作画：鷹嶋大輔
キャラクター原案：ゆのひと</t>
  </si>
  <si>
    <t>(C)Mochimaru Sakaki,Yunohito 2019 Licensed by KADOKAWA CORPORATION
(C)Daisuke Takashima/SQUARE ENIX</t>
  </si>
  <si>
    <t>(C)Mochimaru Sakaki,Yunohito 2019 Licensed by KADOKAWA CORPORATION
(C)DT/SQEX</t>
  </si>
  <si>
    <t>誰かを呪わずにいられないこの世界で</t>
  </si>
  <si>
    <t>原作：木場健介
作画：うるまなつこ</t>
  </si>
  <si>
    <t>(C)Kensuke Koba/SQUARE ENIX
(C)Natsuko Uruma/SQUARE ENIX</t>
  </si>
  <si>
    <t>(C)KK/SQEX
(C)NU/SQEX</t>
  </si>
  <si>
    <t>この国の不幸に仕えて</t>
  </si>
  <si>
    <t>鷹来タラ</t>
  </si>
  <si>
    <t>(C)Tara Takagi
/SQUARE ENIX</t>
  </si>
  <si>
    <t>幼なじみが過保護すぎてツライ</t>
  </si>
  <si>
    <t>原作：隈浪さえ
作画：吾田なぐさ</t>
  </si>
  <si>
    <t>(C)Sae Kumanami/SQUARE ENIX
(C)Nagusa Ada/SQUARE ENIX</t>
  </si>
  <si>
    <t>(C)SK/SQEX
(C)NA/SQEX</t>
  </si>
  <si>
    <t>冒険者をクビになったので、錬金術師として出直します！ ～辺境開拓？ よし、俺に任せとけ！</t>
  </si>
  <si>
    <t>原作：佐々木さざめき（双葉社/Mノベルス刊）
作画：紺野賢護
作画：おだやか
構成：獅子唐
キャラクター原案：あれっくす</t>
  </si>
  <si>
    <t>(C)Sazameki Sasaki 20XX
(C)Kengo Konno/SQUARE ENIX
(C)Odayaka/SQUARE ENIX
(C)Shishitou/SQUARE ENIX</t>
  </si>
  <si>
    <t>(C)Sazameki Sasaki 20XX
(C)KK/SQEX
(C)Odayaka/SQEX
(C)Shishitou/SQEX</t>
  </si>
  <si>
    <t>その劣等騎士、レベル９９９</t>
  </si>
  <si>
    <t>原作：白石新（GA文庫／ＳＢクリエイティブ刊）
漫画：山﨑千裕
キャラクター原案：三弥カズトモ</t>
  </si>
  <si>
    <t>(C)Arata Shiraishi/SB Creative Corp.　
Original Character Designs:(C)Kazutomo Miya/SB Creative Corp.
(C)Chihiro Yamazaki/SQUARE ENIX</t>
  </si>
  <si>
    <t>(C)AS,KM/SBCr
(C)CY/SQEX</t>
  </si>
  <si>
    <t>社畜さんは幼女幽霊に癒されたい。</t>
  </si>
  <si>
    <t>鶴野くんは恩返しができない</t>
  </si>
  <si>
    <t>天野かすた</t>
  </si>
  <si>
    <t>(C)Kasuta Amano/SQUARE ENIX</t>
  </si>
  <si>
    <t>ショタくんとおじさん</t>
  </si>
  <si>
    <t>tunral</t>
  </si>
  <si>
    <t>(C)tunral/SQUARE ENIX</t>
  </si>
  <si>
    <t>(C)tunral/SQEX</t>
  </si>
  <si>
    <t>僕はまた、君にさよならの数を見る</t>
  </si>
  <si>
    <t>原作：霧友正規（富士見L文庫）
作画：永椎晃平</t>
  </si>
  <si>
    <t>(C)Masaki Kiritomo 2016 Licensed by KADOKAWA CORPORATION
(C)Kouhei Nagashii/SQUARE ENIX</t>
  </si>
  <si>
    <t>(C)Masaki Kiritomo 2016 Licensed by KADOKAWA CORPORATION
(C)KN/SQUARE ENIX</t>
  </si>
  <si>
    <t>a00</t>
  </si>
  <si>
    <t>SINoALICE -シノアリス-</t>
  </si>
  <si>
    <t>原作・監修：ヨコオタロウ
脚本：アオキタクト
漫画：ヒミコ
オリジナルキャラクターデザイン：ジノ</t>
  </si>
  <si>
    <t>(C)himiko/SQUARE ENIX
(C)Yoko Taro/SQUARE ENIX
(C)Takuto Aoki/SQUARE ENIX
(C) SQUARE ENIX</t>
  </si>
  <si>
    <t>(C)himiko/SQEX
(C)YT/SQEX
(C)TA/SQEX
(C) SQEX</t>
  </si>
  <si>
    <t>a01</t>
  </si>
  <si>
    <t>モンスタブー</t>
  </si>
  <si>
    <t>原作：高橋悠也
作画：TALI</t>
  </si>
  <si>
    <t>(C)Yuya Takahashi/SQUARE ENIX
(C)TALI/SQUARE ENIX</t>
  </si>
  <si>
    <t>(C)YT/SQEX
(C)TALI/SQEX</t>
  </si>
  <si>
    <t>a02</t>
  </si>
  <si>
    <t>錬金術師です。自重はゴミ箱に捨ててきました。</t>
  </si>
  <si>
    <t>原作：夏月涼（KADOKAWA/MFブックス刊）
作画：徒楽耀
構成：黒田ぺすと
キャラクター原案：ひづきみや</t>
  </si>
  <si>
    <t>(C)Kaduki Ryo 20XX Licensed by KADOKAWA CORPORATION
(C)Yo Toraku
/SQUARE ENIX
(C)Pesuto Kuroda/SQUARE ENIX</t>
  </si>
  <si>
    <t>(C)Kaduki Ryo 20XX Licensed by KADOKAWA CORPORATION
(C)YT/SQEX
(C)PK/SQEX</t>
  </si>
  <si>
    <t>a03</t>
  </si>
  <si>
    <t>うちの息子はたぶんゲイ</t>
  </si>
  <si>
    <t>おくら</t>
  </si>
  <si>
    <t>(C)Okura/SQUARE ENIX</t>
  </si>
  <si>
    <t>(C)Okura/SQEX</t>
  </si>
  <si>
    <t>a04</t>
  </si>
  <si>
    <t>キングダム ハーツIII</t>
  </si>
  <si>
    <t>a05</t>
  </si>
  <si>
    <t>リリReカスタマイズ モデラーも異世界では錬金術師!?</t>
  </si>
  <si>
    <t>a06</t>
  </si>
  <si>
    <t>俺はまだ、本気を出していない</t>
  </si>
  <si>
    <t>漫画：リキタケ
原作：三木なずな
キャラクター原案：さくらねこ</t>
  </si>
  <si>
    <t>(C)三木なずな・さくらねこ/集英社ダッシュエックス文庫
(C)Rikitake/SQUARE ENIX</t>
  </si>
  <si>
    <t>(C)三木なずな・さくらねこ/集英社ダッシュエックス文庫
(C)Rikitake/SQEX</t>
  </si>
  <si>
    <t>a07</t>
  </si>
  <si>
    <t>魔女らば魔女れば</t>
  </si>
  <si>
    <t>a08</t>
  </si>
  <si>
    <t>殺し屋だって見守りたい</t>
  </si>
  <si>
    <t>隈浪さえ</t>
  </si>
  <si>
    <t>(C)Sae Kumanami/SQUARE ENIX</t>
  </si>
  <si>
    <t>a09</t>
  </si>
  <si>
    <t>エンドロールバック</t>
  </si>
  <si>
    <t>原作：貫徹
漫画：仲里はるな</t>
  </si>
  <si>
    <t>(C)Kantetsu/Haruna Nakazato/SQUARE ENIX</t>
  </si>
  <si>
    <t>(C)K/HN/SQEX</t>
  </si>
  <si>
    <t>a10</t>
  </si>
  <si>
    <t>女が苦手なヤンキーと少女の話</t>
  </si>
  <si>
    <t>a12</t>
  </si>
  <si>
    <t>悪魔さんとお歌</t>
  </si>
  <si>
    <t>a13</t>
  </si>
  <si>
    <t>最強のおっさんハンター異世界へ　～今度こそゆっくり静かに暮らしたい～</t>
  </si>
  <si>
    <t>原作：月島秀一（GAノベル／SBクリエイティブ刊）
漫画：勇沢梛木
キャラクター原案：松竜</t>
  </si>
  <si>
    <t>(C)Syuichi Tsukisima/SB Creative Corp.　
Original Character Designs:(C)matsuryu/SB Creative Corp.
(C)Nagi Isawa/SQUARE ENIX</t>
  </si>
  <si>
    <t>(C)ST,m/SBCr
(C)NI/SQEX</t>
  </si>
  <si>
    <t>a14</t>
  </si>
  <si>
    <t>僕はお猫様の下僕です。</t>
  </si>
  <si>
    <t>北国良人</t>
  </si>
  <si>
    <t>(C)Rat Kitaguni/SQUARE ENIX</t>
  </si>
  <si>
    <t>a15</t>
  </si>
  <si>
    <t>左遷された最強賢者、教師になって無敵のクラスを作り上げる</t>
  </si>
  <si>
    <t>原作：鈴森一
作画：かなめもにか</t>
  </si>
  <si>
    <t>(C)2018 Ichi Suzumori.
(C)Monika Kaname/SQUARE ENIX</t>
  </si>
  <si>
    <t>(C)2018 Ichi Suzumori.
(C)MK/SQEX</t>
  </si>
  <si>
    <t>a16</t>
  </si>
  <si>
    <t>幸色のワンルーム　外伝　正壊の名探偵</t>
  </si>
  <si>
    <t>a17</t>
  </si>
  <si>
    <t>原作：えぞぎんぎつね
漫画：阿倍野ちゃこ
ネーム構成：天王寺きつね
キャラクター原案：DeeCHA</t>
  </si>
  <si>
    <t>(C)Ezogingitune/SB Creative Corp.　
Original Character Designs:(C)DeeCHA/SB Creative Corp.
(C)Chaco Abeno/SQUARE ENIX
(C)Kitsune Tennoji/SQUARE ENIX</t>
  </si>
  <si>
    <t>(C)E,D/SBCr
(C)CA/SQEX
(C)KT/SQEX</t>
  </si>
  <si>
    <t>※監修に最低5営業日（1週間）必要。
作者表記（キャラクターデザイン表記までのフル表記）がある場合は新コピーライトのイラストレーター部分の省略可。
通常/短縮のどちらも使用OK。</t>
  </si>
  <si>
    <t>a21</t>
  </si>
  <si>
    <t>MORTAL LIST モータルリスト</t>
  </si>
  <si>
    <t>小見川なまり</t>
  </si>
  <si>
    <t>(C)Namari Omikawa/SQUARE ENIX</t>
  </si>
  <si>
    <t>a22</t>
  </si>
  <si>
    <t>嫁のまにまに</t>
  </si>
  <si>
    <t>優風</t>
  </si>
  <si>
    <t>(C)Yu/SQUARE ENIX</t>
  </si>
  <si>
    <t>(C)Yu/SQEX</t>
  </si>
  <si>
    <t>a24</t>
  </si>
  <si>
    <t>妖怪戦葬</t>
  </si>
  <si>
    <t>弓咲ミサキックス</t>
  </si>
  <si>
    <t>(C)Misakix Yumisaki/SQUARE ENIX</t>
  </si>
  <si>
    <t>a25</t>
  </si>
  <si>
    <t>異世界賢者の転生無双　～ゲームの知識で異世界最強～</t>
  </si>
  <si>
    <t>原作：進行諸島（GAノベル／ＳＢクリエイティブ刊）
作画：三十三十
キャラクター原案：柴乃櫂人</t>
  </si>
  <si>
    <t>(C)Shinkoshoto/SB Creative Corp.　
Original Character Designs:(C)Kaito Shibano/SB Creative Corp.
(C)Miso Sato/SQUARE ENIX</t>
  </si>
  <si>
    <t>(C)S,KS/SBCr
(C)MS/SQEX</t>
  </si>
  <si>
    <t>a27</t>
  </si>
  <si>
    <t>泉さんちの福福家族</t>
  </si>
  <si>
    <t>泉福朗</t>
  </si>
  <si>
    <t>(C)Fukuro Izumi/SQUARE ENIX</t>
  </si>
  <si>
    <t>a28</t>
  </si>
  <si>
    <t>暗黒騎士の俺ですが最強の聖騎士をめざします</t>
  </si>
  <si>
    <t>原作：西島ふみかる
漫画：白縫餡
キャラクター原案：ももしき</t>
  </si>
  <si>
    <t>(C)Fumikaru Nishijima/SB Creative Corp.
Original Character Designs:(C)momoshiki/SB Creative Corp.
(C)Ann Siranui/SQUARE ENIX</t>
  </si>
  <si>
    <t>(C)FN,m/SBCr
(C)AS/SQEX</t>
  </si>
  <si>
    <t>a29</t>
  </si>
  <si>
    <t>怨画 -ファントム・ビデオ-</t>
  </si>
  <si>
    <t>砂川どろ</t>
  </si>
  <si>
    <t>(C)Doro Sunagawa/SQUARE ENIX</t>
  </si>
  <si>
    <t>(C)DS/SQEX</t>
  </si>
  <si>
    <t>a30</t>
  </si>
  <si>
    <t>ゴールデンボーズ</t>
  </si>
  <si>
    <t>マツリセイシロウ
仏教監修：鬼塚クニアキ</t>
  </si>
  <si>
    <t>(C)Seishiro Matsuri/SQUARE ENIX</t>
  </si>
  <si>
    <t>a31</t>
  </si>
  <si>
    <t>エリスの聖杯</t>
  </si>
  <si>
    <t>原作：常磐くじら（DREノベルス／ドリコム刊）
作画：桃山ひなせ
キャラクター原案：夕薙</t>
  </si>
  <si>
    <t>(C)Kujira Tokiwa/Drecom Co.,Ltd.
Original Character Designs:(C)Yu-nagi/Drecom Co.,Ltd.
(C)Hinase Momoyama/SQUARE ENIX</t>
  </si>
  <si>
    <t>(C)KT,Yn/Drecom
(C)HM/SQEX</t>
  </si>
  <si>
    <t>a32</t>
  </si>
  <si>
    <t>ゆるふわ農家の文字化けスキル　～異世界でカタログ通販やってます～</t>
  </si>
  <si>
    <t>原作：白石新（GAノベル／ＳＢクリエイティブ刊）
作画：綾月ツナ
キャラクター原案：ももいろね</t>
  </si>
  <si>
    <t>(C)Arata Shiraishi/SB Creative Corp.
Original Character Designs:(C)momoirone/SB Creative Corp.
(C)Tsuna Ayatsuki/SQUARE ENIX</t>
  </si>
  <si>
    <t>(C)AS,m/SBCr
(C)TA/SQEX</t>
  </si>
  <si>
    <t>a33</t>
  </si>
  <si>
    <t>落第賢者の学院無双 　～二度目の転生、Ｓランクチート魔術師冒険録～</t>
  </si>
  <si>
    <t>原作：白石　新
漫画：けんたろう
キャラクター原案：魚デニム</t>
  </si>
  <si>
    <t>(C)Arata Shiraishi
(C)Kentarou/SQUARE ENIX</t>
  </si>
  <si>
    <t>(C)Arata Shiraishi
(C)Kentarou/SQEX</t>
  </si>
  <si>
    <t>a34</t>
  </si>
  <si>
    <t>青薔薇姫のやりなおし革命記</t>
  </si>
  <si>
    <t>原作：枢 呂紅
キャラクター原案：双葉はづき
構成：佃 繁奈
作画：優月 祥</t>
  </si>
  <si>
    <t>(C)Roku Kaname
(C)Syo Yuduki/SQUARE ENIX 
(C)Hanna Tsukuda/SQUARE ENIX</t>
  </si>
  <si>
    <t>(C)Roku Kaname
(C)SY/SQEX
(C)HT/SQEX</t>
  </si>
  <si>
    <t>a36</t>
  </si>
  <si>
    <t>ご主人様のしかばね</t>
  </si>
  <si>
    <t>a37</t>
  </si>
  <si>
    <t>SCARS</t>
  </si>
  <si>
    <t>たついこと</t>
  </si>
  <si>
    <t>(C)Tatsuikoto/SQUARE ENIX</t>
  </si>
  <si>
    <t>(C)Tatsuikoto/SQEX</t>
  </si>
  <si>
    <t>a38</t>
  </si>
  <si>
    <t>魔物を従える“帝印”を持つ転生賢者 ～かつての魔法と従魔でひっそり最強の冒険者になる～</t>
  </si>
  <si>
    <t>原作：苗原一
作画：DieepZee
キャラクター原案：BBBOX
ネーム構成：中村基</t>
  </si>
  <si>
    <t>(C)Hajime Naehara/HIFUMI SHOBO
(C)Moto Nakamura・DieepZee/SQUARE ENIX</t>
  </si>
  <si>
    <t>(C)Hajime Naehara/HIFUMI SHOBO
(C)MN・DZ/SQEX</t>
  </si>
  <si>
    <t>a40</t>
  </si>
  <si>
    <t>朝比奈若葉と〇〇な彼氏</t>
  </si>
  <si>
    <t>原作：間孝史（KADOKAWA／MF文庫J刊）
キャラクター原案：桃餅
漫画：ヒゲ</t>
  </si>
  <si>
    <t>(C)Takashi Hazama / KADOKAWA CORPORATION
(C)Hige/SQUARE ENIX</t>
  </si>
  <si>
    <t>(C)Takashi Hazama / KADOKAWA CORPORATION
(C)Hige/SQEX</t>
  </si>
  <si>
    <t>a41</t>
  </si>
  <si>
    <t>そうだ、売国しよう～天才王子の赤字国家再生術～</t>
  </si>
  <si>
    <t>原作：鳥羽徹（ＧＡ文庫／ＳＢクリエイティブ）
漫画：えむだ
キャラクター原案：ファルまろ
構成：栗元健太郎</t>
  </si>
  <si>
    <t>(C)Toru Toba/SB Creative Corp.
Original Character Designs:(C)fal maro/SB Creative Corp.
(C)Mda/SQUARE ENIX
(C)Kentaro Kurimoto/SQUARE ENIX</t>
  </si>
  <si>
    <t>(C)TT,fm/SBCr
(C)M/SQEX
(C)KK/SQEX</t>
  </si>
  <si>
    <t>a42</t>
  </si>
  <si>
    <t>転生したら15歳の王妃でした～元社畜の私が、年下の国王陛下に迫られています!?～</t>
  </si>
  <si>
    <t>原作：斧名田マニマニ（KADOKAWA「ビーズログ文庫」刊）
漫画：片桐辺
キャラクター原案：八美☆わん</t>
  </si>
  <si>
    <t>(C)Manimani Ononata,Wan Hachipisu／KADOKAWA
(C)Atari Katagiri/SQUARE ENIX</t>
  </si>
  <si>
    <t>(C)Manimani Ononata,Wan Hachipisu／KADOKAWA
(C)AK/SQEX</t>
  </si>
  <si>
    <t>a43</t>
  </si>
  <si>
    <t>女王の化粧師</t>
  </si>
  <si>
    <t>原作：千 花鶏（ビーズログ文庫／KADOKAWA刊）
漫画：綾峰けう
キャラクター原案：起家一子</t>
  </si>
  <si>
    <t>(C)Atori Sen, Ichiko Okiya 2019 Licensed by KADOKAWA CORPORATION
(C)Keu Ayamine/SQUARE ENIX</t>
  </si>
  <si>
    <t>(C)Atori Sen,Ichiko Okiya／KADOKAWA
(C)KA/SQEX</t>
  </si>
  <si>
    <t>a44</t>
  </si>
  <si>
    <t>ほとめくかかし</t>
  </si>
  <si>
    <t>たつひこ</t>
  </si>
  <si>
    <t>(C)Tatsuhiko/SQUARE ENIX</t>
  </si>
  <si>
    <t>(C)Tatsuhiko/SQEX</t>
  </si>
  <si>
    <t>a45</t>
  </si>
  <si>
    <t>帰還した勇者の後日譚</t>
  </si>
  <si>
    <t>原作：月夜乃古狸
キャラクターデザイン：吉沢メガネ
作画：音埜クルミ</t>
  </si>
  <si>
    <t>(C)Furudanuki Tsukiyono 2019
(C)Kurumi Otono/SQUARE ENIX</t>
  </si>
  <si>
    <t>(C)Furudanuki Tsukiyono 2019
(C)KO/SQEX</t>
  </si>
  <si>
    <t>a47</t>
  </si>
  <si>
    <t>白雷の騎士</t>
  </si>
  <si>
    <t>a48</t>
  </si>
  <si>
    <t>兎角ノ兄弟</t>
  </si>
  <si>
    <t>十束椿</t>
  </si>
  <si>
    <t>(C)Totsukatsubaki/SQUARE ENIX</t>
  </si>
  <si>
    <t>(C)Totsukatsubaki/SQEX</t>
  </si>
  <si>
    <t>a49</t>
  </si>
  <si>
    <t>侍女なのに…聖剣を抜いてしまった!</t>
  </si>
  <si>
    <t>原作：あきのみどり
漫画：言炎（FANFAN COMIC）
ネーム構成：山崎風愛</t>
  </si>
  <si>
    <t>(C)Midori Akino
(C)Genen（FANFAN COMIC）,Fua Yamasaki/SQUARE ENIX</t>
  </si>
  <si>
    <t>(C)Midori Akino
(C)Genen（FANFAN COMIC）,FY/SQEX</t>
  </si>
  <si>
    <t>a50</t>
  </si>
  <si>
    <t>魔法科高校の劣等生 四葉継承編</t>
  </si>
  <si>
    <t>原作：佐島勤
キャラクターデザイン：石田可奈
作画：きたうみつな
構成：林ふみの・長岡千秋</t>
  </si>
  <si>
    <t>(C)TSUTOMU SATO 
(C)TK/SQEX
Licensed by KADOKAWA CORPORATION</t>
  </si>
  <si>
    <t>a51</t>
  </si>
  <si>
    <t>魔法科高校の劣等生 師族会議編</t>
  </si>
  <si>
    <t>原作：佐島勤
キャラクターデザイン：石田可奈
作画：竹田羽角</t>
  </si>
  <si>
    <t>(C)TSUTOMU SATO
(C)Hazumi Takeda/SQUARE ENIX
Licensed by KADOKAWA CORPORATION</t>
  </si>
  <si>
    <t>(C)TSUTOMU SATO 
(C)HT/SQEX
Licensed by KADOKAWA CORPORATION</t>
  </si>
  <si>
    <t>a52</t>
  </si>
  <si>
    <t>うちのお嬢様が破滅エンドしかない悪役令嬢のようなので俺が救済したいと思います。</t>
  </si>
  <si>
    <t>原作:古森きり（カドカワBOOKS／KADOKAWA刊）
漫画：水口 十
キャラクター原案：ももしき</t>
  </si>
  <si>
    <t>(C)Too Mizuguchi/SQUARE ENIX
(C)Kiri Komori, Momoshiki 2019 Licensed by KADOKAWA CORPORATION</t>
  </si>
  <si>
    <t>(C)TM/SQEX
(C)Kiri Komori, Momoshiki 2019 Licensed by KADOKAWA CORPORATION</t>
  </si>
  <si>
    <t>a53</t>
  </si>
  <si>
    <t>【配信中】女神チャンネル！ え、これ売名ですの!?</t>
  </si>
  <si>
    <t>原作：徳山銀次郎（GA文庫／ＳＢクリエイティブ刊）
作画：近江のこ
キャラクター原案：shri</t>
  </si>
  <si>
    <t>(C)Ginjirou Tokuyama/SB Creative Corp.
Original Character Designs:(C)shri/SB Creative Corp.
(C)Noko Oumi/SQUARE ENIX</t>
  </si>
  <si>
    <t>(C)GT,s/SBCr
(C)NO/SQEX</t>
  </si>
  <si>
    <t>a54</t>
  </si>
  <si>
    <t>転生大聖女、実力を隠して錬金術学科に入学する　～けもの使いの悪役令嬢、ゲームの知識でやらかし無双し溺愛される～</t>
  </si>
  <si>
    <t>原作：白石 新
漫画：CHIHIRO</t>
  </si>
  <si>
    <t>(C)Arata Shiraishi
(C)CHIHIRO/SQUARE ENIX</t>
  </si>
  <si>
    <t>(C)Arata Shiraishi
(C)CHIHIRO/SQEX</t>
  </si>
  <si>
    <t>a55</t>
  </si>
  <si>
    <t>お近づきになりたい宮膳さん</t>
  </si>
  <si>
    <t>a56</t>
  </si>
  <si>
    <t>六畳一間の魔女ライフ</t>
  </si>
  <si>
    <t>a58</t>
  </si>
  <si>
    <t>伝説の竜装騎士は田舎で普通に暮らしたい ～SSSランク依頼の下請け辞めます!～</t>
  </si>
  <si>
    <t>原作：タック
作画：丸智之
キャラクター原案：天野英</t>
  </si>
  <si>
    <t>(C)Tuck,Hana Amano 20XX
(C)Tomoyuki Maru/SQUARE ENIX</t>
  </si>
  <si>
    <t>(C)Tuck,Hana Amano 20XX
(C)TM/SQEX</t>
  </si>
  <si>
    <t>a60</t>
  </si>
  <si>
    <t>仲の悪い許嫁の話</t>
  </si>
  <si>
    <t>a62</t>
  </si>
  <si>
    <t>教会務めの神官ですが、勇者の惨殺死体転送されてくるの勘弁して欲しいです</t>
  </si>
  <si>
    <t>原作：夏川優希
漫画：タナカトモ</t>
  </si>
  <si>
    <t>(C)Yuuki Natsukawa
(C)Tomo Tanaka/SQUARE ENIX</t>
  </si>
  <si>
    <t>(C)Yuuki Natsukawa
(C)TT/SQEX</t>
  </si>
  <si>
    <t>a64</t>
  </si>
  <si>
    <t>ただ幸せな異世界家族生活　～転生して今度こそ幸せに暮らします～</t>
  </si>
  <si>
    <t>原作：舞（GAノベル／ＳＢクリエイティブ刊）
作画：水沢翔
キャラクター原案：えいひ</t>
  </si>
  <si>
    <t>(C)Mai / SB Creative Corp.
Original Character Designs: (C)Eihi / SB Creative Corp.
(C)Sho Mizusawa/SQUARE ENIX</t>
  </si>
  <si>
    <t>(C)Mai / SB Creative Corp.
Original Character Designs: (C)Eihi / SB Creative Corp.
(C)SM/SQEX</t>
  </si>
  <si>
    <t>a65</t>
  </si>
  <si>
    <t>マジックユーザー　TRPGで育てた魔法使いは異世界でも最強だった。</t>
  </si>
  <si>
    <t>原作：三河宗平
キャラクター原案：Ryota-H
漫画：因幡シホ</t>
  </si>
  <si>
    <t>(C)三河宗平／幻冬舎コミックス
(C)Shiho Inaba/SQUARE ENIX</t>
  </si>
  <si>
    <t>(C)三河宗平／幻冬舎コミックス
(C)SI/SQEX</t>
  </si>
  <si>
    <t>a66</t>
  </si>
  <si>
    <t>底辺戦士、チート魔導師に転職する！</t>
  </si>
  <si>
    <t>原作：kimimaro（GAノベル／SBクリエイティブ刊）
漫画：タシロ　タクヤ
キャラクター原案：三弥カズトモ</t>
  </si>
  <si>
    <t>(C)kimimaro/SB Creative Corp.　
Original Character Designs:(C)Kazutomo Miya/SB Creative Corp.
(C)Takuya Tashiro/SQUARE ENIX</t>
  </si>
  <si>
    <t>(C)k,KM/SBCr
(C)TT/SQEX</t>
  </si>
  <si>
    <t>a67</t>
  </si>
  <si>
    <t>貴族転生　～恵まれた生まれから最強の力を得る～</t>
  </si>
  <si>
    <t>原作：三木なずな
作画：華嶋ひすい
キャラクター原案：kyo
構成：栗元健太郎</t>
  </si>
  <si>
    <t xml:space="preserve">(C)Nazuna Miki/SB Creative Corp.
Original Character Designs:(C)kyo/SB Creative Corp.
(C)Hisui Hanashima/SQUARE ENIX
(C)Kentaro Kurimoto/SQUARE ENIX                                                      </t>
  </si>
  <si>
    <t>(C)NM,k/SBCr
(C)HH/SQEX
(C)KK/SQEX</t>
  </si>
  <si>
    <t>a68</t>
  </si>
  <si>
    <t>育成スキルはもういらないと勇者パーティを解雇されたので、退職金がわりにもらった【領地】を強くしてみる</t>
  </si>
  <si>
    <t>原作：黒おーじ（GAノベル／ＳＢクリエイティブ刊）
漫画：たかはし慶行
キャラクター原案：teffish</t>
  </si>
  <si>
    <t>(C)kuro-ouji/SB Creative Corp. 
Original Character Designs:(C)teffish/SB Creative Corp.
(C)Yoshiyuki Takahashi/SQUARE ENIX</t>
  </si>
  <si>
    <t>(C)ko,t/SBCr
(C)YT/SQEX</t>
  </si>
  <si>
    <t>a69</t>
  </si>
  <si>
    <t>グラスフィート</t>
  </si>
  <si>
    <t>a70</t>
  </si>
  <si>
    <t>湯沸かし勇者の復讐譚～水をお湯にすることしか出来ない勇者だけど、全てを奪ったお前らを殺すにはこいつで十分だ～</t>
  </si>
  <si>
    <t>原作：のんB
作画：織</t>
  </si>
  <si>
    <t>(C)NonB
(C)Ori/SQUARE ENIX</t>
  </si>
  <si>
    <t>(C)NonB
(C)Ori/SQEX</t>
  </si>
  <si>
    <t>a71</t>
  </si>
  <si>
    <t>デッド・フラッグ</t>
  </si>
  <si>
    <t>原作：holico
作画：ニシカワ醇</t>
  </si>
  <si>
    <t>(C)holico/SQUARE ENIX
(C)Jun Nishikawa/SQUARE ENIX</t>
  </si>
  <si>
    <t>(C)holico/SQEX
(C)JN/SQEX</t>
  </si>
  <si>
    <t>a72</t>
  </si>
  <si>
    <t>難攻不落の魔王城へようこそ～デバフは不要と勇者パーティーを追い出された黒魔導士、魔王軍の最高幹部に迎えられる～</t>
  </si>
  <si>
    <t>原作：御鷹穂積（GAノベル／ＳＢクリエイティブ刊）
作画：蚕堂j1
ネーム構成：弓取葵
ネーム構成：平石六
キャラクター原案：ユウヒ</t>
  </si>
  <si>
    <t>(C)Hozumi Mitaka/SB Creative Corp. 
Original Character Designs:(C)Yuuhi/SB Creative Corp.
(C)j1 Kaido/SQUARE ENIX
(C)Aoi Yumitori/SQUARE ENIX
(C)Roku Hiraishi/SQUARE ENIX</t>
  </si>
  <si>
    <t>(C)HM,Y/SBCr
(C)jK/SQEX
(C)AY/SQEX
(C)RH/SQEX</t>
  </si>
  <si>
    <t>a73</t>
  </si>
  <si>
    <t>メイデーア転生物語 この世界で一番悪い魔女</t>
  </si>
  <si>
    <t>原作：友麻 碧（富士見Ｌ文庫/KADOKAWA刊）
漫画：夏西七
キャラクターデザイン：雨壱絵穹</t>
  </si>
  <si>
    <t>(C)Midori Yuma Licensed by KADOKAWA CORPORATION
(C)Nana Natsunishi/SQUARE ENIX</t>
  </si>
  <si>
    <t>(C)Midori Yuma Licensed by KADOKAWA CORPORATION
(C)NN/SQEX</t>
  </si>
  <si>
    <t>a74</t>
  </si>
  <si>
    <t>最速無双のB級魔法使い 一発撃たれる前に千発撃ち返す!</t>
  </si>
  <si>
    <t>原作：CK
作画：山浦柊
キャラクター原案：阿倍野ちゃこ</t>
  </si>
  <si>
    <t xml:space="preserve">(C)Ck, Chaco Abeno Licensed by KADOKAWA CORPORATION
(C)Shu Yamaura/SQUARE ENIX </t>
  </si>
  <si>
    <t>(C)Ck, Chaco Abeno 2020 Licensed by KADOKAWA CORPORATION
(C)SY/SQEX</t>
  </si>
  <si>
    <t>a75</t>
  </si>
  <si>
    <t>友達の妹が俺にだけウザい</t>
  </si>
  <si>
    <t>原作：三河ごーすと（GA文庫／ＳＢクリエイティブ刊）
漫画：平岡 平
キャラクター原案：トマリ</t>
  </si>
  <si>
    <t>(C)Ghost Mikawa/SB Creative Corp. 
Original Character Designs:(C)tomari/SB Creative Corp.
(C)Hira Hiraoka/SQUARE ENIX</t>
  </si>
  <si>
    <t>(C)GM,t/SBCr
(C)HH/SQEX</t>
  </si>
  <si>
    <t>a76</t>
  </si>
  <si>
    <t>人質交換ゲーム</t>
  </si>
  <si>
    <t>原作：雨宮黄英
作画：ホリエリュウ
ネーム監修：甘味家製菓・たくじ</t>
  </si>
  <si>
    <t>(C)Kie Amamiya/everystar
(C)Ryu Horie/SQUARE ENIX
(C)Amamiya Seika/SQUARE ENIX
(C)Takuji/SQUARE ENIX</t>
  </si>
  <si>
    <t>(C)Kie Amamiya/everystar
(C)RH/SQEX
(C)Amamiya Seika/SQEX
(C)Takuji/SQEX</t>
  </si>
  <si>
    <t>a77</t>
  </si>
  <si>
    <t>先生にはまだ言わない</t>
  </si>
  <si>
    <t>みさき天夢</t>
  </si>
  <si>
    <t>(CTenmu Misaki/SQUARE ENIX</t>
  </si>
  <si>
    <t>a78</t>
  </si>
  <si>
    <t>ミノタウロスの想い人</t>
  </si>
  <si>
    <t>原作：けいじろー
作画：晶</t>
  </si>
  <si>
    <t>(C)KEIJIROU/SQUARE ENIX
(C)SHO/SQUARE ENIX</t>
  </si>
  <si>
    <t>(C)KEIJIROU/SQEX
(C)SHO/SQEX</t>
  </si>
  <si>
    <t>a79</t>
  </si>
  <si>
    <t>不器用な先輩。</t>
  </si>
  <si>
    <t>工藤マコト</t>
  </si>
  <si>
    <t>(C)Makoto Kudo/SQUARE ENIX</t>
  </si>
  <si>
    <t>a80</t>
  </si>
  <si>
    <t>さよならエデン</t>
  </si>
  <si>
    <t>愛南ぜろ</t>
  </si>
  <si>
    <t>(C)Zero Ainan/SQUARE ENIX</t>
  </si>
  <si>
    <t>(C)ZA/SQEX</t>
  </si>
  <si>
    <t>a81</t>
  </si>
  <si>
    <t>ダンジョンに出会いを求めるのは間違っているだろうかⅡ</t>
  </si>
  <si>
    <t>原作：大森藤ノ（GA文庫／SBクリエイティブ刊）
漫画：矢町大成
キャラクター原案：ヤスダスズヒト</t>
  </si>
  <si>
    <t>(C)Fujino Omori/SB Creative Corp. 
Original Character Designs:(C)Suzuhito Yasuda/SB Creative Corp.
(C)Taisei Yamachi/SQUARE ENIX</t>
  </si>
  <si>
    <t>(C)FO,SY/SBCr
(C)TY/SQEX</t>
  </si>
  <si>
    <t>a82</t>
  </si>
  <si>
    <t>うちの奴隷が明るすぎる</t>
  </si>
  <si>
    <t>ぶしやま</t>
  </si>
  <si>
    <t>(C)Bushiyama/SQUARE ENIX</t>
  </si>
  <si>
    <t>(C)Bushiyama/SQEX</t>
  </si>
  <si>
    <t>a83</t>
  </si>
  <si>
    <t>ブラトデア</t>
  </si>
  <si>
    <t>a84</t>
  </si>
  <si>
    <t>原作：武凪知
作画：辻本ユウ</t>
  </si>
  <si>
    <t>(C)Tomo Takenagi/SQUARE ENIX
(C)Yu Tsujimoto/SQUARE ENIX</t>
  </si>
  <si>
    <t>(C)TT/SQEX
(C)YT/SQEX</t>
  </si>
  <si>
    <t>a85</t>
  </si>
  <si>
    <t>恋愛グリモワール～最強童貞の勇者様が結婚しないと世界は滅亡するそうです～</t>
  </si>
  <si>
    <t>いぬやまりこ</t>
  </si>
  <si>
    <t>(C)Rico Inuyama/SQUARE ENIX</t>
  </si>
  <si>
    <t>a86</t>
  </si>
  <si>
    <t>金貨1枚で変わる冒険者生活</t>
  </si>
  <si>
    <t>原作：天野ハザマ
作画：月島さと
キャラクター原案：三弥カズトモ</t>
  </si>
  <si>
    <t>(C)Hazama Amano / Tugikuru Corp.
(C)Sato Tsukishima/SQUARE ENIX</t>
  </si>
  <si>
    <t>(C)Hazama Amano / Tugikuru Corp.
(C)ST/SQEX</t>
  </si>
  <si>
    <t>a87</t>
  </si>
  <si>
    <t>八歳から始まる神々の使徒の転生生活</t>
  </si>
  <si>
    <t>原作：えぞぎんぎつね（ＧＡノベル／ＳＢクリエイティブ刊）
漫画：春夏冬アタル
キャラクター原案：藻</t>
  </si>
  <si>
    <t>(C)Ezogingitune/SB Creative Corp. 
Original Character Designs:(C)Mo/SB Creative Corp.
(C)Ataru Akinashi/SQUARE ENIX</t>
  </si>
  <si>
    <t>(C)E,M/SBCr
(C)AA/SQEX</t>
  </si>
  <si>
    <t>a88</t>
  </si>
  <si>
    <t>最近雇ったメイドが怪しい</t>
  </si>
  <si>
    <t>a89</t>
  </si>
  <si>
    <t>勇者名探偵</t>
  </si>
  <si>
    <t>a90</t>
  </si>
  <si>
    <t>いつか仮面を脱ぐ為に ～嗤う鬼神と夢見る奴隷～</t>
  </si>
  <si>
    <t>原作：榊一郎
漫画：ムロコウイチ
キャラクター原案：茨乃
メカデザイン原案：片貝文洋</t>
  </si>
  <si>
    <t>(C)Murokouichi/SQUARE ENIX
(C)Ichiro Sakaki・Shino/KADOKAWA</t>
  </si>
  <si>
    <t>(C)Murokouichi/SQEX
(C)Ichiro Sakaki・Shino/KADOKAWA</t>
  </si>
  <si>
    <t>a91</t>
  </si>
  <si>
    <t>6歳の賢者は日陰の道を歩みたい</t>
  </si>
  <si>
    <t>原作：斧名田マニマニ（GAノベル／SBクリエイティブ刊）
漫画：伊志田
キャラクター原案：イセ川ヤスタカ</t>
  </si>
  <si>
    <t>(C)Manimani Ononata/SB Creative Corp. 
Original Character Designs:(C)Yasutaka Isegawa/SB Creative Corp.
(C)Ishita/SQUARE ENIX</t>
  </si>
  <si>
    <t>(C)MO,YI/SBCr
(C)I/SQEX</t>
  </si>
  <si>
    <t>a92</t>
  </si>
  <si>
    <t>留年！ とどめ先輩</t>
  </si>
  <si>
    <t>a93</t>
  </si>
  <si>
    <t>乙女ゲーのモブですらないんだが</t>
  </si>
  <si>
    <t>原作：玉露
漫画：日芽野メノ</t>
  </si>
  <si>
    <t>(C)Gyokuro
(C)Meno Himeno/SQUARE ENIX</t>
  </si>
  <si>
    <t>(C)Gyokuro
(C)MH/SQEX</t>
  </si>
  <si>
    <t>a94</t>
  </si>
  <si>
    <t>卑怯者だと勇者パーティを追放されたので働くことを止めました</t>
  </si>
  <si>
    <t>原作：上下左右
キャラクターデザイン：がおう
漫画：梅之シイ</t>
  </si>
  <si>
    <t>(C)JYOGESAYUU
(C)Sii Umeno/SQUARE ENIX</t>
  </si>
  <si>
    <t>(C)JYOGESAYUU
(C)SU/SQEX</t>
  </si>
  <si>
    <t>a95</t>
  </si>
  <si>
    <t>ママごとー小学生ママと大人のムスメー</t>
  </si>
  <si>
    <t>a96</t>
  </si>
  <si>
    <t>元魔王軍幹部、娘つき 第二の人生は現代で</t>
  </si>
  <si>
    <t>吉山航平</t>
  </si>
  <si>
    <t>(C)Kohei Yoshiyama/SQUARE ENIX</t>
  </si>
  <si>
    <t>a98</t>
  </si>
  <si>
    <t>うっかり陛下の子を妊娠してしまいました～王妃ベルタの肖像～</t>
  </si>
  <si>
    <t>原作：西野向日葵（富士見L文庫／KADOKAWA刊）
漫画：田中文</t>
  </si>
  <si>
    <t>(C)Himawari Nishino 2020 Licensed by KADOKAWA CORPORATION
(C)Aya Tanaka/SQUARE ENIX</t>
  </si>
  <si>
    <t>(C)Himawari Nishino 2020 Licensed by KADOKAWA CORPORATION
(C)AT/SQEX</t>
  </si>
  <si>
    <t>年号固定</t>
  </si>
  <si>
    <t>a99</t>
  </si>
  <si>
    <t>千歳くんはラムネ瓶のなか</t>
  </si>
  <si>
    <t>原作：裕夢
漫画：ボブキャ
キャラクター原案：raemz</t>
  </si>
  <si>
    <t>(C)裕夢・raemz／小学館「ガガガ文庫」
(C)Bobkya／SQUARE ENIX</t>
  </si>
  <si>
    <t>(C)裕夢・raemz／小学館「ガガガ文庫」
(C)Bobkya／SQEX</t>
  </si>
  <si>
    <t>b00</t>
  </si>
  <si>
    <t>少女漫画主人公×ライバルさん</t>
  </si>
  <si>
    <t>くゥ</t>
  </si>
  <si>
    <t>(C)Kuu/SQUARE ENIX</t>
  </si>
  <si>
    <t>(C)Kuu/SQEX</t>
  </si>
  <si>
    <t>b01</t>
  </si>
  <si>
    <t>やたらとイケメンな男子高校生の話</t>
  </si>
  <si>
    <t>栗田あぐり</t>
  </si>
  <si>
    <t>(C)Aguri Kurita/SQUARE ENIX</t>
  </si>
  <si>
    <t>b02</t>
  </si>
  <si>
    <t>清く正しくふしだらに</t>
  </si>
  <si>
    <t>三雲ジョージ</t>
  </si>
  <si>
    <t>(C)George Mikumo/SQUARE ENIX</t>
  </si>
  <si>
    <t>(C)GM/SQEX</t>
  </si>
  <si>
    <t>b04</t>
  </si>
  <si>
    <t>ギャルとぼっち</t>
  </si>
  <si>
    <t>朝日夜</t>
  </si>
  <si>
    <t>(C)Yoru Asahi/SQUARE ENIX</t>
  </si>
  <si>
    <t>b06</t>
  </si>
  <si>
    <t>東京エイリアンズ</t>
  </si>
  <si>
    <t>b08</t>
  </si>
  <si>
    <t>とある店員と客の話</t>
  </si>
  <si>
    <t>幸子</t>
  </si>
  <si>
    <t>(C)Sachiko/SQUARE ENIX</t>
  </si>
  <si>
    <t>(C)Sachiko/SQEX</t>
  </si>
  <si>
    <t>b10</t>
  </si>
  <si>
    <t>処刑された賢者はリッチに転生して侵略戦争を始める</t>
  </si>
  <si>
    <t>原作：結城絡繰
漫画：國友翔太郎
キャラクター原案：白狼</t>
  </si>
  <si>
    <t>(C)結城絡繰・白狼／小学館
(C)Shotarou Kunitomo/SQUARE ENIX</t>
  </si>
  <si>
    <t>(C)結城絡繰・白狼／小学館
(C)SK/SQEX</t>
  </si>
  <si>
    <t>b11</t>
  </si>
  <si>
    <t>異世界転移したのでチートを生かして魔法剣士やることにする</t>
  </si>
  <si>
    <t>原作：進行諸島（GCノベルズ / マイクロマガジン社）
作画：なのら
構成：渡辺樹
キャラクター原案：ともぞ</t>
  </si>
  <si>
    <t>(C)進行諸島 (C)ともぞ (C)マイクロマガジン社
(C)Nanora/SQUARE ENIX
(C)Itsuki Watanabe/SQUARE ENIX</t>
  </si>
  <si>
    <t>(C)進行諸島 (C)ともぞ (C)マイクロマガジン社
(C)Nanora/SQEX
(C)IW/SQEX</t>
  </si>
  <si>
    <t>b12</t>
  </si>
  <si>
    <t>八乙女の心の中の俺がヤバイ件</t>
  </si>
  <si>
    <t>もゆる</t>
  </si>
  <si>
    <t>(C)Moyuru/SQUARE ENIX</t>
  </si>
  <si>
    <t>(C)Moyuru/SQEX</t>
  </si>
  <si>
    <t>b13</t>
  </si>
  <si>
    <t>姫野くんは姫になりたくない</t>
  </si>
  <si>
    <t>三日月ランプ</t>
  </si>
  <si>
    <t>(C)Mikaduki Lamp/SQUARE ENIX</t>
  </si>
  <si>
    <t>(C)ML/SQEX</t>
  </si>
  <si>
    <t>b14</t>
  </si>
  <si>
    <t>Re:ゼロから始める異世界生活 氷結の絆</t>
  </si>
  <si>
    <t>原作：長月達平（「Re:ゼロから始める異世界生活」KADOKAWA/MF文庫J刊）
キャラクター原案：大塚真一郎
漫画：ツカハラ ミノリ</t>
  </si>
  <si>
    <t>(C)Tappei Nagatsuki 2020 Licensed by KADOKAWA CORPORATION
(C)Minori Tsukahara/SQUARE ENIX</t>
  </si>
  <si>
    <t>(C)Tappei Nagatsuki 2020 Licensed by KADOKAWA CORPORATION
(C)MT/SQEX</t>
  </si>
  <si>
    <t>b15</t>
  </si>
  <si>
    <t>ちょっとだけ変な世界でアルバイト</t>
  </si>
  <si>
    <t>山北東</t>
  </si>
  <si>
    <t>(C)Higashi Yamakita/SQUARE ENIX</t>
  </si>
  <si>
    <t>b18</t>
  </si>
  <si>
    <t>Elysion　Online　～ドラゴニュートと召喚師～</t>
  </si>
  <si>
    <t>原作：とんし
漫画：とりうみいたち</t>
  </si>
  <si>
    <t>(C)Tonshi
(C)toriumi itati/SQUARE ENIX</t>
  </si>
  <si>
    <t>(C)Tonshi
(C)ti/SQEX</t>
  </si>
  <si>
    <t>b19</t>
  </si>
  <si>
    <t>サイコパス彼女と崩壊する僕の日常</t>
  </si>
  <si>
    <t>原作：Kfumi
漫画：HUILAMSI (FANFAN COMIC)
ネーム構成：桜井竜矢</t>
  </si>
  <si>
    <t>(C)Kfumi
(C)HUILAMSI (FANFAN COMIC)･Tatsuya Sakurai/SQUARE ENIX</t>
  </si>
  <si>
    <t>(C)Kfumi
(C)HUILAMSI (FANFAN COMIC)･TS/SQEX</t>
  </si>
  <si>
    <t>b20</t>
  </si>
  <si>
    <t>転生領主の優良開拓～前世の記憶を生かしてホワイトに努めたら、有能な人材が集まりすぎました～</t>
  </si>
  <si>
    <t>原作：空野進（双葉社／Mノベルス刊）
作画：rikko
構成：モリガ　コウセイ
キャラクター原案：葉山えいし</t>
  </si>
  <si>
    <t>(C)Susumu Sorano 2020
(C)rikko/SQUARE ENIX
(C)Kousei Moriga/SQUARE ENIX</t>
  </si>
  <si>
    <t>(C)Susumu Sorano 2020
(C)rikko/SQEX
(C)KM/SQEX</t>
  </si>
  <si>
    <t>b22</t>
  </si>
  <si>
    <t>聖女のはずが、どうやら乗っ取られました</t>
  </si>
  <si>
    <t>原作：吉高花（「オーバーラップノベルスｆ」刊）
漫画：じさま
キャラクター原案：縞</t>
  </si>
  <si>
    <t>(C)Hana Yoshitaka/OVERLAP illust:Shima
(C)Jisama/SQUARE ENIX</t>
  </si>
  <si>
    <t>(C)Hana Yoshitaka/OVERLAP illust:Shima
(C)Jisama/SQEX</t>
  </si>
  <si>
    <t>b23</t>
  </si>
  <si>
    <t>悪役令嬢、五度目の人生を邪竜と生きる。 ー破滅の邪竜は花嫁を甘やかしたいー</t>
  </si>
  <si>
    <t>原作：島田莉音
漫画：東弥イツキ</t>
  </si>
  <si>
    <t>(C)Rine Shimada
(C)Itsuki Azumaya/SQUARE ENIX</t>
  </si>
  <si>
    <t>(C)Rine Shimada
(C)IA/SQEX</t>
  </si>
  <si>
    <t>b24</t>
  </si>
  <si>
    <t>転生魔導王は、底辺職の黒魔術士が、実は最強職だと知っている</t>
  </si>
  <si>
    <t>原作：銀翼のぞみ
漫画：Konagi</t>
  </si>
  <si>
    <t>(C)Nozomi Ginyoku/Konagi/SQUARE ENIX</t>
  </si>
  <si>
    <t>(C)NG/Konagi/SQEX</t>
  </si>
  <si>
    <t>b25</t>
  </si>
  <si>
    <t>いじめるアイツが悪いのか、いじめられた僕が悪いのか？</t>
  </si>
  <si>
    <t>b56</t>
  </si>
  <si>
    <t>紅い霧の中から</t>
  </si>
  <si>
    <t>野原もさえ</t>
  </si>
  <si>
    <t>(C)Mosae Nohara/SQUARE ENIX</t>
  </si>
  <si>
    <t>b69</t>
  </si>
  <si>
    <t>『ディズニー ツイステッドワンダーランド』アンソロジーコミック</t>
  </si>
  <si>
    <t>原作・監修：ウォルト・ディズニー・ジャパン株式会社</t>
  </si>
  <si>
    <t>(C) Disney. Published by Aniplex 
ILLUSTRATION: YANA TOBOSO</t>
  </si>
  <si>
    <t>Disney.とPublished～の間は半アキ。ILLUSTRATION～の前で改行。</t>
  </si>
  <si>
    <t>b21</t>
  </si>
  <si>
    <t>悪役令嬢としてヒロインと婚約者をくっつけようと思うのですが、うまくいきません…。</t>
  </si>
  <si>
    <t>原作：枳莎（KADOKAWA「ビーズログ文庫アリス」刊）
漫画：橋井こま
キャラクター原案：アオイ冬子</t>
  </si>
  <si>
    <t>(C)Kisa 2017
(C)Coma Hashii/SQUARE ENIX</t>
  </si>
  <si>
    <t>(C)Kisa 2017
(C)CH/SQEX</t>
  </si>
  <si>
    <t>a97</t>
  </si>
  <si>
    <t>朝起きたらダンジョンが出現していた日常について　迷宮と高校生</t>
  </si>
  <si>
    <t>原作：ポンポコ狸
キャラクター原案：ＤＳマイル
漫画：萩野論</t>
  </si>
  <si>
    <t>(C)PONPOKOTANUKI
(C)Haginolon/SQUARE ENIX</t>
  </si>
  <si>
    <t>(C)PONPOKOTANUKI
(C)Haginolon/SQEX</t>
  </si>
  <si>
    <t>b42</t>
  </si>
  <si>
    <t>殲滅魔導の最強賢者　無才の賢者、魔導を極め最強へ至る</t>
  </si>
  <si>
    <t>原作：進行諸島（GA文庫／SBクリエイティブ刊）
漫画：月澪＆彭傑（Friendly Land）
キャラクター原案：風花風花</t>
  </si>
  <si>
    <t>a26</t>
  </si>
  <si>
    <t>たとえばラストダンジョン前の村の少年が序盤の街の食堂で働く日常物語</t>
  </si>
  <si>
    <t>原作：サトウとシオ
作画：草中
キャラクター原案：和狸ナオ</t>
  </si>
  <si>
    <t>(C)Toshio Satou/SB Creative Corp.
Original Character Designs:(C)Nao Watanuki/SB Creative Corp.
(C)Souchu/SQUARE ENIX</t>
  </si>
  <si>
    <t>(C)TS,NW/SBCr
(C)S/SQEX</t>
  </si>
  <si>
    <t>b90</t>
  </si>
  <si>
    <t>堀さんと宮村くん</t>
  </si>
  <si>
    <t>(C)HERO</t>
  </si>
  <si>
    <t>b91</t>
  </si>
  <si>
    <t>堀さんと宮村くん おまけ</t>
  </si>
  <si>
    <t>b38</t>
  </si>
  <si>
    <t>転生王子は錬金術師となり興国する</t>
  </si>
  <si>
    <t>原作：月夜涙 (GA文庫／SBクリエイティブ刊)
漫画：S.濃すぎ
キャラクター原案：新堂アラタ</t>
  </si>
  <si>
    <t>(C)Rui Tsukiyo/SB Creative Corp.
Original Character Designs:(C)Arata Shindou/SB Creative Corp.
(C)S.Kosugi/SQUARE ENIX</t>
  </si>
  <si>
    <t>(C)RT,AS/SBCr
(C)S/SQEX</t>
  </si>
  <si>
    <t>b29</t>
  </si>
  <si>
    <t>没落令嬢の異国結婚録</t>
  </si>
  <si>
    <t>原作：江本マシメサ
漫画：日野杏寿
キャラクター原案：まち</t>
  </si>
  <si>
    <t>(C)Mashimesa Emoto, Machi 20XX Licensed by KADOKAWA CORPORATION
(C)Anjue Hino/SQUARE ENIX</t>
  </si>
  <si>
    <t>(C)Mashimesa Emoto, Machi 20XX Licensed by KADOKAWA CORPORATION
(C)AH/SQEX</t>
  </si>
  <si>
    <t>b36</t>
  </si>
  <si>
    <t>ガリ勉地味萌え令嬢は、俺様王子などお呼びでない</t>
  </si>
  <si>
    <t>原作：鶏冠勇真
漫画：カルパッチョ野山
キャラクター原案：くろでこ</t>
  </si>
  <si>
    <t>(C)20XX Yuma Tosaka / TOBOOKS
(C)Carpaccio Noyama/SQUARE ENIX</t>
  </si>
  <si>
    <t>(C)20XX Yuma Tosaka / TOBOOKS
(C)CN/SQEX</t>
  </si>
  <si>
    <t>b53</t>
  </si>
  <si>
    <t>悪役令嬢の執事様 破滅フラグは俺が潰させていただきます</t>
  </si>
  <si>
    <t>原作：緋色の雨
漫画：菖蒲
キャラクター原案：村上ゆいち</t>
  </si>
  <si>
    <t>(C)Hiironoame 2020 Licensed by KADOKAWA CORPORATION
(C)Shobu/SQUARE ENIX</t>
  </si>
  <si>
    <t>(C)Hiironoame 2020 Licensed by KADOKAWA CORPORATION
(C)Shobu/SQEX</t>
  </si>
  <si>
    <t>染谷まこの雀荘メシ</t>
  </si>
  <si>
    <t>b05</t>
  </si>
  <si>
    <t>咲-Saki- re:KING'S TILE DRAW</t>
  </si>
  <si>
    <t>原作：小林立
漫画：極楽院櫻子</t>
  </si>
  <si>
    <t>(C)Ritz Kobayashi/SQUARE ENIX
(C)Sakurako Gokurakuin/SQUARE ENIX</t>
  </si>
  <si>
    <t>(C)RK/SQEX
(C)SG/SQEX</t>
  </si>
  <si>
    <t>b83</t>
  </si>
  <si>
    <t>転生したらドラゴンの卵だった～最強以外目指さねぇ～</t>
  </si>
  <si>
    <t>猫子
イラスト：NAJI柳田</t>
  </si>
  <si>
    <t>(C)Necoco
/SQUARE ENIX
(C)NAJI yanagida/SQUARE ENIX</t>
  </si>
  <si>
    <t>(C)Necoco/SQEX
(C)Ny/SQEX</t>
  </si>
  <si>
    <t>b82</t>
  </si>
  <si>
    <t>私、能力は平均値でって言ったよね！</t>
  </si>
  <si>
    <t>ＦＵＮＡ
イラスト：亜方 逸樹</t>
  </si>
  <si>
    <t>(C)FUNA
/SQUARE ENIX
(C)Itsuki Akata/SQUARE ENIX</t>
  </si>
  <si>
    <t>(C)FUNA/SQEX
(C)IA/SQEX</t>
  </si>
  <si>
    <t>b84</t>
  </si>
  <si>
    <t>勇者パーティーを追放された俺だが、俺から巣立ってくれたようで嬉しい。……なので大聖女、お前に追って来られては困るのだが？</t>
  </si>
  <si>
    <t>初枝れんげ
イラスト：柴乃櫂人</t>
  </si>
  <si>
    <t>(C)Renge Hatsueda
/SQUARE ENIX
(C)Kaito Shibano/SQUARE ENIX</t>
  </si>
  <si>
    <t>(C)RH/SQEX
(C)KS/SQEX</t>
  </si>
  <si>
    <t>b85</t>
  </si>
  <si>
    <t>万能「村づくり」チートでお手軽スローライフ　～村ですが何か？～</t>
  </si>
  <si>
    <t>九頭 七尾
イラスト：イセ川 ヤスタカ</t>
  </si>
  <si>
    <t>(C)Shichio Kuzu
/SQUARE ENIX
(C)Yasutaka Isegawa
/SQUARE ENIX</t>
  </si>
  <si>
    <t>(C)SK/SQEX
(C)YI/SQEX</t>
  </si>
  <si>
    <t>b86</t>
  </si>
  <si>
    <t>暗殺スキルで異世界最強　～錬金術と暗殺術を極めた俺は、世界を陰から支配する～</t>
  </si>
  <si>
    <t>原作：進行諸島（GAノベル／ＳＢクリエイティブ刊）
漫画：Coin
キャラクター原案：赤井てら</t>
  </si>
  <si>
    <t>(C)Shinkoshoto/SB Creative Corp.
Original Character Designs:(C)Akai Tera/SB Creative Corp.
(C)Coin/SQUARE ENIX</t>
  </si>
  <si>
    <t>(C)S,AT/SBCr
(C)C/SQEX</t>
  </si>
  <si>
    <t>b72</t>
  </si>
  <si>
    <t>最強剣聖の魔法修行　～レベル９９のステータスを保ったままレベル１からやり直す～</t>
  </si>
  <si>
    <t>原作：年中麦茶太郎（ＧＡノベル／ＳＢクリエイティブ刊）
漫画：五月やみ
キャラクター原案：B-銀河</t>
  </si>
  <si>
    <t>(C)Mugichatarou Nenjuu/SB Creative Corp. 
Original Character Designs:(C)B-Ginga/SB Creative Corp.
(C)Yami Satsuki/SQUARE ENIX</t>
  </si>
  <si>
    <t>(C)MN,BG/SBCr
(C)YS/SQEX</t>
  </si>
  <si>
    <t>b09</t>
  </si>
  <si>
    <t>最強魔法師の隠遁計画－ジ・オルターネイティブ－</t>
  </si>
  <si>
    <t>原作：イズシロ
漫画：米白かる
キャラクター原案：ミユキルリア</t>
  </si>
  <si>
    <t>(C)Izushiro
(C)Karu Yoneshiro/SQUARE ENIX</t>
  </si>
  <si>
    <t>(C)Izushiro
(C)KY/SQEX</t>
  </si>
  <si>
    <t>b44</t>
  </si>
  <si>
    <t>初級魔法しか使えず、火力が足りないので徹底的に攻撃魔法の回数を増やしてみることにしました</t>
  </si>
  <si>
    <t>原作：大地の怒り（ＧＡノベル／ＳＢクリエイティブ刊）
漫画：片山大樹
キャラクター原案：しゅがお</t>
  </si>
  <si>
    <t>(C)Daichinoikari/SB Creative Corp.　
Original Character Designs:(C)Shugao/SB Creative Corp.
(C)2021 Daiki Katayama/SQUARE ENIX</t>
  </si>
  <si>
    <t>(C)D,S/SBCr
(C)DK/SQEX</t>
  </si>
  <si>
    <t>b28</t>
  </si>
  <si>
    <t>レベル0の魔王様、異世界で冒険者を始めます</t>
  </si>
  <si>
    <t>原作：瑞智士記（GA文庫／ＳＢクリエイティブ刊）
作画：烏丸佐々
キャラクター原案：遠坂あさぎ</t>
  </si>
  <si>
    <t>(C)Shiki MIZUCHI/SB Creative Corp.
Original Character Designs:(C)Asagi Tosaka/SB Creative Corp.
(C)Sasa Karasuma/SQUARE ENIX</t>
  </si>
  <si>
    <t>(C)SM,AT/SBCr
(C)SK/SQEX</t>
  </si>
  <si>
    <t>b16</t>
  </si>
  <si>
    <t>処刑少女の生きる道</t>
  </si>
  <si>
    <t>原作：佐藤真登（ＧＡ文庫／ＳＢクリエイティブ刊）
漫画：三ツ谷亮
キャラクター原案：ニリツ</t>
  </si>
  <si>
    <t>(C)Mato Sato/SB Creative Corp. 
Original Character Designs:(C)nilitsu/SB Creative Corp.
(C)Ryo Mitsuya/SQUARE ENIX</t>
  </si>
  <si>
    <t>(C)MS,n/SBCr
(C)RM/SQEX</t>
  </si>
  <si>
    <t>a18</t>
  </si>
  <si>
    <t>乙女ゲーム六周目、オートモードが切れました。</t>
  </si>
  <si>
    <t>原作：空谷玲奈(フロンティアワークス/アリアンローズ)
漫画：昴カズサ
キャラクター原案：双葉はづき</t>
  </si>
  <si>
    <t>(C)SORATANI REINA/FUTABA HADUKI/Frontier Works Inc.
(C)Kazusa Subaru/SQUARE ENIX</t>
  </si>
  <si>
    <t>(C)SORATANI REINA/FUTABA HADUKI/Frontier Works Inc.
(C)KS/SQEX</t>
  </si>
  <si>
    <t>b93</t>
  </si>
  <si>
    <t>合コンに行ったら女がいなかった話</t>
  </si>
  <si>
    <t>b30</t>
  </si>
  <si>
    <t>はじめての諏訪さん</t>
  </si>
  <si>
    <t>真沼靖佳</t>
  </si>
  <si>
    <t>(C)Yasuka Manuma/SQUARE ENIX</t>
  </si>
  <si>
    <t>b98</t>
  </si>
  <si>
    <t>悪役令嬢は溺愛ルートに入りました！？</t>
  </si>
  <si>
    <t>十夜
イラスト：宵マチ</t>
  </si>
  <si>
    <t>(C)Touya/SQUARE ENIX
(C)Yoimachi/SQUARE ENIX</t>
  </si>
  <si>
    <t>(C)Touya/SQEX
(C)Yoimachi/SQEX</t>
  </si>
  <si>
    <t>c00</t>
  </si>
  <si>
    <t>退屈嫌いの封印術師</t>
  </si>
  <si>
    <t>空松蓮司
イラスト：伊藤宗一</t>
  </si>
  <si>
    <t>(C)Renji Soramatsu/SQUARE ENIX
(C)Souichi Itou/SQUARE ENIX</t>
  </si>
  <si>
    <t>(C)RS/SQEX
(C)SI/SQEX</t>
  </si>
  <si>
    <t>サブタイトルは巻ごとに変わる</t>
  </si>
  <si>
    <t>b99</t>
  </si>
  <si>
    <t>雑用係兼支援術師はパーティー追放に憧れる　～世間は追放ブームなのに、俺を過大評価するパーティーメンバーたちが決して手放そうとしてくれない～</t>
  </si>
  <si>
    <t>としぞう
イラスト：クロがねや</t>
  </si>
  <si>
    <t>(C)Toshizou/SQUARE ENIX
(C)Kuroganeya/SQUARE ENIX</t>
  </si>
  <si>
    <t>(C)Toshizou/SQEX
(C)Kuroganeya/SQEX</t>
  </si>
  <si>
    <t>a59</t>
  </si>
  <si>
    <t>けもの使いの転生聖女 ～もふもふ軍団と行く、のんびりSランク冒険者物語～</t>
  </si>
  <si>
    <t>原作：白石　新
漫画：とんぷう</t>
  </si>
  <si>
    <t>(C)Arata Shiraishi
(C)Tongpoo/SQUARE ENIX</t>
  </si>
  <si>
    <t>(C)Arata Shiraishi
(C)Tongpoo/SQEX</t>
  </si>
  <si>
    <t>b59</t>
  </si>
  <si>
    <t>18 エイティーン</t>
  </si>
  <si>
    <t>b64</t>
  </si>
  <si>
    <t>しなきゃいけませんか。</t>
  </si>
  <si>
    <t>原作：逢坂美穂
漫画：榎のと</t>
  </si>
  <si>
    <t>(C)Miho Ohsaka
(C)Noto Enoki/SQUARE ENIX</t>
  </si>
  <si>
    <t>(C)Miho Ohsaka
(C)NE/SQEX</t>
  </si>
  <si>
    <t>b60</t>
  </si>
  <si>
    <t>悪徳女王の心得</t>
  </si>
  <si>
    <t>原作：澪亜（カドカワBOOKS）
作画：エトオミユキ
キャラクター原案：双葉はづき</t>
  </si>
  <si>
    <t>(C)Reia,Haduki Futaba 20XX Licensed by KADOKAWA CORPORATION
(C)Miyuki Etoo/SQUARE ENIX</t>
  </si>
  <si>
    <t>(C)Reia,Haduki Futaba 20XX Licensed by KADOKAWA CORPORATION
(C)ME/SQEX</t>
  </si>
  <si>
    <t>b34</t>
  </si>
  <si>
    <t>落ちこぼれ国を出る ～実は世界で4人目の付与術師だった件について～</t>
  </si>
  <si>
    <t>原作：御影雫
作画：HAYADAI</t>
  </si>
  <si>
    <t>(C)Shizuku Mikage
(C)HAYADAI/SQUARE ENIX</t>
  </si>
  <si>
    <t>(C)Shizuku Mikage
(C)HAYADAI/SQEX</t>
  </si>
  <si>
    <t>b27</t>
  </si>
  <si>
    <t>魔女の世界で最強なのは物理ですが何か？</t>
  </si>
  <si>
    <t>壱</t>
  </si>
  <si>
    <t>(C)Ichi/SQUARE ENIX</t>
  </si>
  <si>
    <t>(C)Ichi/SQEX</t>
  </si>
  <si>
    <t>b50</t>
  </si>
  <si>
    <t>日和ちゃんのお願いは絶対</t>
  </si>
  <si>
    <t>原作：岬鷺宮（株式会社KADOKAWA／電撃文庫刊）
漫画：有馬ツカサ
キャラクターデザイン：堀泉インコ</t>
  </si>
  <si>
    <t>(C)MISAKI SAGINOMIYA 2020　Licensed by KADOKAWA CORPORATION
(C)Tsukasa Arima/SQUARE ENIX</t>
  </si>
  <si>
    <t>(C)MISAKI SAGINOMIYA 2020　Licensed by KADOKAWA CORPORATION
(C)TA/SQEX</t>
  </si>
  <si>
    <t>年号2020固定/2020の後ろ全角スペース空き</t>
  </si>
  <si>
    <t>a63</t>
  </si>
  <si>
    <t>ハイスコアガール DASH</t>
  </si>
  <si>
    <t>b78</t>
  </si>
  <si>
    <t>スケートリーディング☆スターズ</t>
  </si>
  <si>
    <t>原作：TEAM SLS
キャラクターデザイン：枢やな
構成：長岡千秋
作画：澄生澄佳</t>
  </si>
  <si>
    <t>(C)TEAM SLS/スケートリーディングプロジェクト
(C)Chiaki Nagaoka/SQUARE ENIX
(C)Sumika Sumio/SQUARE ENIX</t>
  </si>
  <si>
    <t>(C)TEAM SLS/スケートリーディングプロジェクト
(C)CN/SQEX
(C)SS/SQEX</t>
  </si>
  <si>
    <t>c17</t>
  </si>
  <si>
    <t>わたしはふたつめの人生をあるく！</t>
  </si>
  <si>
    <t>小択出新都
イラスト：くろでこ</t>
  </si>
  <si>
    <t>(C)Otaku de Neet/SQUARE ENIX
(C)Kurodeko/SQUARE ENIX</t>
  </si>
  <si>
    <t>(C)OdN/SQEX
(C)Kurodeko/SQEX</t>
  </si>
  <si>
    <t>c19</t>
  </si>
  <si>
    <t>魔剣の弟子は無能で最強！　～英雄流の修行で万能になれたので、最強を目指します～</t>
  </si>
  <si>
    <t>ふか田さめたろう
イラスト：植田亮</t>
  </si>
  <si>
    <t>(C)Sametaro Fukada/SQUARE ENIX
(C)Ryo Ueda/SQUARE ENIX</t>
  </si>
  <si>
    <t>(C)SF/SQEX
(C)RU/SQEX</t>
  </si>
  <si>
    <t>c18</t>
  </si>
  <si>
    <t>人狼への転生、魔王の副官</t>
  </si>
  <si>
    <t>漂月
イラスト：手島nari</t>
  </si>
  <si>
    <t>(C)Hyougetsu/SQUARE ENIX
(C)Nari Teshima/SQUARE ENIX</t>
  </si>
  <si>
    <t>(C)Hyougetsu/SQEX
(C)NT/SQEX</t>
  </si>
  <si>
    <t>c20</t>
  </si>
  <si>
    <t>ダンジョンの奥地にて剣を500年振り続けたスケルトン、人としての生を受け最強に至る</t>
  </si>
  <si>
    <t>トラジロウ
イラスト：ファルまろ</t>
  </si>
  <si>
    <t>(C)Torajirou/SQUARE ENIX
(C)Falmaro/SQUARE ENIX</t>
  </si>
  <si>
    <t>(C)Torajirou/SQEX
(C)Falmaro/SQEX</t>
  </si>
  <si>
    <t>b71</t>
  </si>
  <si>
    <t>ラスボス、やめてみた～主人公に倒されたふりして自由に生きてみた～</t>
  </si>
  <si>
    <t>原作：坂木持丸（ＧＡ文庫／ＳＢクリエイティブ刊）
漫画：つきやまなみき
キャラクター原案：タジマ粒子</t>
  </si>
  <si>
    <t>(C)Mochimaru Sakaki/SB Creative Corp.
Original Character Designs:(C)Tajimaryuushi/SB Creative Corp.
(C)Namiki Tsukiyama/SQUARE ENIX</t>
  </si>
  <si>
    <t>(C)MS,T/SBCr
(C)NT/SQEX</t>
  </si>
  <si>
    <t>b46</t>
  </si>
  <si>
    <t>公爵令嬢ティアレシアの復讐～悪魔の力、お借りします～</t>
  </si>
  <si>
    <t>原作：奏舞音
漫画：白木苺
キャラクター原案：ぽぽるちゃ</t>
  </si>
  <si>
    <t>(C)Maine Kanade,Poporucha/KADOKAWA
(C)Ichigo Shiraki/SQUARE ENIX</t>
  </si>
  <si>
    <t>(C)Maine Kanade,Poporucha/KADOKAWA
(C)IS/SQEX</t>
  </si>
  <si>
    <t>b81</t>
  </si>
  <si>
    <t>異世界転生で賢者になって冒険者生活　～【魔法改良】で異世界最強～</t>
  </si>
  <si>
    <t>原作：進行諸島（GAノベル／ＳＢクリエイティブ刊）
漫画：神名ゆゆ
キャラクター原案：カット</t>
  </si>
  <si>
    <t>(C)Shinkoshoto/SB Creative Corp.
Original Character Designs:(C)Cut/SB Creative Corp.
(C)Yuyu Kanna/SQUARE ENIX</t>
  </si>
  <si>
    <t>(C)S,C/SBCr
(C)YK/SQEX</t>
  </si>
  <si>
    <t>b51</t>
  </si>
  <si>
    <t>戦隊レッド 異世界で冒険者になる</t>
  </si>
  <si>
    <t>中吉虎吉</t>
  </si>
  <si>
    <t>(C)Koyoshi Nakayoshi/SQUARE ENIX</t>
  </si>
  <si>
    <t>b62</t>
  </si>
  <si>
    <t>ワンルーム、日当たり普通、天使つき。</t>
  </si>
  <si>
    <t>b68</t>
  </si>
  <si>
    <t>魔界帰りの劣等能力者</t>
  </si>
  <si>
    <t>原作：たすろう
作画：鳥飼やすゆき
キャラクター原案：かる</t>
  </si>
  <si>
    <t>(C)Tasuro
(C)Karu
(C)Yasuyuki Torikai/SQUARE ENIX</t>
  </si>
  <si>
    <t>(C)Tasuro
(C)Karu
(C)YT/SQEX</t>
  </si>
  <si>
    <t>b65</t>
  </si>
  <si>
    <t>白蛇様の花嫁</t>
  </si>
  <si>
    <t>b32</t>
  </si>
  <si>
    <t>ヨルハ 真珠湾降下作戦記録</t>
  </si>
  <si>
    <t>原作・監修：ヨコオタロウ
漫画：空路恵</t>
  </si>
  <si>
    <t>(C) 2017-2019 SQUARE ENIX CO., LTD. All Rights Reserved.
(C)YOKO TARO/SQUARE ENIX
(C)Megumu Soramichi/SQUARE ENIX</t>
  </si>
  <si>
    <t>(C) 2017-2019 SQUARE ENIX CO., LTD. All Rights Reserved.
(C)YT/SQEX
(C)MS/SQEX</t>
  </si>
  <si>
    <t>b63</t>
  </si>
  <si>
    <t>おいしい給食</t>
  </si>
  <si>
    <t>原作：AMG出版
作画：麻生我等</t>
  </si>
  <si>
    <t>(C)AMG出版
(C)Gato Aso/SQUARE ENIX</t>
  </si>
  <si>
    <t>(C)AMG出版
(C)GA/SQEX</t>
  </si>
  <si>
    <t>b31</t>
  </si>
  <si>
    <t>だぶるぶる -Double Bull-</t>
  </si>
  <si>
    <t>戌森四朗</t>
  </si>
  <si>
    <t>(C)Shiroh Inumori/SQUARE ENIX</t>
  </si>
  <si>
    <t>b40</t>
  </si>
  <si>
    <t>さわらぬふたりはナニをする</t>
  </si>
  <si>
    <t>ホリチカ</t>
  </si>
  <si>
    <t>(C)Horichika/SQUARE ENIX</t>
  </si>
  <si>
    <t>(C)Horichika/SQEX</t>
  </si>
  <si>
    <t>b39</t>
  </si>
  <si>
    <t>マーダーロック-殺人鬼の凶室-</t>
  </si>
  <si>
    <t>原作：水城水城
作画：Ko-dai</t>
  </si>
  <si>
    <t>(C)Mizuki Mizushiro/SQUARE ENIX
(C)Ko-dai/SQUARE ENIX</t>
  </si>
  <si>
    <t>(C)MM/SQEX
(C)Ko-dai/SQEX</t>
  </si>
  <si>
    <t>b41</t>
  </si>
  <si>
    <t>EAR'S GIFT -みみかき先生-</t>
  </si>
  <si>
    <t>九月タカアキ</t>
  </si>
  <si>
    <t>(C)Takaaki Kugatsu/SQUARE ENIX</t>
  </si>
  <si>
    <t>c23</t>
  </si>
  <si>
    <t>パイプ使いは紫煙を纏う　～俺だけが使える毒草からスキル無限採取術～</t>
  </si>
  <si>
    <t>藤田作文
イラスト：桑島黎音</t>
  </si>
  <si>
    <t>(C)Sakumon Fujita
/SQUARE ENIX
(C)Rein Kuwashima/SQUARE ENIX</t>
  </si>
  <si>
    <t>(C)SF/SQEX
(C)RK/SQEX</t>
  </si>
  <si>
    <t>c25</t>
  </si>
  <si>
    <t>この度、私、聖女を引退することになりました</t>
  </si>
  <si>
    <t>秋月忍
イラスト：安野メイジ</t>
  </si>
  <si>
    <t>(C)Shinobu Akitsuki/SQUARE ENIX
(C)Meiji Anno/SQUARE ENIX</t>
  </si>
  <si>
    <t>(C)SA/SQEX
(C)MA/SQEX</t>
  </si>
  <si>
    <t>c24</t>
  </si>
  <si>
    <t>片田舎のおっさん、剣聖になる　～ただの田舎の剣術師範だったのに、大成した弟子たちが俺を放ってくれない件～</t>
  </si>
  <si>
    <t>佐賀崎しげる
イラスト：鍋島テツヒロ</t>
  </si>
  <si>
    <t>(C)Shigeru Sagazaki
/SQUARE ENIX
(C)Tetsuhiro Nabeshima/SQUARE ENIX</t>
  </si>
  <si>
    <t>(C)SS/SQEX
(C)TN/SQEX</t>
  </si>
  <si>
    <t>b92</t>
  </si>
  <si>
    <t>平凡高校生の俺がゲームでは最強ギルドのギルドマスターなんですが……</t>
  </si>
  <si>
    <t>原作：妃羅
作画：山田リューセイ</t>
  </si>
  <si>
    <t>(C)20XX 妃羅
(C)Ryusei Yamada/SQUARE ENIX</t>
  </si>
  <si>
    <t>(C)20XX 妃羅
(C)RY/SQEX</t>
  </si>
  <si>
    <t>原作者表記の年号は毎年更新</t>
  </si>
  <si>
    <t>b75</t>
  </si>
  <si>
    <t>悪魔も堕ちる悪魔飯～2秒でイチコロ！ギャルの即堕ちハイカロリーごはん～</t>
  </si>
  <si>
    <t>原作：音速へどばん首もげ太
作画：小麦A</t>
  </si>
  <si>
    <t>(C)Onsokuhedoban Kubimogeta/SQUARE ENIX
(C)KomugiA/SQUARE ENIX</t>
  </si>
  <si>
    <t>(C)OK/SQEX
(C)KomugiA/SQEX</t>
  </si>
  <si>
    <t>b45</t>
  </si>
  <si>
    <t>痴漢されそうになっているＳ級美少女を助けたら隣の席の幼馴染だった</t>
  </si>
  <si>
    <t>原作：ケンノジ（GA文庫／ＳＢクリエイティブ刊）
構成：松浦はこ
漫画：緑川葉
キャラクター原案：フライ</t>
  </si>
  <si>
    <t>(C)Kennoji/SB Creative Corp. 
Original Character Designs:(C)Fly/SB Creative Corp. 
(C)Haco Matsuura/SQUARE ENIX
(C)Yoh Midorikawa/SQUARE ENIX</t>
  </si>
  <si>
    <t>(C)K,F/SBCr
(C)HM/SQEX
(C)YM/SQEX</t>
  </si>
  <si>
    <t>b76</t>
  </si>
  <si>
    <t>最凶ヤクザの心の中は意外とやさしい</t>
  </si>
  <si>
    <t>原作：新島一
作画：左東武之</t>
  </si>
  <si>
    <t>(C)Hajime Niijima/SQUARE ENIX
(C)Takeyuki Sato/SQUARE ENIX</t>
  </si>
  <si>
    <t>(C)HN/SQEX
(C)TS/SQEX</t>
  </si>
  <si>
    <t>b33</t>
  </si>
  <si>
    <t>タイツで癒してくれる嫁</t>
  </si>
  <si>
    <t>ぐらんで</t>
  </si>
  <si>
    <t>(C)Grande/SQUARE ENIX</t>
  </si>
  <si>
    <t>(C)Grande/SQEX</t>
  </si>
  <si>
    <t>b89</t>
  </si>
  <si>
    <t>後宮の結び人</t>
  </si>
  <si>
    <t>原作：小早川真寛
作画：鰍ヨウ</t>
  </si>
  <si>
    <t>(C)Mahiro Kobayakawa/SQUARE ENIX
(C)You Kajika/SQUARE ENIX</t>
  </si>
  <si>
    <t>(C)MK/SQEX
(C)YK/SQEX</t>
  </si>
  <si>
    <t>c16</t>
  </si>
  <si>
    <t>閻魔堂沙羅の推理奇譚</t>
  </si>
  <si>
    <t>原作：木元哉多（講談社タイガ刊）
作画：柴田孫四郎
構成：irom
キャラクター原案：望月けい</t>
  </si>
  <si>
    <t>(C)木元哉多／講談社
(C)Magoshiro Shibata/SQUARE ENIX
(C)irom/SQUARE ENIX</t>
  </si>
  <si>
    <t>(C)木元哉多／講談社
(C)MS/SQEX
(C)irom/SQEX</t>
  </si>
  <si>
    <t>b55</t>
  </si>
  <si>
    <t>目々盛くんには敵わない</t>
  </si>
  <si>
    <t>もりこっこ</t>
  </si>
  <si>
    <t>(C)Moricocco/SQUARE ENIX</t>
  </si>
  <si>
    <t>(C)Moricocco/SQEX</t>
  </si>
  <si>
    <t>b73</t>
  </si>
  <si>
    <t>めざせ豪華客船!!　～船召喚スキルで異世界リッチライフを手に入れろ～</t>
  </si>
  <si>
    <t>原作：たむたむ
漫画：ザザロン亞南</t>
  </si>
  <si>
    <t>(C)Tamutamu
(C)Anan Zazalon/SQUARE ENIX</t>
  </si>
  <si>
    <t>(C)Tamutamu
(C)AZ/SQEX</t>
  </si>
  <si>
    <t>b52</t>
  </si>
  <si>
    <t>君と一緒じゃままならない</t>
  </si>
  <si>
    <t>しをたひろみち</t>
  </si>
  <si>
    <t>(C)Hiromichi Shiwota/SQUARE ENIX</t>
  </si>
  <si>
    <t>c30</t>
  </si>
  <si>
    <t>田んぼでエルフ拾った。道にスライム現れた</t>
  </si>
  <si>
    <t>幕霧映
イラスト：ともぞ</t>
  </si>
  <si>
    <t>(C)Ei Bakumu/SQUARE ENIX
(C)Tomozo/SQUARE ENIX</t>
  </si>
  <si>
    <t>(C)EB/SQEX
(C)Tomozo/SQEX</t>
  </si>
  <si>
    <t>b80</t>
  </si>
  <si>
    <t>渋谷君友の会</t>
  </si>
  <si>
    <t>藤枝とおる</t>
  </si>
  <si>
    <t>(C)Toru Fujieda/SQUARE ENIX</t>
  </si>
  <si>
    <t>c31</t>
  </si>
  <si>
    <t>マイナススキル持ち四人が集まったら、なんかシナジー発揮して最強パーティーができた件</t>
  </si>
  <si>
    <t>小鈴危一
イラスト：しらび</t>
  </si>
  <si>
    <t>(C)Kiichi Kosuzu/SQUARE ENIX
(C)Shirabii/SQUARE ENIX</t>
  </si>
  <si>
    <t>(C)KK/SQEX
(C)Shirabii/SQEX</t>
  </si>
  <si>
    <t>b54</t>
  </si>
  <si>
    <t>女同士とかありえないでしょと言い張る女の子を、百日間で徹底的に落とす百合のお話</t>
  </si>
  <si>
    <t>原作：みかみてれん（GA文庫／ＳＢクリエイティブ刊）
漫画：かやこ
キャラクター原案：雪子</t>
  </si>
  <si>
    <t>(C)Mikamiteren/SB Creative Corp.
Original Character Designs:(C)Yukiko/SB Creative Corp.
(C)Kayako/SQUARE ENIX</t>
  </si>
  <si>
    <t>(C)M,Y/SBCr
(C)K/SQEX</t>
  </si>
  <si>
    <t>b47</t>
  </si>
  <si>
    <t>万年２位だからと勘当された少年、無自覚に無双する</t>
  </si>
  <si>
    <t>原作：あざね
キャラクター原案：ZEN
作画：大慈</t>
  </si>
  <si>
    <t>(C)あざね・ZEN/講談社
(C)Daiji/SQUARE ENIX</t>
  </si>
  <si>
    <t>(C)あざね・ZEN/講談社
(C)Daiji/SQEX</t>
  </si>
  <si>
    <t>b49</t>
  </si>
  <si>
    <t>転生したら宿屋の息子でした　田舎街でのんびりスローライフをおくろう</t>
  </si>
  <si>
    <t>原作：錬金王
作画：高瀬飛鳥
キャラクター原案：阿倍野ちゃこ</t>
  </si>
  <si>
    <t>(C)宝島社
(C)Asuka Takase/SQUARE ENIX</t>
  </si>
  <si>
    <t>(C)宝島社
(C)AT/SQEX</t>
  </si>
  <si>
    <t>b66</t>
  </si>
  <si>
    <t>従魔とつくる異世界ダンジョン</t>
  </si>
  <si>
    <t>原作：唖鳴蝉（双葉社／Ｍノベルス）
漫画：マジコ！
キャラクター原案：いちやん</t>
  </si>
  <si>
    <t>(C)Ameizen
(C)Majiko!/SQUARE ENIX</t>
  </si>
  <si>
    <t>(C)Ameizen
(C)Majiko!/SQEX</t>
  </si>
  <si>
    <t>c01</t>
  </si>
  <si>
    <t>サラリーマンの不死戯なダンジョン</t>
  </si>
  <si>
    <t>原作：昼熊
作画：Tuesday(FANFAN COMIC)
構成：平石六</t>
  </si>
  <si>
    <t>(C)Hirukuma
(C)Tuesday(FANFAN COMIC)/SQUARE ENIX
(C)Roku Hiraishi/SQUARE ENIX</t>
  </si>
  <si>
    <t>(C)Hirukuma
(C)Tuesday(FANFAN COMIC)/SQEX
(C)RH/SQEX</t>
  </si>
  <si>
    <t>b95</t>
  </si>
  <si>
    <t>86ーエイティシックスー　ーラン・スルー・ザ・バトルフロントー</t>
  </si>
  <si>
    <t>原作：安里アサト（株式会社KADOKAWA／電撃文庫刊）
漫画：山﨑博也
キャラクターデザイン：しらび
メカニックデザイン：I-IV</t>
  </si>
  <si>
    <t>(C) ASATO ASATO 20XX　Licensed by KADOKAWA CORPORATION
(C)Hakuya YAMASAKI/SQUARE ENIX</t>
  </si>
  <si>
    <t>(C) ASATO ASATO 20XX　Licensed by KADOKAWA CORPORATION
(C)HY/SQEX</t>
  </si>
  <si>
    <t>b96</t>
  </si>
  <si>
    <t>双翼の武装使い</t>
  </si>
  <si>
    <t>原作：進行諸島
漫画：sanorin</t>
  </si>
  <si>
    <t>(C)Shinkoshoto/SB Creative Corp.
(C)sanorin/SQUARE ENIX</t>
  </si>
  <si>
    <t>(C)Shinkoshoto/SBCr
(C)sanorin/SQEX</t>
  </si>
  <si>
    <t>b58</t>
  </si>
  <si>
    <t>女子高生はおはようって言う</t>
  </si>
  <si>
    <t>原作：ルシファー吉岡
作画：ゆめみつき</t>
  </si>
  <si>
    <t>(C)Lucifer Yoshioka・Yumemitsuki/SQUARE ENIX</t>
  </si>
  <si>
    <t>(C)LY・Y/SQEX</t>
  </si>
  <si>
    <t>b17</t>
  </si>
  <si>
    <t>電気ウナギの美少女攻略</t>
  </si>
  <si>
    <t>原作：桜井竜矢
作画：高野孝則</t>
  </si>
  <si>
    <t>(C)Tatsuya Sakurai/Takanori Takano/SQUARE ENIX</t>
  </si>
  <si>
    <t>(C)TS/TT/SQEX</t>
  </si>
  <si>
    <t>b70</t>
  </si>
  <si>
    <t>時使い魔術師の転生無双～魔術学院の劣等生、実は最強の時間系魔術師でした～</t>
  </si>
  <si>
    <t>原作：葉月秋水
漫画：佐久間結衣
キャラクター原案：あるてら</t>
  </si>
  <si>
    <t>(C)Shusui Hazuki 20XX
(C)Yui Sakuma/SQUARE ENIX</t>
  </si>
  <si>
    <t>(C)Shusui Hazuki 20XX
(C)YS/SQEX</t>
  </si>
  <si>
    <t>c14</t>
  </si>
  <si>
    <t>嘘憑き狐の巫女様は後宮で謎を占う</t>
  </si>
  <si>
    <t>原作：唐澤和希
漫画：望月桜</t>
  </si>
  <si>
    <t>(C)Kazuki Karasawa/SQUARE ENIX
(C)Sakura Mochizuki/SQUARE ENIX</t>
  </si>
  <si>
    <t>(C)KK/SQEX
(C)SM/SQEX</t>
  </si>
  <si>
    <t>b57</t>
  </si>
  <si>
    <t>ニーナはパパを暗殺したい</t>
  </si>
  <si>
    <t>原作：島崎無印
作画：キトラ</t>
  </si>
  <si>
    <t>(C)Mujirushi Shimazaki/SQUARE ENIX
(C)Kitora/SQUARE ENIX</t>
  </si>
  <si>
    <t>(C)MS/SQEX
(C)Kitora/SQEX</t>
  </si>
  <si>
    <t>b26</t>
  </si>
  <si>
    <t>ときどき漫画家、金田一蓮十郎～〆切はおとといでした。～</t>
  </si>
  <si>
    <t>b43</t>
  </si>
  <si>
    <t>Hなおもちゃの作り方</t>
  </si>
  <si>
    <t>永谷えんがわ</t>
  </si>
  <si>
    <t>(C)Engawa Nagatani/SQUARE ENIX</t>
  </si>
  <si>
    <t>(C)EN/SQEX</t>
  </si>
  <si>
    <t>c07</t>
  </si>
  <si>
    <t>ヨルとクロ</t>
  </si>
  <si>
    <t>b87</t>
  </si>
  <si>
    <t>不遇職『テイマー』は最弱スキル『正拳突き』で無双する　～少年はハードモードの人生を努力でぶち破る～</t>
  </si>
  <si>
    <t>原作：木嶋隆太
漫画：なかやかな</t>
  </si>
  <si>
    <t>(C)Ryuta Kijima
(C)Kana Nakaya/SQUARE ENIX</t>
  </si>
  <si>
    <t>(C)Ryuta Kijima
(C)KN/SQEX</t>
  </si>
  <si>
    <t>c15</t>
  </si>
  <si>
    <t>転生した元奴隷、最強の貴族になって年上の娘と世界最強を目指します</t>
  </si>
  <si>
    <t>原作：三木なずな
漫画：棚橋なもしろ</t>
  </si>
  <si>
    <t>(C)Nazuna Miki/SQUARE ENIX
(C)Namoshiro Tanahashi/SQUARE ENIX</t>
  </si>
  <si>
    <t>(C)NM/SQEX
(C)NT/SQEX</t>
  </si>
  <si>
    <t>c04</t>
  </si>
  <si>
    <t>悪役令嬢は今日も華麗に暗躍する 追放後も推しのために悪党として支援します!</t>
  </si>
  <si>
    <t>原作：道草家守（カドカワBOOKS）
漫画：高松翼
キャラクター原案：春が野かおる</t>
  </si>
  <si>
    <t>(C)Yamori Mitikusa, Kaoru Harugano 2021 Licensed by KADOKAWA CORPORATION
(C)Tsubasa Takamatsu/SQUARE ENIX</t>
  </si>
  <si>
    <t>(C)Yamori Mitikusa, Kaoru Harugano 2021 Licensed by KADOKAWA CORPORATION
(C)TT/SQEX</t>
  </si>
  <si>
    <t>年号2021固定</t>
  </si>
  <si>
    <t>b03</t>
  </si>
  <si>
    <t>恋は論破できない</t>
  </si>
  <si>
    <t>柳原望</t>
  </si>
  <si>
    <t>(C)Nozomi Yanahara/SQUARE ENIX</t>
  </si>
  <si>
    <t>(C)NY/SQEX</t>
  </si>
  <si>
    <t>b79</t>
  </si>
  <si>
    <t>そらに陽だまり</t>
  </si>
  <si>
    <t>かなめもにか</t>
  </si>
  <si>
    <t>(C)Monika Kaname/SQUARE ENIX</t>
  </si>
  <si>
    <t>c50</t>
  </si>
  <si>
    <t>家から逃げ出したい私が、うっかり憧れの大魔法使い様を買ってしまったら</t>
  </si>
  <si>
    <t>琴子
イラスト：TCB</t>
  </si>
  <si>
    <t>(C)Kotoko/SQUARE ENIX
(C)TCB/SQUARE ENIX</t>
  </si>
  <si>
    <t>(C)Kotoko/SQEX
(C)TCB/SQEX</t>
  </si>
  <si>
    <t>c52</t>
  </si>
  <si>
    <t>ブラック魔道具師ギルドを追放された私、王宮魔術師として拾われる　～ホワイトな宮廷で、幸せな新生活を始めます！～</t>
  </si>
  <si>
    <t>葉月秋水
イラスト：necömi</t>
  </si>
  <si>
    <t>(C)Shusui Hazuki/SQUARE ENIX
(C)necömi/SQUARE ENIX</t>
  </si>
  <si>
    <t>(C)SH/SQEX
(C)necömi/SQEX</t>
  </si>
  <si>
    <t>ウムラウトが無理な場合は【necomi】でOK</t>
  </si>
  <si>
    <t>c51</t>
  </si>
  <si>
    <t>王国の最終兵器、劣等生として騎士学院へ</t>
  </si>
  <si>
    <t>猫子
イラスト：nauribon</t>
  </si>
  <si>
    <t>(C)Necoco/SQUARE ENIX
(C)nauribon/SQUARE ENIX</t>
  </si>
  <si>
    <t>(C)Necoco/SQEX
(C)nauribon/SQEX</t>
  </si>
  <si>
    <t>a23</t>
  </si>
  <si>
    <t>ふーちゃんの穴</t>
  </si>
  <si>
    <t>Bou</t>
  </si>
  <si>
    <t>(C)Bou/SQUARE ENIX</t>
  </si>
  <si>
    <t>(C)Bou/SQEX</t>
  </si>
  <si>
    <t>a35</t>
  </si>
  <si>
    <t>異世界国家アルキマイラ　～最弱の王と無双の軍勢～</t>
  </si>
  <si>
    <t>原作：蒼乃暁（GAノベル／SBクリエイティブ刊）
作画：BARZ
キャラクター原案：bob</t>
  </si>
  <si>
    <t>(C)Akatsuki Aono/SB Creative Corp. 
Original Character Designs:(C)bob/SB Creative Corp.
(C)BARZ/SQUARE ENIX</t>
  </si>
  <si>
    <t>(C)AA,b/SBCr
(C)B/SQEX</t>
  </si>
  <si>
    <t>c12</t>
  </si>
  <si>
    <t>酒と鬼は二合まで</t>
  </si>
  <si>
    <t>原作：羽柴実里
作画：zinbei</t>
  </si>
  <si>
    <t>(C)Minori Hashiba/SQUARE ENIX
(C)zinbei/SQUARE ENIX</t>
  </si>
  <si>
    <t>(C)MH/SQEX
(C)zinbei/SQEX</t>
  </si>
  <si>
    <t>c22</t>
  </si>
  <si>
    <t>きれいな黒髪の高階さん（無職）と付き合うことになった</t>
  </si>
  <si>
    <t>原作：森田季節（ＧＡ文庫/ＳＢクリエイティブ刊）
作画：たかちひろなり
キャラクター原案：紅林のえ
構成：おはら誠</t>
  </si>
  <si>
    <t>(C)Kisetsu Morita/SB Creative Corp.
Original Character Designs:(C)Noe Kurebayashi/SB Creative Corp.
(C)Hironari Takachi/SQUARE ENIX
(C)Makoto Ohara/SQUARE ENIX</t>
  </si>
  <si>
    <t>(C)KM,NK/SBCr
(C)HT/SQEX
(C)MO/SQEX</t>
  </si>
  <si>
    <t>c33</t>
  </si>
  <si>
    <t>騎竜免許とった女子高生</t>
  </si>
  <si>
    <t>c06</t>
  </si>
  <si>
    <t>つりこまち</t>
  </si>
  <si>
    <t>山崎夏軌</t>
  </si>
  <si>
    <t>(C)Natsuki Yamasaki/SQUARE ENIX</t>
  </si>
  <si>
    <t>c65</t>
  </si>
  <si>
    <t>逃がした魚は大きかったが釣りあげた魚が大きすぎた件</t>
  </si>
  <si>
    <t>ももよ万葉
イラスト：三登いつき</t>
  </si>
  <si>
    <t>(C)Mayo Momoyo/SQUARE ENIX
(C)Itsuki Mito/SQUARE ENIX</t>
  </si>
  <si>
    <t>(C)MM/SQEX
(C)IM/SQEX</t>
  </si>
  <si>
    <t>c66</t>
  </si>
  <si>
    <t>最高難度迷宮でパーティに置き去りにされたＳランク剣士、本当に迷いまくって誰も知らない最深部へ　～俺の勘だとたぶんこっちが出口だと思う～</t>
  </si>
  <si>
    <t>quiet
イラスト：toi8</t>
  </si>
  <si>
    <t>(C)quiet/SQUARE ENIX
(C)toi8/SQUARE ENIX</t>
  </si>
  <si>
    <t>(C)quiet/SQEX
(C)toi8/SQEX</t>
  </si>
  <si>
    <t>c08</t>
  </si>
  <si>
    <t>迷宮キングダム　特殊部隊SASのおっさんの異世界ダンジョンサバイバルマニュアル！</t>
  </si>
  <si>
    <t>原作：宮澤伊織、河嶋陶一朗／冒険企画局
作画：山内了兵
キャラクター原案：よー清水</t>
  </si>
  <si>
    <t>(C)Toichiro Kawashima・Adventure Planning Service・Iori Miyazawa 20XX / Licenced by KADOKAWA CORPORATION
(C)Ryohei Yamauchi/SQUARE ENIX</t>
  </si>
  <si>
    <t>(C)Toichiro Kawashima・Adventure Planning Service・Iori Miyazawa 20XX / Licenced by KADOKAWA CORPORATION
(C)RY/SQEX</t>
  </si>
  <si>
    <t>c27</t>
  </si>
  <si>
    <t>賢者の魔道具工房</t>
  </si>
  <si>
    <t>原作：ケンノジ
ネーム構成：矢樹貴
作画：鷹月なぎ</t>
  </si>
  <si>
    <t>(C)Kennoji・Takashi Yagi・Nagi Takatsuki/SQUARE ENIX</t>
  </si>
  <si>
    <t>(C)Kennoji・TY・NT/SQEX</t>
  </si>
  <si>
    <t>c89</t>
  </si>
  <si>
    <t>婚約破棄を狙って記憶喪失のフリをしたら、素っ気ない態度だった婚約者が「記憶を失う前の君は、俺にベタ惚れだった」という、とんでもない嘘をつき始めた</t>
  </si>
  <si>
    <t>琴子
イラスト：雨壱絵穹</t>
  </si>
  <si>
    <t>(C)Kotoko/SQUARE ENIX
(C)Esora Amaichi/SQUARE ENIX</t>
  </si>
  <si>
    <t>(C)Kotoko/SQEX
(C)EA/SQEX</t>
  </si>
  <si>
    <t>c90</t>
  </si>
  <si>
    <t>理不尽な理由で追放された王宮魔道師の私ですが、隣国の王子様とご一緒しています！？</t>
  </si>
  <si>
    <t>アルト
イラスト：mmu</t>
  </si>
  <si>
    <t>(C)Alto/SQUARE ENIX
(C)mmu/SQUARE ENIX</t>
  </si>
  <si>
    <t>(C)Alto/SQEX
(C)mmu/SQEX</t>
  </si>
  <si>
    <t>b88</t>
  </si>
  <si>
    <t>恋は同人誌より奇なり</t>
  </si>
  <si>
    <t>b94</t>
  </si>
  <si>
    <t>虹色ゲームメーカー</t>
  </si>
  <si>
    <t>c29</t>
  </si>
  <si>
    <t>壬生の狼、猫を飼う～新選組と京ことば猫～</t>
  </si>
  <si>
    <t>(C)Tomohiro Shinohara/SQUARE ENIX</t>
  </si>
  <si>
    <t>c26</t>
  </si>
  <si>
    <t>SELECTION PROJECT</t>
  </si>
  <si>
    <t>原作：SELECTION PROJECT
作画：東皓司</t>
  </si>
  <si>
    <t>(C)SELECTION PROJECT PARTNERS
(C)Kouji Azuma/SQUARE ENIX</t>
  </si>
  <si>
    <t>(C)SELECTION PROJECT PARTNERS
(C)KA/SQEX</t>
  </si>
  <si>
    <t>a46</t>
  </si>
  <si>
    <t>Deep Insanity NIRVANA</t>
  </si>
  <si>
    <t>原案：深見真
原案：海法紀光
漫画：塩野干支郎次</t>
  </si>
  <si>
    <t>(C)2021 SQUARE ENIX CO., LTD. All Rights Reserved.
(C)Etorouji Shiono/SQUARE ENIX</t>
  </si>
  <si>
    <t>(C)2021 SQUARE ENIX CO., LTD. All Rights Reserved.
(C)ES/SQEX</t>
  </si>
  <si>
    <t>深見氏、海法氏のコピーライトは不要</t>
  </si>
  <si>
    <t>b07</t>
  </si>
  <si>
    <t>Disney Twisted-Wonderland The Comic Episode of Heartslabyul</t>
  </si>
  <si>
    <t>原案：枢やな
構成：葉月わかな
作画：コヲノスミレ</t>
  </si>
  <si>
    <t>(C) Disney</t>
  </si>
  <si>
    <t>c53</t>
  </si>
  <si>
    <t>サクガン</t>
  </si>
  <si>
    <t>原作：「サクガン」製作委員会
漫画：左藤圭右
キャラクター原案：岩原裕二</t>
  </si>
  <si>
    <t>(C)「サクガン」製作委員会
(C)Keisuke Sato/SQUARE ENIX</t>
  </si>
  <si>
    <t>(C)「サクガン」製作委員会
(C)KS/SQEX</t>
  </si>
  <si>
    <t>d06</t>
  </si>
  <si>
    <t>忘却聖女</t>
  </si>
  <si>
    <t>守野伊音
イラスト：朱里</t>
  </si>
  <si>
    <t>(C)morinoion/SQUARE ENIX
(C)shuri/SQUARE ENIX</t>
  </si>
  <si>
    <t>(C)morinoion/SQEX
(C)shuri/SQEX</t>
  </si>
  <si>
    <t>c11</t>
  </si>
  <si>
    <t>嘘とキスは放課後に</t>
  </si>
  <si>
    <t>目玉焼き</t>
  </si>
  <si>
    <t>(C)Medamayaki/SQUARE ENIX</t>
  </si>
  <si>
    <t>(C)Medamayaki/SQEX</t>
  </si>
  <si>
    <t>c02</t>
  </si>
  <si>
    <t>ヴィクトリアの電気棺</t>
  </si>
  <si>
    <t>田島生野</t>
  </si>
  <si>
    <t>(C)Ikuno Tajima/SQUARE ENIX</t>
  </si>
  <si>
    <t>c48</t>
  </si>
  <si>
    <t>魂を半分喰われたら女神様に同情された？</t>
  </si>
  <si>
    <t>原作：柚月雪芳（アース・スター エンターテイメント/アース・スターノベル刊）
作画：渡ざらめ
キャラクター原案：外道</t>
  </si>
  <si>
    <t>(C)Yukiyoshi Yuduki
(C)Zarame Watari/SQUARE ENIX</t>
  </si>
  <si>
    <t>(C)Yukiyoshi Yuduki
(C)ZW/SQEX</t>
  </si>
  <si>
    <t>c35</t>
  </si>
  <si>
    <t>万能「村づくり」チートでお手軽スローライフ　～村ですが何か？～（コミック）</t>
  </si>
  <si>
    <t>原作：九頭七尾
原作：イセ川ヤスタカ
漫画：蚕堂j1</t>
  </si>
  <si>
    <t>(C)Shichio Kuzu/SQUARE ENIX
(C)Yasutaka Isegawa/SQUARE ENIX
(C)j1 Kaido/SQUARE ENIX</t>
  </si>
  <si>
    <t>(C)SK/SQEX
(C)YI/SQEX
(C)jK/SQEX</t>
  </si>
  <si>
    <t>カバー・奥付・サイトの著者名は「原作：九頭七尾・イセ川ヤスタカ」</t>
  </si>
  <si>
    <t>c54</t>
  </si>
  <si>
    <t>才能〈ギフト〉がなくても冒険者になれますか？　ゼロから始まる『成長』チート</t>
  </si>
  <si>
    <t>原作：かたなかじ
漫画：山中樹
キャラクター原案：teffish</t>
  </si>
  <si>
    <t>(C)Katanakaji
(C)Tatsuki Yamanaka/SQUARE ENIX
(C)teffish</t>
  </si>
  <si>
    <t>(C)Katanakaji
(C)TY/SQEX
(C)teffish</t>
  </si>
  <si>
    <t>d16</t>
  </si>
  <si>
    <t>皇帝陛下のお世話係～女官暮らしが幸せすぎて後宮から出られません～</t>
  </si>
  <si>
    <t>柊一葉
イラスト：硝音あや</t>
  </si>
  <si>
    <t>(C)Ichiha Hiiragi/SQUARE ENIX
(C)Aya Shouoto/SQUARE ENIX</t>
  </si>
  <si>
    <t>(C)IH/SQEX
(C)AS/SQEX</t>
  </si>
  <si>
    <t>c43</t>
  </si>
  <si>
    <t>龍に恋う　贄の乙女の幸福な身の上</t>
  </si>
  <si>
    <t>原作：道草家守（富士見L文庫／KADOKAWA刊）
漫画：ゆきじるし
キャラクター原案：ゆきさめ</t>
  </si>
  <si>
    <t>(C)Yamori Mitikusa Licensed by KADOKAWA CORPORATION
(C)Yukizirushi/SQUARE ENIX</t>
  </si>
  <si>
    <t>(C)Yamori Mitikusa Licensed by KADOKAWA CORPORATION
(C)Yukizirushi/SQEX</t>
  </si>
  <si>
    <t>b74</t>
  </si>
  <si>
    <t>恋する極道おにいさん</t>
  </si>
  <si>
    <t>折紙ちよこ</t>
  </si>
  <si>
    <t>(C)Chiyoko Origami/SQUARE ENIX</t>
  </si>
  <si>
    <t>c72</t>
  </si>
  <si>
    <t>オオカミは探偵を食べたい</t>
  </si>
  <si>
    <t>大村陽</t>
  </si>
  <si>
    <t>(C)You Omura/SQUARE ENIX</t>
  </si>
  <si>
    <t>c88</t>
  </si>
  <si>
    <t>ショタおに</t>
  </si>
  <si>
    <t>中山幸</t>
  </si>
  <si>
    <t>(C)Miyuki Nakayama/SQUARE ENIX</t>
  </si>
  <si>
    <t>b77</t>
  </si>
  <si>
    <t>咲とファイナルファンタジーXIV</t>
  </si>
  <si>
    <t>原案：小林立
漫画：木吉紗
監修：ファイナルファンタジーXIV 開発／運営チーム</t>
  </si>
  <si>
    <t>(C)Ritz Kobayashi/SQUARE ENIX
(C)Saya Kiyoshi/SQUARE ENIX
(C) 2010 - 20XX SQUARE ENIX CO., LTD. All Rights Reserved.</t>
  </si>
  <si>
    <t>(C)RK/SQEX
(C)SK/SQEX
(C) 2010 - 20XX SQUARE ENIX CO., LTD. All Rights Reserved.</t>
  </si>
  <si>
    <t>年号は毎年更新
年号ナシの「(C)SQUARE ENIX CO., LTD. All Rights Reserved.」も許容</t>
  </si>
  <si>
    <t>c05</t>
  </si>
  <si>
    <t>××が嫌いな女子なんかいません!</t>
  </si>
  <si>
    <t>実倉なる</t>
  </si>
  <si>
    <t>(C)Naru Mikura/SQUARE ENIX</t>
  </si>
  <si>
    <t>(C)NM/SQEX</t>
  </si>
  <si>
    <t>c36</t>
  </si>
  <si>
    <t>現実でラブコメできないとだれが決めた？</t>
  </si>
  <si>
    <t>原作：初鹿野 創「現実でラブコメできないとだれが決めた？」（小学館「ガガガ文庫」刊）
キャラクター原案：椎名くろ
作画：カタケイ</t>
  </si>
  <si>
    <t>(C)初鹿野 創・椎名くろ／小学館
(C)Katakei/SQUARE ENIX</t>
  </si>
  <si>
    <t>(C)初鹿野 創・椎名くろ／小学館
(C)Katakei/SQEX</t>
  </si>
  <si>
    <t>c49</t>
  </si>
  <si>
    <t>威圧感◎ 戦闘系チート持ちの成り上がらない村人スローライフ</t>
  </si>
  <si>
    <t>原作：日之浦拓
漫画：戌飼ゐぬゐ
キャラクター原案：こよいみつき</t>
  </si>
  <si>
    <t>(C)Takumi Hinoura
(C)Inui Inukai/SQUARE ENIX</t>
  </si>
  <si>
    <t>(C)Takumi Hinoura
(C)II/SQEX</t>
  </si>
  <si>
    <t>c57</t>
  </si>
  <si>
    <t>全員俺のソロパーティ</t>
  </si>
  <si>
    <t>原作：愛坂タカト
漫画：福成冠智</t>
  </si>
  <si>
    <t>(C)Takato Aisaka/SQUARE ENIX
(C)Kanchi Fukunari/SQUARE ENIX</t>
  </si>
  <si>
    <t>(C)TA/SQEX
(C)KF/SQEX</t>
  </si>
  <si>
    <t>b37</t>
  </si>
  <si>
    <t>スライム倒して300年、知らないうちにレベルMAXになってました スピンオフ  レッドドラゴン女学院</t>
  </si>
  <si>
    <t>原作：森田季節（ＧＡノベル/ＳＢクリエイティブ刊）
漫画：羊箱
キャラクター原案：紅緒</t>
  </si>
  <si>
    <t>(C)Kisetsu Morita/SB Creative Corp.
Original Character Designs:(C)Benio/SB Creative Corp.
(C)Hitsujibako/SQUARE ENIX</t>
  </si>
  <si>
    <t>(C)KM,B/SBCr
(C)H/SQEX</t>
  </si>
  <si>
    <t>c61</t>
  </si>
  <si>
    <t>組長の娘は異世界で最強の組を作るため極道無双はじめました</t>
  </si>
  <si>
    <t>c67</t>
  </si>
  <si>
    <t>ブレイブファンタジア</t>
  </si>
  <si>
    <t>原作：天野ハザマ
漫画：室長サオリ</t>
  </si>
  <si>
    <t>(C)Hazama Amano/SQUARE ENIX
(C)Saori Muronaga/SQUARE ENIX</t>
  </si>
  <si>
    <t>(C)HA/SQEX
(C)SM/SQEX</t>
  </si>
  <si>
    <t>c81</t>
  </si>
  <si>
    <t>親に売られた私の幸せな家族</t>
  </si>
  <si>
    <t>b48</t>
  </si>
  <si>
    <t>ダンジョンに出会いを求めるのは間違っているだろうか ファミリアクロニクル episodeフレイヤ</t>
  </si>
  <si>
    <t>原作：大森藤ノ（GA文庫／ＳＢクリエイティブ刊）
漫画：桃山ひなせ
原作イラスト：ニリツ
キャラクター原案：ヤスダスズヒト</t>
  </si>
  <si>
    <t>(C)Fujino Omori/SB Creative Corp.
Original Character Designs:(C)nilitsu/SB Creative Corp.
Original Character Designs:(C)Suzuhito Yasuda/SB Creative Corp.
(C)Hinase Momoyama/SQUARE ENIX</t>
  </si>
  <si>
    <t>b97</t>
  </si>
  <si>
    <t>退廃キサナドゥ</t>
  </si>
  <si>
    <t>牧山博隆</t>
  </si>
  <si>
    <t>(C)Hirotaka Makiyama/SQUARE ENIX</t>
  </si>
  <si>
    <t>(C)HM/SQEX</t>
  </si>
  <si>
    <t>c13</t>
  </si>
  <si>
    <t>ダンジョンに出会いを求めるのは間違っているだろうか　～メモリア・フレーゼ～　聖夜の夢想歌</t>
  </si>
  <si>
    <t>原作：大森藤ノ
漫画：汐村 友
協力：ダンまち～メモリア・フレーゼ～</t>
  </si>
  <si>
    <t>(C)Fujino Omori/SB Creative Corp.
「ダンジョンに出会いを求めるのは間違っているだろうか　～メモリア・フレーゼ～」
(C)Fujino Omori-SB Creative Corp./Danmachi4 Project
(C)WFS
(C)Yu Shiomura/SQUARE ENIX</t>
  </si>
  <si>
    <t>(C)FO/SBCr
(C)FO-SBCr/D4
(C)WFS
(C)YS/SQEX</t>
  </si>
  <si>
    <t>c37</t>
  </si>
  <si>
    <t>亜人さん、今日はどうされましたか？</t>
  </si>
  <si>
    <t>原作：藤山素心
漫画：YUTTOU
キャラクター原案：アジシオ</t>
  </si>
  <si>
    <t>(C)Motomi Fujiyama
(C)YUTTOU/SQUARE ENIX</t>
  </si>
  <si>
    <t>(C)Motomi Fujiyama
(C)YUTTOU/SQEX</t>
  </si>
  <si>
    <t>c59</t>
  </si>
  <si>
    <t>やたらと察しのいい俺は、毒舌クーデレ美少女の小さなデレも見逃さずにぐいぐいいく</t>
  </si>
  <si>
    <t>原作：ふか田さめたろう
漫画：松元こみかん
キャラクター原案：ふーみ</t>
  </si>
  <si>
    <t>(C)Sametaro Fukada/SB Creative Corp.
Original Character Designs:(C)Fumi/SB Creative Corp.
(C)Komikan Matsumoto/SQUARE ENIX</t>
  </si>
  <si>
    <t>(C)SF,F/SBCr
(C)KM/SQEX</t>
  </si>
  <si>
    <t>d28</t>
  </si>
  <si>
    <t>転生したら最強種たちが住まう島でした。この島でスローライフを楽しみます</t>
  </si>
  <si>
    <t>平成オワリ
イラスト：Noy</t>
  </si>
  <si>
    <t>(C)Heiseiowari/SQUARE ENIX
(C)Noy/SQUARE ENIX</t>
  </si>
  <si>
    <t>(C)Heiseiowari/SQEX
(C)Noy/SQEX</t>
  </si>
  <si>
    <t>c03</t>
  </si>
  <si>
    <t>「もう‥‥働きたくないんです」冒険者なんか辞めてやる。今更、待遇を変えるからとお願いされてもお断りです。僕はぜーったい働きません。</t>
  </si>
  <si>
    <t>原作：縛炎(ツギクルブックス刊)
漫画：村上メイシ</t>
  </si>
  <si>
    <t>(C)Bakuen/Tugikuru Corp.
(C)Meishi Murakami/SQUARE ENIX</t>
  </si>
  <si>
    <t>(C)Bakuen/Tugikuru Corp.
(C)MM/SQEX</t>
  </si>
  <si>
    <t>c32</t>
  </si>
  <si>
    <t>破談から宜しくお願い致します</t>
  </si>
  <si>
    <t>水島ライカ</t>
  </si>
  <si>
    <t>(C)Raika Mizushima/SQUARE ENIX</t>
  </si>
  <si>
    <t>c42</t>
  </si>
  <si>
    <t>春綴る、桜咲くこの部屋で</t>
  </si>
  <si>
    <t>トクヲツム</t>
  </si>
  <si>
    <t>(C)Tokuwotsumu/SQUARE ENIX</t>
  </si>
  <si>
    <t>(C)Tokuwotsumu/SQEX</t>
  </si>
  <si>
    <t>c62</t>
  </si>
  <si>
    <t>人類滅亡直前なのにニート勇者が働かない</t>
  </si>
  <si>
    <t>原作：槻影
作画：カネツキマサト</t>
  </si>
  <si>
    <t>(C)Tsukikage/SQUARE ENIX
(C)Masato Kanetsuki/SQUARE ENIX</t>
  </si>
  <si>
    <t>(C)Tsukikage/SQEX
(C)MK/SQEX</t>
  </si>
  <si>
    <t>c96</t>
  </si>
  <si>
    <t>VRMMOはウサギマフラーとともに。</t>
  </si>
  <si>
    <t>原作：冬原パトラ（ホビージャパン／HJノベルス刊）
漫画：はましん</t>
  </si>
  <si>
    <t>(C)Patora Fuyuhara (ホビージャパン／HJノベルス刊)
(C)Hamasin/SQUARE ENIX</t>
  </si>
  <si>
    <t>(C)Patora Fuyuhara (ホビージャパン／HJノベルス刊)
(C)Hamasin/SQEX</t>
  </si>
  <si>
    <t>c99</t>
  </si>
  <si>
    <t>異世界先生～凡人教師は天才生徒達と異世界で青春する～</t>
  </si>
  <si>
    <t>川﨑 宙</t>
  </si>
  <si>
    <t>(C)Chu Kawasaki/SQUARE ENIX</t>
  </si>
  <si>
    <t>c39</t>
  </si>
  <si>
    <t>百姫夜会 -傷痕契ル乙女達-</t>
  </si>
  <si>
    <t>原作：都月景
作画：いふじシンセン</t>
  </si>
  <si>
    <t>(C)Kei Miyakozuki/SQUARE ENIX
(C)Shinsen Ifuji/SQUARE ENIX</t>
  </si>
  <si>
    <t>(C)KM/SQEX
(C)SI/SQEX</t>
  </si>
  <si>
    <t>c56</t>
  </si>
  <si>
    <t>推しが兄になりました</t>
  </si>
  <si>
    <t>c34</t>
  </si>
  <si>
    <t>眼鏡公爵の初恋と地味令嬢の腐れ観察日記</t>
  </si>
  <si>
    <t>原作：長月おと
作画：胡瓜ナツカ</t>
  </si>
  <si>
    <t>(C)Oto Nagatsuki
(C)Natsuka Kouri/SQUARE ENIX</t>
  </si>
  <si>
    <t>(C)Oto Nagatsuki
(C)NK/SQEX</t>
  </si>
  <si>
    <t>c47</t>
  </si>
  <si>
    <t>捨て悪役令嬢は怪物にお伽噺を語る</t>
  </si>
  <si>
    <t>原作：秋澤えで
作画：桐野壱</t>
  </si>
  <si>
    <t>(C)Ede Akizawa
(C)Hajime Kirino/SQUARE ENIX</t>
  </si>
  <si>
    <t>(C)Ede Akizawa
(C)HK/SQEX</t>
  </si>
  <si>
    <t>c58</t>
  </si>
  <si>
    <t>魔剣の弟子は無能で最強！～英雄流の修行で万能になれたので、最強を目指します～（コミック）</t>
  </si>
  <si>
    <t>原作：ふか田さめたろう
原作：植田亮
漫画：ニシカワ醇</t>
  </si>
  <si>
    <t>(C)Sametaro Fukada/SQUARE ENIX
(C)Ryo Ueda/SQUARE ENIX
(C)Jun Nishikawa/SQUARE ENIX</t>
  </si>
  <si>
    <t>(C)SF/SQEX
(C)RU/SQEX
(C)JN/SQEX</t>
  </si>
  <si>
    <t>カバー・奥付・サイトの著者名は「原作：ふか田さめたろう・植田亮」</t>
  </si>
  <si>
    <t>c85</t>
  </si>
  <si>
    <t>勇者パーティーを追放された俺だが、俺から巣立ってくれたようで嬉しい。……なので大聖女、お前に追って来られては困るのだが?（コミック）</t>
  </si>
  <si>
    <t>原作：初枝れんげ
原作：柴乃櫂人
漫画：くりもとぴんこ</t>
  </si>
  <si>
    <t>(C)Renge Hatsueda/SQUARE ENIX
(C)Kaito Shibano/SQUARE ENIX
(C)Pinko Kurimoto/SQUARE ENIX</t>
  </si>
  <si>
    <t>(C)RH/SQEX
(C)KS/SQEX
(C)PK/SQEX</t>
  </si>
  <si>
    <t>カバー・奥付・サイトの著者名は「原作：初枝れんげ・柴乃櫂人」</t>
  </si>
  <si>
    <t>c86</t>
  </si>
  <si>
    <t>ゲーム初心者の真里姉が行くVRMMOのんびり？体験記～Mebius World Online～</t>
  </si>
  <si>
    <t>原作：風雲 空
漫画：綾瀬
キャラクター原案：藻</t>
  </si>
  <si>
    <t>(C)Sora Kazakumo
(C)Ayase/SQUARE ENIX</t>
  </si>
  <si>
    <t>(C)Sora Kazakumo
(C)Ayase/SQEX</t>
  </si>
  <si>
    <t>d09</t>
  </si>
  <si>
    <t>錆喰いビスコ２</t>
  </si>
  <si>
    <t>原作：瘤久保慎司（株式会社KADOKAWA/電撃文庫刊）
漫画：夏星創
構成：萩織章仁
キャラクターデザイン：赤岸K
世界観デザイン：mocha</t>
  </si>
  <si>
    <t>(C)Shinji Cobkubo 20XX Licensed by KADOKAWA CORPORATION
(C)Sou Natsuki/SQUARE ENIX
(C)Akihito Hagiori/SQUARE ENIX</t>
  </si>
  <si>
    <t>(C)Shinji Cobkubo 20XX Licensed by KADOKAWA CORPORATION
(C)SN/SQEX
(C)AH/SQEX</t>
  </si>
  <si>
    <t>d14</t>
  </si>
  <si>
    <t>異世界でペンション始めました。 世界で唯一の黒魔女ですが、この力はお客様のために使います。</t>
  </si>
  <si>
    <t>原作：夏みのる
漫画：野宮けい</t>
  </si>
  <si>
    <t>(C)MINORU NATSU/SQUARE ENIX
(C)KEI NOMIYA/SQUARE ENIX</t>
  </si>
  <si>
    <t>(C)MN/SQEX
(C)KN/SQEX</t>
  </si>
  <si>
    <t>d40</t>
  </si>
  <si>
    <t>美人の姉が嫌がったので、どう見ても姿絵が白豚の次期伯爵に嫁ぎましたところ</t>
  </si>
  <si>
    <t>真波潜
イラスト：結川カズノ</t>
  </si>
  <si>
    <t>(C)Mogura Manami/SQUARE ENIX
(C)Kazuno Yuikawa/SQUARE ENIX</t>
  </si>
  <si>
    <t>(C)MM/SQEX
(C)KY/SQEX</t>
  </si>
  <si>
    <t>d41</t>
  </si>
  <si>
    <t>魔術師団長の契約結婚</t>
  </si>
  <si>
    <t>Hk
イラスト：八美☆わん</t>
  </si>
  <si>
    <t>(C)Hk/SQUARE ENIX
(C)Hachipisuwan/SQUARE ENIX</t>
  </si>
  <si>
    <t>(C)Hk/SQEX
(C)Hachipisuwan/SQEX</t>
  </si>
  <si>
    <t>a57</t>
  </si>
  <si>
    <t>魔力チートな魔女になりました～創造魔法で気ままな異世界生活～</t>
  </si>
  <si>
    <t>原作：アロハ座長(GC NOVELS／マイクロマガジン社刊)
漫画：春原シン
キャラクター原案：てつぶた</t>
  </si>
  <si>
    <t>(C)アロハ座長
(C)てつぶた
(C)マイクロマガジン社
(C)Shin Haruhara/SQUARE ENIX</t>
  </si>
  <si>
    <t>(C)アロハ座長
(C)てつぶた
(C)マイクロマガジン社
(C)SH/SQEX</t>
  </si>
  <si>
    <t>c38</t>
  </si>
  <si>
    <t>オウルナイト</t>
  </si>
  <si>
    <t>c92</t>
  </si>
  <si>
    <t>僕の呪いの吸血姫</t>
  </si>
  <si>
    <t>c70</t>
  </si>
  <si>
    <t>PANDORA SEVEN -パンドラセブン-</t>
  </si>
  <si>
    <t>萱島雄太</t>
  </si>
  <si>
    <t>(C)Yuta Kayashima/SQUARE ENIX</t>
  </si>
  <si>
    <t>c64</t>
  </si>
  <si>
    <t>竜の花嫁お断り</t>
  </si>
  <si>
    <t>c55</t>
  </si>
  <si>
    <t>千駄木ねこ茶房の文豪ごはん</t>
  </si>
  <si>
    <t>原作：山本風碧
漫画：七野なずな
キャラクター原案：花邑まい</t>
  </si>
  <si>
    <t>(C)Fumi Yamamoto, Mai Hanamura/KADOKAWA
(C)Nazuna Nanano/SQUARE ENIX</t>
  </si>
  <si>
    <t>(C)Fumi Yamamoto, Mai Hanamura/KADOKAWA
(C)NN/SQEX</t>
  </si>
  <si>
    <t>c69</t>
  </si>
  <si>
    <t>泥酔彼女</t>
  </si>
  <si>
    <t>原作：串木野たんぼ（GA文庫／ＳＢクリエイティブ刊）
漫画：ぽんこつわーくす
キャラクター原案：加川壱互</t>
  </si>
  <si>
    <t>(C)TAMBO KUSHIKINO/SB Creative Corp.
Original Character Designs:(C)Ichigo Kagawa/SB Creative Corp.
(C)Ponkotsu Works/SQUARE ENIX</t>
  </si>
  <si>
    <t>(C)TK,IK/SBCr
(C)PW/SQEX</t>
  </si>
  <si>
    <t>c73</t>
  </si>
  <si>
    <t>栽培チートで最強菜園～え、ただの家庭菜園ですけど？～</t>
  </si>
  <si>
    <t>原作：九頭七尾（GA文庫／ＳＢクリエイティブ刊）
漫画：涼
キャラクター原案：ごれ</t>
  </si>
  <si>
    <t>(C)Shichio Kuzu/SB Creative Corp.
Original Character Designs:(C)Gore/SB Creative Corp.
(C)Suzumi/SQUARE ENIX</t>
  </si>
  <si>
    <t>(C)SK,G/SBCr
(C)S/SQEX</t>
  </si>
  <si>
    <t>d13</t>
  </si>
  <si>
    <t>家で無能と言われ続けた俺ですが、世界的には超有能だったようです</t>
  </si>
  <si>
    <t>原作：kimimaro（GA文庫／ＳＢクリエイティブ刊）
漫画：鈴木匡
キャラクター原案：もきゅ</t>
  </si>
  <si>
    <t>(C)kimimaro/SB Creative Corp.
Original Character Designs:(C)Mokyu/SB Creative Corp.
(C)Masashi Suzuki/SQUARE ENIX</t>
  </si>
  <si>
    <t>(C)k,M/SBCr
(C)MS/SQEX</t>
  </si>
  <si>
    <t>d21</t>
  </si>
  <si>
    <t>変な竜と元勇者パーティー雑用係、新大陸でのんびりスローライフ</t>
  </si>
  <si>
    <t>原作：えぞぎんぎつね（ＧＡノベル／ＳＢクリエイティブ刊）
作画：ナニン（FANFAN COMIC）
構成：瀬戸一里
キャラクター原案：三登いつき</t>
  </si>
  <si>
    <t>(C)Ezogingitune/SB Creative Corp.
Original Character Designs:(C)Itsuki Mito/SB Creative Corp.
(C)Nanin（FANFAN COMIC）/SQUARE ENIX
(C)Ichiri Seto/SQUARE ENIX</t>
  </si>
  <si>
    <t>(C)E,IM/SBCr
(C)N/SQEX
(C)IS/SQEX</t>
  </si>
  <si>
    <t>d51</t>
  </si>
  <si>
    <t>こだぬきと領主さまの物語　～女神さまの御座す国～</t>
  </si>
  <si>
    <t>雨宮とうり
イラスト：玖珂つかさ</t>
  </si>
  <si>
    <t>(C)Touri Amamiya/SQUARE ENIX
(C)Tsukasa Kuga/SQUARE ENIX</t>
  </si>
  <si>
    <t>(C)TA/SQEX
(C)TK/SQEX</t>
  </si>
  <si>
    <t>d52</t>
  </si>
  <si>
    <t>ダンジョン・ファーム　～家を追い出されたので、ダンジョンに農場をつくって暮らそうと思います～</t>
  </si>
  <si>
    <t>鈴木竜一
イラスト：シソ</t>
  </si>
  <si>
    <t>(C)Ryuichi Suzuki/SQUARE ENIX
(C)Siso/SQUARE ENIX</t>
  </si>
  <si>
    <t>(C)RS/SQEX
(C)Siso/SQEX</t>
  </si>
  <si>
    <t>c21</t>
  </si>
  <si>
    <t>転生しても猫は猫</t>
  </si>
  <si>
    <t>c93</t>
  </si>
  <si>
    <t>同居人の佐野くんはただの有能な担当編集です</t>
  </si>
  <si>
    <t>d08</t>
  </si>
  <si>
    <t>傭兵と小説家</t>
  </si>
  <si>
    <t>原作：南海 遊（星海社FICTIONS刊）
作画：村山なちよ
キャラクター原案：TAKOLEGS</t>
  </si>
  <si>
    <t>(C)南海 遊／星海社
(C)Nachiyo Murayama/SQUARE ENIX</t>
  </si>
  <si>
    <t>(C)南海 遊／星海社
(C)NM/SQEX</t>
  </si>
  <si>
    <t>d10</t>
  </si>
  <si>
    <t>いろどり高校合唱部より</t>
  </si>
  <si>
    <t>c87</t>
  </si>
  <si>
    <t>先生のこと、くすぐってあげる</t>
  </si>
  <si>
    <t>星河だんぱ</t>
  </si>
  <si>
    <t>(C)Danpa Hoshikawa/SQUARE ENIX</t>
  </si>
  <si>
    <t>(C)DH/SQEX</t>
  </si>
  <si>
    <t>d01</t>
  </si>
  <si>
    <t>〆切前には百合が捗る</t>
  </si>
  <si>
    <t>原作：平坂読（GA文庫／ＳＢクリエイティブ刊）
作画：さきだ咲紀
構成：鈴木マナツ
キャラクター原案：U35</t>
  </si>
  <si>
    <t>(C)Yomi Hirasaka/SB Creative Corp.
Original Character Designs:(C)U35/SB Creative Corp.
(C)Saki Sakida/SQUARE ENIX
(C)Manatsu Suzuki/SQUARE ENIX</t>
  </si>
  <si>
    <t>(C)YH,U35/SBCr
(C)SS/SQEX
(C)MS/SQEX</t>
  </si>
  <si>
    <t>d03</t>
  </si>
  <si>
    <t>目的地に到着しました。</t>
  </si>
  <si>
    <t>鮭no.マリネ</t>
  </si>
  <si>
    <t>(C)salmon no. marine/SQUARE ENIX</t>
  </si>
  <si>
    <t>(C)sn.m/SQEX</t>
  </si>
  <si>
    <t>c82</t>
  </si>
  <si>
    <t>被追放者たちの天下無双</t>
  </si>
  <si>
    <t>原作：アニッキーブラッザー（ツギクル）
作画：ギャルビ
構成：佐倉りょう
キャラクター原案：市丸きすけ</t>
  </si>
  <si>
    <t>(C)Anikkii burazza/Tugikuru Corp.
(C)Galbi/SQUARE ENIX
(C)Ryo Sakura/SQUARE ENIX</t>
  </si>
  <si>
    <t>(C)Anikkii burazza/Tugikuru Corp.
(C)Galbi/SQEX
(C)RS/SQEX</t>
  </si>
  <si>
    <t>d00</t>
  </si>
  <si>
    <t>魔王と聖女が導く冒険者ライフ -魔法適性0だけど極大魔力に覚醒しました-</t>
  </si>
  <si>
    <t>原作：有澤　有(GA文庫/SBクリエイティブ刊)
漫画：尾玉了一
キャラクター原案：こうましろ</t>
  </si>
  <si>
    <t>(C)Yu Arisawa/SB Creative Corp.
Original Character Designs:(C)Koumashiro/SB Creative Corp.
(C)Ryoichi Otama/SQUARE ENIX</t>
  </si>
  <si>
    <t>(C)YA,K/SBCr
(C)RO/SQEX</t>
  </si>
  <si>
    <t>d15</t>
  </si>
  <si>
    <t>魔王令嬢から始める三国志～董白伝～</t>
  </si>
  <si>
    <t>原作：伊崎喬助「董白伝～魔王令嬢から始める三国志～」（小学館「ガガガ文庫」刊）
漫画：無望菜志
キャラクター原案：カンザリン</t>
  </si>
  <si>
    <t>(C)伊崎喬助／小学館
(C)Namonashi/SQUARE ENIX</t>
  </si>
  <si>
    <t>(C)伊崎喬助／小学館
(C)Namonashi/SQEX</t>
  </si>
  <si>
    <t>d53</t>
  </si>
  <si>
    <t>婚約破棄されたのに元婚約者の結婚式に招待されました。断れないので兄の友人に同行してもらいます。</t>
  </si>
  <si>
    <t>藍野ナナカ
イラスト：先崎真琴</t>
  </si>
  <si>
    <t>(C)Nanaka Aino/SQUARE ENIX
(C)Makoto Senzaki/SQUARE ENIX</t>
  </si>
  <si>
    <t>(C)NA/SQEX
(C)MS/SQEX</t>
  </si>
  <si>
    <t>d61</t>
  </si>
  <si>
    <t>あなたのお城の小人さん　～御飯下さい、働きますっ～</t>
  </si>
  <si>
    <t>美袋和仁
イラスト：п猫Ｒ</t>
  </si>
  <si>
    <t xml:space="preserve">(C)Kazuhito Minagi/SQUARE ENIX
(C)PenekoR/SQUARE ENIX
(C)Kazumi Kurihara/SQUARE ENIX </t>
  </si>
  <si>
    <t>(C)KM/SQEX
(C)PenekoR/SQEX</t>
  </si>
  <si>
    <t>c68</t>
  </si>
  <si>
    <t>【さびついた剣】を試しに強化してみたら、とんでもない魔剣に化けました</t>
  </si>
  <si>
    <t>原作：万野みずき(KADOKAWA/カドカワBOOKS)
作画：野営地
構成：長谷川絢也
キャラクター原案：赤井てら</t>
  </si>
  <si>
    <t>(C)Mizuki Manno, Tera Akai 20XX
(C)Yaeichi,Shunya Hasegawa/SQUARE ENIX</t>
  </si>
  <si>
    <t>(C)Mizuki Manno, Tera Akai 20XX
(C)Y,SH/SQEX</t>
  </si>
  <si>
    <t>d11</t>
  </si>
  <si>
    <t>Magica Technica～現代最強剣士が征くVRMMO戦刀録～</t>
  </si>
  <si>
    <t>原作：Allen
漫画：梶軒タガネ
キャラクター原案：ひたきゆう</t>
  </si>
  <si>
    <t>(C)Allen
(C)Tagane Kajinoki/SQUARE ENIX</t>
  </si>
  <si>
    <t>(C)Allen
(C)TK/SQEX</t>
  </si>
  <si>
    <t>c40</t>
  </si>
  <si>
    <t>ポラリスは消えない</t>
  </si>
  <si>
    <t>嶋水えけ</t>
  </si>
  <si>
    <t>(C)Eke Shimamizu/SQUAER ENIX</t>
  </si>
  <si>
    <t>c91</t>
  </si>
  <si>
    <t>恐竜ちゃんと化石くん</t>
  </si>
  <si>
    <t>六本 順</t>
  </si>
  <si>
    <t>(C)Jun Rokumoto/SQUAER ENIX</t>
  </si>
  <si>
    <t>(C)JR/SQEX</t>
  </si>
  <si>
    <t>c95</t>
  </si>
  <si>
    <t>月ヶ瀬八千詠名言集</t>
  </si>
  <si>
    <t>原作：まつたけうめ
漫画：栖上ヤタ</t>
  </si>
  <si>
    <t>(C)Matsutakeume/SQUAER ENIX
(C)Yata Sugami/SQUAER ENIX</t>
  </si>
  <si>
    <t>(C)Matsutakeume/SQEX
(C)YS/SQEX</t>
  </si>
  <si>
    <t>d12</t>
  </si>
  <si>
    <t>わたしの契約結婚にはウソがある。</t>
  </si>
  <si>
    <t>原作：タナカトモ
作画：諸星サロ</t>
  </si>
  <si>
    <t>(C)Tomo Tanaka/SQUARE ENIX
(C)Saro Moroboshi/SQUARE ENIX</t>
  </si>
  <si>
    <t>(C)TT/SQEX
(C)SM/SQEX</t>
  </si>
  <si>
    <t>c60</t>
  </si>
  <si>
    <t>椎奈さんの推し事情</t>
  </si>
  <si>
    <t>碧くるみ</t>
  </si>
  <si>
    <t>(C)Kurumi Aoi/SQUAER ENIX</t>
  </si>
  <si>
    <t>c71</t>
  </si>
  <si>
    <t>忘れえぬ魔女の物語</t>
  </si>
  <si>
    <t>原作：宇佐楢春（GA文庫／ＳＢクリエイティブ刊）
漫画：やまだしゅら
キャラクター原案：かも仮面</t>
  </si>
  <si>
    <t>(C)Naraharu Usa/SB Creative Corp. 
Original Character Designs:(C)Kamokamen/SB Creative Corp.
(C)Shura Yamada/SQUARE ENIX</t>
  </si>
  <si>
    <t>(C)NU,K/SBCr
(C)SY/SQEX</t>
  </si>
  <si>
    <t>d18</t>
  </si>
  <si>
    <t>皇帝陛下のお世話係〜女官暮らしが幸せすぎて後宮から出られません〜（コミック）</t>
  </si>
  <si>
    <t>原作：柊一葉
原作：硝音あや
漫画：吉村悠希</t>
  </si>
  <si>
    <t>(C)Ichiha Hiiragi/SQUARE ENIX
(C)Aya Shouoto/SQUARE ENIX
(C)Haruki Yoshimura/SQUARE ENIX</t>
  </si>
  <si>
    <t>(C)IH/SQEX
(C)AS/SQEX
(C)HY/SQEX</t>
  </si>
  <si>
    <t>カバー・奥付・サイトの著者名は「原作：柊一葉・硝音あや」</t>
  </si>
  <si>
    <t>d35</t>
  </si>
  <si>
    <t>神殺しの魔王、最弱種族に転生し史上最強になる</t>
  </si>
  <si>
    <t>原作：えぞぎんぎつね（ＧＡ文庫／ＳＢクリエイティブ刊）
漫画：PIG3rd
キャラクター原案：TEDDY</t>
  </si>
  <si>
    <t>(C)Ezogingitune/SB Creative Corp.
Original Character Designs:(C)TEDDY/SB Creative Corp.
(C)PIG3rd/SQUARE ENIX</t>
  </si>
  <si>
    <t>(C)E,T/SBCr
(C)PIG3rd/SQEX</t>
  </si>
  <si>
    <t>c97</t>
  </si>
  <si>
    <t>俺だけレベルが上がる世界で悪徳領主になっていた</t>
  </si>
  <si>
    <t>原作：わるいおとこ（ファミ通文庫/KADOKAWA刊）
漫画：えすお
キャラクター原案：raken</t>
  </si>
  <si>
    <t>(C)Waruiotoko Licensed by KADOKAWA CORPORATION
(C)Esuo/SQUARE ENIX</t>
  </si>
  <si>
    <t>(C)Waruiotoko Licensed by KADOKAWA CORPORATION
(C)Esuo/SQEX</t>
  </si>
  <si>
    <t>d34</t>
  </si>
  <si>
    <t>ロクレイ -天成市りんね区役所第六感部助霊課活動記-</t>
  </si>
  <si>
    <t>地主</t>
  </si>
  <si>
    <t>(C)Jinushi/SQUARE ENIX</t>
  </si>
  <si>
    <t>(C)Jinushi/SQEX</t>
  </si>
  <si>
    <t>c28</t>
  </si>
  <si>
    <t>ログインサバイバル</t>
  </si>
  <si>
    <t>原作：高光晶
作画：竹鶏三歩</t>
  </si>
  <si>
    <t>(C)Akira Takamitsu/SQUARE ENIX
(C)Sanpo Takei/SQUARE ENIX</t>
  </si>
  <si>
    <t>(C)AT/SQEX
(C)ST/SQEX</t>
  </si>
  <si>
    <t>d20</t>
  </si>
  <si>
    <t>家から逃げ出したい私が、うっかり憧れの大魔法使い様を買ってしまったら（コミック）</t>
  </si>
  <si>
    <t>原作：琴子
原作：TCB
漫画：鷹来タラ</t>
  </si>
  <si>
    <t>(C)Kotoko/SQUARE ENIX
(C)TCB/SQUARE ENIX
(C)Tara Takagi/SQUARE ENIX</t>
  </si>
  <si>
    <t>(C)Kotoko/SQEX
(C)TCB/SQEX
(C)TT/SQEX</t>
  </si>
  <si>
    <t>カバー・奥付・サイトの著者名は「原作：琴子・TCB」</t>
  </si>
  <si>
    <t>d22</t>
  </si>
  <si>
    <t>ロマンシング サガ リ・ユニバース</t>
  </si>
  <si>
    <t>漫画：雨後一陽
原作：とちぼり木
世界観監修：河津秋敏</t>
  </si>
  <si>
    <t>(C) SQUARE ENIX, Powered by Akatsuki Inc.
(C)UshiroIchiyo/SQUARE ENIX</t>
  </si>
  <si>
    <t>(C) SQEX, Powered by Akatsuki Inc.
(C)UI/SQEX</t>
  </si>
  <si>
    <t>d47</t>
  </si>
  <si>
    <t>俺の股間は美少女だったのか</t>
  </si>
  <si>
    <t>うにちり</t>
  </si>
  <si>
    <t>(C)Unichiri/SQUARE ENIX</t>
  </si>
  <si>
    <t>(C)Unichiri/SQEX</t>
  </si>
  <si>
    <t>d78</t>
  </si>
  <si>
    <t>後宮灼姫伝　～妹の身代わりをしていたら、いつの間にか皇帝や将軍に寵愛されています～</t>
  </si>
  <si>
    <t>榛名丼
イラスト：春野薫久</t>
  </si>
  <si>
    <t>(C)Harunadon/SQUARE ENIX
(C)haruno taku/SQUARE ENIX</t>
  </si>
  <si>
    <t>(C)Harunadon/SQEX
(C)ht/SQEX</t>
  </si>
  <si>
    <t>b35</t>
  </si>
  <si>
    <t>私のお母様は追放された元悪役令嬢でした　平民ブスメガネの下剋上</t>
  </si>
  <si>
    <t>原作：ベキオ
漫画：ていか小鳩
キャラクター原案：紫藤むらさき</t>
  </si>
  <si>
    <t>(C)ベキオ/オーバーラップ
(C)Kobato Teika/SQUARE ENIX</t>
  </si>
  <si>
    <t>(C)ベキオ/オーバーラップ
(C)KT/SQEX</t>
  </si>
  <si>
    <t>c83</t>
  </si>
  <si>
    <t>ひぐらしのなく頃に令　鬼熾し編</t>
  </si>
  <si>
    <t>原作：竜騎士07
漫画：夏海ケイ</t>
  </si>
  <si>
    <t>c84</t>
  </si>
  <si>
    <t>ひぐらしのなく頃に令　星渡し編</t>
  </si>
  <si>
    <t>原作：竜騎士07
漫画：刻夜セイゴ</t>
  </si>
  <si>
    <t>(C)竜騎士07/07th Expansion
(C)Seigo Tokiya/SQUARE ENIX</t>
  </si>
  <si>
    <t>(C)竜騎士07/07th Expansion
(C)ST/SQEX</t>
  </si>
  <si>
    <t>c98</t>
  </si>
  <si>
    <t>宮廷のまじない師</t>
  </si>
  <si>
    <t>原作：顎木あくみ(『宮廷のまじない師』ポプラ文庫ピュアフル刊)
構成：みまわがお
作画：髙田タカミ</t>
  </si>
  <si>
    <t>(C)Akumi Agitogi/POPLAR
(C)Gao Mimawa/SQUARE ENIX
(C)Takami Takada/SQUARE ENIX</t>
  </si>
  <si>
    <t>(C)Akumi Agitogi/POPLAR
(C)GM/SQEX
(C)TT/SQEX</t>
  </si>
  <si>
    <t>d37</t>
  </si>
  <si>
    <t>黄泉のツガイ</t>
  </si>
  <si>
    <t>d42</t>
  </si>
  <si>
    <t>この勇者、元魔王につき</t>
  </si>
  <si>
    <t>原作：天那光汰
作画：雨本明之
構成：沢田ふろぺ</t>
  </si>
  <si>
    <t>(C)Kouta Amana/SQUARE ENIX
(C)Akiyuki Amemoto/SQUARE ENIX
(C)Furope Sawada/SQUARE ENIX</t>
  </si>
  <si>
    <t>(C)KA/SQEX
(C)AA/SQEX
(C)FS/SQEX</t>
  </si>
  <si>
    <t>d44</t>
  </si>
  <si>
    <t>内緒のシンデレラ</t>
  </si>
  <si>
    <t>加藤衣緒</t>
  </si>
  <si>
    <t>(C)Io Kato/SQUARE ENIX</t>
  </si>
  <si>
    <t>d31</t>
  </si>
  <si>
    <t>恋愛自壊人形 恋するサーティン</t>
  </si>
  <si>
    <t>d07</t>
  </si>
  <si>
    <t>ひきこまり吸血姫の悶々</t>
  </si>
  <si>
    <t>原作：小林湖底（GA文庫／ＳＢクリエイティブ刊）
キャラクター原案・漫画：りいちゅ</t>
  </si>
  <si>
    <t>(C)Kotei Kobayashi /SB Creative Corp. 
Original Character Designs:(C)Riichu/SB Creative Corp.
(C)Riichu/SQUARE ENIX</t>
  </si>
  <si>
    <t>(C)KK,R/SBCr
(C)R/SQEX</t>
  </si>
  <si>
    <t>Kobayashiの後に半角アキ（他のSBCr作品では半角アキなし）</t>
  </si>
  <si>
    <t>d23</t>
  </si>
  <si>
    <t>剣仙鏢局 ケンセンヒョウキョク</t>
  </si>
  <si>
    <t>原作：深見 真
作画：真じろう</t>
  </si>
  <si>
    <t>(C)Makoto Fukami/SQUARE ENIX
(C)Shinjiro/SQUARE ENIX</t>
  </si>
  <si>
    <t>(C)MF/SQEX
(C)Shinjiro/SQEX</t>
  </si>
  <si>
    <t>d30</t>
  </si>
  <si>
    <t>推しは推せるときに推せ!</t>
  </si>
  <si>
    <t>d29</t>
  </si>
  <si>
    <t>雅血の陰陽師</t>
  </si>
  <si>
    <t>藤本桜</t>
  </si>
  <si>
    <t>(C)Sakura Fujimoto/SQUARE ENIX</t>
  </si>
  <si>
    <t>b67</t>
  </si>
  <si>
    <t>お隣の天使様にいつの間にか駄目人間にされていた件</t>
  </si>
  <si>
    <t>原作：佐伯さん (GA文庫／SBクリエイティブ刊)
原作イラスト：はねこと
作画：芝田わん
構成：優木すず</t>
  </si>
  <si>
    <t>(C)Saekisan/SB Creative Corp.
Original Illustrations:(C)Hanekoto/SB Creative Corp.
(C)Wan Shibata/SQUARE ENIX
(C)Suzu Yuki/SQUARE ENIX</t>
  </si>
  <si>
    <t>(C)S,H/SBCr
(C)WS/SQEX
(C)SY/SQEX</t>
  </si>
  <si>
    <t>d25</t>
  </si>
  <si>
    <t>私、能力は平均値でって言ったよね！（コミック）</t>
  </si>
  <si>
    <t>原作：ＦＵＮＡ
原作：亜方 逸樹
作画：iimAn(Friendly Land）
ネーム構成：桜井竜矢</t>
  </si>
  <si>
    <t>(C)FUNA/SQUARE ENIX
(C)Itsuki Akata/SQUARE ENIX
(C)Friendly Land・Tatsuya Sakurai/SQUARE ENIX</t>
  </si>
  <si>
    <t>(C)FUNA/SQEX
(C)IA/SQEX
(C)FL・TS/SQEX</t>
  </si>
  <si>
    <t>カバー・奥付・サイトの著者名は「原作：ＦＵＮＡ・亜方 逸樹」</t>
  </si>
  <si>
    <t>d36</t>
  </si>
  <si>
    <t>後宮も二度目なら ～白豚妃再来伝～</t>
  </si>
  <si>
    <t>原作：中村颯希（富士見L文庫／KADOKAWA刊）
作画：DOJA
構成：壱星でしか
キャラクター原案：新井テル子</t>
  </si>
  <si>
    <t>(C)Satsuki Nakamura Licensed by KADOKAWA CORPORATION
(C)DOJA/SQUARE ENIX
(C)Deshica Ichise/SQUARE ENIX</t>
  </si>
  <si>
    <t>(C)Satsuki Nakamura Licensed by KADOKAWA CORPORATION
(C)DOJA/SQEX
(C)DI/SQEX</t>
  </si>
  <si>
    <t>d38</t>
  </si>
  <si>
    <t>パワー・アントワネット</t>
  </si>
  <si>
    <t>原作：西山暁之亮（GA文庫／ＳＢクリエイティブ刊）
漫画：縞
キャラクター原案：伊藤未生</t>
  </si>
  <si>
    <t>(C)Akinosuke Nishiyama/SB Creative Corp. 
Original Character Designs:(C)Misei Ito/SB Creative Corp.
(C)Shima/SQUARE ENIX</t>
  </si>
  <si>
    <t>(C)AN,MI/SBCr
(C)S/SQEX</t>
  </si>
  <si>
    <t>d64</t>
  </si>
  <si>
    <t>逃がした魚は大きかったが釣りあげた魚が大きすぎた件（コミック）</t>
  </si>
  <si>
    <t>原作：ももよ万葉
原作：三登いつき
漫画：ながと牡蠣</t>
  </si>
  <si>
    <t>(C)Mayo Momoyo/SQUARE ENIX
(C)Itsuki Mito/SQUARE ENIX
(C)Kaki Nagato/SQUARE ENIX</t>
  </si>
  <si>
    <t>(C)MM/SQEX
(C)IM/SQEX
(C)KN/SQEX</t>
  </si>
  <si>
    <t>カバー・奥付・サイトの著者名は「原作：ももよ万葉・三登いつき」</t>
  </si>
  <si>
    <t>d02</t>
  </si>
  <si>
    <t>活弁王子の花嫁さん</t>
  </si>
  <si>
    <t>d39</t>
  </si>
  <si>
    <t>ぼくの毒姫は今日もかわいい</t>
  </si>
  <si>
    <t>咲竹ちひろ</t>
  </si>
  <si>
    <t>(C)Chihiro Sakutake/SQUARE ENIX</t>
  </si>
  <si>
    <t>(C)CS/SQEX</t>
  </si>
  <si>
    <t>d19</t>
  </si>
  <si>
    <t>恋々忍びより</t>
  </si>
  <si>
    <t>いちるの望</t>
  </si>
  <si>
    <t>(C)Nozomi Ichiruno/SQUARE ENIX</t>
  </si>
  <si>
    <t>d43</t>
  </si>
  <si>
    <t>最高難度迷宮でパーティに置き去りにされたＳランク剣士、本当に迷いまくって誰も知らない最深部へ　～俺の勘だとたぶんこっちが出口だと思う～（コミック）</t>
  </si>
  <si>
    <t>原作：quiet
原作：toi8
漫画：ムロコウイチ</t>
  </si>
  <si>
    <t>(C)quiet/SQUARE ENIX
(C)toi8/SQUARE ENIX
(C)Murokouichi/SQUARE ENIX</t>
  </si>
  <si>
    <t>(C)quiet/SQEX
(C)toi8/SQEX
(C)Murokouichi/SQEX</t>
  </si>
  <si>
    <t>カバー・奥付・サイトの著者名は「原作：quiet・toi8」</t>
  </si>
  <si>
    <t>d60</t>
  </si>
  <si>
    <t>王国の最終兵器、劣等生として騎士学院へ（コミック）</t>
  </si>
  <si>
    <t>原作：猫子
原作：nauribon
漫画：TATE</t>
  </si>
  <si>
    <t>(C)Necoco/SQUARE ENIX
(C)nauribon/SQUARE ENIX
(C)TATE/SQUARE ENIX</t>
  </si>
  <si>
    <t>(C)Necoco/SQEX
(C)nauribon/SQEX
(C)TATE/SQEX</t>
  </si>
  <si>
    <t>カバー・奥付・サイトの著者名は「原作：猫子・nauribon」</t>
  </si>
  <si>
    <t>d55</t>
  </si>
  <si>
    <t>ごめんなさいお嬢様、俺はメイドが好きなんです</t>
  </si>
  <si>
    <t>原作：日之影ソラ
作画：明日かかん</t>
  </si>
  <si>
    <t>(C)Sora Hinokage/SQUARE ENIX
(C)Kakan Asu/SQUARE ENIX</t>
  </si>
  <si>
    <t>(C)SH/SQEX
(C)KA/SQEX</t>
  </si>
  <si>
    <t>d58</t>
  </si>
  <si>
    <t>生産魔法師のらくらく辺境開拓 ～最強の亜人たちとホワイト国家を築きます!～</t>
  </si>
  <si>
    <t>原作：苗原一
漫画：酢忍
キャラクター原案：らむ屋</t>
  </si>
  <si>
    <t>(C)Sunin/SQUARE ENIX
(C)Hajime Naehara Licensed by KADOKAWA CORPORATION</t>
  </si>
  <si>
    <t>(C)Sunin/SQEX
(C)Hajime Naehara Licensed by KADOKAWA CORPORATION</t>
  </si>
  <si>
    <t>d54</t>
  </si>
  <si>
    <t>サキュバスとはじめる真剣交際</t>
  </si>
  <si>
    <t>宍戸まめぞう</t>
  </si>
  <si>
    <t>(C)Mamezou Shishido/SQUARE ENIX</t>
  </si>
  <si>
    <t>d62</t>
  </si>
  <si>
    <t>高校生WEB作家のモテ生活「あんたが神作家なわけないでしょ」と僕を振った幼馴染が後悔してるけどもう遅い</t>
  </si>
  <si>
    <t>原作：茨木野（GA文庫／SBクリエイティブ刊）
漫画：さとうゆう
キャラクター原案：一乃ゆゆ</t>
  </si>
  <si>
    <t>(C)ibarakino/SB Creative Corp. 
Original Character Designs:(C)Yuyu Ichino/SB Creative Corp.
(C)Yu Sato/SQUARE ENIX</t>
  </si>
  <si>
    <t>(C)i,YI/SBCr
(C)YS/SQEX</t>
  </si>
  <si>
    <t>d98</t>
  </si>
  <si>
    <t>スーパーの裏でヤニ吸うふたり</t>
  </si>
  <si>
    <t>d33</t>
  </si>
  <si>
    <t>悪役令嬢は溺愛ルートに入りました！？（コミック）</t>
  </si>
  <si>
    <t>原作：十夜
原作：宵マチ
作画：さくまれん
構成：汐乃シオリ</t>
  </si>
  <si>
    <t>(C)Touya/SQUARE ENIX
(C)Yoimachi/SQUARE ENIX
(C)Ren Sakuma/SQUARE ENIX
(C)Shiori Shiono/SQUARE ENIX
※1巻イラスト使用時
(C)Touya/SQUARE ENIX
(C)Yoimachi/SQUARE ENIX
(C)Ren Sakuma/SQUARE ENIX
※2巻以降のイラスト使用時</t>
  </si>
  <si>
    <t>(C)Touya/SQEX
(C)Yoimachi/SQEX
(C)RS/SQEX
(C)SS/SQEX
※1巻イラスト使用時
(C)Touya/SQEX
(C)Yoimachi/SQEX
(C)RS/SQEX
※2巻以降のイラスト使用時</t>
  </si>
  <si>
    <t>カバー・奥付・サイトの著者名は「原作：十夜・宵マチ」</t>
  </si>
  <si>
    <t>d56</t>
  </si>
  <si>
    <t>おはよう少年</t>
  </si>
  <si>
    <t>礼島れいあ</t>
  </si>
  <si>
    <t>(C)Reia Reijima/SQUARE ENIX</t>
  </si>
  <si>
    <t>(C)RR/SQEX</t>
  </si>
  <si>
    <t>d63</t>
  </si>
  <si>
    <t>経験済みなキミと、経験ゼロなオレが、お付き合いする話。</t>
  </si>
  <si>
    <t>原作：長岡マキ子
漫画：カルパッチョ野山
キャラクター原案：magako</t>
  </si>
  <si>
    <t>(C)Makiko Nagaoka, magako 20XX Licensed by KADOKAWA CORPORATION
(C)Carpaccio Noyama/SQUARE ENIX</t>
  </si>
  <si>
    <t>(C)Makiko Nagaoka, magako 20XX Licensed by KADOKAWA CORPORATION
(C)CN/SQEX</t>
  </si>
  <si>
    <t>d45</t>
  </si>
  <si>
    <t>ローマふたり暮らし</t>
  </si>
  <si>
    <t>田澤裕
監修：友井太郎</t>
  </si>
  <si>
    <t>d04</t>
  </si>
  <si>
    <t>囿者は懼れず</t>
  </si>
  <si>
    <t>原作：松本トモキ
作画：LOSA</t>
  </si>
  <si>
    <t>(C)Tomoki Matsumoto/SQUARE ENIX
(C)LOSA/SQUARE ENIX</t>
  </si>
  <si>
    <t>(C)TM/SQEX
(C)LOSA/SQEX</t>
  </si>
  <si>
    <t>d59</t>
  </si>
  <si>
    <t>カノジョの妹とキスをした。</t>
  </si>
  <si>
    <t>原作：海空りく（GA文庫／SBクリエイティブ刊）
作画：加藤かきと
キャラクター原案：さばみぞれ
構成：敷誠一</t>
  </si>
  <si>
    <t>(C)Riku Misora/SB Creative Corp.
Original Character Designs:(C)Sabamizore/SB Creative Corp.
(C)Kakito Kato/SQUARE ENIX
(C)Seiichi Shiki/SQUARE ENIX</t>
  </si>
  <si>
    <t>(C)RM,S/SBCr
(C)KK/SQEX
(C)SS/SQEX</t>
  </si>
  <si>
    <t>d70</t>
  </si>
  <si>
    <t>極めた錬金術に、不可能はない。　～万能スキルで異世界無双～</t>
  </si>
  <si>
    <t>原作：進行諸島（GAノベル／ＳＢクリエイティブ刊）
作画：綾瀬れつ
キャラクター原案：fame</t>
  </si>
  <si>
    <t>(C)Shinkoshoto/SB Creative Corp.
Original Character Designs:(C)fame/SB Creative Corp.
(C)Retsu Ayase/SQUARE ENIX</t>
  </si>
  <si>
    <t>(C)S,f/SBCr
(C)RA/SQEX</t>
  </si>
  <si>
    <t>e17</t>
  </si>
  <si>
    <t>俺は影の英雄じゃありません！　世界屈指の魔術師？……なにそれ（棒）</t>
  </si>
  <si>
    <t>楓原こうた
イラスト：へいろー</t>
  </si>
  <si>
    <t>(C)Kota Kaedehara/SQUARE ENIX
(C)Heiro/SQUARE ENIX</t>
  </si>
  <si>
    <t>(C)KK/SQEX
(C)Heiro/SQEX</t>
  </si>
  <si>
    <t>d66</t>
  </si>
  <si>
    <t>君に二度目のさよならを。</t>
  </si>
  <si>
    <t>原作：タナカトモ
作画：蛸川蛸丸</t>
  </si>
  <si>
    <t>(C)Tomo Tanaka/SQUARE ENIX
(C)Takomaru Takogawa/SQUARE ENIX</t>
  </si>
  <si>
    <t>(C)TT/SQEX
(C)TT/SQEX</t>
  </si>
  <si>
    <t>e09</t>
  </si>
  <si>
    <t>メカニカル バディ ユニバース
メカニカル バディ ユニバース 1.0</t>
  </si>
  <si>
    <t>加藤拓弐</t>
  </si>
  <si>
    <t>(C)Takuji Kato/SQUARE ENIX</t>
  </si>
  <si>
    <t>作家様SNS掲載分→無印
YG連載分→1.0
単行本は「メカニカル バディ ユニバース」として同シリーズ扱い</t>
  </si>
  <si>
    <t>d32</t>
  </si>
  <si>
    <t>マイナススキル持ち四人が集まったら、なんかシナジー発揮して最強パーティーができた件（コミック）</t>
  </si>
  <si>
    <t>原作：小鈴危一
原作：しらび
漫画：太平洋海</t>
  </si>
  <si>
    <t>(C)Kiichi Kosuzu/SQUARE ENIX
(C)Shirabii/SQUARE ENIX
(C)Taihei Hiromi/SQUARE ENIX</t>
  </si>
  <si>
    <t>(C)KK/SQEX
(C)Shirabii/SQEX
(C)TH/SQEX</t>
  </si>
  <si>
    <t>カバー・奥付・サイトの著者名は「原作：小鈴危一・しらび」</t>
  </si>
  <si>
    <t>d50</t>
  </si>
  <si>
    <t>Do It Yourself!!　-どぅー・いっと・ゆあせるふ-</t>
  </si>
  <si>
    <t>原作：IMAGO/エイベックス･ピクチャーズ
作画：こゆびた　べる</t>
  </si>
  <si>
    <t>(C)IMAGO／avex pictures・DIY!!製作委員会
(C)koyubita beru/SQUARE ENIX</t>
  </si>
  <si>
    <t>(C)I/a/DIY!!
(C)kb/SQEX</t>
  </si>
  <si>
    <t>d67</t>
  </si>
  <si>
    <t>どうか俺を放っておいてくれ なぜかぼっちの終わった高校生活を彼女が変えようとしてくる</t>
  </si>
  <si>
    <t>原作：相崎壁際（GA文庫／SBクリエイティブ刊）
漫画：四季ムツコ
キャラクター原案：間明田</t>
  </si>
  <si>
    <t>(C)Kabegiwa Aizaki/SB Creative Corp.
Original Character Designs:(C)Mamyoda/SB Creative Corp.
(C)Mutsuko Shiki/SQUARE ENIX</t>
  </si>
  <si>
    <t>(C)KA,M/SBCr
(C)MS/SQEX</t>
  </si>
  <si>
    <t>d73</t>
  </si>
  <si>
    <t>俺にはこの暗がりが心地よかった　―絶望から始まる異世界生活、神の気まぐれで強制配信中―</t>
  </si>
  <si>
    <t>原作：星崎崑（GAノベル／SBクリエイティブ刊）
漫画：AOIKO
キャラクター原案：Niθ</t>
  </si>
  <si>
    <t>(C)Kon Hoshizaki/SB Creative Corp.
Original Character Designs:(C)Niθ/SB Creative Corp.
(C)AOIKO/SQUARE ENIX</t>
  </si>
  <si>
    <t>(C)KH,N/SBCr
(C)A/SQEX</t>
  </si>
  <si>
    <t>d81</t>
  </si>
  <si>
    <t>転生したら最強種たちが住まう島でした。この島でスローライフを楽しみます（コミック）</t>
  </si>
  <si>
    <t>原作：平成オワリ
原作：Noy
漫画：山浦柊</t>
  </si>
  <si>
    <t>(C)Heiseiowari/SQUARE ENIX
(C)Noy/SQUARE ENIX
(C)Shu Yamaura/SQUARE ENIX</t>
  </si>
  <si>
    <t>(C)Heiseiowari/SQEX
(C)Noy/SQEX
(C)SY/SQEX</t>
  </si>
  <si>
    <t>カバー・奥付・サイトの著者名は「原作：平成オワリ・Noy」</t>
  </si>
  <si>
    <t>d68</t>
  </si>
  <si>
    <t>無職転生～エリスは本気で牙を砥ぐ～</t>
  </si>
  <si>
    <t>原作：理不尽な孫の手
構成：丘野優
作画：日崖タケ
キャラクター原案：シロタカ</t>
  </si>
  <si>
    <t>(C)Rifujin na Magonote 2022 Licensed by KADOKAWA CORPORATION
(C)Take Higake/SQUARE ENIX
(C)Yuu Okano/SQUARE ENIX</t>
  </si>
  <si>
    <t>(C)Rifujin na Magonote 2022 Licensed by KADOKAWA CORPORATION
(C)TH/SQEX
(C)YO/SQEX</t>
  </si>
  <si>
    <t>年号2022固定</t>
  </si>
  <si>
    <t>d85</t>
  </si>
  <si>
    <t>地獄に堕ちてよ、お兄ちゃん</t>
  </si>
  <si>
    <t>ねじがなめた</t>
  </si>
  <si>
    <t>(C)nejiganameta/SQUARE ENIX</t>
  </si>
  <si>
    <t>(C)n/SQEX</t>
  </si>
  <si>
    <t>d79</t>
  </si>
  <si>
    <t>忘却聖女（コミック）</t>
  </si>
  <si>
    <t>原作：守野伊音
原作：朱里
漫画：秋ひさほ</t>
  </si>
  <si>
    <t>(C)morinoion/SQUARE ENIX
(C)shuri/SQUARE ENIX
(C)Hisaho Aki/SQUARE ENIX</t>
  </si>
  <si>
    <t>(C)morinoion/SQEX
(C)shuri/SQEX
(C)HA/SQEX</t>
  </si>
  <si>
    <t>カバー・奥付・サイトの著者名は「原作：守野伊音・朱里」</t>
  </si>
  <si>
    <t>d65</t>
  </si>
  <si>
    <t>婚約破棄を狙って記憶喪失のフリをしたら、素っ気ない態度だった婚約者が「記憶を失う前の君は、俺にベタ惚れだった」という、とんでもない嘘をつき始めた（コミック）</t>
  </si>
  <si>
    <t>原作：琴子
原作：雨壱絵穹
作画：よね</t>
  </si>
  <si>
    <t>(C)Kotoko/SQUARE ENIX
(C)Esora Amaichi/SQUARE ENIX
(C)Yone/SQUARE ENIX</t>
  </si>
  <si>
    <t>(C)Kotoko/SQEX
(C)EA/SQEX
(C)Yone/SQEX</t>
  </si>
  <si>
    <t>カバー・奥付・サイトの著者名は「原作：琴子・雨壱絵穹」</t>
  </si>
  <si>
    <t>e41</t>
  </si>
  <si>
    <t>世界最強の魔女、始めました　～私だけ『攻略サイト』を見れる世界で自由に生きます～</t>
  </si>
  <si>
    <t>坂木持丸
イラスト：riritto</t>
  </si>
  <si>
    <t>(C)Mochimaru Sakaki/SQUARE ENIX
(C)riritto/SQUARE ENIX</t>
  </si>
  <si>
    <t>(C)MS/SQEX
(C)riritto/SQEX</t>
  </si>
  <si>
    <t>d48</t>
  </si>
  <si>
    <t>俺は知らないうちに学校一の美少女を口説いていたらしい ～バイト先の相談相手に俺の想い人の話をすると彼女はなぜか照れ始める～</t>
  </si>
  <si>
    <t>原作：午前の緑茶
漫画：あたる
キャラクター原案：葛坊煽</t>
  </si>
  <si>
    <t>(C)Gozennoryokutya
(C)Ataru/SQUARE ENIX</t>
  </si>
  <si>
    <t>(C)Gozennoryokutya
(C)Ataru/SQEX</t>
  </si>
  <si>
    <t>d91</t>
  </si>
  <si>
    <t>ブラック魔道具師ギルドを追放された私、王宮魔術師として拾われる　～ホワイトな宮廷で、幸せな新生活を始めます！～（コミック）</t>
  </si>
  <si>
    <t>原作：葉月秋水
原作：necömi
漫画：鳥飼やすゆき</t>
  </si>
  <si>
    <t>(C)Shusui Hazuki/SQUARE ENIX
(C)necömi/SQUARE ENIX
(C)Yasuyuki Torikai/SQUARE ENIX</t>
  </si>
  <si>
    <t>(C)SH/SQEX
(C)necömi/SQEX
(C)YT/SQEX</t>
  </si>
  <si>
    <t>カバー・奥付・サイトの著者名は「原作：葉月秋水・necömi」</t>
  </si>
  <si>
    <t>c94</t>
  </si>
  <si>
    <t>俺の花婿はお前じゃない</t>
  </si>
  <si>
    <t>ミナモトカズキ</t>
  </si>
  <si>
    <t>(C)Kazuki Minamoto/SQUARE ENIX</t>
  </si>
  <si>
    <t>(C)KM/SQEX</t>
  </si>
  <si>
    <t>e32</t>
  </si>
  <si>
    <t>死神の花嫁－余命7日からの幸福－</t>
  </si>
  <si>
    <t>一色箱</t>
  </si>
  <si>
    <t>d94</t>
  </si>
  <si>
    <t>厳しい女上司が高校生に戻ったら俺にデレデレする理由～両片思いのやり直し高校生生活～</t>
  </si>
  <si>
    <t>原作：徳山銀次郎（GA文庫／ＳＢクリエイティブ刊）
漫画：せなか太郎
キャラクター原案：よむ</t>
  </si>
  <si>
    <t>(C)Ginjirou Tokuyama/SB Creative Corp.
Original Character Designs:(C)yom/SB Creative Corp.
(C)Senakataro/SQUARE ENIX</t>
  </si>
  <si>
    <t>(C)GT,y/SBCr
(C)S/SQEX</t>
  </si>
  <si>
    <t>d96</t>
  </si>
  <si>
    <t>HIGH CARD -♢9 No Mercy</t>
  </si>
  <si>
    <t>原作：河本ほむら
作画：えびも
原案：TMS・河本ほむら・武野光</t>
  </si>
  <si>
    <t>(C)Homura Kawamoto・ebimo/SQUARE ENIX
(C)TMS</t>
  </si>
  <si>
    <t>(C)HK・e/SQEX
(C)TMS</t>
  </si>
  <si>
    <t>e47</t>
  </si>
  <si>
    <t>聖女が「甘やかしてくれる優しい旦那様」を募集したら国王陛下が立候補してきた</t>
  </si>
  <si>
    <t>瀬尾優梨
イラスト：昌未</t>
  </si>
  <si>
    <t>(C)Yuri Seo/SQUARE ENIX
(C)Masami/SQUARE ENIX</t>
  </si>
  <si>
    <t>(C)YS/SQEX
(C)Masami/SQEX</t>
  </si>
  <si>
    <t>d75</t>
  </si>
  <si>
    <t>私のかわいいレジ袋ねこ</t>
  </si>
  <si>
    <t>d76</t>
  </si>
  <si>
    <t>【翻訳】の才能で俺だけが世界を改変できる件 ～ハズレ才能【翻訳】で気付けば世界最強になってました～</t>
  </si>
  <si>
    <t>原作：蒼乃白兎（ファンタジア文庫）
漫画：丸智之
キャラクター原案：かなどめはじめ</t>
  </si>
  <si>
    <t>(C)Hakuto Aono,Hajime Kanadome 20XX
(C)Tomoyuki Maru/SQUARE ENIX</t>
  </si>
  <si>
    <t>(C)Hakuto Aono,Hajime Kanadome 20XX
(C)TM/SQEX</t>
  </si>
  <si>
    <t>d93</t>
  </si>
  <si>
    <t>警察3兄弟は不良少女に甘すぎる</t>
  </si>
  <si>
    <t>藍澤さつき</t>
  </si>
  <si>
    <t>(C)Satsuki Aizawa/SQUARE ENIX</t>
  </si>
  <si>
    <t>c75</t>
  </si>
  <si>
    <t>スター･ウォーズ:ビジョンズ</t>
  </si>
  <si>
    <t>監修：ルーカスフィルム
原案：ウォルト・ディズニー・カンパニー</t>
  </si>
  <si>
    <t>(C)&amp;TM Lucasfilm Ltd.</t>
  </si>
  <si>
    <t>c76</t>
  </si>
  <si>
    <t>スター･ウォーズ:マンダロリアン</t>
  </si>
  <si>
    <t>監修：ルーカスフィルム
原案：ウォルト・ディズニー・カンパニー
漫画：大沢祐輔</t>
  </si>
  <si>
    <t>d17</t>
  </si>
  <si>
    <t>包帯公爵の結婚事情</t>
  </si>
  <si>
    <t>原作：奏舞音
漫画：鬨乃美弦</t>
  </si>
  <si>
    <t>(C)Maine Kanade
(C)Mitsuru Tokino/SQUARE ENIX</t>
  </si>
  <si>
    <t>(C)Maine Kanade
(C)MT/SQEX</t>
  </si>
  <si>
    <t>d24</t>
  </si>
  <si>
    <t>ファイナルファンタジーXIV　私立エオルゼア学園</t>
  </si>
  <si>
    <t>漫画：雨壱絵穹
監修：ファイナルファンタジーXIV　運営チーム</t>
  </si>
  <si>
    <t>(C)Esora Amaichi/SQUARE ENIX
(C) SQUARE ENIX CO., LTD</t>
  </si>
  <si>
    <t>(C)EA/SQEX
(C) SQUARE ENIX CO., LTD</t>
  </si>
  <si>
    <t>画像などにコピーライトのみを入れる場合、以下いずれかの表記を使用
①左記コピーライト
②(C) SQUARE ENIX CO., LTD (C) Esora Amaichi</t>
  </si>
  <si>
    <t>d26</t>
  </si>
  <si>
    <t>退屈嫌いの封印術師（コミック）</t>
  </si>
  <si>
    <t>原作：空松蓮司
原作：伊藤宗一
漫画：若槻咲美</t>
  </si>
  <si>
    <t>(C)Renji Soramatsu/SQUARE ENIX
(C)Souichi Itou/SQUARE ENIX
(C)Sakimi Wakatsuki/SQUARE ENIX</t>
  </si>
  <si>
    <t>(C)RS/SQEX
(C)SI/SQEX
(C)SW/SQEX</t>
  </si>
  <si>
    <t>カバー・奥付・サイトの著者名は「原作：空松蓮司・伊藤宗一」</t>
  </si>
  <si>
    <t>d69</t>
  </si>
  <si>
    <t>ただ制服を着てるだけ</t>
  </si>
  <si>
    <t>原作：神田暁一郎（GA文庫／SBクリエイティブ刊）
漫画：宮野金太郎
キャラクター原案：40原</t>
  </si>
  <si>
    <t>(C)Gyouichirou Kanda/SB Creative Corp.
Original Character Designs:(C)40hara/SB Creative Corp.
(C)Kintarou Miyano/SQUARE ENIX</t>
  </si>
  <si>
    <t>(C)GK,40/SBCr
(C)KM/SQEX</t>
  </si>
  <si>
    <t>d72</t>
  </si>
  <si>
    <t>先生！ 僕たちが世界を滅ぼします。</t>
  </si>
  <si>
    <t>d87</t>
  </si>
  <si>
    <t>Engage Kiss</t>
  </si>
  <si>
    <t>原作：Bayron City Express
漫画：いたち</t>
  </si>
  <si>
    <t>(C)BCE/Project Engage
(C)Itachi/SQUARE ENIX</t>
  </si>
  <si>
    <t>(C)BCE/Project Engage
(C)Itachi/SQEX</t>
  </si>
  <si>
    <t>d89</t>
  </si>
  <si>
    <t>転生勇者の気まま旅</t>
  </si>
  <si>
    <t>原作：九頭七尾（ヒーロー文庫／イマジカインフォス）
作画：みさおじ
キャラクター原案：riritto</t>
  </si>
  <si>
    <t>(C)20XX Shichio Kuzu/Imagica Infos Co.,Ltd.
(C)Misaoji/SQUARE ENIX</t>
  </si>
  <si>
    <t>(C)20XX Shichio Kuzu/Imagica Infos Co.,Ltd.
(C)Misaoji/SQEX</t>
  </si>
  <si>
    <t>年号は毎年更新
和文コピーライト:(C)九頭七尾 /イマジカインフォス</t>
  </si>
  <si>
    <t>e54</t>
  </si>
  <si>
    <t>私をそんな二つ名で呼ばないで下さい！　じゃじゃ馬姫の天下取り</t>
  </si>
  <si>
    <t>宮前 葵
イラスト：碧 風羽</t>
  </si>
  <si>
    <t>(C)Aoi Miyamae/SQUARE ENIX
(C)Foo Midori/SQUARE ENIX</t>
  </si>
  <si>
    <t>(C)AM/SQEX
(C)FM/SQEX</t>
  </si>
  <si>
    <t>d46</t>
  </si>
  <si>
    <t>最弱冒険者が【完全ドロップ】で現代最強 自分だけのレアスキルとカスタムアビリティを駆使して他の誰より強くなる!</t>
  </si>
  <si>
    <t>原作：萩鵜アキ
漫画：ichtys</t>
  </si>
  <si>
    <t>(C)Aki Hagiu
(C)ichtys/SQUARE ENIX</t>
  </si>
  <si>
    <t>(C)Aki Hagiu
(C)ichtys/SQEX</t>
  </si>
  <si>
    <t>e04</t>
  </si>
  <si>
    <t>アサシン＆シンデレラ</t>
  </si>
  <si>
    <t>夏野ゆぞ</t>
  </si>
  <si>
    <t>(C)Yuzo Natsuno/SQUARE ENIX</t>
  </si>
  <si>
    <t>d97</t>
  </si>
  <si>
    <t>四百四鬼</t>
  </si>
  <si>
    <t>d99</t>
  </si>
  <si>
    <t>6人の死なない少女と必ず死ぬ運命の人</t>
  </si>
  <si>
    <t>原作：中村基
作画：中村なかち</t>
  </si>
  <si>
    <t>(C)Moto Nakamura/Nakachi Nakamura/SQUARE ENIX</t>
  </si>
  <si>
    <t>(C)MN/NN/SQEX</t>
  </si>
  <si>
    <t>e22</t>
  </si>
  <si>
    <t>四季姫、始めました～召喚された世界で春を司るお仕事します～</t>
  </si>
  <si>
    <t>原作：もちだもちこ
漫画：漆児皐</t>
  </si>
  <si>
    <t>(C)Mochiko Mochida
(C)Satsuki Urushiji/SQUARE ENIX</t>
  </si>
  <si>
    <t>(C)Mochiko Mochida
(C)SU/SQEX</t>
  </si>
  <si>
    <t>e33</t>
  </si>
  <si>
    <t>強制じゃしん信仰プレイ～このぽんこつを崇めろって正気ですか？～</t>
  </si>
  <si>
    <t>原作：機織機（GCノベルズ / マイクロマガジン社刊）
作画：川崎命大
キャラクター原案：那流</t>
  </si>
  <si>
    <t>(C)機織機
(C)那流
(C)マイクロマガジン社
(C)Meidai Kawasaki/SQUARE ENIX</t>
  </si>
  <si>
    <t>(C)機織機
(C)那流
(C)マイクロマガジン社
(C)MK/SQEX</t>
  </si>
  <si>
    <t>e65</t>
  </si>
  <si>
    <t>誤解された『身代わりの魔女』は、国王から最初の恋と最後の恋を捧げられる</t>
  </si>
  <si>
    <t>十夜
イラスト：喜久田ゆい</t>
  </si>
  <si>
    <t>(C)Touya/SQUARE ENIX
(C)Yui Kikuta/SQUARE ENIX</t>
  </si>
  <si>
    <t>(C)Touya/SQEX
(C)YK/SQEX</t>
  </si>
  <si>
    <t>e66</t>
  </si>
  <si>
    <t>悪役令嬢の矜持</t>
  </si>
  <si>
    <t>メアリー＝ドゥ
イラスト：久賀フーナ</t>
  </si>
  <si>
    <t>(C)Mary=Doe/SQUARE ENIX
(C)Kuga Huna/SQUARE ENIX</t>
  </si>
  <si>
    <t>(C)MD/SQEX
(C)KH/SQEX</t>
  </si>
  <si>
    <t>e06</t>
  </si>
  <si>
    <t>甘党ヤクザとケーキ屋バイト君の話</t>
  </si>
  <si>
    <t>島國</t>
  </si>
  <si>
    <t>(C)Shimaguni/SQUARE ENIX</t>
  </si>
  <si>
    <t>(C)Shimaguni/SQEX</t>
  </si>
  <si>
    <t>e42</t>
  </si>
  <si>
    <t>ホラー女優が天才子役に転生しました～今度こそハリウッドを目指します！～</t>
  </si>
  <si>
    <t>原作：鉄箱(「ホラー女優が天才子役に転生しました ～今度こそハリウッドを目指します!～」(小学館「ガガガ文庫」刊))
漫画：樫谷
キャラクター原案：きのこ姫</t>
  </si>
  <si>
    <t>(C)鉄箱・きのこ姫/小学館
(C)Kashiya/SQUARE ENIX</t>
  </si>
  <si>
    <t>(C)鉄箱・きのこ姫/小学館
(C)Kashiya/SQEX</t>
  </si>
  <si>
    <t>e29</t>
  </si>
  <si>
    <t>嘘の子供</t>
  </si>
  <si>
    <t>e67</t>
  </si>
  <si>
    <t>僕の部屋のユウ子さん</t>
  </si>
  <si>
    <t>武川展子</t>
  </si>
  <si>
    <t>(C)Nobuko Takekawa/SQUARE ENIX</t>
  </si>
  <si>
    <t>e70</t>
  </si>
  <si>
    <t>勇者パーティーの荷物持ち</t>
  </si>
  <si>
    <t>原作：河本ほむら
作画：八嶋諒</t>
  </si>
  <si>
    <t>(C)Homura Kawamoto・Ryo Yajima/SQUARE ENIX</t>
  </si>
  <si>
    <t>(C)HK・RY/SQEX</t>
  </si>
  <si>
    <t>e19</t>
  </si>
  <si>
    <t>男装のパルトナー</t>
  </si>
  <si>
    <t>浅月のりと</t>
  </si>
  <si>
    <t>(C)Norito Asaduki/SQUARE ENIX</t>
  </si>
  <si>
    <t>d84</t>
  </si>
  <si>
    <t>地球膨張</t>
  </si>
  <si>
    <t>原作：よっしゃあっ！
漫画：山元ハジメ</t>
  </si>
  <si>
    <t>(C)yosshaa!/SQUARE ENIX
(C)Hajime Yamamoto/SQUARE ENIX</t>
  </si>
  <si>
    <t>(C)ys/SQEX
(C)HY/SQEX</t>
  </si>
  <si>
    <t>e18</t>
  </si>
  <si>
    <t>最強の皇帝に叛逆したら懲役666年をくらった俺、追放先の精霊界で真の最強となって舞い戻る</t>
  </si>
  <si>
    <t>原作：しやけ遊魚
作画：渡ざらめ
キャラクター原案：フルーツパンチ</t>
  </si>
  <si>
    <t>(C)Yuna Shiyake
(C)Zarame Watari/SQUARE ENIX</t>
  </si>
  <si>
    <t>(C)Yuna Shiyake
(C)ZW/SQEX</t>
  </si>
  <si>
    <t>e21</t>
  </si>
  <si>
    <t>こだぬきと領主さまの物語　～女神さまの御座す国～（コミック）</t>
  </si>
  <si>
    <t>原作：雨宮とうり
原作：玖珂つかさ
漫画：栗崎きんぐ</t>
  </si>
  <si>
    <t>(C)Touri Amamiya/SQUARE ENIX
(C)Tsukasa Kuga/SQUARE ENIX
(C)King Kurisaki/SQUARE ENIX</t>
  </si>
  <si>
    <t>(C)TA/SQEX
(C)TK/SQEX
(C)KK/SQEX</t>
  </si>
  <si>
    <t>カバー・奥付・サイトの著者名は「原作：雨宮とうり・玖珂つかさ」</t>
  </si>
  <si>
    <t>e76</t>
  </si>
  <si>
    <t>聖女の姉ですが、妹のための特殊魔石や特殊薬草の採取をやめたら、隣国の魔術師様の元で幸せになりました！</t>
  </si>
  <si>
    <t>かのん
イラスト：四季童子</t>
  </si>
  <si>
    <t>(C)Kanon/SQUARE ENIX
(C)Shikidoji/SQUARE ENIX</t>
  </si>
  <si>
    <t>(C)Kanon/SQEX
(C)Shikidoji/SQEX</t>
  </si>
  <si>
    <t>e77</t>
  </si>
  <si>
    <t>「君を愛することはない」と言った氷の魔術師様の片思い相手が、変装した私だった</t>
  </si>
  <si>
    <t>葉月秋水
イラスト：toi8</t>
  </si>
  <si>
    <t>(C)Shusui Hazuki/SQUARE ENIX
(C)toi8/SQUARE ENIX</t>
  </si>
  <si>
    <t>(C)SH/SQEX
(C)toi8/SQEX</t>
  </si>
  <si>
    <t>e03</t>
  </si>
  <si>
    <t>殺されて井戸に捨てられた聖女がチート怨霊になりました</t>
  </si>
  <si>
    <t>原作：谷尾銀
漫画：七清水くらげ
ネーム構成：桜井竜矢</t>
  </si>
  <si>
    <t>(C)Gin Tanio
(C)Kurage Nanashimizu・Tatsuya Sakurai/SQUARE ENIX</t>
  </si>
  <si>
    <t>(C)Gin Tanio
(C)KN・TS/SQEX</t>
  </si>
  <si>
    <t>e10</t>
  </si>
  <si>
    <t>学園1の美少女は××絵師の俺に惚れている!?</t>
  </si>
  <si>
    <t>e52</t>
  </si>
  <si>
    <t>原作：焦田シューマイ
作画：おみおみ
構成：木場健介</t>
  </si>
  <si>
    <t>(C)Shumai Kogeta/SQUARE ENIX
(C)Omiomi/SQUARE ENIX
(C)Kensuke Koba/SQUARE ENIX</t>
  </si>
  <si>
    <t>(C)SK/SQEX
(C)Omiomi/SQEX
(C)KK/SQEX</t>
  </si>
  <si>
    <t>e45</t>
  </si>
  <si>
    <t>龍とカメレオン</t>
  </si>
  <si>
    <t>石山諒</t>
  </si>
  <si>
    <t>(C)Ryo Ishiyama/SQUARE ENIX</t>
  </si>
  <si>
    <t>e78</t>
  </si>
  <si>
    <t>オタクも恋も連鎖する</t>
  </si>
  <si>
    <t>天色ちゆ</t>
  </si>
  <si>
    <t>(C)Chu Amairo/SQUARE ENIX</t>
  </si>
  <si>
    <t>(C)CA/SQEX</t>
  </si>
  <si>
    <t>d83</t>
  </si>
  <si>
    <t>回復ローションで魔王を倒すことになった。～異世界びゅるびゅる攻略記～</t>
  </si>
  <si>
    <t>e11</t>
  </si>
  <si>
    <t>獄卒クラーケン</t>
  </si>
  <si>
    <t>d95</t>
  </si>
  <si>
    <t>ミルクチョコレート</t>
  </si>
  <si>
    <t>泡沫</t>
  </si>
  <si>
    <t>(C)Utakata/SQUARE ENIX</t>
  </si>
  <si>
    <t>(C)Utakata/SQEX</t>
  </si>
  <si>
    <t>e74</t>
  </si>
  <si>
    <t>超級!! ライブアライブ近未来編</t>
  </si>
  <si>
    <t>原案：スクウェア・エニックス
監修：時田貴司
漫画：島本 和彦＆ビッグバンプロジェクト</t>
  </si>
  <si>
    <t>【作家コピーライト】
(C)Kazuhiko Simamoto/SQUARE ENIX
【原作コピーライト】
(C) 1994, 2022 SQUARE ENIX CO., LTD.
CHARACTER DESIGN
(C) 1994, 2022 SQUARE ENIX CO., LTD.
(C) 1994, SHOGAKUKAN Inc.</t>
  </si>
  <si>
    <t>【作家コピーライト】
(C)KS/SQEX
【原作コピーライト】
◆省略表記1
(C) SQUARE ENIX
CHARACTER DESIGN
(C) SHOGAKUKAN Inc.
 ◆省略表記2
(C)SQEX (C)SHOGAKUKAN
 ◆省略表記3
(C)SQEX (C)小学館</t>
  </si>
  <si>
    <t>e25</t>
  </si>
  <si>
    <t>凶乱令嬢ニア・リストン 病弱令嬢に転生した神殺しの武人の華麗なる無双録</t>
  </si>
  <si>
    <t>原作：南野海風
漫画：古代甲
キャラクター原案：磁石・刀 彼方</t>
  </si>
  <si>
    <t>(C)Umikaze Minamino
(C)Kabuto Kodai/SQUARE ENIX</t>
  </si>
  <si>
    <t>(C)Umikaze Minamino
(C)KK/SQEX</t>
  </si>
  <si>
    <t>d82</t>
  </si>
  <si>
    <t>悪名高い領主に嫁ぐことになりましたが毎日幸せです</t>
  </si>
  <si>
    <t>あづち諒</t>
  </si>
  <si>
    <t>(C)Ryo Aduchi/SQUARE ENIX</t>
  </si>
  <si>
    <t>e24</t>
  </si>
  <si>
    <t>＃推しのとなりのいる生活</t>
  </si>
  <si>
    <t>(C)Hitomi Baramatsu/SQUARE ENIX</t>
  </si>
  <si>
    <t>(C)HB/SQEX</t>
  </si>
  <si>
    <t>e43</t>
  </si>
  <si>
    <t>見て見ぬふりは、罪ですか？</t>
  </si>
  <si>
    <t>原作：君塚力
漫画：日丘円</t>
  </si>
  <si>
    <t>e44</t>
  </si>
  <si>
    <t>レベル１の最強テイマー　～幸運極振りの初心者ゲーマーはもふもふ軍団を従え最強へ至ります～</t>
  </si>
  <si>
    <t>原作：ジャジャ丸(カドカワBOOKS/KADOKAWA刊)
漫画：DANGAN
キャラクター原案：bun150</t>
  </si>
  <si>
    <t>(C)Jajamaru.bun150 20XX
(C)DANGAN/SQUARE ENIX</t>
  </si>
  <si>
    <t>(C)Jajamaru.bun150 20XX
(C)DANGAN/SQEX</t>
  </si>
  <si>
    <t>e23</t>
  </si>
  <si>
    <t>モスクワ２１６０</t>
  </si>
  <si>
    <t>原作：蝸牛くも（GA文庫／ＳＢクリエイティブ刊）
作画：関根光太郎
キャラクター原案：神奈月昇</t>
  </si>
  <si>
    <t>(C)Kumo Kagyu/SB Creative Corp.
Original Character Designs:(C)Noboru Kannatuki/SB Creative Corp.
(C)Koutarou Sekine/SQUARE ENIX</t>
  </si>
  <si>
    <t>(C)KK,NK/SBCr
(C)KS/SQEX</t>
  </si>
  <si>
    <t>e38</t>
  </si>
  <si>
    <t>ゴブリンスレイヤー：デイ・イン・ザ・ライフ</t>
  </si>
  <si>
    <t>原作：蝸牛くも（GA文庫／ＳＢクリエイティブ刊）
作画：マツセダイチ
キャラクター原案：神奈月昇</t>
  </si>
  <si>
    <t>(C)Kumo Kagyu/SB Creative Corp.
Original Character Designs:(C)Noboru Kannatuki/SB Creative Corp.
(C)Daichi Matsuse/SQUARE ENIX</t>
  </si>
  <si>
    <t>(C)KK,NK/SBCr
(C)DM/SQEX</t>
  </si>
  <si>
    <t>カミヨミ</t>
  </si>
  <si>
    <t>d88</t>
  </si>
  <si>
    <t>兵器たち</t>
  </si>
  <si>
    <t>三浦 純</t>
  </si>
  <si>
    <t>(C)Jun Miura/SQUARE ENIX</t>
  </si>
  <si>
    <t>e82</t>
  </si>
  <si>
    <t>縁談が来ない王妹は、狂犬騎士との結婚を命じられる</t>
  </si>
  <si>
    <t>五月ゆき
イラスト：新井テル子</t>
  </si>
  <si>
    <t>(C)Yuki Satsuki/SQUARE ENIX
(C)Teruko Arai/SQUARE ENIX</t>
  </si>
  <si>
    <t>(C)YS/SQEX
(C)TA/SQEX</t>
  </si>
  <si>
    <t>e20</t>
  </si>
  <si>
    <t>みにくいトカゲの子と落ちぶれた元剣聖～虐められていたところを助けた変なトカゲは聖竜の赤ちゃんだったので精霊の守護者になる～</t>
  </si>
  <si>
    <t>原作：えぞぎんぎつね（ＧＡノベル／ＳＢクリエイティブ刊）
漫画：高橋佑輔
キャラクター原案：ふらすこ</t>
  </si>
  <si>
    <t>(C)Ezogingitune/SB Creative Corp.
Original Character Designs:(C)Flask/SB Creative Corp.
(C)Yusuke Takahashi/SQUARE ENIX</t>
  </si>
  <si>
    <t>(C)E,F/SBCr
(C)YT/SQEX</t>
  </si>
  <si>
    <t>e57</t>
  </si>
  <si>
    <t>英雄と賢者の転生婚～かつての好敵手と婚約して最強夫婦になりました～</t>
  </si>
  <si>
    <t>原作：藤木わしろ(HJ文庫／ホビージャパン刊)
漫画：西梨玖
キャラクター原案：へいろー</t>
  </si>
  <si>
    <t>(C)Washiro Fujiki
(C)Riku Nishi/SQUARE ENIX</t>
  </si>
  <si>
    <t>(C)Washiro Fujiki
(C)RN/SQEX</t>
  </si>
  <si>
    <t>e58</t>
  </si>
  <si>
    <t>ギャルに優しいオタク君</t>
  </si>
  <si>
    <t>原作：138ネコ
作画：草中</t>
  </si>
  <si>
    <t>(C)138neco/SQUARE ENIX
(C)Souchu/SQUARE ENIX</t>
  </si>
  <si>
    <t>(C)138neco/SQEX
(C)Souchu/SQEX</t>
  </si>
  <si>
    <t>e28</t>
  </si>
  <si>
    <t>美しいばけもの</t>
  </si>
  <si>
    <t>山本夜子</t>
  </si>
  <si>
    <t>(C)Yomoko Yamamoto/SQUARE ENIX</t>
  </si>
  <si>
    <t>d90</t>
  </si>
  <si>
    <t>Holoearth Chronicles Side:E ヤマト神想怪異譚</t>
  </si>
  <si>
    <t>漫画：黒瀬浩介
脚本：黒瀬浩介＆枢木ユウ
原作：カバー株式会社</t>
  </si>
  <si>
    <t>(C) 2016 COVER Corp.</t>
  </si>
  <si>
    <t>c74</t>
  </si>
  <si>
    <t>婚約破棄された公爵令嬢は令嬢の仮面を脱ぎ捨てる</t>
  </si>
  <si>
    <t>原作：鈴森ねこ
作画：宮間諒</t>
  </si>
  <si>
    <t>(C)Neko Suzumori
(C)Ryo Miyama/SQUARE ENIX</t>
  </si>
  <si>
    <t>(C)Neko Suzumori
(C)RM/SQEX</t>
  </si>
  <si>
    <t>e63</t>
  </si>
  <si>
    <t>花咲くキッチン-再会には薬膳スープと桜を添えて-</t>
  </si>
  <si>
    <t>原作：忍丸
漫画：桃月はち
キャラクター原案：沙月</t>
  </si>
  <si>
    <t>(C)Shinobumaru Licensed by KADOKAWA CORPORATION
(C)Hachi Momotsuki/SQUARE ENIX</t>
  </si>
  <si>
    <t>(C)Shinobumaru Licensed by KADOKAWA CORPORATION
(C)HM/SQEX</t>
  </si>
  <si>
    <t>e92</t>
  </si>
  <si>
    <t>没落令嬢のお気に召すまま　～婚約破棄されたので宝石鑑定士として独立します～</t>
  </si>
  <si>
    <t>四葉夕卜
イラスト：藤実なんな</t>
  </si>
  <si>
    <t>(C)Yuto Yotsuba/SQUARE ENIX
(C)Nanna Fujimi/SQUARE ENIX</t>
  </si>
  <si>
    <t>(C)YY/SQEX
(C)NF/SQEX</t>
  </si>
  <si>
    <t>e05</t>
  </si>
  <si>
    <t>血を這う亡国の王女</t>
  </si>
  <si>
    <t>我妻 幸</t>
  </si>
  <si>
    <t>(C)Yuki Azuma/SQUARE ENIX</t>
  </si>
  <si>
    <t>e46</t>
  </si>
  <si>
    <t>ぼくとミモザの75日</t>
  </si>
  <si>
    <t>鬼山瑞樹</t>
  </si>
  <si>
    <t>(C)Mizuki Oniyama/SQUARE ENIX</t>
  </si>
  <si>
    <t>(C)MO/SQEX</t>
  </si>
  <si>
    <t>e64</t>
  </si>
  <si>
    <t>ミツドモエ▽生徒会長ズ</t>
  </si>
  <si>
    <t>e27</t>
  </si>
  <si>
    <t>騎士団長のエルフさんだって乙女がしたい。</t>
  </si>
  <si>
    <t>e14</t>
  </si>
  <si>
    <t>Disney Twisted-Wonderland The Comic Episode of Savanaclaw</t>
  </si>
  <si>
    <t>原案：枢やな
漫画：小田すずか</t>
  </si>
  <si>
    <t>e35</t>
  </si>
  <si>
    <t>傷の特異種</t>
  </si>
  <si>
    <t>香木なつひこ</t>
  </si>
  <si>
    <t>(C)Natsuhiko Kagi/SQUARE ENIX</t>
  </si>
  <si>
    <t>(C)NK/SQEX</t>
  </si>
  <si>
    <t>e39</t>
  </si>
  <si>
    <t>REVENGER</t>
  </si>
  <si>
    <t>原作：利便事屋
作画：山田リューセイ</t>
  </si>
  <si>
    <t>(C)REVENGER製作委員会
(C)Ryusei Yamada/SQUARE ENIX</t>
  </si>
  <si>
    <t>(C)REVENGER製作委員会
(C)RY/SQEX</t>
  </si>
  <si>
    <t>e50</t>
  </si>
  <si>
    <t>銀の麦畑</t>
  </si>
  <si>
    <t>津沢イナ</t>
  </si>
  <si>
    <t>(C)Ina Tsuzawa/SQUARE ENIX</t>
  </si>
  <si>
    <t>d92</t>
  </si>
  <si>
    <t>お伽の匣のレト</t>
  </si>
  <si>
    <t>三部けい
助言・協力：一般社団法人 阿寒アイヌコンサルン</t>
  </si>
  <si>
    <t>e12</t>
  </si>
  <si>
    <t>王子様の飼い主係～呪われた殿下がモフモフボディで誘ってきます～</t>
  </si>
  <si>
    <t>原作：長月おと
作画：寝子暇子</t>
  </si>
  <si>
    <t>(C)Oto Nagatsuki
(C)Himako Neko/SQUARE ENIX</t>
  </si>
  <si>
    <t>(C)Oto Nagatsuki
(C)HN/SQEX</t>
  </si>
  <si>
    <t>e96</t>
  </si>
  <si>
    <t>転生幼女は前世で助けた精霊たちに懐かれる</t>
  </si>
  <si>
    <t>えぞぎんぎつね
イラスト：keepout</t>
  </si>
  <si>
    <t>(C)Ezogingitune/SQUARE ENIX
(C)keepout/SQUARE ENIX</t>
  </si>
  <si>
    <t>(C)Ezogingitune/SQEX
(C)keepout/SQEX</t>
  </si>
  <si>
    <t>e97</t>
  </si>
  <si>
    <t>華麗なる悪女になりたいわ！　～愛され転生少女は、楽しい二度目の人生を送ります～</t>
  </si>
  <si>
    <t>葉月秋水
イラスト：転</t>
  </si>
  <si>
    <t>(C)Shusui Hazuki/SQUARE ENIX
(C)kururi/SQUARE ENIX</t>
  </si>
  <si>
    <t>(C)SH/SQEX
(C)kururi/SQEX</t>
  </si>
  <si>
    <t>e98</t>
  </si>
  <si>
    <t>訳あり伯爵様と契約結婚したら、義娘（六歳）の契約母になってしまいました。～契約期間はたったの一年間～</t>
  </si>
  <si>
    <t>黒猫かりん
イラスト：ボダックス</t>
  </si>
  <si>
    <t>(C)Karin Kuroneko/SQUARE ENIX
(C)Bodax/SQUARE ENIX</t>
  </si>
  <si>
    <t>(C)KK/SQEX
(C)Bodax/SQEX</t>
  </si>
  <si>
    <t>e60</t>
  </si>
  <si>
    <t>転生したら序盤で死ぬ中ボスだった－ヒロイン眷属化で生き残る－</t>
  </si>
  <si>
    <t>原作：稲下竹刀
漫画：正璽(Friendly Land)</t>
  </si>
  <si>
    <t>(C)Shinai Inashita
(C)Friendly Land/SQUARE ENIX</t>
  </si>
  <si>
    <t>(C)Shinai Inashita
(C)FL/SQEX</t>
  </si>
  <si>
    <t>e59</t>
  </si>
  <si>
    <t>そして悪魔は正義を騙る</t>
  </si>
  <si>
    <t>e37</t>
  </si>
  <si>
    <t>妻は僕を太らせたい！</t>
  </si>
  <si>
    <t>原作：栗栖ひよ子
漫画：すずの志侑</t>
  </si>
  <si>
    <t>(C)Hiyoko Kurisu/SQUARE ENIX
(C)Syuu Suzuno/SQUARE ENIX</t>
  </si>
  <si>
    <t>(C)HK/SQEX
(C)SS/SQEX</t>
  </si>
  <si>
    <t>e13</t>
  </si>
  <si>
    <t>病弱（嘘）令嬢は婚約破棄したい～お金勘定に忙しいので、結婚したくないんです！～</t>
  </si>
  <si>
    <t>原作：狭山ひびき
作画：カミタニミキ</t>
  </si>
  <si>
    <t>(C)Hibiki Sayama
(C)Miki Kamitani/SQUARE ENIX</t>
  </si>
  <si>
    <t>(C)Hibiki Sayama
(C)MK/SQEX</t>
  </si>
  <si>
    <t>e36</t>
  </si>
  <si>
    <t>きみって私のこと好きなんでしょ？</t>
  </si>
  <si>
    <t>原作：望公太
漫画：蓖楼イチ
キャラクター原案：日向あずり</t>
  </si>
  <si>
    <t>(C)Kota Nozomi/SB Creative Corp.
Original Character Designs:(C)Azuri Hyuga/SB Creative Corp.
(C)Ichi Hiiro/SQUARE ENIX</t>
  </si>
  <si>
    <t>(C)KN,AH/SBCr
(C)IH/SQEX</t>
  </si>
  <si>
    <t>f08</t>
  </si>
  <si>
    <t>お飾りの皇妃？　なにそれ天職です！</t>
  </si>
  <si>
    <t>雪野ゆきの
イラスト：ゆき哉</t>
  </si>
  <si>
    <t>(C)Yukino Yukino/SQUARE ENIX
(C)Kana Yuki/SQUARE ENIX</t>
  </si>
  <si>
    <t>(C)YY/SQEX
(C)KY/SQEX</t>
  </si>
  <si>
    <t>e62</t>
  </si>
  <si>
    <t>異世界チートブレイカーズ</t>
  </si>
  <si>
    <t>原作：天那光汰
漫画：ささきゆうちゃん</t>
  </si>
  <si>
    <t>(C)Kouta Amana/SQUARE ENIX
(C)yuchang sasaki/SQUARE ENIX</t>
  </si>
  <si>
    <t>(C)KA/SQEX
(C)ys/SQEX</t>
  </si>
  <si>
    <t>e53</t>
  </si>
  <si>
    <t>王様のプロポーズ</t>
  </si>
  <si>
    <t>原作：橘公司
作画：栗尾ねも
構成：獅子唐
キャラクター原案：つなこ</t>
  </si>
  <si>
    <t>(C)Koushi Tachibana, Tsunako Licensed by KADOKAWA CORPORATION
(C)Nemo Kurio/SQUARE ENIX
(C)Shishitou/SQUARE ENIX</t>
  </si>
  <si>
    <t>(C)Koushi Tachibana, Tsunako Licensed by KADOKAWA CORPORATION
(C)NK/SQEX
(C)Shishitou/SQEX</t>
  </si>
  <si>
    <t>e40</t>
  </si>
  <si>
    <t>こむぎが自慢のパン屋さん</t>
  </si>
  <si>
    <t>わたあめ</t>
  </si>
  <si>
    <t>(C)Wataame/SQUARE ENIX</t>
  </si>
  <si>
    <t>(C)Wataame/SQEX</t>
  </si>
  <si>
    <t>e79</t>
  </si>
  <si>
    <t>寝取られ漫画のクズ男に転生したはずがヒロインが寄ってくる件</t>
  </si>
  <si>
    <t>原作：みょん
漫画：墨川ハル</t>
  </si>
  <si>
    <t>(C)Myon/SQUARE ENIX
(C)Haru Sumikawa/SQUARE ENIX</t>
  </si>
  <si>
    <t>(C)Myon/SQEX
(C)HS/SQEX</t>
  </si>
  <si>
    <t>e80</t>
  </si>
  <si>
    <t>婚約破棄されたのに元婚約者の結婚式に招待されました。断れないので兄の友人に同行してもらいます。（コミック）</t>
  </si>
  <si>
    <t>原作：藍野ナナカ
原作：先崎真琴
漫画：ちらしま</t>
  </si>
  <si>
    <t>(C)Nanaka Aino/SQUARE ENIX
(C)Makoto Senzaki/SQUARE ENIX
(C)Chirashima/SQUARE ENIX</t>
  </si>
  <si>
    <t>(C)NA/SQEX
(C)MS/SQEX
(C)Chirashima/SQEX</t>
  </si>
  <si>
    <t>カバー・奥付・サイトの著者名は「原作：藍野ナナカ・先崎真琴」</t>
  </si>
  <si>
    <t>e85</t>
  </si>
  <si>
    <t>南條さんは僕に抱かれたい</t>
  </si>
  <si>
    <t>You2</t>
  </si>
  <si>
    <t>(C)You2/SQUARE ENIX</t>
  </si>
  <si>
    <t>(C)You2/SQEX</t>
  </si>
  <si>
    <t>e95</t>
  </si>
  <si>
    <t>ひぐらしのなく頃に令　色尊し編</t>
  </si>
  <si>
    <t>e48</t>
  </si>
  <si>
    <t>カメレオンはてのひらに恋をする。</t>
  </si>
  <si>
    <t>厘てく</t>
  </si>
  <si>
    <t>(C)Rinteku/SQUARE ENIX</t>
  </si>
  <si>
    <t>(C)R/SQEX</t>
  </si>
  <si>
    <t>d86</t>
  </si>
  <si>
    <t>ぼくらはみんな＊んでいる</t>
  </si>
  <si>
    <t>e72</t>
  </si>
  <si>
    <t>絶対魔剣の双戦舞曲～暗殺貴族が奴隷令嬢を育成したら､魔術殺しの究極魔剣士に育ってしまったんだが～</t>
  </si>
  <si>
    <t>原作：榊一郎
作画：山内了兵
キャラクター原案：朝日川日和</t>
  </si>
  <si>
    <t>(C)Ichirou Sakaki
(C)Ryohei Yamauchi/SQUARE ENIX</t>
  </si>
  <si>
    <t>(C)Ichirou Sakaki
(C)RY/SQEX</t>
  </si>
  <si>
    <t>e91</t>
  </si>
  <si>
    <t>後宮灼姫伝～妹の身代わりをしていたら、いつの間にか皇帝や将軍に寵愛されています～（コミック）</t>
  </si>
  <si>
    <t>原作：榛名丼
原作：春野薫久
漫画：さくみね</t>
  </si>
  <si>
    <t>(C)Harunadon/SQUARE ENIX
(C)haruno taku/SQUARE ENIX
(C)Sakumine/SQUARE ENIX</t>
  </si>
  <si>
    <t>(C)Harunadon/SQEX
(C)ht/SQEX
(C)Sakumine/SQEX</t>
  </si>
  <si>
    <t>カバー・奥付・サイトの著者名は「原作：榛名丼・春野薫久」</t>
  </si>
  <si>
    <t>e84</t>
  </si>
  <si>
    <t>魔術師団長の契約結婚（コミック）</t>
  </si>
  <si>
    <t>原作：Hk
原作：八美☆わん
漫画：森柾みどり</t>
  </si>
  <si>
    <t>(C)Hk/SQUARE ENIX
(C)Hachipisuwan/SQUARE ENIX
(C)Midori Morimasa/SQUARE ENIX</t>
  </si>
  <si>
    <t>(C)Hk/SQEX
(C)HW/SQEX
(C)MM/SQEX</t>
  </si>
  <si>
    <t>カバー・奥付・サイトの著者名は「原作：Hk・八美☆わん」</t>
  </si>
  <si>
    <t>e86</t>
  </si>
  <si>
    <t>その英雄は余命99日</t>
  </si>
  <si>
    <t>原作：kt60
漫画：真木佳剛</t>
  </si>
  <si>
    <t>(C)kt60/SQUARE ENIX
(C)Yoshitaka Maki/SQUARE ENIX</t>
  </si>
  <si>
    <t>(C)kt60/SQEX
(C)YM/SQEX</t>
  </si>
  <si>
    <t>e94</t>
  </si>
  <si>
    <t>私にだけテンパる上司の話</t>
  </si>
  <si>
    <t>イスズ</t>
  </si>
  <si>
    <t>(C)Isuzu/SQUARE ENIX</t>
  </si>
  <si>
    <t>(C)Isuzu/SQEX</t>
  </si>
  <si>
    <t>f00</t>
  </si>
  <si>
    <t>殺戮の使徒様と結婚しました～偽装夫婦の苦くて甘い新婚生活～</t>
  </si>
  <si>
    <t>原作：守雨
漫画：桜屋善吉</t>
  </si>
  <si>
    <t>(C)Syuu/SQUARE ENIX
(C)Zenkichi Sakuraya/SQUARE ENIX</t>
  </si>
  <si>
    <t>(C)Syuu/SQEX
(C)ZS/SQEX</t>
  </si>
  <si>
    <t>e15</t>
  </si>
  <si>
    <t>最高の推しの見つけ方</t>
  </si>
  <si>
    <t>茅原ミハシ</t>
  </si>
  <si>
    <t>(C)Mihashi Kayahara/SQUARE ENIX</t>
  </si>
  <si>
    <t>e61</t>
  </si>
  <si>
    <t>ゴーレムさん、崩れてます！</t>
  </si>
  <si>
    <t>東弥イツキ</t>
  </si>
  <si>
    <t>(C)Itsuki Azumaya/SQUARE ENIX</t>
  </si>
  <si>
    <t>e51</t>
  </si>
  <si>
    <t>結合男子 -Commitments to Dawn-</t>
  </si>
  <si>
    <t>漫画：三月雛乃
脚本：永川成基
脚本：麻日珱
キャラクターデザイン：スオウ
企画原案：スクウェア・エニックス</t>
  </si>
  <si>
    <t>(C)Hinano Mitsuki/SQUARE ENIX
(C) SQUARE ENIX</t>
  </si>
  <si>
    <t>(C)HM/SQEX
(C) SQEX</t>
  </si>
  <si>
    <t>e81</t>
  </si>
  <si>
    <t>王宮浪漫に巻き込まないで！</t>
  </si>
  <si>
    <t>原作：渡里あずま
漫画：水沢翔</t>
  </si>
  <si>
    <t>(C)Azuma Watari
(C)Sho Mizusawa/SQUARE ENIX</t>
  </si>
  <si>
    <t>(C)Azuma Watari
(C)SM/SQEX</t>
  </si>
  <si>
    <t>f10</t>
  </si>
  <si>
    <t>頼れる上司は控えめに言ってもヤバい人でした。</t>
  </si>
  <si>
    <t>柴咲さや</t>
  </si>
  <si>
    <t>(C)Shibasaki Saya/SQUARE ENIX</t>
  </si>
  <si>
    <t>d05</t>
  </si>
  <si>
    <t>裏でやんちゃな剛院田さん</t>
  </si>
  <si>
    <t>加我皓平</t>
  </si>
  <si>
    <t>(C)Kohei Kaga/SQUARE ENIX</t>
  </si>
  <si>
    <t>e08</t>
  </si>
  <si>
    <t>マードリー</t>
  </si>
  <si>
    <t>手羽先</t>
  </si>
  <si>
    <t>(C)Tebasaki/SQUARE ENIX</t>
  </si>
  <si>
    <t>(C)Tebasaki/SQEX</t>
  </si>
  <si>
    <t>e55</t>
  </si>
  <si>
    <t>魔法科高校の劣等生 孤立編</t>
  </si>
  <si>
    <t>(C)TSUTOMU SATO
Licensed by KADOKAWA CORPORATION
(C)Tsuna Kitaumi/SQUARE ENIX
(C)Fumino Hayashi・Chiaki Nagaoka/SQUARE ENIX</t>
  </si>
  <si>
    <t>(C)TSUTOMU SATO
Licensed by KADOKAWA CORPORATION
(C)TK/SQEX
(C)FH・CN/SQEX</t>
  </si>
  <si>
    <t>e83</t>
  </si>
  <si>
    <t>後輩君だけが知っている</t>
  </si>
  <si>
    <t>f29</t>
  </si>
  <si>
    <t>オリヴィア嬢は愛されると死ぬ ～旦那様、ちょっとこっち見すぎですわ～</t>
  </si>
  <si>
    <t>紺染 幸
イラスト：DSマイル</t>
  </si>
  <si>
    <t>(C)Sachi Konzome/SQUARE ENIX
(C)DSmile/SQUARE ENIX</t>
  </si>
  <si>
    <t>(C)SK/SQEX
(C)DSmile/SQEX</t>
  </si>
  <si>
    <t>f38</t>
  </si>
  <si>
    <t>肉と酒を好む英雄は、娶らされた姫に触れられない。</t>
  </si>
  <si>
    <t>鯵御膳
イラスト：坂本あきら</t>
  </si>
  <si>
    <t>(C)Ajigozen/SQUARE ENIX
(C)Akira Sakamoto/SQUARE ENIX</t>
  </si>
  <si>
    <t>(C)Ajigozen/SQEX
(C)AS/SQEX</t>
  </si>
  <si>
    <t>e56</t>
  </si>
  <si>
    <t>マリーゴーラウンド</t>
  </si>
  <si>
    <t>e87</t>
  </si>
  <si>
    <t>推し彼 志摩崎くん</t>
  </si>
  <si>
    <t>f11</t>
  </si>
  <si>
    <t>腐男子上司・伊佐木さんとの腐思議な恋</t>
  </si>
  <si>
    <t>みなりふうりん</t>
  </si>
  <si>
    <t>(C)Minari Fuurin/SQUARE ENIX</t>
  </si>
  <si>
    <t>(C)MF/SQEX</t>
  </si>
  <si>
    <t>e93</t>
  </si>
  <si>
    <t>会社と私生活－オンとオフ－</t>
  </si>
  <si>
    <t>金沢真之介</t>
  </si>
  <si>
    <t>(C)Shinnosuke Kanazawa/SQUARE ENIX</t>
  </si>
  <si>
    <t>f39</t>
  </si>
  <si>
    <t>バックヤード ジャンク ユニバース</t>
  </si>
  <si>
    <t>f52</t>
  </si>
  <si>
    <t>社畜剣聖、配信者になる　～ブラックギルド会社員、うっかり会社用回線でS級モンスターを相手に無双するところを全国配信してしまう～</t>
  </si>
  <si>
    <t>熊乃げん骨
イラスト：タジマ粒子</t>
  </si>
  <si>
    <t>(C)Genkotsu Kumano/SQUARE ENIX
(C)Ryuushi Tajima/SQUARE ENIX</t>
  </si>
  <si>
    <t>(C)GK/SQEX
(C)RT/SQEX</t>
  </si>
  <si>
    <t>f53</t>
  </si>
  <si>
    <t>転生先は北の辺境でしたが精霊のおかげでけっこう快適です　～楽園目指して狩猟開拓ときどきサウナ～</t>
  </si>
  <si>
    <t>風楼
イラスト：Lard</t>
  </si>
  <si>
    <t>(C)Fuurou/SQUARE ENIX
(C)Lard/SQUARE ENIX</t>
  </si>
  <si>
    <t>(C)Fuurou/SQEX
(C)Lard/SQEX</t>
  </si>
  <si>
    <t>f32</t>
  </si>
  <si>
    <t>弾丸ビースト！</t>
  </si>
  <si>
    <t>谷原光</t>
  </si>
  <si>
    <t>(C)Kou Tanihara/SQUARE ENIX</t>
  </si>
  <si>
    <t>e99</t>
  </si>
  <si>
    <t>Disney Twisted-Wonderland The Comic Episode of Octavinelle</t>
  </si>
  <si>
    <t>f01</t>
  </si>
  <si>
    <t>ダンジョン・ファーム～家を追い出されたので、ダンジョンに農場をつくって暮らそうと思います～（コミック）</t>
  </si>
  <si>
    <t>原作：鈴木竜一
原作：シソ
漫画：もずくず</t>
  </si>
  <si>
    <t>(C)Ryuichi Suzuki/SQUARE ENIX
(C)Siso/SQUARE ENIX
(C)Mozukuzu/SQUARE ENIX</t>
  </si>
  <si>
    <t>(C)RS/SQEX
(C)Siso/SQEX
(C)Mozukuzu/SQEX</t>
  </si>
  <si>
    <t>カバー・奥付・サイトの著者名は「原作：鈴木竜一・シソ」</t>
  </si>
  <si>
    <t>f07</t>
  </si>
  <si>
    <t>余命わずかだからと追放された聖女ですが、巡礼の旅に出たら超健康になりました</t>
  </si>
  <si>
    <t>原作：マチバリ(アース・スター ルナ／アース・スター エンターテイメント刊)
漫画：淡谷こむぎ</t>
  </si>
  <si>
    <t>(C)Machibari
(C)Komugi Awaya/SQUARE ENIX</t>
  </si>
  <si>
    <t>(C)Machibari
(C)KA/SQEX</t>
  </si>
  <si>
    <t>f26</t>
  </si>
  <si>
    <t>高森くんを黙らせたいっ!!</t>
  </si>
  <si>
    <t>春乃カミハル</t>
  </si>
  <si>
    <t>(C)Kamiharu Haruno/SQUARE ENIX</t>
  </si>
  <si>
    <t>f20</t>
  </si>
  <si>
    <t>ブラ恋～よせてあげてもズレてる二人～</t>
  </si>
  <si>
    <t>餅月はるか</t>
  </si>
  <si>
    <t>(C)Haruka Mochiduki/SQUARE ENIX</t>
  </si>
  <si>
    <t>e26</t>
  </si>
  <si>
    <t>ヤンデレカフェへようこそ</t>
  </si>
  <si>
    <t>ひのみや</t>
  </si>
  <si>
    <t>(C)Hinomiya/SQUARE ENIX</t>
  </si>
  <si>
    <t>(C)Hinomiya/SQEX</t>
  </si>
  <si>
    <t>f02</t>
  </si>
  <si>
    <t>分冊版先行</t>
  </si>
  <si>
    <t>美人の姉が嫌がったので、どう見ても姿絵が白豚の次期伯爵に嫁ぎましたところ（コミック）</t>
  </si>
  <si>
    <t>原作：真波潜
原作：結川カズノ
作画：明菜
構成：安堂悠</t>
  </si>
  <si>
    <t>(C)Mogura Manami/SQUARE ENIX
(C)Kazuno Yuikawa/SQUARE ENIX
(C)Akina/SQUARE ENIX
(C)Yu Ando/SQUARE ENIX</t>
  </si>
  <si>
    <t>(C)MM/SQEX
(C)KY/SQEX
(C)Akina/SQEX
(C)YA/SQEX</t>
  </si>
  <si>
    <t>カバー・奥付・サイトの著者名は「原作：真波潜・結川カズノ」</t>
  </si>
  <si>
    <t>f06</t>
  </si>
  <si>
    <t>後宮医妃伝</t>
  </si>
  <si>
    <t>原作：涙鳴（スターツ出版文庫刊）
漫画：やもり四季。
キャラクター原案：漣ミサ
ネーム構成：嶋</t>
  </si>
  <si>
    <t>(C)Ruina
(C)Shiki Yamori/SQUARE ENIX
(C)Shima/SQUARE ENIX</t>
  </si>
  <si>
    <t>(C)Ruina
(C)SY/SQEX
(C)Shima/SQEX</t>
  </si>
  <si>
    <t>漣ミサ氏、書店上・カバー等の表に出る箇所について表記なし（奥付は表記あり）</t>
  </si>
  <si>
    <t>f15</t>
  </si>
  <si>
    <t>悪役令嬢の矜持～婚約者を奪い取って義姉を追い出した私は、どうやら今から破滅するようです。～（コミック）</t>
  </si>
  <si>
    <t>原作：メアリー＝ドゥ
原作：久賀フーナ
漫画：星樹スズカ</t>
  </si>
  <si>
    <t>(C)Mary=Doe/SQUARE ENIX
(C)Kuga Huna/SQUARE ENIX
(C)Stellagi Suzuka/SQUARE ENIX</t>
  </si>
  <si>
    <t>(C)MD/SQEX
(C)KH/SQEX
(C)SS/SQEX</t>
  </si>
  <si>
    <t>カバー・奥付・サイトの著者名は「原作：メアリー＝ドゥ・久賀フーナ」</t>
  </si>
  <si>
    <t>f31</t>
  </si>
  <si>
    <t>聖女が「甘やかしてくれる優しい旦那様」を募集したら国王陛下が立候補してきた（コミック）</t>
  </si>
  <si>
    <t>原作：瀬尾優梨
原作：昌未
漫画：橋井こま</t>
  </si>
  <si>
    <t>(C)Yuri Seo/SQUARE ENIX
(C)Masami/SQUARE ENIX
(C)Coma Hashii/SQUARE ENIX</t>
  </si>
  <si>
    <t>(C)YS/SQEX
(C)Masami/SQEX
(C)CH/SQEX</t>
  </si>
  <si>
    <t>カバー・奥付・サイトの著者名は「原作：瀬尾優梨・昌未」</t>
  </si>
  <si>
    <t>f35</t>
  </si>
  <si>
    <t>結婚しよう。離婚前提で。</t>
  </si>
  <si>
    <t>咲口東</t>
  </si>
  <si>
    <t>(C)Azuma Sakiguchi/SQUARE ENIX</t>
  </si>
  <si>
    <t>d27</t>
  </si>
  <si>
    <t>BLiss単話</t>
  </si>
  <si>
    <t>社員さんとバイトくんの添い寝配信カンケイ</t>
  </si>
  <si>
    <t>茅なや</t>
  </si>
  <si>
    <t>(C)Naya Kayabuki/SQUARE ENIX</t>
  </si>
  <si>
    <t>e49</t>
  </si>
  <si>
    <t>BLiss先行</t>
  </si>
  <si>
    <t>アイラブユーが言えなくて</t>
  </si>
  <si>
    <t>青梅あお</t>
  </si>
  <si>
    <t>(C)Ao Aoume/SQUARE ENIX</t>
  </si>
  <si>
    <t>f61</t>
  </si>
  <si>
    <t>千年紀末に吠える恋</t>
  </si>
  <si>
    <t>みよしあやと</t>
  </si>
  <si>
    <t>(C)Ayato Miyoshi/SQUARE ENIX</t>
  </si>
  <si>
    <t>(C)AM/SQEX</t>
  </si>
  <si>
    <t>f34</t>
  </si>
  <si>
    <t>ひねくれ騎士とふわふわ姫様　古城暮らしと小さなおうち</t>
  </si>
  <si>
    <t>f14</t>
  </si>
  <si>
    <t>悪役令嬢に転生した田舎娘がバッドエンド回避に挑む話 ～死にたくないのでラスボスより強くなってみた～</t>
  </si>
  <si>
    <t>原作：日之影ソラ（HJノベルス／ホビージャパン刊）
漫画：汐田晴人
キャラクター原案：コユコム</t>
  </si>
  <si>
    <t>(C)Sora Hinokage
(C)Haruto Shiota/SQUARE ENIX</t>
  </si>
  <si>
    <t>(C)Sora Hinokage
(C)HS/SQEX</t>
  </si>
  <si>
    <t>アダルト媒体でもコピーライトが「libre」の作品</t>
  </si>
  <si>
    <t>タイトルＩＤ</t>
  </si>
  <si>
    <t>ENNEAD</t>
  </si>
  <si>
    <t>©Mojito/ SEOUL MEDIA COMICS, INC./libre</t>
  </si>
  <si>
    <t>復讐するまで帰りません！ 健康で文化的な最低限度の執愛</t>
  </si>
  <si>
    <t>©藤間みお／鳥下ビニール／さばるどろ／イースト・プレス／libre</t>
  </si>
  <si>
    <t>【ショコラブ】SEX DRIVE</t>
  </si>
  <si>
    <t>SEX DRIVE 1 私の気だるい教育係【電子限定＆シーモア限定W特典付】</t>
  </si>
  <si>
    <t>愛を与える獣達《コミカライズ》【単話版】</t>
  </si>
  <si>
    <t>©松基 羊/茶柱一号/DeNIMO/libre</t>
  </si>
  <si>
    <t>愛を与える獣達《コミックス版》</t>
  </si>
  <si>
    <t>俺のかわいいバズり彼氏</t>
  </si>
  <si>
    <t>©Gui/Tong Li/libre</t>
  </si>
  <si>
    <t>オーバーラップ＿コピーライト一覧</t>
  </si>
  <si>
    <t>「魔王様の街づくり！　～最強のダンジョンは近代都市～」(コミック版)</t>
  </si>
  <si>
    <t>(c)吉川英朗／オーバーラップ　(c)月夜涙／SBクリエイティブ</t>
  </si>
  <si>
    <t>最果てのパラディン</t>
  </si>
  <si>
    <t>(C)奥橋睦　 (C)柳野かなた／オーバーラップ</t>
  </si>
  <si>
    <t>両極性偏愛セックス</t>
  </si>
  <si>
    <t>(C)紫比呂／オーバーラップ</t>
  </si>
  <si>
    <t>オフィスで秘密の甘濡れ婚活～堅物男子の本性はケダモノ</t>
  </si>
  <si>
    <t>(C)片倉みっき・佐々木みお／オーバーラップ</t>
  </si>
  <si>
    <t>九条さんは一晩中抱けるド絶倫～豹変男子のイキすぎ絶頂テクニック</t>
  </si>
  <si>
    <t>(C)星月 奏／オーバーラップ</t>
  </si>
  <si>
    <t>※名字と名前の間にアキ</t>
  </si>
  <si>
    <t>桐生弁護士のXLな愛し方～絶倫オジサマ紳士ととろける蜜夜</t>
  </si>
  <si>
    <t>(C)かきのたすけ／オーバーラップ</t>
  </si>
  <si>
    <t>溺愛バチェラーは極上テクで抱き尽くす～セレブな彼の肉食Hなオスの顔</t>
  </si>
  <si>
    <t>(C)＠R／オーバーラップ</t>
  </si>
  <si>
    <t>ハズレ枠の【状態異常スキル】で最強になった俺がすべてを蹂躙するまで</t>
  </si>
  <si>
    <t>(C)鵜吉しょう・内々けやき　(C)篠崎芳／オーバーラップ</t>
  </si>
  <si>
    <t>TID</t>
  </si>
  <si>
    <t>COPYRIGHT</t>
  </si>
  <si>
    <t>アサシン ichiyo</t>
  </si>
  <si>
    <t>©細野不二彦･信濃川日出雄/ヒーローズ</t>
  </si>
  <si>
    <t>足の裏のイーリス</t>
  </si>
  <si>
    <t>©栗元健太郎･咲/ヒーローズ</t>
  </si>
  <si>
    <t>アトム ザ・ビギニング</t>
  </si>
  <si>
    <t>©手塚プロダクション･ゆうきまさみ･カサハラテツロー/ヒーローズ</t>
  </si>
  <si>
    <t>Ｉｎｆｉｎｉ－Ｔ Ｆｏｒｃｅ</t>
  </si>
  <si>
    <t>©タツノコプロ･小太刀右京･江尻立真/ヒーローズ</t>
  </si>
  <si>
    <t>ULTRAMAN</t>
  </si>
  <si>
    <t>©円谷プロ ©清水栄一･下口智裕/ヒーローズ</t>
  </si>
  <si>
    <t>おにでか！</t>
  </si>
  <si>
    <t>©矢寺圭太/ヒーローズ</t>
  </si>
  <si>
    <t>海傑エルマロ</t>
  </si>
  <si>
    <t>©井上紀良･伊藤福八･中川トシヒロ/ヒーローズ</t>
  </si>
  <si>
    <t>仮面ライダークウガ</t>
  </si>
  <si>
    <t>©石森プロ･東映 ©石ノ森章太郎･井上敏樹･横島一･白倉伸一郎/ヒーローズ</t>
  </si>
  <si>
    <t>キャプテンハンゾーモン</t>
  </si>
  <si>
    <t>©高橋寛行/ヒーローズ</t>
  </si>
  <si>
    <t>キリングバイツ</t>
  </si>
  <si>
    <t>©村田真哉･隅田かずあさ/ヒーローズ</t>
  </si>
  <si>
    <t>禁猟六区</t>
  </si>
  <si>
    <t>©森橋ビンゴ･秋重学/ヒーローズ</t>
  </si>
  <si>
    <t>禁猟六区 コード・アムリタ</t>
  </si>
  <si>
    <t>銀のケルベロス</t>
  </si>
  <si>
    <t>©樹奈緒･Berry Star･逢川里羅/ヒーローズ</t>
  </si>
  <si>
    <t>クアドリガ 徳川四天王</t>
  </si>
  <si>
    <t>©ヒース村中･渡海/ヒーローズ</t>
  </si>
  <si>
    <t>coyote</t>
  </si>
  <si>
    <t>©淡田青/ヒーローズ</t>
  </si>
  <si>
    <t>サイドキック☆ファイティングルール</t>
  </si>
  <si>
    <t>©ナズカトキオ･津島直人･RAZEN/ヒーローズ</t>
  </si>
  <si>
    <t>ザ・アスリーターズ</t>
  </si>
  <si>
    <t>死にたがりの尺度</t>
  </si>
  <si>
    <t>終極のWAVERS</t>
  </si>
  <si>
    <t>©崔海雄･朴晟佑/ヒーローズ</t>
  </si>
  <si>
    <t>戦国SAGA 風魔風神伝</t>
  </si>
  <si>
    <t>©宮本昌孝･村上もとか･かわのいちろう/ヒーローズ</t>
  </si>
  <si>
    <t>セーラーゾンビ</t>
  </si>
  <si>
    <t>©ジジ＆ピンチ･犬童一心/ヒーローズ</t>
  </si>
  <si>
    <t>双翼のギフト</t>
  </si>
  <si>
    <t>©維真由騎･磯咲渓一/ヒーローズ</t>
  </si>
  <si>
    <t>ソウルリヴァイヴァー</t>
  </si>
  <si>
    <t>©藤沢とおる･秋重学/ヒーローズ</t>
  </si>
  <si>
    <t>ソウルリヴァイヴァーＳＯＵＴＨ</t>
  </si>
  <si>
    <t>©藤沢とおる/ヒーローズ</t>
  </si>
  <si>
    <t>ソードガイ 装刀凱</t>
  </si>
  <si>
    <t>©雨宮慶太･井上俊樹･木根ヲサム/ヒーローズ</t>
  </si>
  <si>
    <t>ソードガイ・ヱヴォルヴ</t>
  </si>
  <si>
    <t>大彼女</t>
  </si>
  <si>
    <t>Ｔ－ＤＲＡＧＯＮ</t>
  </si>
  <si>
    <t>©桜谷シュウ/ヒーローズ</t>
  </si>
  <si>
    <t>てっぺん</t>
  </si>
  <si>
    <t>©日下直子/ヒーローズ</t>
  </si>
  <si>
    <t>天威無法-武蔵坊弁慶-</t>
  </si>
  <si>
    <t>©義凡･武村勇治/ヒーローズ</t>
  </si>
  <si>
    <t>天元突破グレンラガン 男一匹編</t>
  </si>
  <si>
    <t>©GAINAX･中島かずき･ののやまさき/ヒーローズ ©Lucent Pictuers･中島かずき2015</t>
  </si>
  <si>
    <t>天元突破グレンラガン 男どアホウ！編</t>
  </si>
  <si>
    <t>天元突破グレンラガン 決戦！男組編</t>
  </si>
  <si>
    <t>特公 零 TOKKO ZERO</t>
  </si>
  <si>
    <t>©藤沢とおる･浅田有皆/ヒーローズ</t>
  </si>
  <si>
    <t>ドラゴンエフェクト 坂本龍馬異聞</t>
  </si>
  <si>
    <t>©池上遼一･山口頼房･K STORM/ヒーローズ</t>
  </si>
  <si>
    <t>ドロロン！お国ちゃん</t>
  </si>
  <si>
    <t>バディ スピリッツ</t>
  </si>
  <si>
    <t>©岸本みゆき･gyuo･黒岩よしひろ/ヒーローズ</t>
  </si>
  <si>
    <t>BABEL</t>
  </si>
  <si>
    <t>©木下半太･井上紀良/ヒーローズ</t>
  </si>
  <si>
    <t>ヒーローカンパニー</t>
  </si>
  <si>
    <t>©島本和彦/ヒーローズ</t>
  </si>
  <si>
    <t>ヒーローマスク</t>
  </si>
  <si>
    <t>©鶴ゆみか･オカベタカシ/ヒーローズ</t>
  </si>
  <si>
    <t>美鬼神伝説 MOMO</t>
  </si>
  <si>
    <t>©沖南数人･Z-ONE･津島直人/ヒーローズ</t>
  </si>
  <si>
    <t>BLUE NEST ブルーネスト</t>
  </si>
  <si>
    <t>©JUN･TAIBOGI/ヒーローズ</t>
  </si>
  <si>
    <t>BOOSKA+ ブースカプラス</t>
  </si>
  <si>
    <t>©円谷プロ ©JIMMY･山科清春･naopu＠FOOM･とくたけきょうこ/ヒーローズ</t>
  </si>
  <si>
    <t>放課後カタストロフィ</t>
  </si>
  <si>
    <t>©猪原賽･平尾リョウ/ヒーローズ</t>
  </si>
  <si>
    <t>ボイスカッション</t>
  </si>
  <si>
    <t>©棚橋なもしろ･小金丸大和/ヒーローズ</t>
  </si>
  <si>
    <t>酩酊！怪獣酒場</t>
  </si>
  <si>
    <t>©円谷プロ ©青木Ｕ平/ヒーローズ</t>
  </si>
</sst>
</file>

<file path=xl/styles.xml><?xml version="1.0" encoding="utf-8"?>
<styleSheet xmlns="http://schemas.openxmlformats.org/spreadsheetml/2006/main" xmlns:x14ac="http://schemas.microsoft.com/office/spreadsheetml/2009/9/ac" xmlns:mc="http://schemas.openxmlformats.org/markup-compatibility/2006">
  <numFmts count="4">
    <numFmt numFmtId="164" formatCode="yyyy/mm/dd"/>
    <numFmt numFmtId="165" formatCode="yyyy/m/d"/>
    <numFmt numFmtId="166" formatCode="yyyy/MM/dd"/>
    <numFmt numFmtId="167" formatCode="m-d"/>
  </numFmts>
  <fonts count="83">
    <font>
      <sz val="11.0"/>
      <color theme="1"/>
      <name val="Calibri"/>
      <scheme val="minor"/>
    </font>
    <font>
      <sz val="9.0"/>
      <color theme="1"/>
      <name val="Calibri"/>
    </font>
    <font>
      <sz val="9.0"/>
      <color rgb="FF000000"/>
      <name val="Calibri"/>
    </font>
    <font>
      <b/>
      <sz val="9.0"/>
      <color rgb="FFFFFFFF"/>
      <name val="Calibri"/>
      <scheme val="minor"/>
    </font>
    <font/>
    <font>
      <sz val="9.0"/>
      <color theme="1"/>
      <name val="Calibri"/>
      <scheme val="minor"/>
    </font>
    <font>
      <b/>
      <sz val="9.0"/>
      <color rgb="FF000000"/>
      <name val="Calibri"/>
    </font>
    <font>
      <b/>
      <sz val="9.0"/>
      <color theme="1"/>
      <name val="Calibri"/>
      <scheme val="minor"/>
    </font>
    <font>
      <b/>
      <sz val="9.0"/>
      <color theme="1"/>
      <name val="Calibri"/>
    </font>
    <font>
      <sz val="10.0"/>
      <color theme="1"/>
      <name val="Meiryo"/>
    </font>
    <font>
      <color theme="1"/>
      <name val="Calibri"/>
      <scheme val="minor"/>
    </font>
    <font>
      <sz val="9.0"/>
      <color rgb="FFFF0000"/>
      <name val="Calibri"/>
    </font>
    <font>
      <sz val="8.0"/>
      <color rgb="FF333333"/>
      <name val="&quot;Hiragino Sans&quot;"/>
    </font>
    <font>
      <u/>
      <sz val="9.0"/>
      <color rgb="FF1155CC"/>
      <name val="Calibri"/>
    </font>
    <font>
      <sz val="9.0"/>
      <color rgb="FF000000"/>
      <name val="Arial"/>
    </font>
    <font>
      <b/>
      <sz val="9.0"/>
      <color rgb="FF000000"/>
      <name val="Arial"/>
    </font>
    <font>
      <sz val="9.0"/>
      <color theme="1"/>
      <name val="Arial"/>
    </font>
    <font>
      <u/>
      <sz val="9.0"/>
      <color rgb="FF000000"/>
      <name val="Calibri"/>
    </font>
    <font>
      <sz val="9.0"/>
      <color rgb="FF1D1C1D"/>
      <name val="NotoSansJP"/>
    </font>
    <font>
      <sz val="9.0"/>
      <color rgb="FF000000"/>
      <name val="Meiryo"/>
    </font>
    <font>
      <sz val="9.0"/>
      <color rgb="FF000000"/>
      <name val="&quot;ＭＳ ゴシック&quot;"/>
    </font>
    <font>
      <sz val="9.0"/>
      <color rgb="FF181726"/>
      <name val="Calibri"/>
    </font>
    <font>
      <u/>
      <sz val="9.0"/>
      <color theme="1"/>
      <name val="Calibri"/>
    </font>
    <font>
      <sz val="9.0"/>
      <color rgb="FF000000"/>
      <name val="Meiryo ui"/>
    </font>
    <font>
      <b/>
      <sz val="9.0"/>
      <color theme="1"/>
      <name val="Arial"/>
    </font>
    <font>
      <strike/>
      <sz val="9.0"/>
      <color theme="1"/>
      <name val="Calibri"/>
    </font>
    <font>
      <strike/>
      <sz val="9.0"/>
      <color rgb="FF000000"/>
      <name val="Calibri"/>
    </font>
    <font>
      <sz val="8.0"/>
      <color theme="1"/>
      <name val="Calibri"/>
    </font>
    <font>
      <sz val="9.0"/>
      <color theme="1"/>
      <name val="Meiryo"/>
    </font>
    <font>
      <b/>
      <i/>
      <sz val="9.0"/>
      <color rgb="FF000000"/>
      <name val="Calibri"/>
    </font>
    <font>
      <sz val="9.0"/>
      <color theme="1"/>
      <name val="MS PGothic"/>
    </font>
    <font>
      <u/>
      <sz val="9.0"/>
      <color rgb="FF000000"/>
      <name val="Calibri"/>
    </font>
    <font>
      <u/>
      <sz val="9.0"/>
      <color rgb="FF000000"/>
      <name val="Calibri"/>
    </font>
    <font>
      <u/>
      <sz val="9.0"/>
      <color theme="1"/>
      <name val="Arial"/>
    </font>
    <font>
      <b/>
      <sz val="9.0"/>
      <color rgb="FF000000"/>
      <name val="&quot;ＭＳ Ｐゴシック&quot;"/>
    </font>
    <font>
      <sz val="9.0"/>
      <color rgb="FF000000"/>
      <name val="&quot;ＭＳ Ｐゴシック&quot;"/>
    </font>
    <font>
      <b/>
      <sz val="14.0"/>
      <color rgb="FFFF0000"/>
      <name val="Arial"/>
    </font>
    <font>
      <sz val="11.0"/>
      <color theme="1"/>
      <name val="Meiryo ui"/>
    </font>
    <font>
      <b/>
      <sz val="11.0"/>
      <color theme="1"/>
      <name val="Meiryo ui"/>
    </font>
    <font>
      <sz val="11.0"/>
      <color theme="1"/>
      <name val="Calibri"/>
    </font>
    <font>
      <sz val="11.0"/>
      <color rgb="FF000000"/>
      <name val="Arial"/>
    </font>
    <font>
      <sz val="11.0"/>
      <color theme="1"/>
      <name val="Arial"/>
    </font>
    <font>
      <u/>
      <sz val="11.0"/>
      <color theme="1"/>
      <name val="Arial"/>
    </font>
    <font>
      <u/>
      <sz val="11.0"/>
      <color rgb="FF0000FF"/>
      <name val="Arial"/>
    </font>
    <font>
      <sz val="11.0"/>
      <color rgb="FFFF0000"/>
      <name val="Arial"/>
    </font>
    <font>
      <u/>
      <sz val="11.0"/>
      <color theme="1"/>
      <name val="Meiryo ui"/>
    </font>
    <font>
      <b/>
      <sz val="11.0"/>
      <color rgb="FFFF0000"/>
      <name val="Arial"/>
    </font>
    <font>
      <sz val="11.0"/>
      <color rgb="FF000000"/>
      <name val="Roboto"/>
    </font>
    <font>
      <b/>
      <sz val="11.0"/>
      <color theme="1"/>
      <name val="Calibri"/>
    </font>
    <font>
      <strike/>
      <sz val="11.0"/>
      <color rgb="FFFF0000"/>
      <name val="Arial"/>
    </font>
    <font>
      <strike/>
      <sz val="11.0"/>
      <color rgb="FF000000"/>
      <name val="Arial"/>
    </font>
    <font>
      <u/>
      <sz val="11.0"/>
      <color theme="1"/>
      <name val="Arial"/>
    </font>
    <font>
      <sz val="10.0"/>
      <color theme="1"/>
      <name val="Calibri"/>
      <scheme val="minor"/>
    </font>
    <font>
      <b/>
      <sz val="10.0"/>
      <color rgb="FFFF0000"/>
      <name val="Arial"/>
    </font>
    <font>
      <sz val="10.0"/>
      <color theme="1"/>
      <name val="Meiryo ui"/>
    </font>
    <font>
      <b/>
      <sz val="10.0"/>
      <color rgb="FF000000"/>
      <name val="Arial"/>
    </font>
    <font>
      <sz val="10.0"/>
      <color theme="1"/>
      <name val="Arial"/>
    </font>
    <font>
      <sz val="10.0"/>
      <color rgb="FFFF0000"/>
      <name val="Arial"/>
    </font>
    <font>
      <sz val="10.0"/>
      <color rgb="FF000000"/>
      <name val="Arial"/>
    </font>
    <font>
      <b/>
      <sz val="14.0"/>
      <color rgb="FFFF0000"/>
      <name val="Meiryo ui"/>
    </font>
    <font>
      <sz val="11.0"/>
      <color rgb="FF000000"/>
      <name val="Calibri"/>
    </font>
    <font>
      <color rgb="FF000000"/>
      <name val="Roboto"/>
    </font>
    <font>
      <sz val="11.0"/>
      <color rgb="FF181726"/>
      <name val="Meiryo"/>
    </font>
    <font>
      <sz val="9.0"/>
      <color rgb="FF181726"/>
      <name val="メイリオ"/>
    </font>
    <font>
      <b/>
      <color theme="1"/>
      <name val="Calibri"/>
      <scheme val="minor"/>
    </font>
    <font>
      <sz val="11.0"/>
      <color rgb="FF000000"/>
      <name val="&quot;ＭＳ Ｐゴシック&quot;"/>
    </font>
    <font>
      <color theme="1"/>
      <name val="Arial"/>
    </font>
    <font>
      <b/>
      <color rgb="FFFF0000"/>
      <name val="Arial"/>
    </font>
    <font>
      <b/>
      <color rgb="FFFF0000"/>
      <name val="Calibri"/>
      <scheme val="minor"/>
    </font>
    <font>
      <b/>
      <color rgb="FFFFFFFF"/>
      <name val="Arial"/>
    </font>
    <font>
      <u/>
      <color rgb="FF0000FF"/>
    </font>
    <font>
      <b/>
      <sz val="20.0"/>
      <color rgb="FF000000"/>
      <name val="&quot;Meiryo UI&quot;"/>
    </font>
    <font>
      <b/>
      <sz val="18.0"/>
      <color rgb="FF000000"/>
      <name val="&quot;Meiryo UI&quot;"/>
    </font>
    <font>
      <sz val="9.0"/>
      <color rgb="FF000000"/>
      <name val="メイリオ"/>
    </font>
    <font>
      <sz val="9.0"/>
      <color rgb="FFFF0000"/>
      <name val="メイリオ"/>
    </font>
    <font>
      <b/>
      <sz val="18.0"/>
      <color theme="1"/>
      <name val="&quot;MS PGothic&quot;"/>
    </font>
    <font>
      <b/>
      <sz val="11.0"/>
      <color rgb="FF000000"/>
      <name val="&quot;MS PGothic&quot;"/>
    </font>
    <font>
      <sz val="11.0"/>
      <color theme="1"/>
      <name val="&quot;MS PGothic&quot;"/>
    </font>
    <font>
      <b/>
      <sz val="11.0"/>
      <color rgb="FFFF0000"/>
      <name val="&quot;MS PGothic&quot;"/>
    </font>
    <font>
      <b/>
      <sz val="36.0"/>
      <color theme="1"/>
      <name val="Calibri"/>
      <scheme val="minor"/>
    </font>
    <font>
      <b/>
      <sz val="15.0"/>
      <color theme="1"/>
      <name val="Calibri"/>
      <scheme val="minor"/>
    </font>
    <font>
      <color rgb="FFFFFFFF"/>
      <name val="Calibri"/>
      <scheme val="minor"/>
    </font>
    <font>
      <sz val="11.0"/>
      <color rgb="FF000000"/>
      <name val="&quot;\&quot;ＭＳ Ｐゴシック\&quot;&quot;"/>
    </font>
  </fonts>
  <fills count="20">
    <fill>
      <patternFill patternType="none"/>
    </fill>
    <fill>
      <patternFill patternType="lightGray"/>
    </fill>
    <fill>
      <patternFill patternType="solid">
        <fgColor rgb="FFFFCCFF"/>
        <bgColor rgb="FFFFCCFF"/>
      </patternFill>
    </fill>
    <fill>
      <patternFill patternType="solid">
        <fgColor rgb="FF741B47"/>
        <bgColor rgb="FF741B47"/>
      </patternFill>
    </fill>
    <fill>
      <patternFill patternType="solid">
        <fgColor rgb="FFF4CCCC"/>
        <bgColor rgb="FFF4CCCC"/>
      </patternFill>
    </fill>
    <fill>
      <patternFill patternType="solid">
        <fgColor rgb="FFFFFFFF"/>
        <bgColor rgb="FFFFFFFF"/>
      </patternFill>
    </fill>
    <fill>
      <patternFill patternType="solid">
        <fgColor rgb="FFFAD2D2"/>
        <bgColor rgb="FFFAD2D2"/>
      </patternFill>
    </fill>
    <fill>
      <patternFill patternType="solid">
        <fgColor rgb="FFF8F8F8"/>
        <bgColor rgb="FFF8F8F8"/>
      </patternFill>
    </fill>
    <fill>
      <patternFill patternType="solid">
        <fgColor rgb="FFB7B7B7"/>
        <bgColor rgb="FFB7B7B7"/>
      </patternFill>
    </fill>
    <fill>
      <patternFill patternType="solid">
        <fgColor theme="0"/>
        <bgColor theme="0"/>
      </patternFill>
    </fill>
    <fill>
      <patternFill patternType="solid">
        <fgColor rgb="FFEAD1DC"/>
        <bgColor rgb="FFEAD1DC"/>
      </patternFill>
    </fill>
    <fill>
      <patternFill patternType="solid">
        <fgColor rgb="FFFFFF00"/>
        <bgColor rgb="FFFFFF00"/>
      </patternFill>
    </fill>
    <fill>
      <patternFill patternType="solid">
        <fgColor rgb="FF999999"/>
        <bgColor rgb="FF999999"/>
      </patternFill>
    </fill>
    <fill>
      <patternFill patternType="solid">
        <fgColor rgb="FFCFE2F3"/>
        <bgColor rgb="FFCFE2F3"/>
      </patternFill>
    </fill>
    <fill>
      <patternFill patternType="solid">
        <fgColor rgb="FFF6B26B"/>
        <bgColor rgb="FFF6B26B"/>
      </patternFill>
    </fill>
    <fill>
      <patternFill patternType="solid">
        <fgColor rgb="FFDDEBF7"/>
        <bgColor rgb="FFDDEBF7"/>
      </patternFill>
    </fill>
    <fill>
      <patternFill patternType="solid">
        <fgColor rgb="FFCCFFCC"/>
        <bgColor rgb="FFCCFFCC"/>
      </patternFill>
    </fill>
    <fill>
      <patternFill patternType="solid">
        <fgColor rgb="FFFFE1F6"/>
        <bgColor rgb="FFFFE1F6"/>
      </patternFill>
    </fill>
    <fill>
      <patternFill patternType="solid">
        <fgColor rgb="FFDF3BCB"/>
        <bgColor rgb="FFDF3BCB"/>
      </patternFill>
    </fill>
    <fill>
      <patternFill patternType="solid">
        <fgColor rgb="FFEFEFEF"/>
        <bgColor rgb="FFEFEFEF"/>
      </patternFill>
    </fill>
  </fills>
  <borders count="31">
    <border/>
    <border>
      <left style="thin">
        <color rgb="FF999999"/>
      </left>
      <right style="thin">
        <color rgb="FF999999"/>
      </right>
      <top style="thin">
        <color rgb="FF999999"/>
      </top>
      <bottom style="thin">
        <color rgb="FF999999"/>
      </bottom>
    </border>
    <border>
      <left style="thin">
        <color rgb="FF999999"/>
      </left>
      <top style="thin">
        <color rgb="FF999999"/>
      </top>
      <bottom style="thin">
        <color rgb="FF999999"/>
      </bottom>
    </border>
    <border>
      <right style="thin">
        <color rgb="FF999999"/>
      </right>
      <top style="thin">
        <color rgb="FF999999"/>
      </top>
      <bottom style="thin">
        <color rgb="FF999999"/>
      </bottom>
    </border>
    <border>
      <left style="thin">
        <color rgb="FF7F7F7F"/>
      </left>
      <right style="thin">
        <color rgb="FF7F7F7F"/>
      </right>
      <top style="thin">
        <color rgb="FF7F7F7F"/>
      </top>
      <bottom style="thin">
        <color rgb="FF7F7F7F"/>
      </bottom>
    </border>
    <border>
      <left style="thin">
        <color rgb="FFCCD5DD"/>
      </left>
      <right style="thin">
        <color rgb="FFCCD5DD"/>
      </right>
      <top style="thin">
        <color rgb="FFCCD5DD"/>
      </top>
      <bottom style="thin">
        <color rgb="FFCCD5DD"/>
      </bottom>
    </border>
    <border>
      <left style="thin">
        <color rgb="FF999999"/>
      </left>
      <right style="thin">
        <color rgb="FF999999"/>
      </right>
      <top style="thin">
        <color rgb="FF999999"/>
      </top>
    </border>
    <border>
      <left style="thin">
        <color rgb="FF999999"/>
      </left>
      <right style="thin">
        <color rgb="FF999999"/>
      </right>
    </border>
    <border>
      <left style="thin">
        <color rgb="FF999999"/>
      </left>
      <right style="thin">
        <color rgb="FF999999"/>
      </right>
      <bottom style="thin">
        <color rgb="FF999999"/>
      </bottom>
    </border>
    <border>
      <left style="thin">
        <color rgb="FF000000"/>
      </left>
      <right style="thin">
        <color rgb="FF000000"/>
      </right>
      <top style="thin">
        <color rgb="FF000000"/>
      </top>
      <bottom style="thin">
        <color rgb="FF000000"/>
      </bottom>
    </border>
    <border>
      <left/>
      <right style="thin">
        <color rgb="FF000000"/>
      </right>
      <top/>
      <bottom/>
    </border>
    <border>
      <right style="thin">
        <color rgb="FF000000"/>
      </right>
    </border>
    <border>
      <left/>
      <right style="thin">
        <color rgb="FF000000"/>
      </right>
      <top/>
    </border>
    <border>
      <left/>
      <right/>
      <top/>
      <bottom/>
    </border>
    <border>
      <left/>
      <right style="thin">
        <color rgb="FF000000"/>
      </right>
    </border>
    <border>
      <left/>
      <right style="thin">
        <color rgb="FF000000"/>
      </right>
      <bottom/>
    </border>
    <border>
      <right style="thin">
        <color rgb="FF000000"/>
      </right>
      <top/>
      <bottom/>
    </border>
    <border>
      <left style="thin">
        <color rgb="FF000000"/>
      </left>
      <right style="thin">
        <color rgb="FF000000"/>
      </right>
    </border>
    <border>
      <left style="thin">
        <color rgb="FF000000"/>
      </left>
    </border>
    <border>
      <left style="thin">
        <color rgb="FF666666"/>
      </left>
      <right style="thin">
        <color rgb="FF666666"/>
      </right>
      <top style="thin">
        <color rgb="FF666666"/>
      </top>
      <bottom style="thin">
        <color rgb="FF666666"/>
      </bottom>
    </border>
    <border>
      <left style="thin">
        <color rgb="FF666666"/>
      </left>
      <right style="thin">
        <color rgb="FF666666"/>
      </right>
      <top style="thin">
        <color rgb="FF666666"/>
      </top>
    </border>
    <border>
      <left style="thin">
        <color rgb="FFB7B7B7"/>
      </left>
      <right style="thin">
        <color rgb="FFB7B7B7"/>
      </right>
      <top style="thin">
        <color rgb="FFB7B7B7"/>
      </top>
      <bottom style="thin">
        <color rgb="FFB7B7B7"/>
      </bottom>
    </border>
    <border>
      <right style="thin">
        <color rgb="FF000000"/>
      </right>
      <top style="thin">
        <color rgb="FF000000"/>
      </top>
      <bottom style="thin">
        <color rgb="FF000000"/>
      </bottom>
    </border>
    <border>
      <left style="thin">
        <color rgb="FF000000"/>
      </left>
      <top style="thin">
        <color rgb="FF000000"/>
      </top>
    </border>
    <border>
      <top style="thin">
        <color rgb="FF000000"/>
      </top>
    </border>
    <border>
      <right style="thin">
        <color rgb="FF000000"/>
      </right>
      <top style="thin">
        <color rgb="FF000000"/>
      </top>
    </border>
    <border>
      <left style="thin">
        <color rgb="FF000000"/>
      </left>
      <right style="thin">
        <color rgb="FF000000"/>
      </right>
      <top style="thin">
        <color rgb="FF000000"/>
      </top>
    </border>
    <border>
      <left style="thin">
        <color rgb="FF000000"/>
      </left>
      <bottom style="thin">
        <color rgb="FF000000"/>
      </bottom>
    </border>
    <border>
      <bottom style="thin">
        <color rgb="FF000000"/>
      </bottom>
    </border>
    <border>
      <right style="thin">
        <color rgb="FF000000"/>
      </right>
      <bottom style="thin">
        <color rgb="FF000000"/>
      </bottom>
    </border>
    <border>
      <left style="thin">
        <color rgb="FF000000"/>
      </left>
      <right style="thin">
        <color rgb="FF000000"/>
      </right>
      <bottom style="thin">
        <color rgb="FF000000"/>
      </bottom>
    </border>
  </borders>
  <cellStyleXfs count="1">
    <xf borderId="0" fillId="0" fontId="0" numFmtId="0" applyAlignment="1" applyFont="1"/>
  </cellStyleXfs>
  <cellXfs count="513">
    <xf borderId="0" fillId="0" fontId="0" numFmtId="0" xfId="0" applyAlignment="1" applyFont="1">
      <alignment readingOrder="0" shrinkToFit="0" vertical="bottom" wrapText="0"/>
    </xf>
    <xf borderId="1" fillId="2" fontId="1" numFmtId="0" xfId="0" applyAlignment="1" applyBorder="1" applyFill="1" applyFont="1">
      <alignment horizontal="center" readingOrder="0" shrinkToFit="0" vertical="center" wrapText="1"/>
    </xf>
    <xf borderId="1" fillId="2" fontId="1" numFmtId="0" xfId="0" applyAlignment="1" applyBorder="1" applyFont="1">
      <alignment horizontal="center" shrinkToFit="0" vertical="center" wrapText="1"/>
    </xf>
    <xf borderId="1" fillId="2" fontId="2" numFmtId="0" xfId="0" applyAlignment="1" applyBorder="1" applyFont="1">
      <alignment horizontal="center" readingOrder="0" shrinkToFit="0" vertical="center" wrapText="1"/>
    </xf>
    <xf borderId="1" fillId="2" fontId="2" numFmtId="0" xfId="0" applyAlignment="1" applyBorder="1" applyFont="1">
      <alignment horizontal="left" readingOrder="0" shrinkToFit="0" vertical="center" wrapText="1"/>
    </xf>
    <xf borderId="1" fillId="2" fontId="2" numFmtId="0" xfId="0" applyAlignment="1" applyBorder="1" applyFont="1">
      <alignment horizontal="center" shrinkToFit="0" vertical="center" wrapText="1"/>
    </xf>
    <xf borderId="2" fillId="3" fontId="3" numFmtId="0" xfId="0" applyAlignment="1" applyBorder="1" applyFill="1" applyFont="1">
      <alignment horizontal="center" readingOrder="0" shrinkToFit="0" vertical="center" wrapText="1"/>
    </xf>
    <xf borderId="3" fillId="0" fontId="4" numFmtId="0" xfId="0" applyBorder="1" applyFont="1"/>
    <xf borderId="1" fillId="0" fontId="5" numFmtId="0" xfId="0" applyAlignment="1" applyBorder="1" applyFont="1">
      <alignment shrinkToFit="0" vertical="center" wrapText="1"/>
    </xf>
    <xf borderId="1" fillId="4" fontId="1" numFmtId="0" xfId="0" applyAlignment="1" applyBorder="1" applyFill="1" applyFont="1">
      <alignment horizontal="center" shrinkToFit="0" vertical="center" wrapText="1"/>
    </xf>
    <xf borderId="1" fillId="0" fontId="1" numFmtId="0" xfId="0" applyAlignment="1" applyBorder="1" applyFont="1">
      <alignment shrinkToFit="0" vertical="center" wrapText="1"/>
    </xf>
    <xf borderId="1" fillId="0" fontId="1" numFmtId="0" xfId="0" applyAlignment="1" applyBorder="1" applyFont="1">
      <alignment horizontal="center" shrinkToFit="0" vertical="center" wrapText="1"/>
    </xf>
    <xf borderId="1" fillId="5" fontId="2" numFmtId="0" xfId="0" applyAlignment="1" applyBorder="1" applyFill="1" applyFont="1">
      <alignment horizontal="center" readingOrder="0" shrinkToFit="0" vertical="center" wrapText="1"/>
    </xf>
    <xf borderId="1" fillId="5" fontId="6" numFmtId="0" xfId="0" applyAlignment="1" applyBorder="1" applyFont="1">
      <alignment horizontal="left" shrinkToFit="0" vertical="center" wrapText="1"/>
    </xf>
    <xf borderId="1" fillId="0" fontId="1" numFmtId="0" xfId="0" applyBorder="1" applyFont="1"/>
    <xf borderId="1" fillId="0" fontId="7" numFmtId="0" xfId="0" applyAlignment="1" applyBorder="1" applyFont="1">
      <alignment vertical="center"/>
    </xf>
    <xf borderId="1" fillId="0" fontId="5" numFmtId="0" xfId="0" applyAlignment="1" applyBorder="1" applyFont="1">
      <alignment vertical="center"/>
    </xf>
    <xf borderId="1" fillId="0" fontId="5" numFmtId="0" xfId="0" applyBorder="1" applyFont="1"/>
    <xf borderId="1" fillId="5" fontId="2" numFmtId="0" xfId="0" applyAlignment="1" applyBorder="1" applyFont="1">
      <alignment horizontal="left" shrinkToFit="0" vertical="center" wrapText="1"/>
    </xf>
    <xf borderId="1" fillId="0" fontId="8" numFmtId="0" xfId="0" applyAlignment="1" applyBorder="1" applyFont="1">
      <alignment shrinkToFit="0" vertical="center" wrapText="1"/>
    </xf>
    <xf borderId="1" fillId="5" fontId="2" numFmtId="0" xfId="0" applyAlignment="1" applyBorder="1" applyFont="1">
      <alignment horizontal="left" readingOrder="0" shrinkToFit="0" vertical="center" wrapText="1"/>
    </xf>
    <xf borderId="1" fillId="0" fontId="1" numFmtId="0" xfId="0" applyAlignment="1" applyBorder="1" applyFont="1">
      <alignment readingOrder="0"/>
    </xf>
    <xf borderId="4" fillId="0" fontId="9" numFmtId="0" xfId="0" applyAlignment="1" applyBorder="1" applyFont="1">
      <alignment readingOrder="0"/>
    </xf>
    <xf borderId="0" fillId="0" fontId="10" numFmtId="0" xfId="0" applyFont="1"/>
    <xf borderId="1" fillId="5" fontId="6" numFmtId="0" xfId="0" applyAlignment="1" applyBorder="1" applyFont="1">
      <alignment horizontal="center" readingOrder="0" shrinkToFit="0" vertical="center" wrapText="1"/>
    </xf>
    <xf borderId="1" fillId="5" fontId="6" numFmtId="0" xfId="0" applyAlignment="1" applyBorder="1" applyFont="1">
      <alignment horizontal="left" readingOrder="0" shrinkToFit="0" vertical="center" wrapText="1"/>
    </xf>
    <xf borderId="1" fillId="0" fontId="1" numFmtId="0" xfId="0" applyAlignment="1" applyBorder="1" applyFont="1">
      <alignment readingOrder="0" shrinkToFit="0" vertical="center" wrapText="1"/>
    </xf>
    <xf borderId="1" fillId="5" fontId="1" numFmtId="0" xfId="0" applyAlignment="1" applyBorder="1" applyFont="1">
      <alignment horizontal="left" shrinkToFit="0" vertical="center" wrapText="1"/>
    </xf>
    <xf borderId="1" fillId="0" fontId="11" numFmtId="0" xfId="0" applyAlignment="1" applyBorder="1" applyFont="1">
      <alignment horizontal="center" shrinkToFit="0" vertical="center" wrapText="1"/>
    </xf>
    <xf borderId="1" fillId="0" fontId="11" numFmtId="0" xfId="0" applyAlignment="1" applyBorder="1" applyFont="1">
      <alignment horizontal="center" readingOrder="0" shrinkToFit="0" vertical="center" wrapText="1"/>
    </xf>
    <xf borderId="1" fillId="4" fontId="1" numFmtId="0" xfId="0" applyAlignment="1" applyBorder="1" applyFont="1">
      <alignment horizontal="center" readingOrder="0" shrinkToFit="0" vertical="center" wrapText="1"/>
    </xf>
    <xf borderId="1" fillId="5" fontId="1" numFmtId="0" xfId="0" applyAlignment="1" applyBorder="1" applyFont="1">
      <alignment shrinkToFit="0" vertical="center" wrapText="1"/>
    </xf>
    <xf borderId="1" fillId="5" fontId="11" numFmtId="0" xfId="0" applyAlignment="1" applyBorder="1" applyFont="1">
      <alignment horizontal="center" shrinkToFit="0" vertical="center" wrapText="1"/>
    </xf>
    <xf borderId="1" fillId="5" fontId="1" numFmtId="0" xfId="0" applyBorder="1" applyFont="1"/>
    <xf borderId="1" fillId="5" fontId="7" numFmtId="0" xfId="0" applyAlignment="1" applyBorder="1" applyFont="1">
      <alignment vertical="center"/>
    </xf>
    <xf borderId="1" fillId="5" fontId="5" numFmtId="0" xfId="0" applyAlignment="1" applyBorder="1" applyFont="1">
      <alignment vertical="center"/>
    </xf>
    <xf borderId="1" fillId="5" fontId="5" numFmtId="0" xfId="0" applyBorder="1" applyFont="1"/>
    <xf borderId="5" fillId="6" fontId="12" numFmtId="0" xfId="0" applyAlignment="1" applyBorder="1" applyFill="1" applyFont="1">
      <alignment horizontal="left" readingOrder="0" shrinkToFit="0" vertical="top" wrapText="0"/>
    </xf>
    <xf borderId="5" fillId="6" fontId="12" numFmtId="0" xfId="0" applyAlignment="1" applyBorder="1" applyFont="1">
      <alignment horizontal="left" shrinkToFit="0" vertical="top" wrapText="0"/>
    </xf>
    <xf borderId="0" fillId="5" fontId="12" numFmtId="0" xfId="0" applyAlignment="1" applyFont="1">
      <alignment horizontal="left" shrinkToFit="0" wrapText="0"/>
    </xf>
    <xf borderId="1" fillId="0" fontId="2" numFmtId="0" xfId="0" applyBorder="1" applyFont="1"/>
    <xf borderId="1" fillId="4" fontId="2" numFmtId="0" xfId="0" applyAlignment="1" applyBorder="1" applyFont="1">
      <alignment horizontal="center" shrinkToFit="0" vertical="center" wrapText="1"/>
    </xf>
    <xf borderId="6" fillId="4" fontId="1" numFmtId="0" xfId="0" applyAlignment="1" applyBorder="1" applyFont="1">
      <alignment horizontal="center" shrinkToFit="0" vertical="center" wrapText="1"/>
    </xf>
    <xf borderId="6" fillId="0" fontId="11" numFmtId="0" xfId="0" applyAlignment="1" applyBorder="1" applyFont="1">
      <alignment horizontal="center" shrinkToFit="0" vertical="center" wrapText="1"/>
    </xf>
    <xf borderId="6" fillId="5" fontId="2" numFmtId="0" xfId="0" applyAlignment="1" applyBorder="1" applyFont="1">
      <alignment horizontal="center" readingOrder="0" shrinkToFit="0" vertical="center" wrapText="1"/>
    </xf>
    <xf borderId="6" fillId="5" fontId="2" numFmtId="0" xfId="0" applyAlignment="1" applyBorder="1" applyFont="1">
      <alignment horizontal="left" readingOrder="0" shrinkToFit="0" vertical="center" wrapText="1"/>
    </xf>
    <xf borderId="6" fillId="0" fontId="1" numFmtId="0" xfId="0" applyAlignment="1" applyBorder="1" applyFont="1">
      <alignment readingOrder="0" shrinkToFit="0" vertical="center" wrapText="1"/>
    </xf>
    <xf borderId="6" fillId="0" fontId="2" numFmtId="0" xfId="0" applyBorder="1" applyFont="1"/>
    <xf borderId="6" fillId="0" fontId="7" numFmtId="0" xfId="0" applyAlignment="1" applyBorder="1" applyFont="1">
      <alignment readingOrder="0" vertical="center"/>
    </xf>
    <xf borderId="6" fillId="0" fontId="5" numFmtId="0" xfId="0" applyAlignment="1" applyBorder="1" applyFont="1">
      <alignment readingOrder="0" vertical="center"/>
    </xf>
    <xf borderId="7" fillId="0" fontId="4" numFmtId="0" xfId="0" applyBorder="1" applyFont="1"/>
    <xf borderId="8" fillId="0" fontId="4" numFmtId="0" xfId="0" applyBorder="1" applyFont="1"/>
    <xf borderId="1" fillId="4" fontId="2" numFmtId="0" xfId="0" applyAlignment="1" applyBorder="1" applyFont="1">
      <alignment horizontal="center" readingOrder="0" shrinkToFit="0" vertical="center" wrapText="1"/>
    </xf>
    <xf borderId="1" fillId="0" fontId="13" numFmtId="0" xfId="0" applyAlignment="1" applyBorder="1" applyFont="1">
      <alignment readingOrder="0" shrinkToFit="0" vertical="center" wrapText="1"/>
    </xf>
    <xf borderId="1" fillId="0" fontId="2" numFmtId="0" xfId="0" applyAlignment="1" applyBorder="1" applyFont="1">
      <alignment shrinkToFit="0" wrapText="1"/>
    </xf>
    <xf borderId="6" fillId="4" fontId="1" numFmtId="0" xfId="0" applyAlignment="1" applyBorder="1" applyFont="1">
      <alignment horizontal="center" readingOrder="0" shrinkToFit="0" vertical="center" wrapText="1"/>
    </xf>
    <xf borderId="1" fillId="5" fontId="14" numFmtId="0" xfId="0" applyAlignment="1" applyBorder="1" applyFont="1">
      <alignment horizontal="center" readingOrder="0" shrinkToFit="0" vertical="center" wrapText="1"/>
    </xf>
    <xf borderId="6" fillId="5" fontId="14" numFmtId="0" xfId="0" applyAlignment="1" applyBorder="1" applyFont="1">
      <alignment horizontal="center" readingOrder="0" shrinkToFit="0" vertical="center" wrapText="1"/>
    </xf>
    <xf borderId="1" fillId="5" fontId="15" numFmtId="0" xfId="0" applyAlignment="1" applyBorder="1" applyFont="1">
      <alignment horizontal="left" readingOrder="0" shrinkToFit="0" vertical="center" wrapText="1"/>
    </xf>
    <xf borderId="6" fillId="5" fontId="14" numFmtId="0" xfId="0" applyAlignment="1" applyBorder="1" applyFont="1">
      <alignment horizontal="left" readingOrder="0" shrinkToFit="0" vertical="center" wrapText="1"/>
    </xf>
    <xf borderId="1" fillId="0" fontId="5" numFmtId="0" xfId="0" applyAlignment="1" applyBorder="1" applyFont="1">
      <alignment readingOrder="0"/>
    </xf>
    <xf borderId="6" fillId="0" fontId="1" numFmtId="0" xfId="0" applyAlignment="1" applyBorder="1" applyFont="1">
      <alignment horizontal="center" shrinkToFit="0" vertical="center" wrapText="1"/>
    </xf>
    <xf borderId="1" fillId="5" fontId="1" numFmtId="0" xfId="0" applyAlignment="1" applyBorder="1" applyFont="1">
      <alignment horizontal="center" readingOrder="0" vertical="center"/>
    </xf>
    <xf borderId="1" fillId="5" fontId="8" numFmtId="0" xfId="0" applyAlignment="1" applyBorder="1" applyFont="1">
      <alignment horizontal="left" shrinkToFit="0" vertical="center" wrapText="1"/>
    </xf>
    <xf borderId="1" fillId="0" fontId="16" numFmtId="0" xfId="0" applyAlignment="1" applyBorder="1" applyFont="1">
      <alignment horizontal="center" readingOrder="0" shrinkToFit="0" vertical="center" wrapText="1"/>
    </xf>
    <xf borderId="1" fillId="0" fontId="7" numFmtId="0" xfId="0" applyAlignment="1" applyBorder="1" applyFont="1">
      <alignment readingOrder="0" vertical="center"/>
    </xf>
    <xf borderId="1" fillId="0" fontId="5" numFmtId="0" xfId="0" applyAlignment="1" applyBorder="1" applyFont="1">
      <alignment readingOrder="0" vertical="center"/>
    </xf>
    <xf borderId="1" fillId="5" fontId="1" numFmtId="0" xfId="0" applyAlignment="1" applyBorder="1" applyFont="1">
      <alignment horizontal="left" readingOrder="0" shrinkToFit="0" vertical="center" wrapText="1"/>
    </xf>
    <xf borderId="6" fillId="0" fontId="2" numFmtId="0" xfId="0" applyAlignment="1" applyBorder="1" applyFont="1">
      <alignment readingOrder="0" shrinkToFit="0" vertical="center" wrapText="1"/>
    </xf>
    <xf borderId="1" fillId="5" fontId="8" numFmtId="0" xfId="0" applyAlignment="1" applyBorder="1" applyFont="1">
      <alignment horizontal="left" readingOrder="0" shrinkToFit="0" vertical="center" wrapText="1"/>
    </xf>
    <xf borderId="6" fillId="0" fontId="1" numFmtId="0" xfId="0" applyAlignment="1" applyBorder="1" applyFont="1">
      <alignment shrinkToFit="0" vertical="center" wrapText="1"/>
    </xf>
    <xf borderId="6" fillId="0" fontId="1" numFmtId="0" xfId="0" applyBorder="1" applyFont="1"/>
    <xf borderId="1" fillId="5" fontId="17" numFmtId="0" xfId="0" applyAlignment="1" applyBorder="1" applyFont="1">
      <alignment horizontal="left" readingOrder="0" shrinkToFit="0" vertical="center" wrapText="1"/>
    </xf>
    <xf borderId="1" fillId="0" fontId="2" numFmtId="0" xfId="0" applyAlignment="1" applyBorder="1" applyFont="1">
      <alignment horizontal="left" readingOrder="0" shrinkToFit="0" vertical="center" wrapText="1"/>
    </xf>
    <xf borderId="1" fillId="5" fontId="1" numFmtId="0" xfId="0" applyAlignment="1" applyBorder="1" applyFont="1">
      <alignment horizontal="center" readingOrder="0" shrinkToFit="0" vertical="center" wrapText="1"/>
    </xf>
    <xf borderId="6" fillId="5" fontId="1" numFmtId="0" xfId="0" applyAlignment="1" applyBorder="1" applyFont="1">
      <alignment horizontal="center" readingOrder="0" shrinkToFit="0" vertical="center" wrapText="1"/>
    </xf>
    <xf borderId="6" fillId="5" fontId="2" numFmtId="0" xfId="0" applyAlignment="1" applyBorder="1" applyFont="1">
      <alignment horizontal="left" shrinkToFit="0" vertical="center" wrapText="1"/>
    </xf>
    <xf borderId="1" fillId="0" fontId="2" numFmtId="0" xfId="0" applyAlignment="1" applyBorder="1" applyFont="1">
      <alignment shrinkToFit="0" vertical="center" wrapText="1"/>
    </xf>
    <xf borderId="1" fillId="0" fontId="2" numFmtId="0" xfId="0" applyAlignment="1" applyBorder="1" applyFont="1">
      <alignment horizontal="center" readingOrder="0" shrinkToFit="0" vertical="center" wrapText="1"/>
    </xf>
    <xf borderId="6" fillId="4" fontId="2" numFmtId="0" xfId="0" applyAlignment="1" applyBorder="1" applyFont="1">
      <alignment horizontal="center" readingOrder="0" shrinkToFit="0" vertical="center" wrapText="1"/>
    </xf>
    <xf borderId="6" fillId="5" fontId="6" numFmtId="0" xfId="0" applyAlignment="1" applyBorder="1" applyFont="1">
      <alignment horizontal="left" readingOrder="0" shrinkToFit="0" vertical="center" wrapText="1"/>
    </xf>
    <xf borderId="1" fillId="5" fontId="1" numFmtId="0" xfId="0" applyAlignment="1" applyBorder="1" applyFont="1">
      <alignment readingOrder="0" shrinkToFit="0" vertical="center" wrapText="1"/>
    </xf>
    <xf borderId="1" fillId="5" fontId="1" numFmtId="0" xfId="0" applyAlignment="1" applyBorder="1" applyFont="1">
      <alignment horizontal="center" shrinkToFit="0" vertical="center" wrapText="1"/>
    </xf>
    <xf borderId="1" fillId="0" fontId="2" numFmtId="0" xfId="0" applyAlignment="1" applyBorder="1" applyFont="1">
      <alignment readingOrder="0"/>
    </xf>
    <xf borderId="1" fillId="5" fontId="11" numFmtId="0" xfId="0" applyAlignment="1" applyBorder="1" applyFont="1">
      <alignment horizontal="center" readingOrder="0" shrinkToFit="0" vertical="center" wrapText="1"/>
    </xf>
    <xf borderId="6" fillId="0" fontId="1" numFmtId="0" xfId="0" applyAlignment="1" applyBorder="1" applyFont="1">
      <alignment horizontal="center" readingOrder="0" shrinkToFit="0" vertical="center" wrapText="1"/>
    </xf>
    <xf borderId="6" fillId="5" fontId="11" numFmtId="0" xfId="0" applyAlignment="1" applyBorder="1" applyFont="1">
      <alignment horizontal="center" readingOrder="0" shrinkToFit="0" vertical="center" wrapText="1"/>
    </xf>
    <xf borderId="1" fillId="7" fontId="18" numFmtId="0" xfId="0" applyAlignment="1" applyBorder="1" applyFill="1" applyFont="1">
      <alignment horizontal="left" readingOrder="0" shrinkToFit="0" vertical="center" wrapText="1"/>
    </xf>
    <xf borderId="1" fillId="0" fontId="19" numFmtId="0" xfId="0" applyAlignment="1" applyBorder="1" applyFont="1">
      <alignment readingOrder="0" shrinkToFit="0" vertical="center" wrapText="1"/>
    </xf>
    <xf borderId="1" fillId="0" fontId="20" numFmtId="0" xfId="0" applyAlignment="1" applyBorder="1" applyFont="1">
      <alignment readingOrder="0" shrinkToFit="0" wrapText="0"/>
    </xf>
    <xf borderId="1" fillId="0" fontId="1" numFmtId="0" xfId="0" applyAlignment="1" applyBorder="1" applyFont="1">
      <alignment shrinkToFit="0" wrapText="1"/>
    </xf>
    <xf borderId="1" fillId="0" fontId="1" numFmtId="0" xfId="0" applyAlignment="1" applyBorder="1" applyFont="1">
      <alignment readingOrder="0" vertical="center"/>
    </xf>
    <xf borderId="1" fillId="0" fontId="11" numFmtId="0" xfId="0" applyAlignment="1" applyBorder="1" applyFont="1">
      <alignment horizontal="center" readingOrder="0" vertical="center"/>
    </xf>
    <xf borderId="6" fillId="0" fontId="11" numFmtId="0" xfId="0" applyAlignment="1" applyBorder="1" applyFont="1">
      <alignment horizontal="center" readingOrder="0" shrinkToFit="0" vertical="center" wrapText="1"/>
    </xf>
    <xf borderId="6" fillId="0" fontId="1" numFmtId="0" xfId="0" applyAlignment="1" applyBorder="1" applyFont="1">
      <alignment horizontal="left" readingOrder="0" shrinkToFit="0" vertical="center" wrapText="1"/>
    </xf>
    <xf borderId="1" fillId="4" fontId="21" numFmtId="0" xfId="0" applyAlignment="1" applyBorder="1" applyFont="1">
      <alignment horizontal="center" readingOrder="0"/>
    </xf>
    <xf borderId="1" fillId="0" fontId="2" numFmtId="0" xfId="0" applyAlignment="1" applyBorder="1" applyFont="1">
      <alignment readingOrder="0" shrinkToFit="0" vertical="center" wrapText="1"/>
    </xf>
    <xf borderId="1" fillId="4" fontId="2" numFmtId="0" xfId="0" applyAlignment="1" applyBorder="1" applyFont="1">
      <alignment horizontal="center" shrinkToFit="0" vertical="center" wrapText="1"/>
    </xf>
    <xf borderId="6" fillId="5" fontId="6" numFmtId="0" xfId="0" applyAlignment="1" applyBorder="1" applyFont="1">
      <alignment horizontal="left" shrinkToFit="0" vertical="center" wrapText="1"/>
    </xf>
    <xf borderId="1" fillId="5" fontId="1" numFmtId="0" xfId="0" applyAlignment="1" applyBorder="1" applyFont="1">
      <alignment horizontal="left" readingOrder="0" shrinkToFit="0" vertical="center" wrapText="1"/>
    </xf>
    <xf borderId="1" fillId="0" fontId="22" numFmtId="0" xfId="0" applyAlignment="1" applyBorder="1" applyFont="1">
      <alignment readingOrder="0" shrinkToFit="0" vertical="center" wrapText="1"/>
    </xf>
    <xf borderId="1" fillId="5" fontId="23" numFmtId="0" xfId="0" applyAlignment="1" applyBorder="1" applyFont="1">
      <alignment readingOrder="0" shrinkToFit="0" vertical="center" wrapText="1"/>
    </xf>
    <xf borderId="6" fillId="0" fontId="2" numFmtId="0" xfId="0" applyAlignment="1" applyBorder="1" applyFont="1">
      <alignment horizontal="center" readingOrder="0" shrinkToFit="0" vertical="center" wrapText="1"/>
    </xf>
    <xf borderId="6" fillId="0" fontId="6" numFmtId="0" xfId="0" applyAlignment="1" applyBorder="1" applyFont="1">
      <alignment horizontal="left" shrinkToFit="0" vertical="center" wrapText="1"/>
    </xf>
    <xf borderId="1" fillId="0" fontId="2" numFmtId="0" xfId="0" applyAlignment="1" applyBorder="1" applyFont="1">
      <alignment horizontal="center" shrinkToFit="0" vertical="center" wrapText="1"/>
    </xf>
    <xf borderId="1" fillId="0" fontId="6" numFmtId="0" xfId="0" applyAlignment="1" applyBorder="1" applyFont="1">
      <alignment horizontal="left" readingOrder="0" shrinkToFit="0" vertical="center" wrapText="1"/>
    </xf>
    <xf borderId="1" fillId="8" fontId="5" numFmtId="0" xfId="0" applyBorder="1" applyFill="1" applyFont="1"/>
    <xf borderId="1" fillId="8" fontId="24" numFmtId="0" xfId="0" applyAlignment="1" applyBorder="1" applyFont="1">
      <alignment horizontal="center" readingOrder="0" shrinkToFit="0" vertical="center" wrapText="1"/>
    </xf>
    <xf borderId="1" fillId="8" fontId="1" numFmtId="0" xfId="0" applyAlignment="1" applyBorder="1" applyFont="1">
      <alignment shrinkToFit="0" vertical="center" wrapText="1"/>
    </xf>
    <xf borderId="1" fillId="8" fontId="25" numFmtId="0" xfId="0" applyAlignment="1" applyBorder="1" applyFont="1">
      <alignment horizontal="center" shrinkToFit="0" vertical="center" wrapText="1"/>
    </xf>
    <xf borderId="1" fillId="8" fontId="2" numFmtId="0" xfId="0" applyAlignment="1" applyBorder="1" applyFont="1">
      <alignment horizontal="center" shrinkToFit="0" vertical="center" wrapText="1"/>
    </xf>
    <xf borderId="1" fillId="8" fontId="26" numFmtId="0" xfId="0" applyAlignment="1" applyBorder="1" applyFont="1">
      <alignment horizontal="center" readingOrder="0" shrinkToFit="0" vertical="center" wrapText="1"/>
    </xf>
    <xf borderId="1" fillId="8" fontId="26" numFmtId="0" xfId="0" applyAlignment="1" applyBorder="1" applyFont="1">
      <alignment horizontal="left" readingOrder="0" shrinkToFit="0" vertical="center" wrapText="1"/>
    </xf>
    <xf borderId="1" fillId="8" fontId="1" numFmtId="0" xfId="0" applyBorder="1" applyFont="1"/>
    <xf borderId="1" fillId="8" fontId="7" numFmtId="0" xfId="0" applyAlignment="1" applyBorder="1" applyFont="1">
      <alignment vertical="center"/>
    </xf>
    <xf borderId="1" fillId="8" fontId="5" numFmtId="0" xfId="0" applyAlignment="1" applyBorder="1" applyFont="1">
      <alignment vertical="center"/>
    </xf>
    <xf borderId="1" fillId="5" fontId="2" numFmtId="0" xfId="0" applyAlignment="1" applyBorder="1" applyFont="1">
      <alignment horizontal="center" shrinkToFit="0" vertical="center" wrapText="1"/>
    </xf>
    <xf borderId="6" fillId="0" fontId="27" numFmtId="0" xfId="0" applyAlignment="1" applyBorder="1" applyFont="1">
      <alignment horizontal="center" readingOrder="0" shrinkToFit="0" vertical="center" wrapText="1"/>
    </xf>
    <xf borderId="4" fillId="0" fontId="9" numFmtId="0" xfId="0" applyAlignment="1" applyBorder="1" applyFont="1">
      <alignment readingOrder="0" shrinkToFit="0" wrapText="1"/>
    </xf>
    <xf borderId="1" fillId="0" fontId="28" numFmtId="0" xfId="0" applyAlignment="1" applyBorder="1" applyFont="1">
      <alignment readingOrder="0" shrinkToFit="0" vertical="center" wrapText="1"/>
    </xf>
    <xf borderId="6" fillId="5" fontId="2" numFmtId="0" xfId="0" applyAlignment="1" applyBorder="1" applyFont="1">
      <alignment horizontal="center" shrinkToFit="0" vertical="center" wrapText="1"/>
    </xf>
    <xf borderId="1" fillId="0" fontId="1" numFmtId="0" xfId="0" applyAlignment="1" applyBorder="1" applyFont="1">
      <alignment horizontal="center" readingOrder="0" shrinkToFit="0" vertical="center" wrapText="1"/>
    </xf>
    <xf borderId="6" fillId="5" fontId="29" numFmtId="0" xfId="0" applyAlignment="1" applyBorder="1" applyFont="1">
      <alignment horizontal="left" readingOrder="0" shrinkToFit="0" vertical="center" wrapText="1"/>
    </xf>
    <xf borderId="6" fillId="0" fontId="1" numFmtId="0" xfId="0" applyAlignment="1" applyBorder="1" applyFont="1">
      <alignment horizontal="left" readingOrder="0" shrinkToFit="0" vertical="top" wrapText="1"/>
    </xf>
    <xf borderId="1" fillId="9" fontId="2" numFmtId="0" xfId="0" applyAlignment="1" applyBorder="1" applyFill="1" applyFont="1">
      <alignment horizontal="center" readingOrder="0" shrinkToFit="0" vertical="center" wrapText="1"/>
    </xf>
    <xf borderId="1" fillId="9" fontId="1" numFmtId="0" xfId="0" applyAlignment="1" applyBorder="1" applyFont="1">
      <alignment horizontal="center" readingOrder="0" shrinkToFit="0" vertical="center" wrapText="1"/>
    </xf>
    <xf borderId="1" fillId="0" fontId="14" numFmtId="0" xfId="0" applyAlignment="1" applyBorder="1" applyFont="1">
      <alignment shrinkToFit="0" vertical="center" wrapText="1"/>
    </xf>
    <xf borderId="1" fillId="0" fontId="30" numFmtId="0" xfId="0" applyAlignment="1" applyBorder="1" applyFont="1">
      <alignment shrinkToFit="0" vertical="center" wrapText="1"/>
    </xf>
    <xf borderId="1" fillId="0" fontId="2" numFmtId="0" xfId="0" applyAlignment="1" applyBorder="1" applyFont="1">
      <alignment readingOrder="0" shrinkToFit="0" wrapText="1"/>
    </xf>
    <xf borderId="1" fillId="5" fontId="2" numFmtId="0" xfId="0" applyBorder="1" applyFont="1"/>
    <xf borderId="6" fillId="0" fontId="2" numFmtId="0" xfId="0" applyAlignment="1" applyBorder="1" applyFont="1">
      <alignment horizontal="left" readingOrder="0" shrinkToFit="0" vertical="center" wrapText="1"/>
    </xf>
    <xf borderId="6" fillId="0" fontId="2" numFmtId="0" xfId="0" applyAlignment="1" applyBorder="1" applyFont="1">
      <alignment horizontal="left" readingOrder="0" shrinkToFit="0" vertical="center" wrapText="1"/>
    </xf>
    <xf borderId="6" fillId="0" fontId="1" numFmtId="0" xfId="0" applyAlignment="1" applyBorder="1" applyFont="1">
      <alignment readingOrder="0" vertical="center"/>
    </xf>
    <xf borderId="6" fillId="0" fontId="5" numFmtId="0" xfId="0" applyAlignment="1" applyBorder="1" applyFont="1">
      <alignment readingOrder="0" shrinkToFit="0" vertical="center" wrapText="1"/>
    </xf>
    <xf borderId="1" fillId="5" fontId="2" numFmtId="0" xfId="0" applyAlignment="1" applyBorder="1" applyFont="1">
      <alignment horizontal="center" readingOrder="0" shrinkToFit="0" vertical="center" wrapText="1"/>
    </xf>
    <xf borderId="1" fillId="5" fontId="31" numFmtId="0" xfId="0" applyAlignment="1" applyBorder="1" applyFont="1">
      <alignment horizontal="center" readingOrder="0" shrinkToFit="0" vertical="center" wrapText="1"/>
    </xf>
    <xf borderId="6" fillId="0" fontId="2" numFmtId="0" xfId="0" applyAlignment="1" applyBorder="1" applyFont="1">
      <alignment shrinkToFit="0" wrapText="1"/>
    </xf>
    <xf borderId="1" fillId="4" fontId="14" numFmtId="0" xfId="0" applyAlignment="1" applyBorder="1" applyFont="1">
      <alignment horizontal="center" readingOrder="0" shrinkToFit="0" vertical="center" wrapText="1"/>
    </xf>
    <xf borderId="6" fillId="0" fontId="7" numFmtId="0" xfId="0" applyAlignment="1" applyBorder="1" applyFont="1">
      <alignment vertical="center"/>
    </xf>
    <xf borderId="6" fillId="0" fontId="5" numFmtId="0" xfId="0" applyAlignment="1" applyBorder="1" applyFont="1">
      <alignment vertical="center"/>
    </xf>
    <xf borderId="2" fillId="0" fontId="1" numFmtId="0" xfId="0" applyBorder="1" applyFont="1"/>
    <xf borderId="9" fillId="0" fontId="7" numFmtId="0" xfId="0" applyAlignment="1" applyBorder="1" applyFont="1">
      <alignment readingOrder="0" vertical="center"/>
    </xf>
    <xf borderId="3" fillId="0" fontId="5" numFmtId="0" xfId="0" applyBorder="1" applyFont="1"/>
    <xf borderId="8" fillId="0" fontId="7" numFmtId="0" xfId="0" applyAlignment="1" applyBorder="1" applyFont="1">
      <alignment vertical="center"/>
    </xf>
    <xf borderId="8" fillId="0" fontId="5" numFmtId="0" xfId="0" applyAlignment="1" applyBorder="1" applyFont="1">
      <alignment vertical="center"/>
    </xf>
    <xf borderId="1" fillId="5" fontId="1" numFmtId="0" xfId="0" applyAlignment="1" applyBorder="1" applyFont="1">
      <alignment horizontal="center" vertical="center"/>
    </xf>
    <xf borderId="1" fillId="4" fontId="30" numFmtId="0" xfId="0" applyAlignment="1" applyBorder="1" applyFont="1">
      <alignment horizontal="center" shrinkToFit="0" vertical="center" wrapText="1"/>
    </xf>
    <xf borderId="1" fillId="0" fontId="32" numFmtId="0" xfId="0" applyAlignment="1" applyBorder="1" applyFont="1">
      <alignment shrinkToFit="0" vertical="center" wrapText="1"/>
    </xf>
    <xf borderId="1" fillId="4" fontId="1" numFmtId="0" xfId="0" applyAlignment="1" applyBorder="1" applyFont="1">
      <alignment horizontal="center" readingOrder="0" vertical="center"/>
    </xf>
    <xf borderId="1" fillId="0" fontId="1" numFmtId="0" xfId="0" applyAlignment="1" applyBorder="1" applyFont="1">
      <alignment vertical="center"/>
    </xf>
    <xf borderId="1" fillId="0" fontId="1" numFmtId="0" xfId="0" applyAlignment="1" applyBorder="1" applyFont="1">
      <alignment horizontal="center" readingOrder="0" vertical="center"/>
    </xf>
    <xf borderId="1" fillId="0" fontId="1" numFmtId="0" xfId="0" applyAlignment="1" applyBorder="1" applyFont="1">
      <alignment horizontal="left" readingOrder="0" shrinkToFit="0" vertical="center" wrapText="1"/>
    </xf>
    <xf borderId="1" fillId="0" fontId="1" numFmtId="0" xfId="0" applyAlignment="1" applyBorder="1" applyFont="1">
      <alignment horizontal="center" vertical="center"/>
    </xf>
    <xf borderId="1" fillId="0" fontId="25" numFmtId="0" xfId="0" applyAlignment="1" applyBorder="1" applyFont="1">
      <alignment readingOrder="0" shrinkToFit="0" vertical="center" wrapText="1"/>
    </xf>
    <xf borderId="1" fillId="0" fontId="8" numFmtId="0" xfId="0" applyAlignment="1" applyBorder="1" applyFont="1">
      <alignment horizontal="left" readingOrder="0" shrinkToFit="0" vertical="center" wrapText="1"/>
    </xf>
    <xf borderId="1" fillId="0" fontId="33" numFmtId="0" xfId="0" applyAlignment="1" applyBorder="1" applyFont="1">
      <alignment readingOrder="0" shrinkToFit="0" vertical="top" wrapText="1"/>
    </xf>
    <xf borderId="1" fillId="0" fontId="5" numFmtId="0" xfId="0" applyAlignment="1" applyBorder="1" applyFont="1">
      <alignment shrinkToFit="0" wrapText="1"/>
    </xf>
    <xf borderId="1" fillId="0" fontId="1" numFmtId="0" xfId="0" applyAlignment="1" applyBorder="1" applyFont="1">
      <alignment horizontal="left" shrinkToFit="0" vertical="center" wrapText="1"/>
    </xf>
    <xf borderId="1" fillId="5" fontId="34" numFmtId="0" xfId="0" applyAlignment="1" applyBorder="1" applyFont="1">
      <alignment horizontal="left" readingOrder="0" shrinkToFit="0" wrapText="1"/>
    </xf>
    <xf borderId="1" fillId="0" fontId="11" numFmtId="0" xfId="0" applyAlignment="1" applyBorder="1" applyFont="1">
      <alignment readingOrder="0" shrinkToFit="0" vertical="center" wrapText="1"/>
    </xf>
    <xf borderId="1" fillId="5" fontId="35" numFmtId="0" xfId="0" applyAlignment="1" applyBorder="1" applyFont="1">
      <alignment horizontal="left" readingOrder="0" shrinkToFit="0" wrapText="1"/>
    </xf>
    <xf borderId="1" fillId="4" fontId="8" numFmtId="0" xfId="0" applyAlignment="1" applyBorder="1" applyFont="1">
      <alignment horizontal="center" vertical="center"/>
    </xf>
    <xf borderId="1" fillId="0" fontId="1" numFmtId="0" xfId="0" applyAlignment="1" applyBorder="1" applyFont="1">
      <alignment horizontal="left" vertical="center"/>
    </xf>
    <xf borderId="1" fillId="0" fontId="1" numFmtId="0" xfId="0" applyAlignment="1" applyBorder="1" applyFont="1">
      <alignment vertical="bottom"/>
    </xf>
    <xf borderId="1" fillId="0" fontId="1" numFmtId="0" xfId="0" applyAlignment="1" applyBorder="1" applyFont="1">
      <alignment readingOrder="0" shrinkToFit="0" wrapText="1"/>
    </xf>
    <xf borderId="1" fillId="4" fontId="1" numFmtId="0" xfId="0" applyAlignment="1" applyBorder="1" applyFont="1">
      <alignment horizontal="center" readingOrder="0"/>
    </xf>
    <xf borderId="1" fillId="0" fontId="8" numFmtId="0" xfId="0" applyAlignment="1" applyBorder="1" applyFont="1">
      <alignment readingOrder="0" shrinkToFit="0" wrapText="1"/>
    </xf>
    <xf borderId="1" fillId="0" fontId="1" numFmtId="0" xfId="0" applyAlignment="1" applyBorder="1" applyFont="1">
      <alignment readingOrder="0" vertical="bottom"/>
    </xf>
    <xf borderId="1" fillId="4" fontId="1" numFmtId="0" xfId="0" applyAlignment="1" applyBorder="1" applyFont="1">
      <alignment horizontal="center" vertical="center"/>
    </xf>
    <xf borderId="1" fillId="0" fontId="5" numFmtId="0" xfId="0" applyAlignment="1" applyBorder="1" applyFont="1">
      <alignment horizontal="center"/>
    </xf>
    <xf borderId="0" fillId="0" fontId="36" numFmtId="0" xfId="0" applyAlignment="1" applyFont="1">
      <alignment horizontal="left" vertical="top"/>
    </xf>
    <xf borderId="0" fillId="0" fontId="10" numFmtId="164" xfId="0" applyAlignment="1" applyFont="1" applyNumberFormat="1">
      <alignment shrinkToFit="0" vertical="top" wrapText="0"/>
    </xf>
    <xf borderId="0" fillId="0" fontId="37" numFmtId="0" xfId="0" applyAlignment="1" applyFont="1">
      <alignment horizontal="center" vertical="top"/>
    </xf>
    <xf borderId="0" fillId="0" fontId="37" numFmtId="14" xfId="0" applyAlignment="1" applyFont="1" applyNumberFormat="1">
      <alignment shrinkToFit="0" vertical="top" wrapText="1"/>
    </xf>
    <xf borderId="0" fillId="0" fontId="37" numFmtId="0" xfId="0" applyAlignment="1" applyFont="1">
      <alignment vertical="top"/>
    </xf>
    <xf borderId="0" fillId="0" fontId="10" numFmtId="0" xfId="0" applyAlignment="1" applyFont="1">
      <alignment vertical="top"/>
    </xf>
    <xf borderId="9" fillId="2" fontId="38" numFmtId="0" xfId="0" applyAlignment="1" applyBorder="1" applyFont="1">
      <alignment vertical="center"/>
    </xf>
    <xf borderId="9" fillId="2" fontId="38" numFmtId="164" xfId="0" applyAlignment="1" applyBorder="1" applyFont="1" applyNumberFormat="1">
      <alignment horizontal="left" shrinkToFit="0" vertical="center" wrapText="0"/>
    </xf>
    <xf borderId="9" fillId="2" fontId="38" numFmtId="0" xfId="0" applyAlignment="1" applyBorder="1" applyFont="1">
      <alignment horizontal="center" vertical="center"/>
    </xf>
    <xf borderId="9" fillId="2" fontId="38" numFmtId="14" xfId="0" applyAlignment="1" applyBorder="1" applyFont="1" applyNumberFormat="1">
      <alignment shrinkToFit="0" vertical="center" wrapText="1"/>
    </xf>
    <xf borderId="0" fillId="0" fontId="39" numFmtId="0" xfId="0" applyAlignment="1" applyFont="1">
      <alignment vertical="center"/>
    </xf>
    <xf borderId="10" fillId="10" fontId="40" numFmtId="0" xfId="0" applyAlignment="1" applyBorder="1" applyFill="1" applyFont="1">
      <alignment vertical="top"/>
    </xf>
    <xf borderId="11" fillId="0" fontId="40" numFmtId="164" xfId="0" applyAlignment="1" applyBorder="1" applyFont="1" applyNumberFormat="1">
      <alignment horizontal="center" shrinkToFit="0" vertical="top" wrapText="0"/>
    </xf>
    <xf borderId="11" fillId="0" fontId="37" numFmtId="0" xfId="0" applyAlignment="1" applyBorder="1" applyFont="1">
      <alignment horizontal="center" vertical="top"/>
    </xf>
    <xf borderId="11" fillId="0" fontId="37" numFmtId="14" xfId="0" applyAlignment="1" applyBorder="1" applyFont="1" applyNumberFormat="1">
      <alignment shrinkToFit="0" vertical="top" wrapText="1"/>
    </xf>
    <xf borderId="11" fillId="0" fontId="40" numFmtId="0" xfId="0" applyAlignment="1" applyBorder="1" applyFont="1">
      <alignment readingOrder="0" vertical="top"/>
    </xf>
    <xf borderId="11" fillId="0" fontId="41" numFmtId="0" xfId="0" applyAlignment="1" applyBorder="1" applyFont="1">
      <alignment readingOrder="0" vertical="top"/>
    </xf>
    <xf borderId="11" fillId="0" fontId="40" numFmtId="0" xfId="0" applyAlignment="1" applyBorder="1" applyFont="1">
      <alignment vertical="top"/>
    </xf>
    <xf borderId="11" fillId="0" fontId="37" numFmtId="0" xfId="0" applyAlignment="1" applyBorder="1" applyFont="1">
      <alignment vertical="top"/>
    </xf>
    <xf borderId="11" fillId="0" fontId="40" numFmtId="164" xfId="0" applyAlignment="1" applyBorder="1" applyFont="1" applyNumberFormat="1">
      <alignment horizontal="center" readingOrder="0" shrinkToFit="0" vertical="top" wrapText="0"/>
    </xf>
    <xf borderId="11" fillId="5" fontId="40" numFmtId="0" xfId="0" applyAlignment="1" applyBorder="1" applyFont="1">
      <alignment readingOrder="0" vertical="top"/>
    </xf>
    <xf borderId="11" fillId="0" fontId="42" numFmtId="0" xfId="0" applyAlignment="1" applyBorder="1" applyFont="1">
      <alignment readingOrder="0" vertical="top"/>
    </xf>
    <xf borderId="10" fillId="10" fontId="40" numFmtId="0" xfId="0" applyAlignment="1" applyBorder="1" applyFont="1">
      <alignment readingOrder="0" vertical="top"/>
    </xf>
    <xf borderId="11" fillId="11" fontId="40" numFmtId="0" xfId="0" applyAlignment="1" applyBorder="1" applyFill="1" applyFont="1">
      <alignment readingOrder="0" vertical="top"/>
    </xf>
    <xf borderId="11" fillId="0" fontId="43" numFmtId="0" xfId="0" applyAlignment="1" applyBorder="1" applyFont="1">
      <alignment readingOrder="0" vertical="top"/>
    </xf>
    <xf borderId="11" fillId="0" fontId="37" numFmtId="164" xfId="0" applyAlignment="1" applyBorder="1" applyFont="1" applyNumberFormat="1">
      <alignment horizontal="center" shrinkToFit="0" vertical="top" wrapText="0"/>
    </xf>
    <xf borderId="11" fillId="0" fontId="40" numFmtId="0" xfId="0" applyAlignment="1" applyBorder="1" applyFont="1">
      <alignment shrinkToFit="0" vertical="top" wrapText="1"/>
    </xf>
    <xf borderId="11" fillId="10" fontId="41" numFmtId="0" xfId="0" applyAlignment="1" applyBorder="1" applyFont="1">
      <alignment readingOrder="0" vertical="top"/>
    </xf>
    <xf borderId="11" fillId="0" fontId="41" numFmtId="164" xfId="0" applyAlignment="1" applyBorder="1" applyFont="1" applyNumberFormat="1">
      <alignment horizontal="center" readingOrder="0" shrinkToFit="0" vertical="top" wrapText="0"/>
    </xf>
    <xf borderId="11" fillId="5" fontId="40" numFmtId="0" xfId="0" applyAlignment="1" applyBorder="1" applyFont="1">
      <alignment readingOrder="0" shrinkToFit="0" vertical="top" wrapText="1"/>
    </xf>
    <xf borderId="10" fillId="10" fontId="37" numFmtId="0" xfId="0" applyAlignment="1" applyBorder="1" applyFont="1">
      <alignment vertical="top"/>
    </xf>
    <xf borderId="11" fillId="0" fontId="40" numFmtId="0" xfId="0" applyAlignment="1" applyBorder="1" applyFont="1">
      <alignment horizontal="center" vertical="top"/>
    </xf>
    <xf borderId="11" fillId="0" fontId="41" numFmtId="0" xfId="0" applyAlignment="1" applyBorder="1" applyFont="1">
      <alignment shrinkToFit="0" vertical="top" wrapText="1"/>
    </xf>
    <xf borderId="11" fillId="0" fontId="41" numFmtId="0" xfId="0" applyAlignment="1" applyBorder="1" applyFont="1">
      <alignment horizontal="center" readingOrder="0" vertical="top"/>
    </xf>
    <xf borderId="11" fillId="0" fontId="40" numFmtId="0" xfId="0" applyAlignment="1" applyBorder="1" applyFont="1">
      <alignment readingOrder="0" shrinkToFit="0" vertical="top" wrapText="1"/>
    </xf>
    <xf borderId="11" fillId="0" fontId="44" numFmtId="0" xfId="0" applyAlignment="1" applyBorder="1" applyFont="1">
      <alignment readingOrder="0" vertical="top"/>
    </xf>
    <xf borderId="11" fillId="0" fontId="45" numFmtId="0" xfId="0" applyAlignment="1" applyBorder="1" applyFont="1">
      <alignment readingOrder="0" vertical="top"/>
    </xf>
    <xf borderId="11" fillId="0" fontId="38" numFmtId="164" xfId="0" applyAlignment="1" applyBorder="1" applyFont="1" applyNumberFormat="1">
      <alignment horizontal="center" shrinkToFit="0" vertical="top" wrapText="0"/>
    </xf>
    <xf borderId="11" fillId="0" fontId="38" numFmtId="0" xfId="0" applyAlignment="1" applyBorder="1" applyFont="1">
      <alignment horizontal="center" vertical="top"/>
    </xf>
    <xf borderId="11" fillId="0" fontId="38" numFmtId="14" xfId="0" applyAlignment="1" applyBorder="1" applyFont="1" applyNumberFormat="1">
      <alignment shrinkToFit="0" vertical="top" wrapText="1"/>
    </xf>
    <xf borderId="11" fillId="0" fontId="46" numFmtId="0" xfId="0" applyAlignment="1" applyBorder="1" applyFont="1">
      <alignment shrinkToFit="0" vertical="top" wrapText="1"/>
    </xf>
    <xf borderId="11" fillId="0" fontId="38" numFmtId="0" xfId="0" applyAlignment="1" applyBorder="1" applyFont="1">
      <alignment vertical="top"/>
    </xf>
    <xf borderId="12" fillId="10" fontId="40" numFmtId="0" xfId="0" applyAlignment="1" applyBorder="1" applyFont="1">
      <alignment readingOrder="0" vertical="top"/>
    </xf>
    <xf borderId="11" fillId="0" fontId="40" numFmtId="164" xfId="0" applyAlignment="1" applyBorder="1" applyFont="1" applyNumberFormat="1">
      <alignment shrinkToFit="0" vertical="top" wrapText="0"/>
    </xf>
    <xf borderId="10" fillId="5" fontId="47" numFmtId="0" xfId="0" applyAlignment="1" applyBorder="1" applyFont="1">
      <alignment shrinkToFit="0" vertical="top" wrapText="1"/>
    </xf>
    <xf borderId="11" fillId="0" fontId="44" numFmtId="0" xfId="0" applyAlignment="1" applyBorder="1" applyFont="1">
      <alignment readingOrder="0" shrinkToFit="0" vertical="top" wrapText="1"/>
    </xf>
    <xf borderId="13" fillId="5" fontId="47" numFmtId="0" xfId="0" applyAlignment="1" applyBorder="1" applyFont="1">
      <alignment readingOrder="0" vertical="top"/>
    </xf>
    <xf borderId="14" fillId="0" fontId="4" numFmtId="0" xfId="0" applyBorder="1" applyFont="1"/>
    <xf borderId="11" fillId="5" fontId="41" numFmtId="164" xfId="0" applyAlignment="1" applyBorder="1" applyFont="1" applyNumberFormat="1">
      <alignment horizontal="center" readingOrder="0" shrinkToFit="0" vertical="top" wrapText="0"/>
    </xf>
    <xf borderId="11" fillId="5" fontId="41" numFmtId="0" xfId="0" applyAlignment="1" applyBorder="1" applyFont="1">
      <alignment horizontal="center" readingOrder="0" vertical="top"/>
    </xf>
    <xf borderId="11" fillId="5" fontId="41" numFmtId="0" xfId="0" applyAlignment="1" applyBorder="1" applyFont="1">
      <alignment readingOrder="0" shrinkToFit="0" vertical="top" wrapText="1"/>
    </xf>
    <xf borderId="15" fillId="0" fontId="4" numFmtId="0" xfId="0" applyBorder="1" applyFont="1"/>
    <xf borderId="10" fillId="10" fontId="47" numFmtId="0" xfId="0" applyAlignment="1" applyBorder="1" applyFont="1">
      <alignment readingOrder="0" vertical="top"/>
    </xf>
    <xf borderId="11" fillId="0" fontId="41" numFmtId="0" xfId="0" applyAlignment="1" applyBorder="1" applyFont="1">
      <alignment readingOrder="0" shrinkToFit="0" vertical="top" wrapText="1"/>
    </xf>
    <xf borderId="11" fillId="5" fontId="44" numFmtId="0" xfId="0" applyAlignment="1" applyBorder="1" applyFont="1">
      <alignment readingOrder="0" shrinkToFit="0" vertical="top" wrapText="1"/>
    </xf>
    <xf borderId="11" fillId="10" fontId="47" numFmtId="0" xfId="0" applyAlignment="1" applyBorder="1" applyFont="1">
      <alignment readingOrder="0" vertical="top"/>
    </xf>
    <xf borderId="11" fillId="9" fontId="37" numFmtId="0" xfId="0" applyAlignment="1" applyBorder="1" applyFont="1">
      <alignment vertical="top"/>
    </xf>
    <xf borderId="11" fillId="0" fontId="44" numFmtId="0" xfId="0" applyAlignment="1" applyBorder="1" applyFont="1">
      <alignment shrinkToFit="0" vertical="top" wrapText="1"/>
    </xf>
    <xf borderId="13" fillId="5" fontId="47" numFmtId="0" xfId="0" applyAlignment="1" applyBorder="1" applyFont="1">
      <alignment vertical="top"/>
    </xf>
    <xf borderId="11" fillId="10" fontId="40" numFmtId="0" xfId="0" applyAlignment="1" applyBorder="1" applyFont="1">
      <alignment readingOrder="0" vertical="top"/>
    </xf>
    <xf borderId="11" fillId="0" fontId="37" numFmtId="0" xfId="0" applyAlignment="1" applyBorder="1" applyFont="1">
      <alignment readingOrder="0" shrinkToFit="0" vertical="top" wrapText="1"/>
    </xf>
    <xf borderId="0" fillId="0" fontId="48" numFmtId="0" xfId="0" applyAlignment="1" applyFont="1">
      <alignment vertical="top"/>
    </xf>
    <xf borderId="11" fillId="0" fontId="37" numFmtId="0" xfId="0" applyAlignment="1" applyBorder="1" applyFont="1">
      <alignment shrinkToFit="0" vertical="top" wrapText="1"/>
    </xf>
    <xf borderId="11" fillId="0" fontId="40" numFmtId="164" xfId="0" applyAlignment="1" applyBorder="1" applyFont="1" applyNumberFormat="1">
      <alignment horizontal="center" vertical="top"/>
    </xf>
    <xf borderId="11" fillId="0" fontId="39" numFmtId="0" xfId="0" applyAlignment="1" applyBorder="1" applyFont="1">
      <alignment horizontal="center" readingOrder="0" vertical="top"/>
    </xf>
    <xf borderId="16" fillId="5" fontId="47" numFmtId="14" xfId="0" applyAlignment="1" applyBorder="1" applyFont="1" applyNumberFormat="1">
      <alignment shrinkToFit="0" vertical="top" wrapText="1"/>
    </xf>
    <xf borderId="11" fillId="0" fontId="39" numFmtId="0" xfId="0" applyAlignment="1" applyBorder="1" applyFont="1">
      <alignment vertical="top"/>
    </xf>
    <xf borderId="0" fillId="0" fontId="39" numFmtId="0" xfId="0" applyAlignment="1" applyFont="1">
      <alignment vertical="top"/>
    </xf>
    <xf borderId="11" fillId="0" fontId="41" numFmtId="0" xfId="0" applyAlignment="1" applyBorder="1" applyFont="1">
      <alignment horizontal="left" readingOrder="0" vertical="top"/>
    </xf>
    <xf borderId="11" fillId="0" fontId="37" numFmtId="0" xfId="0" applyAlignment="1" applyBorder="1" applyFont="1">
      <alignment horizontal="left" vertical="top"/>
    </xf>
    <xf borderId="12" fillId="10" fontId="37" numFmtId="0" xfId="0" applyAlignment="1" applyBorder="1" applyFont="1">
      <alignment horizontal="left" vertical="top"/>
    </xf>
    <xf borderId="11" fillId="8" fontId="49" numFmtId="0" xfId="0" applyAlignment="1" applyBorder="1" applyFont="1">
      <alignment vertical="top"/>
    </xf>
    <xf borderId="11" fillId="8" fontId="50" numFmtId="0" xfId="0" applyAlignment="1" applyBorder="1" applyFont="1">
      <alignment vertical="top"/>
    </xf>
    <xf borderId="11" fillId="0" fontId="40" numFmtId="164" xfId="0" applyAlignment="1" applyBorder="1" applyFont="1" applyNumberFormat="1">
      <alignment horizontal="center" readingOrder="0" vertical="top"/>
    </xf>
    <xf borderId="11" fillId="0" fontId="39" numFmtId="0" xfId="0" applyAlignment="1" applyBorder="1" applyFont="1">
      <alignment horizontal="center" vertical="top"/>
    </xf>
    <xf borderId="11" fillId="0" fontId="39" numFmtId="0" xfId="0" applyAlignment="1" applyBorder="1" applyFont="1">
      <alignment readingOrder="0" shrinkToFit="0" vertical="top" wrapText="1"/>
    </xf>
    <xf borderId="11" fillId="0" fontId="41" numFmtId="164" xfId="0" applyAlignment="1" applyBorder="1" applyFont="1" applyNumberFormat="1">
      <alignment readingOrder="0" shrinkToFit="0" vertical="top" wrapText="0"/>
    </xf>
    <xf borderId="17" fillId="0" fontId="37" numFmtId="0" xfId="0" applyAlignment="1" applyBorder="1" applyFont="1">
      <alignment shrinkToFit="0" vertical="top" wrapText="1"/>
    </xf>
    <xf borderId="17" fillId="0" fontId="37" numFmtId="0" xfId="0" applyAlignment="1" applyBorder="1" applyFont="1">
      <alignment readingOrder="0" shrinkToFit="0" vertical="top" wrapText="1"/>
    </xf>
    <xf borderId="11" fillId="0" fontId="37" numFmtId="0" xfId="0" applyAlignment="1" applyBorder="1" applyFont="1">
      <alignment horizontal="center" readingOrder="0" vertical="top"/>
    </xf>
    <xf borderId="11" fillId="0" fontId="37" numFmtId="164" xfId="0" applyAlignment="1" applyBorder="1" applyFont="1" applyNumberFormat="1">
      <alignment shrinkToFit="0" vertical="top" wrapText="0"/>
    </xf>
    <xf borderId="12" fillId="10" fontId="40" numFmtId="0" xfId="0" applyAlignment="1" applyBorder="1" applyFont="1">
      <alignment vertical="top"/>
    </xf>
    <xf borderId="11" fillId="0" fontId="4" numFmtId="0" xfId="0" applyBorder="1" applyFont="1"/>
    <xf borderId="11" fillId="5" fontId="41" numFmtId="164" xfId="0" applyAlignment="1" applyBorder="1" applyFont="1" applyNumberFormat="1">
      <alignment readingOrder="0" shrinkToFit="0" vertical="top" wrapText="0"/>
    </xf>
    <xf borderId="11" fillId="5" fontId="37" numFmtId="0" xfId="0" applyAlignment="1" applyBorder="1" applyFont="1">
      <alignment horizontal="center" vertical="top"/>
    </xf>
    <xf borderId="11" fillId="5" fontId="37" numFmtId="0" xfId="0" applyAlignment="1" applyBorder="1" applyFont="1">
      <alignment shrinkToFit="0" vertical="top" wrapText="1"/>
    </xf>
    <xf borderId="11" fillId="5" fontId="41" numFmtId="0" xfId="0" applyAlignment="1" applyBorder="1" applyFont="1">
      <alignment readingOrder="0" vertical="top"/>
    </xf>
    <xf borderId="11" fillId="0" fontId="44" numFmtId="164" xfId="0" applyAlignment="1" applyBorder="1" applyFont="1" applyNumberFormat="1">
      <alignment horizontal="center" readingOrder="0" shrinkToFit="0" vertical="top" wrapText="0"/>
    </xf>
    <xf borderId="0" fillId="0" fontId="41" numFmtId="164" xfId="0" applyAlignment="1" applyFont="1" applyNumberFormat="1">
      <alignment horizontal="center" readingOrder="0" shrinkToFit="0" vertical="top" wrapText="0"/>
    </xf>
    <xf borderId="17" fillId="0" fontId="41" numFmtId="0" xfId="0" applyAlignment="1" applyBorder="1" applyFont="1">
      <alignment horizontal="center" readingOrder="0" vertical="top"/>
    </xf>
    <xf borderId="0" fillId="0" fontId="41" numFmtId="0" xfId="0" applyAlignment="1" applyFont="1">
      <alignment readingOrder="0" shrinkToFit="0" vertical="top" wrapText="1"/>
    </xf>
    <xf borderId="18" fillId="0" fontId="41" numFmtId="0" xfId="0" applyAlignment="1" applyBorder="1" applyFont="1">
      <alignment readingOrder="0" shrinkToFit="0" vertical="top" wrapText="1"/>
    </xf>
    <xf borderId="17" fillId="10" fontId="41" numFmtId="0" xfId="0" applyAlignment="1" applyBorder="1" applyFont="1">
      <alignment readingOrder="0" vertical="top"/>
    </xf>
    <xf borderId="17" fillId="0" fontId="41" numFmtId="164" xfId="0" applyAlignment="1" applyBorder="1" applyFont="1" applyNumberFormat="1">
      <alignment horizontal="center" readingOrder="0" shrinkToFit="0" vertical="top" wrapText="0"/>
    </xf>
    <xf borderId="17" fillId="0" fontId="41" numFmtId="0" xfId="0" applyAlignment="1" applyBorder="1" applyFont="1">
      <alignment readingOrder="0" shrinkToFit="0" vertical="top" wrapText="1"/>
    </xf>
    <xf borderId="17" fillId="0" fontId="41" numFmtId="0" xfId="0" applyAlignment="1" applyBorder="1" applyFont="1">
      <alignment readingOrder="0" vertical="top"/>
    </xf>
    <xf borderId="17" fillId="0" fontId="37" numFmtId="0" xfId="0" applyAlignment="1" applyBorder="1" applyFont="1">
      <alignment vertical="top"/>
    </xf>
    <xf borderId="17" fillId="0" fontId="37" numFmtId="164" xfId="0" applyAlignment="1" applyBorder="1" applyFont="1" applyNumberFormat="1">
      <alignment horizontal="center" shrinkToFit="0" vertical="top" wrapText="0"/>
    </xf>
    <xf borderId="17" fillId="0" fontId="37" numFmtId="0" xfId="0" applyAlignment="1" applyBorder="1" applyFont="1">
      <alignment horizontal="center" vertical="top"/>
    </xf>
    <xf borderId="17" fillId="0" fontId="37" numFmtId="14" xfId="0" applyAlignment="1" applyBorder="1" applyFont="1" applyNumberFormat="1">
      <alignment shrinkToFit="0" vertical="top" wrapText="1"/>
    </xf>
    <xf borderId="17" fillId="0" fontId="37" numFmtId="0" xfId="0" applyAlignment="1" applyBorder="1" applyFont="1">
      <alignment horizontal="center" readingOrder="0" vertical="top"/>
    </xf>
    <xf borderId="17" fillId="0" fontId="10" numFmtId="0" xfId="0" applyBorder="1" applyFont="1"/>
    <xf borderId="17" fillId="0" fontId="37" numFmtId="164" xfId="0" applyAlignment="1" applyBorder="1" applyFont="1" applyNumberFormat="1">
      <alignment horizontal="center" readingOrder="0" shrinkToFit="0" vertical="top" wrapText="0"/>
    </xf>
    <xf borderId="17" fillId="0" fontId="51" numFmtId="0" xfId="0" applyAlignment="1" applyBorder="1" applyFont="1">
      <alignment readingOrder="0" vertical="top"/>
    </xf>
    <xf borderId="17" fillId="0" fontId="46" numFmtId="0" xfId="0" applyAlignment="1" applyBorder="1" applyFont="1">
      <alignment readingOrder="0" vertical="top"/>
    </xf>
    <xf borderId="17" fillId="0" fontId="4" numFmtId="0" xfId="0" applyBorder="1" applyFont="1"/>
    <xf borderId="0" fillId="0" fontId="37" numFmtId="164" xfId="0" applyAlignment="1" applyFont="1" applyNumberFormat="1">
      <alignment horizontal="center" shrinkToFit="0" vertical="top" wrapText="0"/>
    </xf>
    <xf borderId="0" fillId="0" fontId="46" numFmtId="0" xfId="0" applyAlignment="1" applyFont="1">
      <alignment horizontal="left" shrinkToFit="0" vertical="center" wrapText="1"/>
    </xf>
    <xf borderId="0" fillId="0" fontId="52" numFmtId="0" xfId="0" applyAlignment="1" applyFont="1">
      <alignment vertical="center"/>
    </xf>
    <xf borderId="0" fillId="0" fontId="53" numFmtId="164" xfId="0" applyAlignment="1" applyFont="1" applyNumberFormat="1">
      <alignment horizontal="center" vertical="center"/>
    </xf>
    <xf borderId="0" fillId="0" fontId="53" numFmtId="164" xfId="0" applyAlignment="1" applyFont="1" applyNumberFormat="1">
      <alignment horizontal="center" vertical="center"/>
    </xf>
    <xf borderId="0" fillId="0" fontId="53" numFmtId="164" xfId="0" applyAlignment="1" applyFont="1" applyNumberFormat="1">
      <alignment horizontal="left" shrinkToFit="0" vertical="center" wrapText="1"/>
    </xf>
    <xf borderId="0" fillId="0" fontId="53" numFmtId="164" xfId="0" applyAlignment="1" applyFont="1" applyNumberFormat="1">
      <alignment horizontal="left" vertical="center"/>
    </xf>
    <xf borderId="0" fillId="0" fontId="54" numFmtId="0" xfId="0" applyAlignment="1" applyFont="1">
      <alignment vertical="center"/>
    </xf>
    <xf borderId="9" fillId="2" fontId="55" numFmtId="0" xfId="0" applyAlignment="1" applyBorder="1" applyFont="1">
      <alignment horizontal="center" shrinkToFit="0" vertical="center" wrapText="1"/>
    </xf>
    <xf borderId="9" fillId="2" fontId="55" numFmtId="0" xfId="0" applyAlignment="1" applyBorder="1" applyFont="1">
      <alignment horizontal="center" vertical="center"/>
    </xf>
    <xf borderId="9" fillId="2" fontId="55" numFmtId="164" xfId="0" applyAlignment="1" applyBorder="1" applyFont="1" applyNumberFormat="1">
      <alignment horizontal="center" readingOrder="0" vertical="center"/>
    </xf>
    <xf borderId="9" fillId="2" fontId="55" numFmtId="0" xfId="0" applyAlignment="1" applyBorder="1" applyFont="1">
      <alignment horizontal="center" readingOrder="0" vertical="center"/>
    </xf>
    <xf borderId="0" fillId="0" fontId="54" numFmtId="0" xfId="0" applyAlignment="1" applyFont="1">
      <alignment horizontal="center" vertical="center"/>
    </xf>
    <xf borderId="0" fillId="0" fontId="52" numFmtId="0" xfId="0" applyAlignment="1" applyFont="1">
      <alignment horizontal="center" vertical="center"/>
    </xf>
    <xf borderId="9" fillId="0" fontId="56" numFmtId="0" xfId="0" applyAlignment="1" applyBorder="1" applyFont="1">
      <alignment readingOrder="0" shrinkToFit="0" vertical="center" wrapText="1"/>
    </xf>
    <xf borderId="9" fillId="0" fontId="56" numFmtId="164" xfId="0" applyAlignment="1" applyBorder="1" applyFont="1" applyNumberFormat="1">
      <alignment readingOrder="0" vertical="center"/>
    </xf>
    <xf borderId="9" fillId="0" fontId="56" numFmtId="164" xfId="0" applyAlignment="1" applyBorder="1" applyFont="1" applyNumberFormat="1">
      <alignment horizontal="center" vertical="center"/>
    </xf>
    <xf borderId="9" fillId="0" fontId="56" numFmtId="0" xfId="0" applyAlignment="1" applyBorder="1" applyFont="1">
      <alignment horizontal="center" readingOrder="0" vertical="center"/>
    </xf>
    <xf borderId="9" fillId="0" fontId="57" numFmtId="0" xfId="0" applyAlignment="1" applyBorder="1" applyFont="1">
      <alignment horizontal="left" readingOrder="0" shrinkToFit="0" vertical="center" wrapText="1"/>
    </xf>
    <xf borderId="0" fillId="0" fontId="56" numFmtId="0" xfId="0" applyAlignment="1" applyFont="1">
      <alignment readingOrder="0" vertical="center"/>
    </xf>
    <xf borderId="9" fillId="0" fontId="56" numFmtId="164" xfId="0" applyAlignment="1" applyBorder="1" applyFont="1" applyNumberFormat="1">
      <alignment horizontal="center" readingOrder="0" vertical="center"/>
    </xf>
    <xf borderId="9" fillId="0" fontId="56" numFmtId="0" xfId="0" applyAlignment="1" applyBorder="1" applyFont="1">
      <alignment horizontal="center" vertical="center"/>
    </xf>
    <xf borderId="9" fillId="0" fontId="56" numFmtId="0" xfId="0" applyAlignment="1" applyBorder="1" applyFont="1">
      <alignment horizontal="left" readingOrder="0" vertical="center"/>
    </xf>
    <xf borderId="9" fillId="0" fontId="56" numFmtId="0" xfId="0" applyAlignment="1" applyBorder="1" applyFont="1">
      <alignment horizontal="left" readingOrder="0" vertical="top"/>
    </xf>
    <xf borderId="9" fillId="0" fontId="58" numFmtId="0" xfId="0" applyAlignment="1" applyBorder="1" applyFont="1">
      <alignment readingOrder="0" shrinkToFit="0" vertical="center" wrapText="1"/>
    </xf>
    <xf borderId="9" fillId="0" fontId="56" numFmtId="164" xfId="0" applyAlignment="1" applyBorder="1" applyFont="1" applyNumberFormat="1">
      <alignment vertical="center"/>
    </xf>
    <xf borderId="9" fillId="0" fontId="56" numFmtId="0" xfId="0" applyAlignment="1" applyBorder="1" applyFont="1">
      <alignment shrinkToFit="0" vertical="center" wrapText="1"/>
    </xf>
    <xf borderId="9" fillId="0" fontId="58" numFmtId="0" xfId="0" applyAlignment="1" applyBorder="1" applyFont="1">
      <alignment shrinkToFit="0" vertical="center" wrapText="1"/>
    </xf>
    <xf borderId="9" fillId="12" fontId="58" numFmtId="0" xfId="0" applyAlignment="1" applyBorder="1" applyFill="1" applyFont="1">
      <alignment shrinkToFit="0" vertical="center" wrapText="1"/>
    </xf>
    <xf borderId="9" fillId="12" fontId="56" numFmtId="164" xfId="0" applyAlignment="1" applyBorder="1" applyFont="1" applyNumberFormat="1">
      <alignment vertical="center"/>
    </xf>
    <xf borderId="9" fillId="12" fontId="56" numFmtId="164" xfId="0" applyAlignment="1" applyBorder="1" applyFont="1" applyNumberFormat="1">
      <alignment horizontal="center" vertical="center"/>
    </xf>
    <xf borderId="9" fillId="12" fontId="56" numFmtId="0" xfId="0" applyAlignment="1" applyBorder="1" applyFont="1">
      <alignment horizontal="center" vertical="center"/>
    </xf>
    <xf borderId="9" fillId="12" fontId="56" numFmtId="0" xfId="0" applyAlignment="1" applyBorder="1" applyFont="1">
      <alignment shrinkToFit="0" vertical="center" wrapText="1"/>
    </xf>
    <xf borderId="9" fillId="12" fontId="56" numFmtId="0" xfId="0" applyAlignment="1" applyBorder="1" applyFont="1">
      <alignment horizontal="left" readingOrder="0" vertical="center"/>
    </xf>
    <xf borderId="9" fillId="0" fontId="56" numFmtId="0" xfId="0" applyAlignment="1" applyBorder="1" applyFont="1">
      <alignment horizontal="left" vertical="center"/>
    </xf>
    <xf borderId="9" fillId="0" fontId="58" numFmtId="0" xfId="0" applyAlignment="1" applyBorder="1" applyFont="1">
      <alignment horizontal="left" vertical="center"/>
    </xf>
    <xf borderId="9" fillId="0" fontId="58" numFmtId="164" xfId="0" applyAlignment="1" applyBorder="1" applyFont="1" applyNumberFormat="1">
      <alignment vertical="center"/>
    </xf>
    <xf borderId="9" fillId="0" fontId="58" numFmtId="164" xfId="0" applyAlignment="1" applyBorder="1" applyFont="1" applyNumberFormat="1">
      <alignment horizontal="center" vertical="center"/>
    </xf>
    <xf borderId="9" fillId="0" fontId="58" numFmtId="0" xfId="0" applyAlignment="1" applyBorder="1" applyFont="1">
      <alignment horizontal="center" vertical="center"/>
    </xf>
    <xf borderId="9" fillId="5" fontId="58" numFmtId="0" xfId="0" applyAlignment="1" applyBorder="1" applyFont="1">
      <alignment shrinkToFit="0" vertical="center" wrapText="1"/>
    </xf>
    <xf borderId="9" fillId="5" fontId="58" numFmtId="0" xfId="0" applyAlignment="1" applyBorder="1" applyFont="1">
      <alignment horizontal="left" vertical="center"/>
    </xf>
    <xf borderId="9" fillId="5" fontId="58" numFmtId="0" xfId="0" applyAlignment="1" applyBorder="1" applyFont="1">
      <alignment horizontal="left" shrinkToFit="0" vertical="center" wrapText="1"/>
    </xf>
    <xf borderId="9" fillId="5" fontId="56" numFmtId="0" xfId="0" applyAlignment="1" applyBorder="1" applyFont="1">
      <alignment horizontal="left" vertical="center"/>
    </xf>
    <xf borderId="0" fillId="0" fontId="56" numFmtId="164" xfId="0" applyAlignment="1" applyFont="1" applyNumberFormat="1">
      <alignment horizontal="center" vertical="center"/>
    </xf>
    <xf borderId="9" fillId="0" fontId="58" numFmtId="0" xfId="0" applyAlignment="1" applyBorder="1" applyFont="1">
      <alignment horizontal="left" shrinkToFit="0" vertical="center" wrapText="1"/>
    </xf>
    <xf borderId="9" fillId="12" fontId="56" numFmtId="0" xfId="0" applyAlignment="1" applyBorder="1" applyFont="1">
      <alignment readingOrder="0" shrinkToFit="0" vertical="center" wrapText="1"/>
    </xf>
    <xf borderId="9" fillId="12" fontId="56" numFmtId="164" xfId="0" applyAlignment="1" applyBorder="1" applyFont="1" applyNumberFormat="1">
      <alignment readingOrder="0" vertical="center"/>
    </xf>
    <xf borderId="9" fillId="12" fontId="56" numFmtId="164" xfId="0" applyAlignment="1" applyBorder="1" applyFont="1" applyNumberFormat="1">
      <alignment horizontal="center" readingOrder="0" vertical="center"/>
    </xf>
    <xf borderId="9" fillId="12" fontId="56" numFmtId="0" xfId="0" applyAlignment="1" applyBorder="1" applyFont="1">
      <alignment horizontal="center" readingOrder="0" vertical="center"/>
    </xf>
    <xf borderId="9" fillId="8" fontId="56" numFmtId="0" xfId="0" applyAlignment="1" applyBorder="1" applyFont="1">
      <alignment readingOrder="0" shrinkToFit="0" vertical="center" wrapText="1"/>
    </xf>
    <xf borderId="9" fillId="8" fontId="56" numFmtId="164" xfId="0" applyAlignment="1" applyBorder="1" applyFont="1" applyNumberFormat="1">
      <alignment readingOrder="0" vertical="center"/>
    </xf>
    <xf borderId="9" fillId="8" fontId="56" numFmtId="165" xfId="0" applyAlignment="1" applyBorder="1" applyFont="1" applyNumberFormat="1">
      <alignment horizontal="center" readingOrder="0" vertical="center"/>
    </xf>
    <xf borderId="9" fillId="8" fontId="56" numFmtId="0" xfId="0" applyAlignment="1" applyBorder="1" applyFont="1">
      <alignment horizontal="center" readingOrder="0" vertical="center"/>
    </xf>
    <xf borderId="9" fillId="8" fontId="56" numFmtId="0" xfId="0" applyAlignment="1" applyBorder="1" applyFont="1">
      <alignment horizontal="left" readingOrder="0" vertical="center"/>
    </xf>
    <xf borderId="9" fillId="0" fontId="56" numFmtId="0" xfId="0" applyAlignment="1" applyBorder="1" applyFont="1">
      <alignment readingOrder="0" shrinkToFit="0" vertical="center" wrapText="1"/>
    </xf>
    <xf borderId="9" fillId="0" fontId="56" numFmtId="0" xfId="0" applyAlignment="1" applyBorder="1" applyFont="1">
      <alignment horizontal="center" readingOrder="0" vertical="center"/>
    </xf>
    <xf borderId="9" fillId="0" fontId="9" numFmtId="0" xfId="0" applyAlignment="1" applyBorder="1" applyFont="1">
      <alignment readingOrder="0"/>
    </xf>
    <xf borderId="9" fillId="0" fontId="41" numFmtId="164" xfId="0" applyAlignment="1" applyBorder="1" applyFont="1" applyNumberFormat="1">
      <alignment readingOrder="0" vertical="center"/>
    </xf>
    <xf borderId="9" fillId="0" fontId="41" numFmtId="0" xfId="0" applyAlignment="1" applyBorder="1" applyFont="1">
      <alignment horizontal="left" readingOrder="0" vertical="center"/>
    </xf>
    <xf borderId="9" fillId="0" fontId="56" numFmtId="0" xfId="0" applyAlignment="1" applyBorder="1" applyFont="1">
      <alignment horizontal="left" readingOrder="0" shrinkToFit="0" vertical="center" wrapText="1"/>
    </xf>
    <xf borderId="9" fillId="0" fontId="56" numFmtId="0" xfId="0" applyAlignment="1" applyBorder="1" applyFont="1">
      <alignment readingOrder="0" vertical="center"/>
    </xf>
    <xf borderId="19" fillId="0" fontId="5" numFmtId="0" xfId="0" applyAlignment="1" applyBorder="1" applyFont="1">
      <alignment readingOrder="0" vertical="center"/>
    </xf>
    <xf borderId="20" fillId="0" fontId="5" numFmtId="0" xfId="0" applyAlignment="1" applyBorder="1" applyFont="1">
      <alignment readingOrder="0" vertical="center"/>
    </xf>
    <xf borderId="9" fillId="0" fontId="10" numFmtId="0" xfId="0" applyAlignment="1" applyBorder="1" applyFont="1">
      <alignment readingOrder="0" vertical="center"/>
    </xf>
    <xf borderId="19" fillId="0" fontId="16" numFmtId="0" xfId="0" applyBorder="1" applyFont="1"/>
    <xf borderId="9" fillId="0" fontId="16" numFmtId="0" xfId="0" applyAlignment="1" applyBorder="1" applyFont="1">
      <alignment readingOrder="0" shrinkToFit="0" vertical="center" wrapText="1"/>
    </xf>
    <xf borderId="0" fillId="0" fontId="37" numFmtId="0" xfId="0" applyFont="1"/>
    <xf borderId="0" fillId="0" fontId="37" numFmtId="164" xfId="0" applyFont="1" applyNumberFormat="1"/>
    <xf borderId="0" fillId="0" fontId="37" numFmtId="0" xfId="0" applyAlignment="1" applyFont="1">
      <alignment horizontal="left" vertical="center"/>
    </xf>
    <xf borderId="0" fillId="0" fontId="59" numFmtId="0" xfId="0" applyAlignment="1" applyFont="1">
      <alignment horizontal="left" vertical="center"/>
    </xf>
    <xf borderId="0" fillId="0" fontId="10" numFmtId="164" xfId="0" applyFont="1" applyNumberFormat="1"/>
    <xf borderId="0" fillId="0" fontId="59" numFmtId="164" xfId="0" applyAlignment="1" applyFont="1" applyNumberFormat="1">
      <alignment horizontal="left" vertical="center"/>
    </xf>
    <xf borderId="9" fillId="2" fontId="38" numFmtId="0" xfId="0" applyAlignment="1" applyBorder="1" applyFont="1">
      <alignment horizontal="left" vertical="center"/>
    </xf>
    <xf borderId="9" fillId="2" fontId="38" numFmtId="164" xfId="0" applyAlignment="1" applyBorder="1" applyFont="1" applyNumberFormat="1">
      <alignment horizontal="left" vertical="center"/>
    </xf>
    <xf borderId="10" fillId="10" fontId="37" numFmtId="0" xfId="0" applyBorder="1" applyFont="1"/>
    <xf borderId="11" fillId="0" fontId="37" numFmtId="164" xfId="0" applyBorder="1" applyFont="1" applyNumberFormat="1"/>
    <xf borderId="11" fillId="0" fontId="37" numFmtId="0" xfId="0" applyAlignment="1" applyBorder="1" applyFont="1">
      <alignment horizontal="left" vertical="center"/>
    </xf>
    <xf borderId="11" fillId="0" fontId="40" numFmtId="0" xfId="0" applyBorder="1" applyFont="1"/>
    <xf borderId="11" fillId="0" fontId="37" numFmtId="0" xfId="0" applyBorder="1" applyFont="1"/>
    <xf borderId="11" fillId="0" fontId="40" numFmtId="164" xfId="0" applyBorder="1" applyFont="1" applyNumberFormat="1"/>
    <xf borderId="11" fillId="0" fontId="40" numFmtId="0" xfId="0" applyAlignment="1" applyBorder="1" applyFont="1">
      <alignment horizontal="left" vertical="center"/>
    </xf>
    <xf borderId="10" fillId="5" fontId="60" numFmtId="0" xfId="0" applyAlignment="1" applyBorder="1" applyFont="1">
      <alignment horizontal="left"/>
    </xf>
    <xf borderId="10" fillId="10" fontId="40" numFmtId="0" xfId="0" applyBorder="1" applyFont="1"/>
    <xf borderId="11" fillId="0" fontId="41" numFmtId="164" xfId="0" applyAlignment="1" applyBorder="1" applyFont="1" applyNumberFormat="1">
      <alignment readingOrder="0"/>
    </xf>
    <xf borderId="11" fillId="0" fontId="40" numFmtId="0" xfId="0" applyAlignment="1" applyBorder="1" applyFont="1">
      <alignment readingOrder="0"/>
    </xf>
    <xf borderId="11" fillId="0" fontId="40" numFmtId="0" xfId="0" applyAlignment="1" applyBorder="1" applyFont="1">
      <alignment horizontal="left"/>
    </xf>
    <xf borderId="11" fillId="0" fontId="41" numFmtId="0" xfId="0" applyAlignment="1" applyBorder="1" applyFont="1">
      <alignment readingOrder="0"/>
    </xf>
    <xf borderId="11" fillId="0" fontId="39" numFmtId="0" xfId="0" applyBorder="1" applyFont="1"/>
    <xf borderId="0" fillId="0" fontId="10" numFmtId="0" xfId="0" applyAlignment="1" applyFont="1">
      <alignment readingOrder="0"/>
    </xf>
    <xf borderId="11" fillId="0" fontId="41" numFmtId="0" xfId="0" applyAlignment="1" applyBorder="1" applyFont="1">
      <alignment horizontal="left" readingOrder="0" vertical="center"/>
    </xf>
    <xf borderId="0" fillId="0" fontId="41" numFmtId="0" xfId="0" applyAlignment="1" applyFont="1">
      <alignment readingOrder="0"/>
    </xf>
    <xf borderId="0" fillId="0" fontId="37" numFmtId="0" xfId="0" applyAlignment="1" applyFont="1">
      <alignment readingOrder="0"/>
    </xf>
    <xf borderId="11" fillId="0" fontId="40" numFmtId="0" xfId="0" applyAlignment="1" applyBorder="1" applyFont="1">
      <alignment horizontal="left" readingOrder="0" vertical="center"/>
    </xf>
    <xf borderId="10" fillId="10" fontId="37" numFmtId="0" xfId="0" applyAlignment="1" applyBorder="1" applyFont="1">
      <alignment vertical="bottom"/>
    </xf>
    <xf borderId="15" fillId="10" fontId="37" numFmtId="0" xfId="0" applyAlignment="1" applyBorder="1" applyFont="1">
      <alignment vertical="bottom"/>
    </xf>
    <xf borderId="11" fillId="10" fontId="40" numFmtId="0" xfId="0" applyBorder="1" applyFont="1"/>
    <xf borderId="10" fillId="10" fontId="39" numFmtId="0" xfId="0" applyAlignment="1" applyBorder="1" applyFont="1">
      <alignment horizontal="left" shrinkToFit="0" vertical="center" wrapText="1"/>
    </xf>
    <xf borderId="11" fillId="0" fontId="40" numFmtId="164" xfId="0" applyAlignment="1" applyBorder="1" applyFont="1" applyNumberFormat="1">
      <alignment readingOrder="0"/>
    </xf>
    <xf borderId="11" fillId="5" fontId="60" numFmtId="0" xfId="0" applyAlignment="1" applyBorder="1" applyFont="1">
      <alignment horizontal="left" readingOrder="0"/>
    </xf>
    <xf borderId="0" fillId="5" fontId="61" numFmtId="0" xfId="0" applyAlignment="1" applyFont="1">
      <alignment readingOrder="0"/>
    </xf>
    <xf borderId="10" fillId="5" fontId="40" numFmtId="0" xfId="0" applyAlignment="1" applyBorder="1" applyFont="1">
      <alignment horizontal="left"/>
    </xf>
    <xf borderId="11" fillId="0" fontId="41" numFmtId="0" xfId="0" applyBorder="1" applyFont="1"/>
    <xf borderId="10" fillId="10" fontId="40" numFmtId="0" xfId="0" applyAlignment="1" applyBorder="1" applyFont="1">
      <alignment horizontal="left"/>
    </xf>
    <xf borderId="11" fillId="5" fontId="40" numFmtId="0" xfId="0" applyAlignment="1" applyBorder="1" applyFont="1">
      <alignment readingOrder="0"/>
    </xf>
    <xf borderId="10" fillId="5" fontId="40" numFmtId="0" xfId="0" applyBorder="1" applyFont="1"/>
    <xf borderId="10" fillId="5" fontId="47" numFmtId="0" xfId="0" applyBorder="1" applyFont="1"/>
    <xf borderId="11" fillId="10" fontId="40" numFmtId="0" xfId="0" applyAlignment="1" applyBorder="1" applyFont="1">
      <alignment readingOrder="0"/>
    </xf>
    <xf borderId="11" fillId="11" fontId="40" numFmtId="0" xfId="0" applyAlignment="1" applyBorder="1" applyFont="1">
      <alignment readingOrder="0"/>
    </xf>
    <xf borderId="0" fillId="0" fontId="37" numFmtId="0" xfId="0" applyAlignment="1" applyFont="1">
      <alignment readingOrder="0"/>
    </xf>
    <xf borderId="11" fillId="0" fontId="37" numFmtId="0" xfId="0" applyAlignment="1" applyBorder="1" applyFont="1">
      <alignment horizontal="left" readingOrder="0" vertical="center"/>
    </xf>
    <xf borderId="0" fillId="11" fontId="61" numFmtId="0" xfId="0" applyAlignment="1" applyFont="1">
      <alignment readingOrder="0"/>
    </xf>
    <xf borderId="11" fillId="10" fontId="41" numFmtId="0" xfId="0" applyAlignment="1" applyBorder="1" applyFont="1">
      <alignment readingOrder="0"/>
    </xf>
    <xf borderId="10" fillId="5" fontId="62" numFmtId="0" xfId="0" applyAlignment="1" applyBorder="1" applyFont="1">
      <alignment horizontal="left"/>
    </xf>
    <xf borderId="10" fillId="10" fontId="62" numFmtId="0" xfId="0" applyAlignment="1" applyBorder="1" applyFont="1">
      <alignment horizontal="left"/>
    </xf>
    <xf borderId="10" fillId="10" fontId="40" numFmtId="0" xfId="0" applyAlignment="1" applyBorder="1" applyFont="1">
      <alignment readingOrder="0" vertical="center"/>
    </xf>
    <xf borderId="11" fillId="0" fontId="40" numFmtId="164" xfId="0" applyAlignment="1" applyBorder="1" applyFont="1" applyNumberFormat="1">
      <alignment vertical="center"/>
    </xf>
    <xf borderId="11" fillId="0" fontId="60" numFmtId="0" xfId="0" applyAlignment="1" applyBorder="1" applyFont="1">
      <alignment vertical="center"/>
    </xf>
    <xf borderId="11" fillId="0" fontId="40" numFmtId="0" xfId="0" applyAlignment="1" applyBorder="1" applyFont="1">
      <alignment vertical="center"/>
    </xf>
    <xf borderId="11" fillId="0" fontId="37" numFmtId="0" xfId="0" applyAlignment="1" applyBorder="1" applyFont="1">
      <alignment horizontal="left" readingOrder="0" vertical="bottom"/>
    </xf>
    <xf borderId="11" fillId="0" fontId="44" numFmtId="0" xfId="0" applyBorder="1" applyFont="1"/>
    <xf borderId="10" fillId="10" fontId="40" numFmtId="0" xfId="0" applyAlignment="1" applyBorder="1" applyFont="1">
      <alignment vertical="center"/>
    </xf>
    <xf borderId="10" fillId="10" fontId="40" numFmtId="0" xfId="0" applyAlignment="1" applyBorder="1" applyFont="1">
      <alignment readingOrder="0"/>
    </xf>
    <xf borderId="11" fillId="11" fontId="41" numFmtId="0" xfId="0" applyAlignment="1" applyBorder="1" applyFont="1">
      <alignment readingOrder="0"/>
    </xf>
    <xf borderId="11" fillId="10" fontId="41" numFmtId="0" xfId="0" applyAlignment="1" applyBorder="1" applyFont="1">
      <alignment readingOrder="0" vertical="center"/>
    </xf>
    <xf borderId="11" fillId="0" fontId="41" numFmtId="164" xfId="0" applyAlignment="1" applyBorder="1" applyFont="1" applyNumberFormat="1">
      <alignment readingOrder="0" vertical="center"/>
    </xf>
    <xf borderId="11" fillId="0" fontId="41" numFmtId="0" xfId="0" applyAlignment="1" applyBorder="1" applyFont="1">
      <alignment readingOrder="0" vertical="center"/>
    </xf>
    <xf borderId="11" fillId="0" fontId="37" numFmtId="0" xfId="0" applyAlignment="1" applyBorder="1" applyFont="1">
      <alignment vertical="center"/>
    </xf>
    <xf borderId="0" fillId="0" fontId="37" numFmtId="0" xfId="0" applyAlignment="1" applyFont="1">
      <alignment vertical="center"/>
    </xf>
    <xf borderId="0" fillId="0" fontId="10" numFmtId="0" xfId="0" applyAlignment="1" applyFont="1">
      <alignment vertical="center"/>
    </xf>
    <xf borderId="11" fillId="0" fontId="37" numFmtId="0" xfId="0" applyAlignment="1" applyBorder="1" applyFont="1">
      <alignment readingOrder="0"/>
    </xf>
    <xf borderId="11" fillId="0" fontId="37" numFmtId="0" xfId="0" applyAlignment="1" applyBorder="1" applyFont="1">
      <alignment readingOrder="0"/>
    </xf>
    <xf borderId="17" fillId="0" fontId="37" numFmtId="164" xfId="0" applyBorder="1" applyFont="1" applyNumberFormat="1"/>
    <xf borderId="17" fillId="0" fontId="37" numFmtId="0" xfId="0" applyBorder="1" applyFont="1"/>
    <xf borderId="0" fillId="10" fontId="41" numFmtId="0" xfId="0" applyAlignment="1" applyFont="1">
      <alignment readingOrder="0"/>
    </xf>
    <xf borderId="17" fillId="0" fontId="41" numFmtId="164" xfId="0" applyAlignment="1" applyBorder="1" applyFont="1" applyNumberFormat="1">
      <alignment readingOrder="0"/>
    </xf>
    <xf borderId="0" fillId="0" fontId="37" numFmtId="0" xfId="0" applyAlignment="1" applyFont="1">
      <alignment horizontal="left" readingOrder="0" vertical="center"/>
    </xf>
    <xf borderId="17" fillId="0" fontId="37" numFmtId="0" xfId="0" applyAlignment="1" applyBorder="1" applyFont="1">
      <alignment readingOrder="0"/>
    </xf>
    <xf borderId="0" fillId="0" fontId="41" numFmtId="0" xfId="0" applyAlignment="1" applyFont="1">
      <alignment horizontal="left" readingOrder="0" vertical="center"/>
    </xf>
    <xf borderId="17" fillId="0" fontId="41" numFmtId="0" xfId="0" applyAlignment="1" applyBorder="1" applyFont="1">
      <alignment readingOrder="0"/>
    </xf>
    <xf borderId="0" fillId="10" fontId="63" numFmtId="0" xfId="0" applyAlignment="1" applyFont="1">
      <alignment horizontal="left" readingOrder="0"/>
    </xf>
    <xf borderId="0" fillId="0" fontId="39" numFmtId="164" xfId="0" applyFont="1" applyNumberFormat="1"/>
    <xf borderId="0" fillId="0" fontId="44" numFmtId="0" xfId="0" applyFont="1"/>
    <xf borderId="0" fillId="0" fontId="36" numFmtId="0" xfId="0" applyAlignment="1" applyFont="1">
      <alignment horizontal="left"/>
    </xf>
    <xf borderId="13" fillId="5" fontId="37" numFmtId="164" xfId="0" applyBorder="1" applyFont="1" applyNumberFormat="1"/>
    <xf borderId="13" fillId="5" fontId="40" numFmtId="0" xfId="0" applyBorder="1" applyFont="1"/>
    <xf borderId="13" fillId="5" fontId="44" numFmtId="0" xfId="0" applyBorder="1" applyFont="1"/>
    <xf borderId="13" fillId="5" fontId="39" numFmtId="0" xfId="0" applyBorder="1" applyFont="1"/>
    <xf borderId="9" fillId="2" fontId="37" numFmtId="164" xfId="0" applyBorder="1" applyFont="1" applyNumberFormat="1"/>
    <xf borderId="9" fillId="2" fontId="40" numFmtId="0" xfId="0" applyBorder="1" applyFont="1"/>
    <xf borderId="0" fillId="0" fontId="41" numFmtId="164" xfId="0" applyFont="1" applyNumberFormat="1"/>
    <xf borderId="0" fillId="0" fontId="41" numFmtId="0" xfId="0" applyFont="1"/>
    <xf borderId="13" fillId="11" fontId="44" numFmtId="0" xfId="0" applyBorder="1" applyFont="1"/>
    <xf borderId="0" fillId="0" fontId="10" numFmtId="164" xfId="0" applyAlignment="1" applyFont="1" applyNumberFormat="1">
      <alignment horizontal="center" readingOrder="0" vertical="center"/>
    </xf>
    <xf borderId="0" fillId="0" fontId="10" numFmtId="0" xfId="0" applyAlignment="1" applyFont="1">
      <alignment horizontal="center" readingOrder="0" vertical="center"/>
    </xf>
    <xf borderId="0" fillId="0" fontId="10" numFmtId="0" xfId="0" applyAlignment="1" applyFont="1">
      <alignment horizontal="center" vertical="center"/>
    </xf>
    <xf borderId="0" fillId="0" fontId="10" numFmtId="0" xfId="0" applyAlignment="1" applyFont="1">
      <alignment horizontal="left" readingOrder="0" vertical="center"/>
    </xf>
    <xf borderId="0" fillId="0" fontId="10" numFmtId="0" xfId="0" applyAlignment="1" applyFont="1">
      <alignment horizontal="left" vertical="center"/>
    </xf>
    <xf borderId="0" fillId="0" fontId="10" numFmtId="164" xfId="0" applyAlignment="1" applyFont="1" applyNumberFormat="1">
      <alignment horizontal="center" vertical="center"/>
    </xf>
    <xf borderId="0" fillId="0" fontId="64" numFmtId="0" xfId="0" applyAlignment="1" applyFont="1">
      <alignment readingOrder="0"/>
    </xf>
    <xf borderId="0" fillId="0" fontId="64" numFmtId="0" xfId="0" applyFont="1"/>
    <xf borderId="0" fillId="13" fontId="64" numFmtId="164" xfId="0" applyAlignment="1" applyFill="1" applyFont="1" applyNumberFormat="1">
      <alignment readingOrder="0"/>
    </xf>
    <xf borderId="0" fillId="13" fontId="64" numFmtId="0" xfId="0" applyAlignment="1" applyFont="1">
      <alignment readingOrder="0"/>
    </xf>
    <xf borderId="0" fillId="0" fontId="10" numFmtId="164" xfId="0" applyAlignment="1" applyFont="1" applyNumberFormat="1">
      <alignment readingOrder="0"/>
    </xf>
    <xf borderId="0" fillId="0" fontId="65" numFmtId="0" xfId="0" applyAlignment="1" applyFont="1">
      <alignment horizontal="right" readingOrder="0" shrinkToFit="0" vertical="bottom" wrapText="0"/>
    </xf>
    <xf borderId="0" fillId="0" fontId="65" numFmtId="0" xfId="0" applyAlignment="1" applyFont="1">
      <alignment readingOrder="0" shrinkToFit="0" vertical="bottom" wrapText="0"/>
    </xf>
    <xf borderId="0" fillId="0" fontId="66" numFmtId="0" xfId="0" applyAlignment="1" applyFont="1">
      <alignment vertical="bottom"/>
    </xf>
    <xf borderId="0" fillId="0" fontId="67" numFmtId="0" xfId="0" applyAlignment="1" applyFont="1">
      <alignment vertical="bottom"/>
    </xf>
    <xf borderId="0" fillId="0" fontId="68" numFmtId="0" xfId="0" applyAlignment="1" applyFont="1">
      <alignment readingOrder="0"/>
    </xf>
    <xf borderId="0" fillId="9" fontId="69" numFmtId="0" xfId="0" applyAlignment="1" applyFont="1">
      <alignment vertical="bottom"/>
    </xf>
    <xf borderId="0" fillId="9" fontId="10" numFmtId="0" xfId="0" applyFont="1"/>
    <xf borderId="0" fillId="9" fontId="10" numFmtId="0" xfId="0" applyAlignment="1" applyFont="1">
      <alignment readingOrder="0"/>
    </xf>
    <xf borderId="21" fillId="14" fontId="69" numFmtId="0" xfId="0" applyAlignment="1" applyBorder="1" applyFill="1" applyFont="1">
      <alignment vertical="bottom"/>
    </xf>
    <xf borderId="0" fillId="0" fontId="70" numFmtId="0" xfId="0" applyAlignment="1" applyFont="1">
      <alignment readingOrder="0"/>
    </xf>
    <xf borderId="21" fillId="0" fontId="66" numFmtId="166" xfId="0" applyAlignment="1" applyBorder="1" applyFont="1" applyNumberFormat="1">
      <alignment horizontal="right" vertical="bottom"/>
    </xf>
    <xf borderId="21" fillId="0" fontId="66" numFmtId="0" xfId="0" applyAlignment="1" applyBorder="1" applyFont="1">
      <alignment vertical="bottom"/>
    </xf>
    <xf borderId="21" fillId="0" fontId="66" numFmtId="0" xfId="0" applyAlignment="1" applyBorder="1" applyFont="1">
      <alignment readingOrder="0" vertical="bottom"/>
    </xf>
    <xf borderId="0" fillId="0" fontId="66" numFmtId="0" xfId="0" applyAlignment="1" applyFont="1">
      <alignment readingOrder="0" vertical="bottom"/>
    </xf>
    <xf borderId="21" fillId="0" fontId="66" numFmtId="166" xfId="0" applyAlignment="1" applyBorder="1" applyFont="1" applyNumberFormat="1">
      <alignment vertical="bottom"/>
    </xf>
    <xf borderId="0" fillId="0" fontId="71" numFmtId="0" xfId="0" applyAlignment="1" applyFont="1">
      <alignment horizontal="left" readingOrder="0" shrinkToFit="0" wrapText="0"/>
    </xf>
    <xf borderId="0" fillId="0" fontId="72" numFmtId="0" xfId="0" applyAlignment="1" applyFont="1">
      <alignment horizontal="left" readingOrder="0" shrinkToFit="0" wrapText="0"/>
    </xf>
    <xf borderId="0" fillId="0" fontId="73" numFmtId="0" xfId="0" applyAlignment="1" applyFont="1">
      <alignment shrinkToFit="0" wrapText="0"/>
    </xf>
    <xf borderId="9" fillId="15" fontId="73" numFmtId="0" xfId="0" applyAlignment="1" applyBorder="1" applyFill="1" applyFont="1">
      <alignment horizontal="left" readingOrder="0" shrinkToFit="0" wrapText="0"/>
    </xf>
    <xf borderId="22" fillId="15" fontId="73" numFmtId="0" xfId="0" applyAlignment="1" applyBorder="1" applyFont="1">
      <alignment horizontal="left" readingOrder="0" shrinkToFit="0" wrapText="0"/>
    </xf>
    <xf borderId="0" fillId="0" fontId="73" numFmtId="0" xfId="0" applyAlignment="1" applyFont="1">
      <alignment horizontal="left" readingOrder="0" shrinkToFit="0" wrapText="0"/>
    </xf>
    <xf borderId="0" fillId="11" fontId="73" numFmtId="0" xfId="0" applyAlignment="1" applyFont="1">
      <alignment horizontal="left" readingOrder="0" shrinkToFit="0" wrapText="0"/>
    </xf>
    <xf borderId="0" fillId="11" fontId="74" numFmtId="0" xfId="0" applyAlignment="1" applyFont="1">
      <alignment horizontal="left" readingOrder="0"/>
    </xf>
    <xf borderId="0" fillId="11" fontId="74" numFmtId="0" xfId="0" applyAlignment="1" applyFont="1">
      <alignment horizontal="left" readingOrder="0" shrinkToFit="0" wrapText="0"/>
    </xf>
    <xf borderId="0" fillId="0" fontId="39" numFmtId="0" xfId="0" applyFont="1"/>
    <xf borderId="9" fillId="0" fontId="75" numFmtId="0" xfId="0" applyAlignment="1" applyBorder="1" applyFont="1">
      <alignment shrinkToFit="0" wrapText="0"/>
    </xf>
    <xf borderId="9" fillId="0" fontId="39" numFmtId="0" xfId="0" applyBorder="1" applyFont="1"/>
    <xf borderId="9" fillId="0" fontId="39" numFmtId="14" xfId="0" applyBorder="1" applyFont="1" applyNumberFormat="1"/>
    <xf borderId="23" fillId="0" fontId="39" numFmtId="0" xfId="0" applyAlignment="1" applyBorder="1" applyFont="1">
      <alignment horizontal="left" readingOrder="0"/>
    </xf>
    <xf borderId="24" fillId="0" fontId="4" numFmtId="0" xfId="0" applyBorder="1" applyFont="1"/>
    <xf borderId="25" fillId="0" fontId="4" numFmtId="0" xfId="0" applyBorder="1" applyFont="1"/>
    <xf borderId="26" fillId="0" fontId="39" numFmtId="0" xfId="0" applyAlignment="1" applyBorder="1" applyFont="1">
      <alignment readingOrder="0"/>
    </xf>
    <xf borderId="18" fillId="0" fontId="4" numFmtId="0" xfId="0" applyBorder="1" applyFont="1"/>
    <xf borderId="17" fillId="0" fontId="39" numFmtId="0" xfId="0" applyAlignment="1" applyBorder="1" applyFont="1">
      <alignment readingOrder="0"/>
    </xf>
    <xf borderId="9" fillId="0" fontId="39" numFmtId="0" xfId="0" applyAlignment="1" applyBorder="1" applyFont="1">
      <alignment shrinkToFit="0" wrapText="0"/>
    </xf>
    <xf borderId="27" fillId="0" fontId="4" numFmtId="0" xfId="0" applyBorder="1" applyFont="1"/>
    <xf borderId="28" fillId="0" fontId="4" numFmtId="0" xfId="0" applyBorder="1" applyFont="1"/>
    <xf borderId="29" fillId="0" fontId="4" numFmtId="0" xfId="0" applyBorder="1" applyFont="1"/>
    <xf borderId="30" fillId="0" fontId="39" numFmtId="0" xfId="0" applyAlignment="1" applyBorder="1" applyFont="1">
      <alignment readingOrder="0"/>
    </xf>
    <xf borderId="9" fillId="16" fontId="76" numFmtId="0" xfId="0" applyAlignment="1" applyBorder="1" applyFill="1" applyFont="1">
      <alignment horizontal="center" shrinkToFit="0" wrapText="1"/>
    </xf>
    <xf borderId="9" fillId="16" fontId="76" numFmtId="0" xfId="0" applyAlignment="1" applyBorder="1" applyFont="1">
      <alignment shrinkToFit="0" wrapText="1"/>
    </xf>
    <xf borderId="9" fillId="0" fontId="77" numFmtId="0" xfId="0" applyAlignment="1" applyBorder="1" applyFont="1">
      <alignment readingOrder="0" shrinkToFit="0" wrapText="1"/>
    </xf>
    <xf borderId="9" fillId="0" fontId="77" numFmtId="14" xfId="0" applyAlignment="1" applyBorder="1" applyFont="1" applyNumberFormat="1">
      <alignment readingOrder="0" shrinkToFit="0" wrapText="1"/>
    </xf>
    <xf borderId="9" fillId="0" fontId="39" numFmtId="0" xfId="0" applyAlignment="1" applyBorder="1" applyFont="1">
      <alignment readingOrder="0"/>
    </xf>
    <xf borderId="9" fillId="0" fontId="77" numFmtId="49" xfId="0" applyAlignment="1" applyBorder="1" applyFont="1" applyNumberFormat="1">
      <alignment readingOrder="0" shrinkToFit="0" wrapText="1"/>
    </xf>
    <xf borderId="9" fillId="0" fontId="77" numFmtId="167" xfId="0" applyAlignment="1" applyBorder="1" applyFont="1" applyNumberFormat="1">
      <alignment readingOrder="0" shrinkToFit="0" wrapText="1"/>
    </xf>
    <xf borderId="9" fillId="0" fontId="77" numFmtId="0" xfId="0" applyAlignment="1" applyBorder="1" applyFont="1">
      <alignment shrinkToFit="0" wrapText="1"/>
    </xf>
    <xf borderId="9" fillId="0" fontId="77" numFmtId="164" xfId="0" applyAlignment="1" applyBorder="1" applyFont="1" applyNumberFormat="1">
      <alignment readingOrder="0" shrinkToFit="0" wrapText="1"/>
    </xf>
    <xf borderId="9" fillId="0" fontId="77" numFmtId="165" xfId="0" applyAlignment="1" applyBorder="1" applyFont="1" applyNumberFormat="1">
      <alignment readingOrder="0" shrinkToFit="0" wrapText="1"/>
    </xf>
    <xf borderId="9" fillId="0" fontId="77" numFmtId="14" xfId="0" applyAlignment="1" applyBorder="1" applyFont="1" applyNumberFormat="1">
      <alignment readingOrder="0"/>
    </xf>
    <xf borderId="9" fillId="0" fontId="78" numFmtId="0" xfId="0" applyAlignment="1" applyBorder="1" applyFont="1">
      <alignment readingOrder="0" shrinkToFit="0" wrapText="1"/>
    </xf>
    <xf borderId="9" fillId="0" fontId="77" numFmtId="0" xfId="0" applyAlignment="1" applyBorder="1" applyFont="1">
      <alignment horizontal="right" readingOrder="0" shrinkToFit="0" wrapText="1"/>
    </xf>
    <xf borderId="9" fillId="0" fontId="46" numFmtId="0" xfId="0" applyAlignment="1" applyBorder="1" applyFont="1">
      <alignment shrinkToFit="0" wrapText="1"/>
    </xf>
    <xf borderId="9" fillId="0" fontId="39" numFmtId="14" xfId="0" applyAlignment="1" applyBorder="1" applyFont="1" applyNumberFormat="1">
      <alignment readingOrder="0"/>
    </xf>
    <xf borderId="9" fillId="0" fontId="39" numFmtId="165" xfId="0" applyAlignment="1" applyBorder="1" applyFont="1" applyNumberFormat="1">
      <alignment readingOrder="0"/>
    </xf>
    <xf borderId="9" fillId="0" fontId="39" numFmtId="164" xfId="0" applyAlignment="1" applyBorder="1" applyFont="1" applyNumberFormat="1">
      <alignment readingOrder="0"/>
    </xf>
    <xf borderId="0" fillId="0" fontId="39" numFmtId="0" xfId="0" applyAlignment="1" applyFont="1">
      <alignment readingOrder="0"/>
    </xf>
    <xf borderId="0" fillId="0" fontId="39" numFmtId="164" xfId="0" applyAlignment="1" applyFont="1" applyNumberFormat="1">
      <alignment readingOrder="0"/>
    </xf>
    <xf borderId="0" fillId="0" fontId="39" numFmtId="165" xfId="0" applyAlignment="1" applyFont="1" applyNumberFormat="1">
      <alignment readingOrder="0"/>
    </xf>
    <xf borderId="0" fillId="0" fontId="79" numFmtId="0" xfId="0" applyAlignment="1" applyFont="1">
      <alignment readingOrder="0"/>
    </xf>
    <xf borderId="0" fillId="17" fontId="80" numFmtId="0" xfId="0" applyAlignment="1" applyFill="1" applyFont="1">
      <alignment horizontal="left" readingOrder="0" vertical="center"/>
    </xf>
    <xf borderId="9" fillId="18" fontId="81" numFmtId="0" xfId="0" applyAlignment="1" applyBorder="1" applyFill="1" applyFont="1">
      <alignment readingOrder="0"/>
    </xf>
    <xf borderId="9" fillId="18" fontId="81" numFmtId="0" xfId="0" applyAlignment="1" applyBorder="1" applyFont="1">
      <alignment horizontal="left" readingOrder="0"/>
    </xf>
    <xf borderId="9" fillId="19" fontId="64" numFmtId="0" xfId="0" applyAlignment="1" applyBorder="1" applyFill="1" applyFont="1">
      <alignment readingOrder="0"/>
    </xf>
    <xf borderId="9" fillId="0" fontId="10" numFmtId="0" xfId="0" applyAlignment="1" applyBorder="1" applyFont="1">
      <alignment horizontal="left" readingOrder="0"/>
    </xf>
    <xf borderId="9" fillId="0" fontId="10" numFmtId="0" xfId="0" applyAlignment="1" applyBorder="1" applyFont="1">
      <alignment readingOrder="0"/>
    </xf>
    <xf borderId="9" fillId="0" fontId="10" numFmtId="0" xfId="0" applyBorder="1" applyFont="1"/>
    <xf borderId="9" fillId="5" fontId="60" numFmtId="0" xfId="0" applyAlignment="1" applyBorder="1" applyFont="1">
      <alignment horizontal="left" readingOrder="0" shrinkToFit="0" vertical="center" wrapText="1"/>
    </xf>
    <xf borderId="9" fillId="13" fontId="82" numFmtId="0" xfId="0" applyAlignment="1" applyBorder="1" applyFont="1">
      <alignment horizontal="left" readingOrder="0" shrinkToFit="0" vertical="bottom" wrapText="0"/>
    </xf>
    <xf borderId="22" fillId="13" fontId="82" numFmtId="0" xfId="0" applyAlignment="1" applyBorder="1" applyFont="1">
      <alignment horizontal="left" readingOrder="0" shrinkToFit="0" vertical="bottom" wrapText="0"/>
    </xf>
    <xf borderId="30" fillId="0" fontId="82" numFmtId="0" xfId="0" applyAlignment="1" applyBorder="1" applyFont="1">
      <alignment horizontal="left" readingOrder="0" shrinkToFit="0" vertical="bottom" wrapText="0"/>
    </xf>
    <xf borderId="29" fillId="0" fontId="82" numFmtId="0" xfId="0" applyAlignment="1" applyBorder="1" applyFont="1">
      <alignment horizontal="right" readingOrder="0" shrinkToFit="0" vertical="bottom" wrapText="0"/>
    </xf>
    <xf borderId="29" fillId="0" fontId="82" numFmtId="0" xfId="0" applyAlignment="1" applyBorder="1" applyFont="1">
      <alignment horizontal="left" readingOrder="0" shrinkToFit="0" vertical="bottom" wrapText="0"/>
    </xf>
    <xf borderId="30" fillId="0" fontId="65" numFmtId="0" xfId="0" applyAlignment="1" applyBorder="1" applyFont="1">
      <alignment horizontal="left" readingOrder="0" shrinkToFit="0" wrapText="0"/>
    </xf>
  </cellXfs>
  <cellStyles count="1">
    <cellStyle xfId="0" name="Normal" builtinId="0"/>
  </cellStyles>
  <dxfs count="2">
    <dxf>
      <font>
        <color rgb="FF0000FF"/>
      </font>
      <fill>
        <patternFill patternType="none"/>
      </fill>
      <border/>
    </dxf>
    <dxf>
      <font/>
      <fill>
        <patternFill patternType="solid">
          <fgColor rgb="FFFF0000"/>
          <bgColor rgb="FFFF0000"/>
        </patternFill>
      </fill>
      <border/>
    </dxf>
  </dxfs>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15" Type="http://schemas.openxmlformats.org/officeDocument/2006/relationships/worksheet" Target="worksheets/sheet11.xml"/><Relationship Id="rId14" Type="http://schemas.openxmlformats.org/officeDocument/2006/relationships/worksheet" Target="worksheets/sheet10.xml"/><Relationship Id="rId17" Type="http://schemas.openxmlformats.org/officeDocument/2006/relationships/worksheet" Target="worksheets/sheet13.xml"/><Relationship Id="rId16" Type="http://schemas.openxmlformats.org/officeDocument/2006/relationships/worksheet" Target="worksheets/sheet12.xml"/><Relationship Id="rId5" Type="http://schemas.openxmlformats.org/officeDocument/2006/relationships/worksheet" Target="worksheets/sheet1.xml"/><Relationship Id="rId6" Type="http://schemas.openxmlformats.org/officeDocument/2006/relationships/worksheet" Target="worksheets/sheet2.xml"/><Relationship Id="rId18" Type="http://schemas.openxmlformats.org/officeDocument/2006/relationships/worksheet" Target="worksheets/sheet14.xml"/><Relationship Id="rId7" Type="http://schemas.openxmlformats.org/officeDocument/2006/relationships/worksheet" Target="worksheets/sheet3.xml"/><Relationship Id="rId8" Type="http://schemas.openxmlformats.org/officeDocument/2006/relationships/worksheet" Target="worksheets/sheet4.xml"/></Relationships>
</file>

<file path=xl/drawings/_rels/drawing2.xml.rels><?xml version="1.0" encoding="UTF-8" standalone="yes"?><Relationships xmlns="http://schemas.openxmlformats.org/package/2006/relationships"><Relationship Id="rId1" Type="http://schemas.openxmlformats.org/officeDocument/2006/relationships/image" Target="../media/image8.jpg"/><Relationship Id="rId2" Type="http://schemas.openxmlformats.org/officeDocument/2006/relationships/image" Target="../media/image2.png"/><Relationship Id="rId3" Type="http://schemas.openxmlformats.org/officeDocument/2006/relationships/image" Target="../media/image1.png"/><Relationship Id="rId4" Type="http://schemas.openxmlformats.org/officeDocument/2006/relationships/image" Target="../media/image3.jpg"/><Relationship Id="rId5" Type="http://schemas.openxmlformats.org/officeDocument/2006/relationships/image" Target="../media/image6.jpg"/><Relationship Id="rId6" Type="http://schemas.openxmlformats.org/officeDocument/2006/relationships/image" Target="../media/image4.png"/><Relationship Id="rId7" Type="http://schemas.openxmlformats.org/officeDocument/2006/relationships/image" Target="../media/image7.png"/><Relationship Id="rId8" Type="http://schemas.openxmlformats.org/officeDocument/2006/relationships/image" Target="../media/image5.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5</xdr:col>
      <xdr:colOff>285750</xdr:colOff>
      <xdr:row>94</xdr:row>
      <xdr:rowOff>57150</xdr:rowOff>
    </xdr:from>
    <xdr:ext cx="4724400" cy="1962150"/>
    <xdr:grpSp>
      <xdr:nvGrpSpPr>
        <xdr:cNvPr id="2" name="Shape 2" title="図形描画"/>
        <xdr:cNvGrpSpPr/>
      </xdr:nvGrpSpPr>
      <xdr:grpSpPr>
        <a:xfrm>
          <a:off x="152400" y="152400"/>
          <a:ext cx="11887206" cy="4906124"/>
          <a:chOff x="152400" y="152400"/>
          <a:chExt cx="11887206" cy="4906124"/>
        </a:xfrm>
      </xdr:grpSpPr>
      <xdr:pic>
        <xdr:nvPicPr>
          <xdr:cNvPr id="3" name="Shape 3"/>
          <xdr:cNvPicPr preferRelativeResize="0"/>
        </xdr:nvPicPr>
        <xdr:blipFill>
          <a:blip r:embed="rId1">
            <a:alphaModFix/>
          </a:blip>
          <a:stretch>
            <a:fillRect/>
          </a:stretch>
        </xdr:blipFill>
        <xdr:spPr>
          <a:xfrm>
            <a:off x="152400" y="152400"/>
            <a:ext cx="11887206" cy="4906124"/>
          </a:xfrm>
          <a:prstGeom prst="rect">
            <a:avLst/>
          </a:prstGeom>
          <a:noFill/>
          <a:ln>
            <a:noFill/>
          </a:ln>
        </xdr:spPr>
      </xdr:pic>
    </xdr:grpSp>
    <xdr:clientData fLocksWithSheet="0"/>
  </xdr:oneCellAnchor>
  <xdr:oneCellAnchor>
    <xdr:from>
      <xdr:col>4</xdr:col>
      <xdr:colOff>6877050</xdr:colOff>
      <xdr:row>96</xdr:row>
      <xdr:rowOff>85725</xdr:rowOff>
    </xdr:from>
    <xdr:ext cx="4724400" cy="1571625"/>
    <xdr:pic>
      <xdr:nvPicPr>
        <xdr:cNvPr id="0" name="image2.png" title="画像"/>
        <xdr:cNvPicPr preferRelativeResize="0"/>
      </xdr:nvPicPr>
      <xdr:blipFill>
        <a:blip cstate="print" r:embed="rId2"/>
        <a:stretch>
          <a:fillRect/>
        </a:stretch>
      </xdr:blipFill>
      <xdr:spPr>
        <a:prstGeom prst="rect">
          <a:avLst/>
        </a:prstGeom>
        <a:noFill/>
      </xdr:spPr>
    </xdr:pic>
    <xdr:clientData fLocksWithSheet="0"/>
  </xdr:oneCellAnchor>
  <xdr:oneCellAnchor>
    <xdr:from>
      <xdr:col>5</xdr:col>
      <xdr:colOff>152400</xdr:colOff>
      <xdr:row>96</xdr:row>
      <xdr:rowOff>19050</xdr:rowOff>
    </xdr:from>
    <xdr:ext cx="4991100" cy="1800225"/>
    <xdr:pic>
      <xdr:nvPicPr>
        <xdr:cNvPr id="0" name="image1.png" title="画像"/>
        <xdr:cNvPicPr preferRelativeResize="0"/>
      </xdr:nvPicPr>
      <xdr:blipFill>
        <a:blip cstate="print" r:embed="rId3"/>
        <a:stretch>
          <a:fillRect/>
        </a:stretch>
      </xdr:blipFill>
      <xdr:spPr>
        <a:prstGeom prst="rect">
          <a:avLst/>
        </a:prstGeom>
        <a:noFill/>
      </xdr:spPr>
    </xdr:pic>
    <xdr:clientData fLocksWithSheet="0"/>
  </xdr:oneCellAnchor>
  <xdr:oneCellAnchor>
    <xdr:from>
      <xdr:col>5</xdr:col>
      <xdr:colOff>2009775</xdr:colOff>
      <xdr:row>69</xdr:row>
      <xdr:rowOff>276225</xdr:rowOff>
    </xdr:from>
    <xdr:ext cx="1762125" cy="2305050"/>
    <xdr:pic>
      <xdr:nvPicPr>
        <xdr:cNvPr id="0" name="image3.jpg" title="画像"/>
        <xdr:cNvPicPr preferRelativeResize="0"/>
      </xdr:nvPicPr>
      <xdr:blipFill>
        <a:blip cstate="print" r:embed="rId4"/>
        <a:stretch>
          <a:fillRect/>
        </a:stretch>
      </xdr:blipFill>
      <xdr:spPr>
        <a:prstGeom prst="rect">
          <a:avLst/>
        </a:prstGeom>
        <a:noFill/>
      </xdr:spPr>
    </xdr:pic>
    <xdr:clientData fLocksWithSheet="0"/>
  </xdr:oneCellAnchor>
  <xdr:oneCellAnchor>
    <xdr:from>
      <xdr:col>5</xdr:col>
      <xdr:colOff>0</xdr:colOff>
      <xdr:row>28</xdr:row>
      <xdr:rowOff>0</xdr:rowOff>
    </xdr:from>
    <xdr:ext cx="971550" cy="1371600"/>
    <xdr:pic>
      <xdr:nvPicPr>
        <xdr:cNvPr id="0" name="image6.jpg"/>
        <xdr:cNvPicPr preferRelativeResize="0"/>
      </xdr:nvPicPr>
      <xdr:blipFill>
        <a:blip cstate="print" r:embed="rId5"/>
        <a:stretch>
          <a:fillRect/>
        </a:stretch>
      </xdr:blipFill>
      <xdr:spPr>
        <a:prstGeom prst="rect">
          <a:avLst/>
        </a:prstGeom>
        <a:noFill/>
      </xdr:spPr>
    </xdr:pic>
    <xdr:clientData fLocksWithSheet="0"/>
  </xdr:oneCellAnchor>
  <xdr:oneCellAnchor>
    <xdr:from>
      <xdr:col>5</xdr:col>
      <xdr:colOff>0</xdr:colOff>
      <xdr:row>70</xdr:row>
      <xdr:rowOff>0</xdr:rowOff>
    </xdr:from>
    <xdr:ext cx="1685925" cy="2257425"/>
    <xdr:pic>
      <xdr:nvPicPr>
        <xdr:cNvPr id="0" name="image4.png"/>
        <xdr:cNvPicPr preferRelativeResize="0"/>
      </xdr:nvPicPr>
      <xdr:blipFill>
        <a:blip cstate="print" r:embed="rId6"/>
        <a:stretch>
          <a:fillRect/>
        </a:stretch>
      </xdr:blipFill>
      <xdr:spPr>
        <a:prstGeom prst="rect">
          <a:avLst/>
        </a:prstGeom>
        <a:noFill/>
      </xdr:spPr>
    </xdr:pic>
    <xdr:clientData fLocksWithSheet="0"/>
  </xdr:oneCellAnchor>
  <xdr:oneCellAnchor>
    <xdr:from>
      <xdr:col>5</xdr:col>
      <xdr:colOff>0</xdr:colOff>
      <xdr:row>135</xdr:row>
      <xdr:rowOff>0</xdr:rowOff>
    </xdr:from>
    <xdr:ext cx="1552575" cy="2305050"/>
    <xdr:pic>
      <xdr:nvPicPr>
        <xdr:cNvPr id="0" name="image7.png"/>
        <xdr:cNvPicPr preferRelativeResize="0"/>
      </xdr:nvPicPr>
      <xdr:blipFill>
        <a:blip cstate="print" r:embed="rId7"/>
        <a:stretch>
          <a:fillRect/>
        </a:stretch>
      </xdr:blipFill>
      <xdr:spPr>
        <a:prstGeom prst="rect">
          <a:avLst/>
        </a:prstGeom>
        <a:noFill/>
      </xdr:spPr>
    </xdr:pic>
    <xdr:clientData fLocksWithSheet="0"/>
  </xdr:oneCellAnchor>
  <xdr:oneCellAnchor>
    <xdr:from>
      <xdr:col>5</xdr:col>
      <xdr:colOff>0</xdr:colOff>
      <xdr:row>139</xdr:row>
      <xdr:rowOff>0</xdr:rowOff>
    </xdr:from>
    <xdr:ext cx="1485900" cy="2305050"/>
    <xdr:pic>
      <xdr:nvPicPr>
        <xdr:cNvPr id="0" name="image5.png" title="画像"/>
        <xdr:cNvPicPr preferRelativeResize="0"/>
      </xdr:nvPicPr>
      <xdr:blipFill>
        <a:blip cstate="print" r:embed="rId8"/>
        <a:stretch>
          <a:fillRect/>
        </a:stretch>
      </xdr:blipFill>
      <xdr:spPr>
        <a:prstGeom prst="rect">
          <a:avLst/>
        </a:prstGeom>
        <a:noFill/>
      </xdr:spPr>
    </xdr:pic>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8</xdr:col>
      <xdr:colOff>695325</xdr:colOff>
      <xdr:row>1</xdr:row>
      <xdr:rowOff>114300</xdr:rowOff>
    </xdr:from>
    <xdr:ext cx="2324100" cy="3028950"/>
    <xdr:sp>
      <xdr:nvSpPr>
        <xdr:cNvPr id="4" name="Shape 4"/>
        <xdr:cNvSpPr/>
      </xdr:nvSpPr>
      <xdr:spPr>
        <a:xfrm>
          <a:off x="940675" y="790550"/>
          <a:ext cx="2301600" cy="3012300"/>
        </a:xfrm>
        <a:prstGeom prst="roundRect">
          <a:avLst>
            <a:gd fmla="val 16667" name="adj"/>
          </a:avLst>
        </a:prstGeom>
        <a:solidFill>
          <a:srgbClr val="D9EAD3"/>
        </a:solidFill>
        <a:ln cap="flat" cmpd="sng" w="9525">
          <a:solidFill>
            <a:srgbClr val="274E13"/>
          </a:solidFill>
          <a:prstDash val="solid"/>
          <a:round/>
          <a:headEnd len="sm" w="sm" type="none"/>
          <a:tailEnd len="sm" w="sm" type="none"/>
        </a:ln>
      </xdr:spPr>
      <xdr:txBody>
        <a:bodyPr anchorCtr="0" anchor="ctr" bIns="91425" lIns="91425" spcFirstLastPara="1" rIns="91425" wrap="square" tIns="91425">
          <a:noAutofit/>
        </a:bodyPr>
        <a:lstStyle/>
        <a:p>
          <a:pPr indent="0" lvl="0" marL="0" rtl="0" algn="ctr">
            <a:spcBef>
              <a:spcPts val="0"/>
            </a:spcBef>
            <a:spcAft>
              <a:spcPts val="0"/>
            </a:spcAft>
            <a:buNone/>
          </a:pPr>
          <a:r>
            <a:rPr lang="en-US" sz="1400"/>
            <a:t>大手出版社</a:t>
          </a:r>
          <a:endParaRPr sz="1400"/>
        </a:p>
        <a:p>
          <a:pPr indent="0" lvl="0" marL="0" rtl="0" algn="ctr">
            <a:spcBef>
              <a:spcPts val="0"/>
            </a:spcBef>
            <a:spcAft>
              <a:spcPts val="0"/>
            </a:spcAft>
            <a:buNone/>
          </a:pPr>
          <a:r>
            <a:rPr lang="en-US" sz="1400"/>
            <a:t>・小学館</a:t>
          </a:r>
          <a:endParaRPr sz="1400"/>
        </a:p>
        <a:p>
          <a:pPr indent="0" lvl="0" marL="0" rtl="0" algn="ctr">
            <a:spcBef>
              <a:spcPts val="0"/>
            </a:spcBef>
            <a:spcAft>
              <a:spcPts val="0"/>
            </a:spcAft>
            <a:buNone/>
          </a:pPr>
          <a:r>
            <a:rPr lang="en-US" sz="1400"/>
            <a:t>・講談社</a:t>
          </a:r>
          <a:endParaRPr sz="1400"/>
        </a:p>
        <a:p>
          <a:pPr indent="0" lvl="0" marL="0" rtl="0" algn="ctr">
            <a:spcBef>
              <a:spcPts val="0"/>
            </a:spcBef>
            <a:spcAft>
              <a:spcPts val="0"/>
            </a:spcAft>
            <a:buNone/>
          </a:pPr>
          <a:r>
            <a:rPr lang="en-US" sz="1400"/>
            <a:t>・集英社</a:t>
          </a:r>
          <a:endParaRPr sz="1400"/>
        </a:p>
        <a:p>
          <a:pPr indent="0" lvl="0" marL="0" rtl="0" algn="ctr">
            <a:spcBef>
              <a:spcPts val="0"/>
            </a:spcBef>
            <a:spcAft>
              <a:spcPts val="0"/>
            </a:spcAft>
            <a:buNone/>
          </a:pPr>
          <a:r>
            <a:rPr lang="en-US" sz="1400"/>
            <a:t>・白泉社</a:t>
          </a:r>
          <a:endParaRPr sz="1400"/>
        </a:p>
        <a:p>
          <a:pPr indent="0" lvl="0" marL="0" rtl="0" algn="ctr">
            <a:spcBef>
              <a:spcPts val="0"/>
            </a:spcBef>
            <a:spcAft>
              <a:spcPts val="0"/>
            </a:spcAft>
            <a:buNone/>
          </a:pPr>
          <a:r>
            <a:rPr lang="en-US" sz="1400"/>
            <a:t>・秋田書店</a:t>
          </a:r>
          <a:endParaRPr sz="1400"/>
        </a:p>
        <a:p>
          <a:pPr indent="0" lvl="0" marL="0" rtl="0" algn="ctr">
            <a:spcBef>
              <a:spcPts val="0"/>
            </a:spcBef>
            <a:spcAft>
              <a:spcPts val="0"/>
            </a:spcAft>
            <a:buNone/>
          </a:pPr>
          <a:r>
            <a:rPr lang="en-US" sz="1400"/>
            <a:t>・KADOKAWA</a:t>
          </a:r>
          <a:endParaRPr sz="1400"/>
        </a:p>
      </xdr:txBody>
    </xdr:sp>
    <xdr:clientData fLocksWithSheet="0"/>
  </xdr:oneCellAnchor>
</xdr:wsD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docs.google.com/presentation/d/1jebgUFdNx-oEzECCuq0e47YV58eMBixalXd9h2_mlDA/edit?slide=id.g347ea5e10b4_0_0" TargetMode="External"/><Relationship Id="rId2" Type="http://schemas.openxmlformats.org/officeDocument/2006/relationships/hyperlink" Target="https://drive.google.com/file/d/1hKaX7rcHt0k4JgbZFWcoyYskVHN0gQDR/view?usp=drive_link" TargetMode="External"/><Relationship Id="rId3"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hyperlink" Target="https://docs.google.com/presentation/d/14reqR8ngPf5AGQGy9ZhaxNIKqtNYVb7e/edit" TargetMode="External"/><Relationship Id="rId2" Type="http://schemas.openxmlformats.org/officeDocument/2006/relationships/hyperlink" Target="https://www.cmoa.jp/search/author/15978/" TargetMode="External"/><Relationship Id="rId3" Type="http://schemas.openxmlformats.org/officeDocument/2006/relationships/hyperlink" Target="https://drive.google.com/drive/folders/1YrufLX_SF_IU9NYyhZ2dbDHsFnrmVfqb" TargetMode="External"/><Relationship Id="rId4" Type="http://schemas.openxmlformats.org/officeDocument/2006/relationships/hyperlink" Target="https://drive.google.com/file/d/1zuP3BBaTHVGn6moTDg3TV1E7ZlrivoFg/view?usp=drive_link" TargetMode="External"/><Relationship Id="rId5" Type="http://schemas.openxmlformats.org/officeDocument/2006/relationships/hyperlink" Target="https://drive.google.com/drive/folders/1PxPjT--AT2ji35eqk11P9OtL-7_houws" TargetMode="External"/><Relationship Id="rId6" Type="http://schemas.openxmlformats.org/officeDocument/2006/relationships/hyperlink" Target="https://drive.google.com/file/d/1hKaX7rcHt0k4JgbZFWcoyYskVHN0gQDR/view?usp=drive_link" TargetMode="External"/><Relationship Id="rId7" Type="http://schemas.openxmlformats.org/officeDocument/2006/relationships/hyperlink" Target="https://drive.google.com/drive/folders/13uYlTTYENm49tucBsxgcWm7_6arXQ4Qh" TargetMode="External"/><Relationship Id="rId8"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hyperlink" Target="https://docs.google.com/presentation/d/1rf6FfFHuNt2nKs90D_tDb3VgNTLUdir9rPNFGlUvO5w/edit" TargetMode="External"/><Relationship Id="rId2"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FF00"/>
    <outlinePr summaryBelow="0" summaryRight="0"/>
    <pageSetUpPr/>
  </sheetPr>
  <sheetViews>
    <sheetView showGridLines="0" workbookViewId="0">
      <pane ySplit="1.0" topLeftCell="A2" activePane="bottomLeft" state="frozen"/>
      <selection activeCell="B3" sqref="B3" pane="bottomLeft"/>
    </sheetView>
  </sheetViews>
  <sheetFormatPr customHeight="1" defaultColWidth="14.43" defaultRowHeight="15.0"/>
  <cols>
    <col customWidth="1" min="1" max="1" width="28.57"/>
    <col customWidth="1" min="2" max="2" width="30.29"/>
    <col customWidth="1" min="3" max="3" width="8.86"/>
    <col customWidth="1" min="4" max="4" width="20.86"/>
    <col customWidth="1" min="5" max="5" width="11.43"/>
    <col customWidth="1" min="6" max="6" width="0.43"/>
    <col customWidth="1" min="7" max="7" width="54.43"/>
    <col customWidth="1" min="8" max="8" width="42.0"/>
    <col customWidth="1" min="9" max="9" width="28.71"/>
    <col customWidth="1" min="10" max="10" width="11.0"/>
    <col customWidth="1" min="11" max="11" width="59.86"/>
    <col customWidth="1" min="12" max="22" width="11.0"/>
  </cols>
  <sheetData>
    <row r="1" ht="35.25" customHeight="1">
      <c r="A1" s="1" t="str">
        <f>IFERROR(__xludf.DUMMYFUNCTION("importrange(""1anZAhoSSjxB6yCbYDp5yCEjyD6_pZes9ilzDI35FhKA"",""基本のC表記!a:ab"")"),"")</f>
        <v/>
      </c>
      <c r="B1" s="2" t="str">
        <f>IFERROR(__xludf.DUMMYFUNCTION("""COMPUTED_VALUE"""),"雑誌・レーベル")</f>
        <v>雑誌・レーベル</v>
      </c>
      <c r="C1" s="2" t="str">
        <f>IFERROR(__xludf.DUMMYFUNCTION("""COMPUTED_VALUE"""),"事前確認")</f>
        <v>事前確認</v>
      </c>
      <c r="D1" s="3" t="str">
        <f>IFERROR(__xludf.DUMMYFUNCTION("""COMPUTED_VALUE"""),"追加納品物")</f>
        <v>追加納品物</v>
      </c>
      <c r="E1" s="3" t="str">
        <f>IFERROR(__xludf.DUMMYFUNCTION("""COMPUTED_VALUE"""),"加工")</f>
        <v>加工</v>
      </c>
      <c r="F1" s="3" t="str">
        <f>IFERROR(__xludf.DUMMYFUNCTION("""COMPUTED_VALUE"""),"©表記記載有無")</f>
        <v>©表記記載有無</v>
      </c>
      <c r="G1" s="4" t="str">
        <f>IFERROR(__xludf.DUMMYFUNCTION("""COMPUTED_VALUE"""),"©表記ルール")</f>
        <v>©表記ルール</v>
      </c>
      <c r="H1" s="2" t="str">
        <f>IFERROR(__xludf.DUMMYFUNCTION("""COMPUTED_VALUE"""),"備考")</f>
        <v>備考</v>
      </c>
      <c r="I1" s="5" t="str">
        <f>IFERROR(__xludf.DUMMYFUNCTION("""COMPUTED_VALUE"""),"作家・タイトル別備考")</f>
        <v>作家・タイトル別備考</v>
      </c>
      <c r="J1" s="6" t="str">
        <f>IFERROR(__xludf.DUMMYFUNCTION("""COMPUTED_VALUE"""),"クリエイティブの転用
（ 分冊版←→単行本 ）")</f>
        <v>クリエイティブの転用
（ 分冊版←→単行本 ）</v>
      </c>
      <c r="K1" s="7"/>
      <c r="L1" s="8"/>
      <c r="M1" s="8"/>
      <c r="N1" s="8"/>
      <c r="O1" s="8"/>
      <c r="P1" s="8"/>
      <c r="Q1" s="8"/>
      <c r="R1" s="8"/>
      <c r="S1" s="8"/>
      <c r="T1" s="8"/>
      <c r="U1" s="8"/>
      <c r="V1" s="8"/>
    </row>
    <row r="2">
      <c r="A2" s="9" t="str">
        <f>IFERROR(__xludf.DUMMYFUNCTION("""COMPUTED_VALUE"""),"A-KAGURA")</f>
        <v>A-KAGURA</v>
      </c>
      <c r="B2" s="10"/>
      <c r="C2" s="11" t="str">
        <f>IFERROR(__xludf.DUMMYFUNCTION("""COMPUTED_VALUE"""),"不要")</f>
        <v>不要</v>
      </c>
      <c r="D2" s="12"/>
      <c r="E2" s="12"/>
      <c r="F2" s="12" t="str">
        <f>IFERROR(__xludf.DUMMYFUNCTION("""COMPUTED_VALUE"""),"必要")</f>
        <v>必要</v>
      </c>
      <c r="G2" s="13" t="str">
        <f>IFERROR(__xludf.DUMMYFUNCTION("""COMPUTED_VALUE"""),"©著者名/A-KAGURA")</f>
        <v>©著者名/A-KAGURA</v>
      </c>
      <c r="H2" s="10"/>
      <c r="I2" s="14"/>
      <c r="J2" s="15"/>
      <c r="K2" s="16"/>
      <c r="L2" s="17"/>
      <c r="M2" s="17"/>
      <c r="N2" s="17"/>
      <c r="O2" s="17"/>
      <c r="P2" s="17"/>
      <c r="Q2" s="17"/>
      <c r="R2" s="17"/>
      <c r="S2" s="17"/>
      <c r="T2" s="17"/>
      <c r="U2" s="17"/>
      <c r="V2" s="17"/>
    </row>
    <row r="3" ht="40.5" customHeight="1">
      <c r="A3" s="9" t="str">
        <f>IFERROR(__xludf.DUMMYFUNCTION("""COMPUTED_VALUE"""),"AMG出版")</f>
        <v>AMG出版</v>
      </c>
      <c r="B3" s="10"/>
      <c r="C3" s="11" t="str">
        <f>IFERROR(__xludf.DUMMYFUNCTION("""COMPUTED_VALUE"""),"不要")</f>
        <v>不要</v>
      </c>
      <c r="D3" s="12"/>
      <c r="E3" s="12"/>
      <c r="F3" s="12" t="str">
        <f>IFERROR(__xludf.DUMMYFUNCTION("""COMPUTED_VALUE"""),"必要")</f>
        <v>必要</v>
      </c>
      <c r="G3" s="18" t="str">
        <f>IFERROR(__xludf.DUMMYFUNCTION("""COMPUTED_VALUE"""),"作品名©漫画家名・原作者名／AMG出版
・書影をそのまま掲載する場合は　©AMG出版")</f>
        <v>作品名©漫画家名・原作者名／AMG出版
・書影をそのまま掲載する場合は　©AMG出版</v>
      </c>
      <c r="H3" s="10"/>
      <c r="I3" s="14"/>
      <c r="J3" s="15"/>
      <c r="K3" s="16"/>
      <c r="L3" s="17"/>
      <c r="M3" s="17"/>
      <c r="N3" s="17"/>
      <c r="O3" s="17"/>
      <c r="P3" s="17"/>
      <c r="Q3" s="17"/>
      <c r="R3" s="17"/>
      <c r="S3" s="17"/>
      <c r="T3" s="17"/>
      <c r="U3" s="17"/>
      <c r="V3" s="17"/>
    </row>
    <row r="4" ht="47.25" customHeight="1">
      <c r="A4" s="9" t="str">
        <f>IFERROR(__xludf.DUMMYFUNCTION("""COMPUTED_VALUE"""),"any")</f>
        <v>any</v>
      </c>
      <c r="B4" s="19"/>
      <c r="C4" s="11" t="str">
        <f>IFERROR(__xludf.DUMMYFUNCTION("""COMPUTED_VALUE"""),"不要")</f>
        <v>不要</v>
      </c>
      <c r="D4" s="11"/>
      <c r="E4" s="12"/>
      <c r="F4" s="12" t="str">
        <f>IFERROR(__xludf.DUMMYFUNCTION("""COMPUTED_VALUE"""),"必要")</f>
        <v>必要</v>
      </c>
      <c r="G4" s="20" t="str">
        <f>IFERROR(__xludf.DUMMYFUNCTION("""COMPUTED_VALUE"""),"作品名©漫画家名・原作者名／AMG出版
・書影をそのまま掲載する場合は　©AMG出版")</f>
        <v>作品名©漫画家名・原作者名／AMG出版
・書影をそのまま掲載する場合は　©AMG出版</v>
      </c>
      <c r="H4" s="10"/>
      <c r="I4" s="21"/>
      <c r="J4" s="15"/>
      <c r="K4" s="16"/>
      <c r="L4" s="17"/>
      <c r="M4" s="17"/>
      <c r="N4" s="17"/>
      <c r="O4" s="17"/>
      <c r="P4" s="17"/>
      <c r="Q4" s="17"/>
      <c r="R4" s="17"/>
      <c r="S4" s="17"/>
      <c r="T4" s="17"/>
      <c r="U4" s="17"/>
      <c r="V4" s="17"/>
    </row>
    <row r="5" ht="51.75" customHeight="1">
      <c r="A5" s="9" t="str">
        <f>IFERROR(__xludf.DUMMYFUNCTION("""COMPUTED_VALUE"""),"A-WAGON")</f>
        <v>A-WAGON</v>
      </c>
      <c r="B5" s="22"/>
      <c r="C5" s="11"/>
      <c r="D5" s="11"/>
      <c r="E5" s="12"/>
      <c r="F5" s="12" t="str">
        <f>IFERROR(__xludf.DUMMYFUNCTION("""COMPUTED_VALUE"""),"必要")</f>
        <v>必要</v>
      </c>
      <c r="G5" s="20" t="str">
        <f>IFERROR(__xludf.DUMMYFUNCTION("""COMPUTED_VALUE"""),"©著者名/A-WAGON
▼ROCKコミックレーベル作品の場合
©著者名/ROCKコミック/A-WAGON")</f>
        <v>©著者名/A-WAGON
▼ROCKコミックレーベル作品の場合
©著者名/ROCKコミック/A-WAGON</v>
      </c>
      <c r="H5" s="10"/>
      <c r="I5" s="14"/>
      <c r="J5" s="15"/>
      <c r="K5" s="16"/>
      <c r="L5" s="17"/>
      <c r="M5" s="17"/>
      <c r="N5" s="17"/>
      <c r="O5" s="17"/>
      <c r="P5" s="17"/>
      <c r="Q5" s="17"/>
      <c r="R5" s="17"/>
      <c r="S5" s="17"/>
      <c r="T5" s="17"/>
      <c r="U5" s="17"/>
      <c r="V5" s="17"/>
    </row>
    <row r="6">
      <c r="A6" s="9" t="str">
        <f>IFERROR(__xludf.DUMMYFUNCTION("""COMPUTED_VALUE"""),"AZITO")</f>
        <v>AZITO</v>
      </c>
      <c r="B6" s="10"/>
      <c r="C6" s="11" t="str">
        <f>IFERROR(__xludf.DUMMYFUNCTION("""COMPUTED_VALUE"""),"不要")</f>
        <v>不要</v>
      </c>
      <c r="D6" s="23"/>
      <c r="E6" s="12"/>
      <c r="F6" s="24" t="str">
        <f>IFERROR(__xludf.DUMMYFUNCTION("""COMPUTED_VALUE"""),"必要")</f>
        <v>必要</v>
      </c>
      <c r="G6" s="25" t="str">
        <f>IFERROR(__xludf.DUMMYFUNCTION("""COMPUTED_VALUE"""),"(C)雑誌名")</f>
        <v>(C)雑誌名</v>
      </c>
      <c r="H6" s="26" t="str">
        <f>IFERROR(__xludf.DUMMYFUNCTION("""COMPUTED_VALUE"""),"原則不要。ただしクリエイティブに伏字など加工が伴う場合には監修必要")</f>
        <v>原則不要。ただしクリエイティブに伏字など加工が伴う場合には監修必要</v>
      </c>
      <c r="I6" s="14"/>
      <c r="J6" s="15"/>
      <c r="K6" s="16"/>
      <c r="L6" s="17"/>
      <c r="M6" s="17"/>
      <c r="N6" s="17"/>
      <c r="O6" s="17"/>
      <c r="P6" s="17"/>
      <c r="Q6" s="17"/>
      <c r="R6" s="17"/>
      <c r="S6" s="17"/>
      <c r="T6" s="17"/>
      <c r="U6" s="17"/>
      <c r="V6" s="17"/>
    </row>
    <row r="7">
      <c r="A7" s="9" t="str">
        <f>IFERROR(__xludf.DUMMYFUNCTION("""COMPUTED_VALUE"""),"Bevy")</f>
        <v>Bevy</v>
      </c>
      <c r="B7" s="10"/>
      <c r="C7" s="11" t="str">
        <f>IFERROR(__xludf.DUMMYFUNCTION("""COMPUTED_VALUE"""),"不要")</f>
        <v>不要</v>
      </c>
      <c r="D7" s="12"/>
      <c r="E7" s="12"/>
      <c r="F7" s="12" t="str">
        <f>IFERROR(__xludf.DUMMYFUNCTION("""COMPUTED_VALUE"""),"不要")</f>
        <v>不要</v>
      </c>
      <c r="G7" s="27"/>
      <c r="H7" s="10"/>
      <c r="I7" s="14"/>
      <c r="J7" s="15"/>
      <c r="K7" s="16"/>
      <c r="L7" s="17"/>
      <c r="M7" s="17"/>
      <c r="N7" s="17"/>
      <c r="O7" s="17"/>
      <c r="P7" s="17"/>
      <c r="Q7" s="17"/>
      <c r="R7" s="17"/>
      <c r="S7" s="17"/>
      <c r="T7" s="17"/>
      <c r="U7" s="17"/>
      <c r="V7" s="17"/>
    </row>
    <row r="8">
      <c r="A8" s="9" t="str">
        <f>IFERROR(__xludf.DUMMYFUNCTION("""COMPUTED_VALUE"""),"Big Fields Publishing")</f>
        <v>Big Fields Publishing</v>
      </c>
      <c r="B8" s="10"/>
      <c r="C8" s="28" t="str">
        <f>IFERROR(__xludf.DUMMYFUNCTION("""COMPUTED_VALUE"""),"必要")</f>
        <v>必要</v>
      </c>
      <c r="D8" s="12"/>
      <c r="E8" s="12"/>
      <c r="F8" s="12" t="str">
        <f>IFERROR(__xludf.DUMMYFUNCTION("""COMPUTED_VALUE"""),"必要")</f>
        <v>必要</v>
      </c>
      <c r="G8" s="13" t="str">
        <f>IFERROR(__xludf.DUMMYFUNCTION("""COMPUTED_VALUE"""),"©Big Fields Publishing")</f>
        <v>©Big Fields Publishing</v>
      </c>
      <c r="H8" s="10"/>
      <c r="I8" s="14"/>
      <c r="J8" s="15"/>
      <c r="K8" s="16"/>
      <c r="L8" s="17"/>
      <c r="M8" s="17"/>
      <c r="N8" s="17"/>
      <c r="O8" s="17"/>
      <c r="P8" s="17"/>
      <c r="Q8" s="17"/>
      <c r="R8" s="17"/>
      <c r="S8" s="17"/>
      <c r="T8" s="17"/>
      <c r="U8" s="17"/>
      <c r="V8" s="17"/>
    </row>
    <row r="9" ht="53.25" customHeight="1">
      <c r="A9" s="9" t="str">
        <f>IFERROR(__xludf.DUMMYFUNCTION("""COMPUTED_VALUE"""),"CLAPコミックス")</f>
        <v>CLAPコミックス</v>
      </c>
      <c r="B9" s="26" t="str">
        <f>IFERROR(__xludf.DUMMYFUNCTION("""COMPUTED_VALUE"""),"GANMA")</f>
        <v>GANMA</v>
      </c>
      <c r="C9" s="29" t="str">
        <f>IFERROR(__xludf.DUMMYFUNCTION("""COMPUTED_VALUE"""),"必要")</f>
        <v>必要</v>
      </c>
      <c r="D9" s="12"/>
      <c r="E9" s="12"/>
      <c r="F9" s="12" t="str">
        <f>IFERROR(__xludf.DUMMYFUNCTION("""COMPUTED_VALUE"""),"必要")</f>
        <v>必要</v>
      </c>
      <c r="G9" s="18" t="str">
        <f>IFERROR(__xludf.DUMMYFUNCTION("""COMPUTED_VALUE"""),"©著者名1・著者名2/CLAPコミックス
・著者間は「・」区切り
・スペースが厳しい場合　©CLAPコミックス　のみでOK。")</f>
        <v>©著者名1・著者名2/CLAPコミックス
・著者間は「・」区切り
・スペースが厳しい場合　©CLAPコミックス　のみでOK。</v>
      </c>
      <c r="H9" s="10"/>
      <c r="I9" s="14"/>
      <c r="J9" s="15"/>
      <c r="K9" s="16"/>
      <c r="L9" s="17"/>
      <c r="M9" s="17"/>
      <c r="N9" s="17"/>
      <c r="O9" s="17"/>
      <c r="P9" s="17"/>
      <c r="Q9" s="17"/>
      <c r="R9" s="17"/>
      <c r="S9" s="17"/>
      <c r="T9" s="17"/>
      <c r="U9" s="17"/>
      <c r="V9" s="17"/>
    </row>
    <row r="10" ht="19.5" customHeight="1">
      <c r="A10" s="9" t="str">
        <f>IFERROR(__xludf.DUMMYFUNCTION("""COMPUTED_VALUE"""),"CoMax")</f>
        <v>CoMax</v>
      </c>
      <c r="B10" s="10"/>
      <c r="C10" s="28" t="str">
        <f>IFERROR(__xludf.DUMMYFUNCTION("""COMPUTED_VALUE"""),"必要")</f>
        <v>必要</v>
      </c>
      <c r="D10" s="12"/>
      <c r="E10" s="12"/>
      <c r="F10" s="12" t="str">
        <f>IFERROR(__xludf.DUMMYFUNCTION("""COMPUTED_VALUE"""),"必要")</f>
        <v>必要</v>
      </c>
      <c r="G10" s="13" t="str">
        <f>IFERROR(__xludf.DUMMYFUNCTION("""COMPUTED_VALUE"""),"©著者名")</f>
        <v>©著者名</v>
      </c>
      <c r="H10" s="10"/>
      <c r="I10" s="14"/>
      <c r="J10" s="15"/>
      <c r="K10" s="16"/>
      <c r="L10" s="17"/>
      <c r="M10" s="17"/>
      <c r="N10" s="17"/>
      <c r="O10" s="17"/>
      <c r="P10" s="17"/>
      <c r="Q10" s="17"/>
      <c r="R10" s="17"/>
      <c r="S10" s="17"/>
      <c r="T10" s="17"/>
      <c r="U10" s="17"/>
      <c r="V10" s="17"/>
    </row>
    <row r="11">
      <c r="A11" s="30" t="str">
        <f>IFERROR(__xludf.DUMMYFUNCTION("""COMPUTED_VALUE"""),"マンガボックス（旧DeNA）")</f>
        <v>マンガボックス（旧DeNA）</v>
      </c>
      <c r="B11" s="31"/>
      <c r="C11" s="32" t="str">
        <f>IFERROR(__xludf.DUMMYFUNCTION("""COMPUTED_VALUE"""),"必要")</f>
        <v>必要</v>
      </c>
      <c r="D11" s="12"/>
      <c r="E11" s="12"/>
      <c r="F11" s="12" t="str">
        <f>IFERROR(__xludf.DUMMYFUNCTION("""COMPUTED_VALUE"""),"必要")</f>
        <v>必要</v>
      </c>
      <c r="G11" s="20" t="str">
        <f>IFERROR(__xludf.DUMMYFUNCTION("""COMPUTED_VALUE"""),"©著者名/マンガボックス
・著者間は「・」区切り")</f>
        <v>©著者名/マンガボックス
・著者間は「・」区切り</v>
      </c>
      <c r="H11" s="31"/>
      <c r="I11" s="33"/>
      <c r="J11" s="34"/>
      <c r="K11" s="35"/>
      <c r="L11" s="36"/>
      <c r="M11" s="36"/>
      <c r="N11" s="36"/>
      <c r="O11" s="36"/>
      <c r="P11" s="36"/>
      <c r="Q11" s="36"/>
      <c r="R11" s="36"/>
      <c r="S11" s="36"/>
      <c r="T11" s="36"/>
      <c r="U11" s="36"/>
      <c r="V11" s="36"/>
    </row>
    <row r="12">
      <c r="A12" s="9" t="str">
        <f>IFERROR(__xludf.DUMMYFUNCTION("""COMPUTED_VALUE"""),"DeNIMO")</f>
        <v>DeNIMO</v>
      </c>
      <c r="B12" s="10"/>
      <c r="C12" s="11" t="str">
        <f>IFERROR(__xludf.DUMMYFUNCTION("""COMPUTED_VALUE"""),"不要")</f>
        <v>不要</v>
      </c>
      <c r="D12" s="37"/>
      <c r="E12" s="38"/>
      <c r="F12" s="12" t="str">
        <f>IFERROR(__xludf.DUMMYFUNCTION("""COMPUTED_VALUE"""),"必要")</f>
        <v>必要</v>
      </c>
      <c r="G12" s="13" t="str">
        <f>IFERROR(__xludf.DUMMYFUNCTION("""COMPUTED_VALUE"""),"©DeNIMO")</f>
        <v>©DeNIMO</v>
      </c>
      <c r="H12" s="26" t="str">
        <f>IFERROR(__xludf.DUMMYFUNCTION("""COMPUTED_VALUE"""),"タイトル表記・著者名は不要")</f>
        <v>タイトル表記・著者名は不要</v>
      </c>
      <c r="I12" s="14"/>
      <c r="J12" s="15"/>
      <c r="K12" s="16"/>
      <c r="L12" s="17"/>
      <c r="M12" s="17"/>
      <c r="N12" s="17"/>
      <c r="O12" s="17"/>
      <c r="P12" s="17"/>
      <c r="Q12" s="17"/>
      <c r="R12" s="17"/>
      <c r="S12" s="17"/>
      <c r="T12" s="17"/>
      <c r="U12" s="17"/>
      <c r="V12" s="17"/>
    </row>
    <row r="13">
      <c r="A13" s="9" t="str">
        <f>IFERROR(__xludf.DUMMYFUNCTION("""COMPUTED_VALUE"""),"DPNブックス")</f>
        <v>DPNブックス</v>
      </c>
      <c r="B13" s="10"/>
      <c r="C13" s="28" t="str">
        <f>IFERROR(__xludf.DUMMYFUNCTION("""COMPUTED_VALUE"""),"必要")</f>
        <v>必要</v>
      </c>
      <c r="D13" s="39"/>
      <c r="E13" s="12"/>
      <c r="F13" s="12" t="str">
        <f>IFERROR(__xludf.DUMMYFUNCTION("""COMPUTED_VALUE"""),"必要")</f>
        <v>必要</v>
      </c>
      <c r="G13" s="13" t="str">
        <f>IFERROR(__xludf.DUMMYFUNCTION("""COMPUTED_VALUE"""),"©作家名/DPNブックス")</f>
        <v>©作家名/DPNブックス</v>
      </c>
      <c r="H13" s="10"/>
      <c r="I13" s="40"/>
      <c r="J13" s="15"/>
      <c r="K13" s="16"/>
      <c r="L13" s="17"/>
      <c r="M13" s="17"/>
      <c r="N13" s="17"/>
      <c r="O13" s="17"/>
      <c r="P13" s="17"/>
      <c r="Q13" s="17"/>
      <c r="R13" s="17"/>
      <c r="S13" s="17"/>
      <c r="T13" s="17"/>
      <c r="U13" s="17"/>
      <c r="V13" s="17"/>
    </row>
    <row r="14" ht="61.5" customHeight="1">
      <c r="A14" s="9" t="str">
        <f>IFERROR(__xludf.DUMMYFUNCTION("""COMPUTED_VALUE"""),"ebookjapan plus")</f>
        <v>ebookjapan plus</v>
      </c>
      <c r="B14" s="10"/>
      <c r="C14" s="28" t="str">
        <f>IFERROR(__xludf.DUMMYFUNCTION("""COMPUTED_VALUE"""),"必要")</f>
        <v>必要</v>
      </c>
      <c r="D14" s="12"/>
      <c r="E14" s="12"/>
      <c r="F14" s="12" t="str">
        <f>IFERROR(__xludf.DUMMYFUNCTION("""COMPUTED_VALUE"""),"必要")</f>
        <v>必要</v>
      </c>
      <c r="G14" s="20" t="str">
        <f>IFERROR(__xludf.DUMMYFUNCTION("""COMPUTED_VALUE"""),"©著者名/eBOOK Initiative Japan Co.,Ltd. 
▼レーベル『BLfranc 』作品の場合は　
©著者名/BLfranc")</f>
        <v>©著者名/eBOOK Initiative Japan Co.,Ltd. 
▼レーベル『BLfranc 』作品の場合は　
©著者名/BLfranc</v>
      </c>
      <c r="H14" s="10"/>
      <c r="I14" s="14"/>
      <c r="J14" s="15"/>
      <c r="K14" s="16"/>
      <c r="L14" s="17"/>
      <c r="M14" s="17"/>
      <c r="N14" s="17"/>
      <c r="O14" s="17"/>
      <c r="P14" s="17"/>
      <c r="Q14" s="17"/>
      <c r="R14" s="17"/>
      <c r="S14" s="17"/>
      <c r="T14" s="17"/>
      <c r="U14" s="17"/>
      <c r="V14" s="17"/>
    </row>
    <row r="15" ht="63.0" customHeight="1">
      <c r="A15" s="41" t="str">
        <f>IFERROR(__xludf.DUMMYFUNCTION("""COMPUTED_VALUE"""),"forcs
※旧ゲオインタラクティブ
※旧グループH")</f>
        <v>forcs
※旧ゲオインタラクティブ
※旧グループH</v>
      </c>
      <c r="B15" s="10"/>
      <c r="C15" s="11" t="str">
        <f>IFERROR(__xludf.DUMMYFUNCTION("""COMPUTED_VALUE"""),"不要")</f>
        <v>不要</v>
      </c>
      <c r="D15" s="12"/>
      <c r="E15" s="12"/>
      <c r="F15" s="12" t="str">
        <f>IFERROR(__xludf.DUMMYFUNCTION("""COMPUTED_VALUE"""),"必要")</f>
        <v>必要</v>
      </c>
      <c r="G15" s="20" t="str">
        <f>IFERROR(__xludf.DUMMYFUNCTION("""COMPUTED_VALUE"""),"©作者名/forcs
▼みるくらんどの場合　
©作者名/モエールオンライン")</f>
        <v>©作者名/forcs
▼みるくらんどの場合　
©作者名/モエールオンライン</v>
      </c>
      <c r="H15" s="26" t="str">
        <f>IFERROR(__xludf.DUMMYFUNCTION("""COMPUTED_VALUE"""),"スペースの都合上おさまらない場合は作家名のみで可")</f>
        <v>スペースの都合上おさまらない場合は作家名のみで可</v>
      </c>
      <c r="I15" s="14"/>
      <c r="J15" s="15"/>
      <c r="K15" s="16"/>
      <c r="L15" s="17"/>
      <c r="M15" s="17"/>
      <c r="N15" s="17"/>
      <c r="O15" s="17"/>
      <c r="P15" s="17"/>
      <c r="Q15" s="17"/>
      <c r="R15" s="17"/>
      <c r="S15" s="17"/>
      <c r="T15" s="17"/>
      <c r="U15" s="17"/>
      <c r="V15" s="17"/>
    </row>
    <row r="16" ht="79.5" customHeight="1">
      <c r="A16" s="9" t="str">
        <f>IFERROR(__xludf.DUMMYFUNCTION("""COMPUTED_VALUE"""),"G2Comix")</f>
        <v>G2Comix</v>
      </c>
      <c r="B16" s="10"/>
      <c r="C16" s="11" t="str">
        <f>IFERROR(__xludf.DUMMYFUNCTION("""COMPUTED_VALUE"""),"不要")</f>
        <v>不要</v>
      </c>
      <c r="D16" s="12"/>
      <c r="E16" s="12"/>
      <c r="F16" s="12" t="str">
        <f>IFERROR(__xludf.DUMMYFUNCTION("""COMPUTED_VALUE"""),"必要")</f>
        <v>必要</v>
      </c>
      <c r="G16" s="20" t="str">
        <f>IFERROR(__xludf.DUMMYFUNCTION("""COMPUTED_VALUE"""),"©著者名/G2Comix
▼レーベル『piccomics』作品の場合は　
©著者名/G2Comix・piccomics
・書影まま使用した場合はコピーライト不要")</f>
        <v>©著者名/G2Comix
▼レーベル『piccomics』作品の場合は　
©著者名/G2Comix・piccomics
・書影まま使用した場合はコピーライト不要</v>
      </c>
      <c r="H16" s="10"/>
      <c r="I16" s="14"/>
      <c r="J16" s="15"/>
      <c r="K16" s="16"/>
      <c r="L16" s="17"/>
      <c r="M16" s="17"/>
      <c r="N16" s="17"/>
      <c r="O16" s="17"/>
      <c r="P16" s="17"/>
      <c r="Q16" s="17"/>
      <c r="R16" s="17"/>
      <c r="S16" s="17"/>
      <c r="T16" s="17"/>
      <c r="U16" s="17"/>
      <c r="V16" s="17"/>
    </row>
    <row r="17" ht="22.5" customHeight="1">
      <c r="A17" s="9" t="str">
        <f>IFERROR(__xludf.DUMMYFUNCTION("""COMPUTED_VALUE"""),"GOT")</f>
        <v>GOT</v>
      </c>
      <c r="B17" s="10"/>
      <c r="C17" s="28" t="str">
        <f>IFERROR(__xludf.DUMMYFUNCTION("""COMPUTED_VALUE"""),"必要")</f>
        <v>必要</v>
      </c>
      <c r="D17" s="12"/>
      <c r="E17" s="12"/>
      <c r="F17" s="12" t="str">
        <f>IFERROR(__xludf.DUMMYFUNCTION("""COMPUTED_VALUE"""),"必要")</f>
        <v>必要</v>
      </c>
      <c r="G17" s="25" t="str">
        <f>IFERROR(__xludf.DUMMYFUNCTION("""COMPUTED_VALUE"""),"©著者名/ジーオーティー")</f>
        <v>©著者名/ジーオーティー</v>
      </c>
      <c r="H17" s="10"/>
      <c r="I17" s="14"/>
      <c r="J17" s="15"/>
      <c r="K17" s="16"/>
      <c r="L17" s="17"/>
      <c r="M17" s="17"/>
      <c r="N17" s="17"/>
      <c r="O17" s="17"/>
      <c r="P17" s="17"/>
      <c r="Q17" s="17"/>
      <c r="R17" s="17"/>
      <c r="S17" s="17"/>
      <c r="T17" s="17"/>
      <c r="U17" s="17"/>
      <c r="V17" s="17"/>
    </row>
    <row r="18">
      <c r="A18" s="42" t="str">
        <f>IFERROR(__xludf.DUMMYFUNCTION("""COMPUTED_VALUE"""),"KADOKAWA")</f>
        <v>KADOKAWA</v>
      </c>
      <c r="B18" s="10" t="str">
        <f>IFERROR(__xludf.DUMMYFUNCTION("""COMPUTED_VALUE"""),"AppBank")</f>
        <v>AppBank</v>
      </c>
      <c r="C18" s="43" t="str">
        <f>IFERROR(__xludf.DUMMYFUNCTION("""COMPUTED_VALUE"""),"必要")</f>
        <v>必要</v>
      </c>
      <c r="D18" s="44"/>
      <c r="E18" s="44"/>
      <c r="F18" s="44" t="str">
        <f>IFERROR(__xludf.DUMMYFUNCTION("""COMPUTED_VALUE"""),"必要")</f>
        <v>必要</v>
      </c>
      <c r="G18" s="45" t="str">
        <f>IFERROR(__xludf.DUMMYFUNCTION("""COMPUTED_VALUE"""),"『タイトル名』©著者名（ローマ字）
例）漫画：ばたこ 原作：中村颯希 キャラクター原案：村カルキの場合
⇒　©Batako ©Satsuki Nakamura ©Karuki Mura 
・タイトル名必須
・C表記の事前問い合わせOKですが出版社提出後修正入ること多数あり。
・基本的にコピーライトは該当作品の【最新刊】の巻末の作品情報ページに入っているものを使用
　→巻末の作品情報ページにコピーライトが無い場合は、KADOKAWA様へ問い合わせが必要。
　→英文表記とする。
　→「年号」と「/KAD"&amp;"OKAWA」が入っている場合は削除する。
　※他社IPは上記の通りではない可能性あり。")</f>
        <v>『タイトル名』©著者名（ローマ字）
例）漫画：ばたこ 原作：中村颯希 キャラクター原案：村カルキの場合
⇒　©Batako ©Satsuki Nakamura ©Karuki Mura 
・タイトル名必須
・C表記の事前問い合わせOKですが出版社提出後修正入ること多数あり。
・基本的にコピーライトは該当作品の【最新刊】の巻末の作品情報ページに入っているものを使用
　→巻末の作品情報ページにコピーライトが無い場合は、KADOKAWA様へ問い合わせが必要。
　→英文表記とする。
　→「年号」と「/KADOKAWA」が入っている場合は削除する。
　※他社IPは上記の通りではない可能性あり。</v>
      </c>
      <c r="H18" s="46" t="str">
        <f>IFERROR(__xludf.DUMMYFUNCTION("""COMPUTED_VALUE"""),"
※B's-LOG COMICSレーベル作品は「年号」を外す。
※KADOKAWA / メディアファクトリー：（C）表記に /メディアファクトリー は不要。
※2作品以上を使用しているバナーは、コピーライトを1作品ごとに記載する。まとめるのはNG。")</f>
        <v>
※B's-LOG COMICSレーベル作品は「年号」を外す。
※KADOKAWA / メディアファクトリー：（C）表記に /メディアファクトリー は不要。
※2作品以上を使用しているバナーは、コピーライトを1作品ごとに記載する。まとめるのはNG。</v>
      </c>
      <c r="I18" s="47"/>
      <c r="J18" s="48" t="str">
        <f>IFERROR(__xludf.DUMMYFUNCTION("""COMPUTED_VALUE"""),"○")</f>
        <v>○</v>
      </c>
      <c r="K18" s="49"/>
      <c r="L18" s="17"/>
      <c r="M18" s="17"/>
      <c r="N18" s="17"/>
      <c r="O18" s="17"/>
      <c r="P18" s="17"/>
      <c r="Q18" s="17"/>
      <c r="R18" s="17"/>
      <c r="S18" s="17"/>
      <c r="T18" s="17"/>
      <c r="U18" s="17"/>
      <c r="V18" s="17"/>
    </row>
    <row r="19">
      <c r="A19" s="50"/>
      <c r="B19" s="10" t="str">
        <f>IFERROR(__xludf.DUMMYFUNCTION("""COMPUTED_VALUE"""),"KADOKAWA Game Linkag")</f>
        <v>KADOKAWA Game Linkag</v>
      </c>
      <c r="C19" s="50"/>
      <c r="D19" s="50"/>
      <c r="E19" s="50"/>
      <c r="F19" s="50"/>
      <c r="G19" s="50"/>
      <c r="H19" s="50"/>
      <c r="I19" s="50"/>
      <c r="J19" s="50"/>
      <c r="K19" s="50"/>
      <c r="L19" s="17"/>
      <c r="M19" s="17"/>
      <c r="N19" s="17"/>
      <c r="O19" s="17"/>
      <c r="P19" s="17"/>
      <c r="Q19" s="17"/>
      <c r="R19" s="17"/>
      <c r="S19" s="17"/>
      <c r="T19" s="17"/>
      <c r="U19" s="17"/>
      <c r="V19" s="17"/>
    </row>
    <row r="20">
      <c r="A20" s="50"/>
      <c r="B20" s="10" t="str">
        <f>IFERROR(__xludf.DUMMYFUNCTION("""COMPUTED_VALUE"""),"KADOKAWA")</f>
        <v>KADOKAWA</v>
      </c>
      <c r="C20" s="50"/>
      <c r="D20" s="50"/>
      <c r="E20" s="50"/>
      <c r="F20" s="50"/>
      <c r="G20" s="50"/>
      <c r="H20" s="50"/>
      <c r="I20" s="50"/>
      <c r="J20" s="50"/>
      <c r="K20" s="50"/>
      <c r="L20" s="17"/>
      <c r="M20" s="17"/>
      <c r="N20" s="17"/>
      <c r="O20" s="17"/>
      <c r="P20" s="17"/>
      <c r="Q20" s="17"/>
      <c r="R20" s="17"/>
      <c r="S20" s="17"/>
      <c r="T20" s="17"/>
      <c r="U20" s="17"/>
      <c r="V20" s="17"/>
    </row>
    <row r="21">
      <c r="A21" s="50"/>
      <c r="B21" s="10" t="str">
        <f>IFERROR(__xludf.DUMMYFUNCTION("""COMPUTED_VALUE"""),"TYPE-MOON")</f>
        <v>TYPE-MOON</v>
      </c>
      <c r="C21" s="50"/>
      <c r="D21" s="50"/>
      <c r="E21" s="50"/>
      <c r="F21" s="50"/>
      <c r="G21" s="50"/>
      <c r="H21" s="50"/>
      <c r="I21" s="50"/>
      <c r="J21" s="50"/>
      <c r="K21" s="50"/>
      <c r="L21" s="17"/>
      <c r="M21" s="17"/>
      <c r="N21" s="17"/>
      <c r="O21" s="17"/>
      <c r="P21" s="17"/>
      <c r="Q21" s="17"/>
      <c r="R21" s="17"/>
      <c r="S21" s="17"/>
      <c r="T21" s="17"/>
      <c r="U21" s="17"/>
      <c r="V21" s="17"/>
    </row>
    <row r="22">
      <c r="A22" s="50"/>
      <c r="B22" s="10" t="str">
        <f>IFERROR(__xludf.DUMMYFUNCTION("""COMPUTED_VALUE"""),"アスキー・メディアワークス")</f>
        <v>アスキー・メディアワークス</v>
      </c>
      <c r="C22" s="50"/>
      <c r="D22" s="50"/>
      <c r="E22" s="50"/>
      <c r="F22" s="50"/>
      <c r="G22" s="50"/>
      <c r="H22" s="50"/>
      <c r="I22" s="50"/>
      <c r="J22" s="50"/>
      <c r="K22" s="50"/>
      <c r="L22" s="17"/>
      <c r="M22" s="17"/>
      <c r="N22" s="17"/>
      <c r="O22" s="17"/>
      <c r="P22" s="17"/>
      <c r="Q22" s="17"/>
      <c r="R22" s="17"/>
      <c r="S22" s="17"/>
      <c r="T22" s="17"/>
      <c r="U22" s="17"/>
      <c r="V22" s="17"/>
    </row>
    <row r="23">
      <c r="A23" s="50"/>
      <c r="B23" s="10" t="str">
        <f>IFERROR(__xludf.DUMMYFUNCTION("""COMPUTED_VALUE"""),"アストロアーツ")</f>
        <v>アストロアーツ</v>
      </c>
      <c r="C23" s="50"/>
      <c r="D23" s="50"/>
      <c r="E23" s="50"/>
      <c r="F23" s="50"/>
      <c r="G23" s="50"/>
      <c r="H23" s="50"/>
      <c r="I23" s="50"/>
      <c r="J23" s="50"/>
      <c r="K23" s="50"/>
      <c r="L23" s="17"/>
      <c r="M23" s="17"/>
      <c r="N23" s="17"/>
      <c r="O23" s="17"/>
      <c r="P23" s="17"/>
      <c r="Q23" s="17"/>
      <c r="R23" s="17"/>
      <c r="S23" s="17"/>
      <c r="T23" s="17"/>
      <c r="U23" s="17"/>
      <c r="V23" s="17"/>
    </row>
    <row r="24">
      <c r="A24" s="50"/>
      <c r="B24" s="10" t="str">
        <f>IFERROR(__xludf.DUMMYFUNCTION("""COMPUTED_VALUE"""),"エンターブレイン")</f>
        <v>エンターブレイン</v>
      </c>
      <c r="C24" s="50"/>
      <c r="D24" s="50"/>
      <c r="E24" s="50"/>
      <c r="F24" s="50"/>
      <c r="G24" s="50"/>
      <c r="H24" s="50"/>
      <c r="I24" s="50"/>
      <c r="J24" s="50"/>
      <c r="K24" s="50"/>
      <c r="L24" s="17"/>
      <c r="M24" s="17"/>
      <c r="N24" s="17"/>
      <c r="O24" s="17"/>
      <c r="P24" s="17"/>
      <c r="Q24" s="17"/>
      <c r="R24" s="17"/>
      <c r="S24" s="17"/>
      <c r="T24" s="17"/>
      <c r="U24" s="17"/>
      <c r="V24" s="17"/>
    </row>
    <row r="25">
      <c r="A25" s="50"/>
      <c r="B25" s="10" t="str">
        <f>IFERROR(__xludf.DUMMYFUNCTION("""COMPUTED_VALUE"""),"エンターブレインDCG")</f>
        <v>エンターブレインDCG</v>
      </c>
      <c r="C25" s="50"/>
      <c r="D25" s="50"/>
      <c r="E25" s="50"/>
      <c r="F25" s="50"/>
      <c r="G25" s="50"/>
      <c r="H25" s="50"/>
      <c r="I25" s="50"/>
      <c r="J25" s="50"/>
      <c r="K25" s="50"/>
      <c r="L25" s="17"/>
      <c r="M25" s="17"/>
      <c r="N25" s="17"/>
      <c r="O25" s="17"/>
      <c r="P25" s="17"/>
      <c r="Q25" s="17"/>
      <c r="R25" s="17"/>
      <c r="S25" s="17"/>
      <c r="T25" s="17"/>
      <c r="U25" s="17"/>
      <c r="V25" s="17"/>
    </row>
    <row r="26" ht="14.25" customHeight="1">
      <c r="A26" s="50"/>
      <c r="B26" s="10" t="str">
        <f>IFERROR(__xludf.DUMMYFUNCTION("""COMPUTED_VALUE"""),"ドワンゴ")</f>
        <v>ドワンゴ</v>
      </c>
      <c r="C26" s="50"/>
      <c r="D26" s="50"/>
      <c r="E26" s="50"/>
      <c r="F26" s="50"/>
      <c r="G26" s="50"/>
      <c r="H26" s="50"/>
      <c r="I26" s="50"/>
      <c r="J26" s="50"/>
      <c r="K26" s="50"/>
      <c r="L26" s="17"/>
      <c r="M26" s="17"/>
      <c r="N26" s="17"/>
      <c r="O26" s="17"/>
      <c r="P26" s="17"/>
      <c r="Q26" s="17"/>
      <c r="R26" s="17"/>
      <c r="S26" s="17"/>
      <c r="T26" s="17"/>
      <c r="U26" s="17"/>
      <c r="V26" s="17"/>
    </row>
    <row r="27">
      <c r="A27" s="50"/>
      <c r="B27" s="10" t="str">
        <f>IFERROR(__xludf.DUMMYFUNCTION("""COMPUTED_VALUE"""),"ニトロプラス")</f>
        <v>ニトロプラス</v>
      </c>
      <c r="C27" s="50"/>
      <c r="D27" s="50"/>
      <c r="E27" s="50"/>
      <c r="F27" s="50"/>
      <c r="G27" s="50"/>
      <c r="H27" s="50"/>
      <c r="I27" s="50"/>
      <c r="J27" s="50"/>
      <c r="K27" s="50"/>
      <c r="L27" s="17"/>
      <c r="M27" s="17"/>
      <c r="N27" s="17"/>
      <c r="O27" s="17"/>
      <c r="P27" s="17"/>
      <c r="Q27" s="17"/>
      <c r="R27" s="17"/>
      <c r="S27" s="17"/>
      <c r="T27" s="17"/>
      <c r="U27" s="17"/>
      <c r="V27" s="17"/>
    </row>
    <row r="28">
      <c r="A28" s="50"/>
      <c r="B28" s="10" t="str">
        <f>IFERROR(__xludf.DUMMYFUNCTION("""COMPUTED_VALUE"""),"ブックウォーカー")</f>
        <v>ブックウォーカー</v>
      </c>
      <c r="C28" s="50"/>
      <c r="D28" s="50"/>
      <c r="E28" s="50"/>
      <c r="F28" s="50"/>
      <c r="G28" s="50"/>
      <c r="H28" s="50"/>
      <c r="I28" s="50"/>
      <c r="J28" s="50"/>
      <c r="K28" s="50"/>
      <c r="L28" s="17"/>
      <c r="M28" s="17"/>
      <c r="N28" s="17"/>
      <c r="O28" s="17"/>
      <c r="P28" s="17"/>
      <c r="Q28" s="17"/>
      <c r="R28" s="17"/>
      <c r="S28" s="17"/>
      <c r="T28" s="17"/>
      <c r="U28" s="17"/>
      <c r="V28" s="17"/>
    </row>
    <row r="29">
      <c r="A29" s="50"/>
      <c r="B29" s="10" t="str">
        <f>IFERROR(__xludf.DUMMYFUNCTION("""COMPUTED_VALUE"""),"ムービーウォーカー")</f>
        <v>ムービーウォーカー</v>
      </c>
      <c r="C29" s="50"/>
      <c r="D29" s="50"/>
      <c r="E29" s="50"/>
      <c r="F29" s="50"/>
      <c r="G29" s="50"/>
      <c r="H29" s="50"/>
      <c r="I29" s="50"/>
      <c r="J29" s="50"/>
      <c r="K29" s="50"/>
      <c r="L29" s="17"/>
      <c r="M29" s="17"/>
      <c r="N29" s="17"/>
      <c r="O29" s="17"/>
      <c r="P29" s="17"/>
      <c r="Q29" s="17"/>
      <c r="R29" s="17"/>
      <c r="S29" s="17"/>
      <c r="T29" s="17"/>
      <c r="U29" s="17"/>
      <c r="V29" s="17"/>
    </row>
    <row r="30">
      <c r="A30" s="50"/>
      <c r="B30" s="10" t="str">
        <f>IFERROR(__xludf.DUMMYFUNCTION("""COMPUTED_VALUE"""),"メディアファクトリー")</f>
        <v>メディアファクトリー</v>
      </c>
      <c r="C30" s="50"/>
      <c r="D30" s="50"/>
      <c r="E30" s="50"/>
      <c r="F30" s="50"/>
      <c r="G30" s="50"/>
      <c r="H30" s="50"/>
      <c r="I30" s="50"/>
      <c r="J30" s="50"/>
      <c r="K30" s="50"/>
      <c r="L30" s="17"/>
      <c r="M30" s="17"/>
      <c r="N30" s="17"/>
      <c r="O30" s="17"/>
      <c r="P30" s="17"/>
      <c r="Q30" s="17"/>
      <c r="R30" s="17"/>
      <c r="S30" s="17"/>
      <c r="T30" s="17"/>
      <c r="U30" s="17"/>
      <c r="V30" s="17"/>
    </row>
    <row r="31">
      <c r="A31" s="50"/>
      <c r="B31" s="10" t="str">
        <f>IFERROR(__xludf.DUMMYFUNCTION("""COMPUTED_VALUE"""),"角川アスキー総合研究所")</f>
        <v>角川アスキー総合研究所</v>
      </c>
      <c r="C31" s="50"/>
      <c r="D31" s="50"/>
      <c r="E31" s="50"/>
      <c r="F31" s="50"/>
      <c r="G31" s="50"/>
      <c r="H31" s="50"/>
      <c r="I31" s="50"/>
      <c r="J31" s="50"/>
      <c r="K31" s="50"/>
      <c r="L31" s="17"/>
      <c r="M31" s="17"/>
      <c r="N31" s="17"/>
      <c r="O31" s="17"/>
      <c r="P31" s="17"/>
      <c r="Q31" s="17"/>
      <c r="R31" s="17"/>
      <c r="S31" s="17"/>
      <c r="T31" s="17"/>
      <c r="U31" s="17"/>
      <c r="V31" s="17"/>
    </row>
    <row r="32">
      <c r="A32" s="50"/>
      <c r="B32" s="10" t="str">
        <f>IFERROR(__xludf.DUMMYFUNCTION("""COMPUTED_VALUE"""),"角川マガジンズ")</f>
        <v>角川マガジンズ</v>
      </c>
      <c r="C32" s="50"/>
      <c r="D32" s="50"/>
      <c r="E32" s="50"/>
      <c r="F32" s="50"/>
      <c r="G32" s="50"/>
      <c r="H32" s="50"/>
      <c r="I32" s="50"/>
      <c r="J32" s="50"/>
      <c r="K32" s="50"/>
      <c r="L32" s="17"/>
      <c r="M32" s="17"/>
      <c r="N32" s="17"/>
      <c r="O32" s="17"/>
      <c r="P32" s="17"/>
      <c r="Q32" s="17"/>
      <c r="R32" s="17"/>
      <c r="S32" s="17"/>
      <c r="T32" s="17"/>
      <c r="U32" s="17"/>
      <c r="V32" s="17"/>
    </row>
    <row r="33">
      <c r="A33" s="50"/>
      <c r="B33" s="10" t="str">
        <f>IFERROR(__xludf.DUMMYFUNCTION("""COMPUTED_VALUE"""),"角川学芸出版")</f>
        <v>角川学芸出版</v>
      </c>
      <c r="C33" s="50"/>
      <c r="D33" s="50"/>
      <c r="E33" s="50"/>
      <c r="F33" s="50"/>
      <c r="G33" s="50"/>
      <c r="H33" s="50"/>
      <c r="I33" s="50"/>
      <c r="J33" s="50"/>
      <c r="K33" s="50"/>
      <c r="L33" s="17"/>
      <c r="M33" s="17"/>
      <c r="N33" s="17"/>
      <c r="O33" s="17"/>
      <c r="P33" s="17"/>
      <c r="Q33" s="17"/>
      <c r="R33" s="17"/>
      <c r="S33" s="17"/>
      <c r="T33" s="17"/>
      <c r="U33" s="17"/>
      <c r="V33" s="17"/>
    </row>
    <row r="34">
      <c r="A34" s="50"/>
      <c r="B34" s="10" t="str">
        <f>IFERROR(__xludf.DUMMYFUNCTION("""COMPUTED_VALUE"""),"角川書店")</f>
        <v>角川書店</v>
      </c>
      <c r="C34" s="50"/>
      <c r="D34" s="50"/>
      <c r="E34" s="50"/>
      <c r="F34" s="50"/>
      <c r="G34" s="50"/>
      <c r="H34" s="50"/>
      <c r="I34" s="50"/>
      <c r="J34" s="50"/>
      <c r="K34" s="50"/>
      <c r="L34" s="17"/>
      <c r="M34" s="17"/>
      <c r="N34" s="17"/>
      <c r="O34" s="17"/>
      <c r="P34" s="17"/>
      <c r="Q34" s="17"/>
      <c r="R34" s="17"/>
      <c r="S34" s="17"/>
      <c r="T34" s="17"/>
      <c r="U34" s="17"/>
      <c r="V34" s="17"/>
    </row>
    <row r="35">
      <c r="A35" s="50"/>
      <c r="B35" s="10" t="str">
        <f>IFERROR(__xludf.DUMMYFUNCTION("""COMPUTED_VALUE"""),"角川書店モバイルコミック")</f>
        <v>角川書店モバイルコミック</v>
      </c>
      <c r="C35" s="50"/>
      <c r="D35" s="50"/>
      <c r="E35" s="50"/>
      <c r="F35" s="50"/>
      <c r="G35" s="50"/>
      <c r="H35" s="50"/>
      <c r="I35" s="50"/>
      <c r="J35" s="50"/>
      <c r="K35" s="50"/>
      <c r="L35" s="17"/>
      <c r="M35" s="17"/>
      <c r="N35" s="17"/>
      <c r="O35" s="17"/>
      <c r="P35" s="17"/>
      <c r="Q35" s="17"/>
      <c r="R35" s="17"/>
      <c r="S35" s="17"/>
      <c r="T35" s="17"/>
      <c r="U35" s="17"/>
      <c r="V35" s="17"/>
    </row>
    <row r="36">
      <c r="A36" s="50"/>
      <c r="B36" s="10" t="str">
        <f>IFERROR(__xludf.DUMMYFUNCTION("""COMPUTED_VALUE"""),"角川文化振興財団")</f>
        <v>角川文化振興財団</v>
      </c>
      <c r="C36" s="50"/>
      <c r="D36" s="50"/>
      <c r="E36" s="50"/>
      <c r="F36" s="50"/>
      <c r="G36" s="50"/>
      <c r="H36" s="50"/>
      <c r="I36" s="50"/>
      <c r="J36" s="50"/>
      <c r="K36" s="50"/>
      <c r="L36" s="17"/>
      <c r="M36" s="17"/>
      <c r="N36" s="17"/>
      <c r="O36" s="17"/>
      <c r="P36" s="17"/>
      <c r="Q36" s="17"/>
      <c r="R36" s="17"/>
      <c r="S36" s="17"/>
      <c r="T36" s="17"/>
      <c r="U36" s="17"/>
      <c r="V36" s="17"/>
    </row>
    <row r="37">
      <c r="A37" s="50"/>
      <c r="B37" s="10" t="str">
        <f>IFERROR(__xludf.DUMMYFUNCTION("""COMPUTED_VALUE"""),"角川アスキー総合研究所")</f>
        <v>角川アスキー総合研究所</v>
      </c>
      <c r="C37" s="50"/>
      <c r="D37" s="50"/>
      <c r="E37" s="50"/>
      <c r="F37" s="50"/>
      <c r="G37" s="50"/>
      <c r="H37" s="50"/>
      <c r="I37" s="50"/>
      <c r="J37" s="50"/>
      <c r="K37" s="50"/>
      <c r="L37" s="17"/>
      <c r="M37" s="17"/>
      <c r="N37" s="17"/>
      <c r="O37" s="17"/>
      <c r="P37" s="17"/>
      <c r="Q37" s="17"/>
      <c r="R37" s="17"/>
      <c r="S37" s="17"/>
      <c r="T37" s="17"/>
      <c r="U37" s="17"/>
      <c r="V37" s="17"/>
    </row>
    <row r="38">
      <c r="A38" s="50"/>
      <c r="B38" s="10" t="str">
        <f>IFERROR(__xludf.DUMMYFUNCTION("""COMPUTED_VALUE"""),"汐文社")</f>
        <v>汐文社</v>
      </c>
      <c r="C38" s="50"/>
      <c r="D38" s="50"/>
      <c r="E38" s="50"/>
      <c r="F38" s="50"/>
      <c r="G38" s="50"/>
      <c r="H38" s="50"/>
      <c r="I38" s="50"/>
      <c r="J38" s="50"/>
      <c r="K38" s="50"/>
      <c r="L38" s="17"/>
      <c r="M38" s="17"/>
      <c r="N38" s="17"/>
      <c r="O38" s="17"/>
      <c r="P38" s="17"/>
      <c r="Q38" s="17"/>
      <c r="R38" s="17"/>
      <c r="S38" s="17"/>
      <c r="T38" s="17"/>
      <c r="U38" s="17"/>
      <c r="V38" s="17"/>
    </row>
    <row r="39">
      <c r="A39" s="50"/>
      <c r="B39" s="10" t="str">
        <f>IFERROR(__xludf.DUMMYFUNCTION("""COMPUTED_VALUE"""),"中経出版")</f>
        <v>中経出版</v>
      </c>
      <c r="C39" s="50"/>
      <c r="D39" s="50"/>
      <c r="E39" s="50"/>
      <c r="F39" s="50"/>
      <c r="G39" s="50"/>
      <c r="H39" s="50"/>
      <c r="I39" s="50"/>
      <c r="J39" s="50"/>
      <c r="K39" s="50"/>
      <c r="L39" s="17"/>
      <c r="M39" s="17"/>
      <c r="N39" s="17"/>
      <c r="O39" s="17"/>
      <c r="P39" s="17"/>
      <c r="Q39" s="17"/>
      <c r="R39" s="17"/>
      <c r="S39" s="17"/>
      <c r="T39" s="17"/>
      <c r="U39" s="17"/>
      <c r="V39" s="17"/>
    </row>
    <row r="40">
      <c r="A40" s="50"/>
      <c r="B40" s="10" t="str">
        <f>IFERROR(__xludf.DUMMYFUNCTION("""COMPUTED_VALUE"""),"富士見書房")</f>
        <v>富士見書房</v>
      </c>
      <c r="C40" s="50"/>
      <c r="D40" s="50"/>
      <c r="E40" s="50"/>
      <c r="F40" s="50"/>
      <c r="G40" s="50"/>
      <c r="H40" s="50"/>
      <c r="I40" s="50"/>
      <c r="J40" s="50"/>
      <c r="K40" s="50"/>
      <c r="L40" s="17"/>
      <c r="M40" s="17"/>
      <c r="N40" s="17"/>
      <c r="O40" s="17"/>
      <c r="P40" s="17"/>
      <c r="Q40" s="17"/>
      <c r="R40" s="17"/>
      <c r="S40" s="17"/>
      <c r="T40" s="17"/>
      <c r="U40" s="17"/>
      <c r="V40" s="17"/>
    </row>
    <row r="41">
      <c r="A41" s="50"/>
      <c r="B41" s="10" t="str">
        <f>IFERROR(__xludf.DUMMYFUNCTION("""COMPUTED_VALUE"""),"富士見書房LLC")</f>
        <v>富士見書房LLC</v>
      </c>
      <c r="C41" s="50"/>
      <c r="D41" s="50"/>
      <c r="E41" s="50"/>
      <c r="F41" s="50"/>
      <c r="G41" s="50"/>
      <c r="H41" s="50"/>
      <c r="I41" s="50"/>
      <c r="J41" s="50"/>
      <c r="K41" s="50"/>
      <c r="L41" s="17"/>
      <c r="M41" s="17"/>
      <c r="N41" s="17"/>
      <c r="O41" s="17"/>
      <c r="P41" s="17"/>
      <c r="Q41" s="17"/>
      <c r="R41" s="17"/>
      <c r="S41" s="17"/>
      <c r="T41" s="17"/>
      <c r="U41" s="17"/>
      <c r="V41" s="17"/>
    </row>
    <row r="42">
      <c r="A42" s="51"/>
      <c r="B42" s="10" t="str">
        <f>IFERROR(__xludf.DUMMYFUNCTION("""COMPUTED_VALUE"""),"毎日が発見")</f>
        <v>毎日が発見</v>
      </c>
      <c r="C42" s="51"/>
      <c r="D42" s="51"/>
      <c r="E42" s="51"/>
      <c r="F42" s="51"/>
      <c r="G42" s="51"/>
      <c r="H42" s="51"/>
      <c r="I42" s="51"/>
      <c r="J42" s="51"/>
      <c r="K42" s="51"/>
      <c r="L42" s="17"/>
      <c r="M42" s="17"/>
      <c r="N42" s="17"/>
      <c r="O42" s="17"/>
      <c r="P42" s="17"/>
      <c r="Q42" s="17"/>
      <c r="R42" s="17"/>
      <c r="S42" s="17"/>
      <c r="T42" s="17"/>
      <c r="U42" s="17"/>
      <c r="V42" s="17"/>
    </row>
    <row r="43" ht="103.5" customHeight="1">
      <c r="A43" s="9" t="str">
        <f>IFERROR(__xludf.DUMMYFUNCTION("""COMPUTED_VALUE"""),"KATTS")</f>
        <v>KATTS</v>
      </c>
      <c r="B43" s="10"/>
      <c r="C43" s="11" t="str">
        <f>IFERROR(__xludf.DUMMYFUNCTION("""COMPUTED_VALUE"""),"不要")</f>
        <v>不要</v>
      </c>
      <c r="D43" s="11"/>
      <c r="E43" s="11" t="str">
        <f>IFERROR(__xludf.DUMMYFUNCTION("""COMPUTED_VALUE"""),"不要")</f>
        <v>不要</v>
      </c>
      <c r="F43" s="12" t="str">
        <f>IFERROR(__xludf.DUMMYFUNCTION("""COMPUTED_VALUE"""),"必要")</f>
        <v>必要</v>
      </c>
      <c r="G43" s="20" t="str">
        <f>IFERROR(__xludf.DUMMYFUNCTION("""COMPUTED_VALUE"""),"©KATTS
※作家名の記載につきましてはあった方が望ましいですが、必須ではございません。
基本は出版社名を記載頂ければと思います。
・書影まま使用した場合はコピーライト不要")</f>
        <v>©KATTS
※作家名の記載につきましてはあった方が望ましいですが、必須ではございません。
基本は出版社名を記載頂ければと思います。
・書影まま使用した場合はコピーライト不要</v>
      </c>
      <c r="H43" s="10"/>
      <c r="I43" s="14"/>
      <c r="J43" s="15"/>
      <c r="K43" s="16"/>
      <c r="L43" s="17"/>
      <c r="M43" s="17"/>
      <c r="N43" s="17"/>
      <c r="O43" s="17"/>
      <c r="P43" s="17"/>
      <c r="Q43" s="17"/>
      <c r="R43" s="17"/>
      <c r="S43" s="17"/>
      <c r="T43" s="17"/>
      <c r="U43" s="17"/>
      <c r="V43" s="17"/>
    </row>
    <row r="44" ht="46.5" customHeight="1">
      <c r="A44" s="52" t="str">
        <f>IFERROR(__xludf.DUMMYFUNCTION("""COMPUTED_VALUE"""),"KiR comics
※「使用画像テキスト」要")</f>
        <v>KiR comics
※「使用画像テキスト」要</v>
      </c>
      <c r="B44" s="10"/>
      <c r="C44" s="28" t="str">
        <f>IFERROR(__xludf.DUMMYFUNCTION("""COMPUTED_VALUE"""),"必要")</f>
        <v>必要</v>
      </c>
      <c r="D44" s="12" t="str">
        <f>IFERROR(__xludf.DUMMYFUNCTION("""COMPUTED_VALUE"""),"使用画像テキスト")</f>
        <v>使用画像テキスト</v>
      </c>
      <c r="E44" s="12"/>
      <c r="F44" s="12" t="str">
        <f>IFERROR(__xludf.DUMMYFUNCTION("""COMPUTED_VALUE"""),"必要")</f>
        <v>必要</v>
      </c>
      <c r="G44" s="20" t="str">
        <f>IFERROR(__xludf.DUMMYFUNCTION("""COMPUTED_VALUE"""),"©著者名1・著者名2/KiR comics 
・著者間は「・」区切り")</f>
        <v>©著者名1・著者名2/KiR comics 
・著者間は「・」区切り</v>
      </c>
      <c r="H44" s="10"/>
      <c r="I44" s="14"/>
      <c r="J44" s="15"/>
      <c r="K44" s="16"/>
      <c r="L44" s="17"/>
      <c r="M44" s="17"/>
      <c r="N44" s="17"/>
      <c r="O44" s="17"/>
      <c r="P44" s="17"/>
      <c r="Q44" s="17"/>
      <c r="R44" s="17"/>
      <c r="S44" s="17"/>
      <c r="T44" s="17"/>
      <c r="U44" s="17"/>
      <c r="V44" s="17"/>
    </row>
    <row r="45">
      <c r="A45" s="52" t="str">
        <f>IFERROR(__xludf.DUMMYFUNCTION("""COMPUTED_VALUE"""),"LINE Digital Frontier
※「使用画像テキスト」要")</f>
        <v>LINE Digital Frontier
※「使用画像テキスト」要</v>
      </c>
      <c r="B45" s="10"/>
      <c r="C45" s="28" t="str">
        <f>IFERROR(__xludf.DUMMYFUNCTION("""COMPUTED_VALUE"""),"必要")</f>
        <v>必要</v>
      </c>
      <c r="D45" s="12" t="str">
        <f>IFERROR(__xludf.DUMMYFUNCTION("""COMPUTED_VALUE"""),"使用画像テキスト")</f>
        <v>使用画像テキスト</v>
      </c>
      <c r="E45" s="12"/>
      <c r="F45" s="12" t="str">
        <f>IFERROR(__xludf.DUMMYFUNCTION("""COMPUTED_VALUE"""),"必要")</f>
        <v>必要</v>
      </c>
      <c r="G45" s="20" t="str">
        <f>IFERROR(__xludf.DUMMYFUNCTION("""COMPUTED_VALUE"""),"「タイトル名」©（半角スペース）（著者名欧文表記）（半角スペース）（半角スラッシュ）（半角スペース）LINE
※表示形式、下記「（）」は除外してください。
記載例）
© Aporo Kawai / LINE
© Tetsu Momota / LINE
© Ransuke Kuroi / LINE
・タイトル表記必須
［タイトル］ロゴをご使用いただく場合や、施策名称に［タイトル］が含まれている場合
テキストで重複してタイトル記載をしないようにお願いいたします。
コピーライト仕様については、下記のようなルー"&amp;"ルになっています。
＝＝＝＝＝＝＝＝＝＝
優先度①コピーライトが1段でまとめられる場合、”/LINE Digital Frontier”を使用
優先度②コピーライトが長く、２段になってしまう場合、短縮形""/LDF""を使用
優先度③短縮形を用いても2段になる場合、”/LINE Digital Frontier”を使用
＝＝＝＝＝＝＝＝＝＝")</f>
        <v>「タイトル名」©（半角スペース）（著者名欧文表記）（半角スペース）（半角スラッシュ）（半角スペース）LINE
※表示形式、下記「（）」は除外してください。
記載例）
© Aporo Kawai / LINE
© Tetsu Momota / LINE
© Ransuke Kuroi / LINE
・タイトル表記必須
［タイトル］ロゴをご使用いただく場合や、施策名称に［タイトル］が含まれている場合
テキストで重複してタイトル記載をしないようにお願いいたします。
コピーライト仕様については、下記のようなルールになっています。
＝＝＝＝＝＝＝＝＝＝
優先度①コピーライトが1段でまとめられる場合、”/LINE Digital Frontier”を使用
優先度②コピーライトが長く、２段になってしまう場合、短縮形"/LDF"を使用
優先度③短縮形を用いても2段になる場合、”/LINE Digital Frontier”を使用
＝＝＝＝＝＝＝＝＝＝</v>
      </c>
      <c r="H45" s="53" t="str">
        <f>IFERROR(__xludf.DUMMYFUNCTION("""COMPUTED_VALUE"""),"コピーライト一覧はここ
上記になければ基本ルール通り作成してください。")</f>
        <v>コピーライト一覧はここ
上記になければ基本ルール通り作成してください。</v>
      </c>
      <c r="I45" s="14"/>
      <c r="J45" s="15"/>
      <c r="K45" s="16"/>
      <c r="L45" s="17"/>
      <c r="M45" s="17"/>
      <c r="N45" s="17"/>
      <c r="O45" s="17"/>
      <c r="P45" s="17"/>
      <c r="Q45" s="17"/>
      <c r="R45" s="17"/>
      <c r="S45" s="17"/>
      <c r="T45" s="17"/>
      <c r="U45" s="17"/>
      <c r="V45" s="17"/>
    </row>
    <row r="46" ht="51.0" customHeight="1">
      <c r="A46" s="9" t="str">
        <f>IFERROR(__xludf.DUMMYFUNCTION("""COMPUTED_VALUE"""),"macaronRINX")</f>
        <v>macaronRINX</v>
      </c>
      <c r="B46" s="10"/>
      <c r="C46" s="11" t="str">
        <f>IFERROR(__xludf.DUMMYFUNCTION("""COMPUTED_VALUE"""),"不要")</f>
        <v>不要</v>
      </c>
      <c r="D46" s="12"/>
      <c r="E46" s="12"/>
      <c r="F46" s="12" t="str">
        <f>IFERROR(__xludf.DUMMYFUNCTION("""COMPUTED_VALUE"""),"必要")</f>
        <v>必要</v>
      </c>
      <c r="G46" s="18" t="str">
        <f>IFERROR(__xludf.DUMMYFUNCTION("""COMPUTED_VALUE"""),"©作家名/macaronRINX
・書影まま使用した場合はコピーライト不要")</f>
        <v>©作家名/macaronRINX
・書影まま使用した場合はコピーライト不要</v>
      </c>
      <c r="H46" s="10"/>
      <c r="I46" s="14"/>
      <c r="J46" s="15"/>
      <c r="K46" s="16"/>
      <c r="L46" s="17"/>
      <c r="M46" s="17"/>
      <c r="N46" s="17"/>
      <c r="O46" s="17"/>
      <c r="P46" s="17"/>
      <c r="Q46" s="17"/>
      <c r="R46" s="17"/>
      <c r="S46" s="17"/>
      <c r="T46" s="17"/>
      <c r="U46" s="17"/>
      <c r="V46" s="17"/>
    </row>
    <row r="47">
      <c r="A47" s="9" t="str">
        <f>IFERROR(__xludf.DUMMYFUNCTION("""COMPUTED_VALUE"""),"MAHK_グループ・ゼロ")</f>
        <v>MAHK_グループ・ゼロ</v>
      </c>
      <c r="B47" s="10"/>
      <c r="C47" s="11" t="str">
        <f>IFERROR(__xludf.DUMMYFUNCTION("""COMPUTED_VALUE"""),"不要")</f>
        <v>不要</v>
      </c>
      <c r="D47" s="12"/>
      <c r="E47" s="12"/>
      <c r="F47" s="12" t="str">
        <f>IFERROR(__xludf.DUMMYFUNCTION("""COMPUTED_VALUE"""),"必要")</f>
        <v>必要</v>
      </c>
      <c r="G47" s="20" t="str">
        <f>IFERROR(__xludf.DUMMYFUNCTION("""COMPUTED_VALUE"""),"©著者名/MAHK/グループ・ゼロ
・書影まま使用した場合はコピーライト不要")</f>
        <v>©著者名/MAHK/グループ・ゼロ
・書影まま使用した場合はコピーライト不要</v>
      </c>
      <c r="H47" s="10"/>
      <c r="I47" s="14"/>
      <c r="J47" s="15"/>
      <c r="K47" s="16"/>
      <c r="L47" s="17"/>
      <c r="M47" s="17"/>
      <c r="N47" s="17"/>
      <c r="O47" s="17"/>
      <c r="P47" s="17"/>
      <c r="Q47" s="17"/>
      <c r="R47" s="17"/>
      <c r="S47" s="17"/>
      <c r="T47" s="17"/>
      <c r="U47" s="17"/>
      <c r="V47" s="17"/>
    </row>
    <row r="48" ht="45.75" customHeight="1">
      <c r="A48" s="41" t="str">
        <f>IFERROR(__xludf.DUMMYFUNCTION("""COMPUTED_VALUE"""),"miere
※「使用画像テキスト」要")</f>
        <v>miere
※「使用画像テキスト」要</v>
      </c>
      <c r="B48" s="10"/>
      <c r="C48" s="28" t="str">
        <f>IFERROR(__xludf.DUMMYFUNCTION("""COMPUTED_VALUE"""),"必要")</f>
        <v>必要</v>
      </c>
      <c r="D48" s="12" t="str">
        <f>IFERROR(__xludf.DUMMYFUNCTION("""COMPUTED_VALUE"""),"使用画像テキスト")</f>
        <v>使用画像テキスト</v>
      </c>
      <c r="E48" s="12"/>
      <c r="F48" s="12" t="str">
        <f>IFERROR(__xludf.DUMMYFUNCTION("""COMPUTED_VALUE"""),"必要")</f>
        <v>必要</v>
      </c>
      <c r="G48" s="20" t="str">
        <f>IFERROR(__xludf.DUMMYFUNCTION("""COMPUTED_VALUE"""),"©著者名1・著者名2/miere
・著者間は「・」区切り")</f>
        <v>©著者名1・著者名2/miere
・著者間は「・」区切り</v>
      </c>
      <c r="H48" s="10"/>
      <c r="I48" s="14"/>
      <c r="J48" s="15"/>
      <c r="K48" s="16"/>
      <c r="L48" s="17"/>
      <c r="M48" s="17"/>
      <c r="N48" s="17"/>
      <c r="O48" s="17"/>
      <c r="P48" s="17"/>
      <c r="Q48" s="17"/>
      <c r="R48" s="17"/>
      <c r="S48" s="17"/>
      <c r="T48" s="17"/>
      <c r="U48" s="17"/>
      <c r="V48" s="17"/>
    </row>
    <row r="49" ht="45.75" customHeight="1">
      <c r="A49" s="9" t="str">
        <f>IFERROR(__xludf.DUMMYFUNCTION("""COMPUTED_VALUE"""),"MUGENUP")</f>
        <v>MUGENUP</v>
      </c>
      <c r="B49" s="10"/>
      <c r="C49" s="28" t="str">
        <f>IFERROR(__xludf.DUMMYFUNCTION("""COMPUTED_VALUE"""),"必要")</f>
        <v>必要</v>
      </c>
      <c r="D49" s="12"/>
      <c r="E49" s="12"/>
      <c r="F49" s="12" t="str">
        <f>IFERROR(__xludf.DUMMYFUNCTION("""COMPUTED_VALUE"""),"必要")</f>
        <v>必要</v>
      </c>
      <c r="G49" s="18" t="str">
        <f>IFERROR(__xludf.DUMMYFUNCTION("""COMPUTED_VALUE"""),"©著者名/MUGENUP
・タイトル名の【フルカラー】は不要")</f>
        <v>©著者名/MUGENUP
・タイトル名の【フルカラー】は不要</v>
      </c>
      <c r="H49" s="26" t="str">
        <f>IFERROR(__xludf.DUMMYFUNCTION("""COMPUTED_VALUE"""),"ヨコ表示になっているセリフをタテに写植修正OK")</f>
        <v>ヨコ表示になっているセリフをタテに写植修正OK</v>
      </c>
      <c r="I49" s="54"/>
      <c r="J49" s="15"/>
      <c r="K49" s="16"/>
      <c r="L49" s="17"/>
      <c r="M49" s="17"/>
      <c r="N49" s="17"/>
      <c r="O49" s="17"/>
      <c r="P49" s="17"/>
      <c r="Q49" s="17"/>
      <c r="R49" s="17"/>
      <c r="S49" s="17"/>
      <c r="T49" s="17"/>
      <c r="U49" s="17"/>
      <c r="V49" s="17"/>
    </row>
    <row r="50" ht="48.0" customHeight="1">
      <c r="A50" s="9" t="str">
        <f>IFERROR(__xludf.DUMMYFUNCTION("""COMPUTED_VALUE"""),"NHN comico株式会社")</f>
        <v>NHN comico株式会社</v>
      </c>
      <c r="B50" s="10"/>
      <c r="C50" s="28" t="str">
        <f>IFERROR(__xludf.DUMMYFUNCTION("""COMPUTED_VALUE"""),"必要")</f>
        <v>必要</v>
      </c>
      <c r="D50" s="12"/>
      <c r="E50" s="12"/>
      <c r="F50" s="12" t="str">
        <f>IFERROR(__xludf.DUMMYFUNCTION("""COMPUTED_VALUE"""),"必要")</f>
        <v>必要</v>
      </c>
      <c r="G50" s="20" t="str">
        <f>IFERROR(__xludf.DUMMYFUNCTION("""COMPUTED_VALUE"""),"©著者名/comico
・タイトル名の【フルカラー】は不要")</f>
        <v>©著者名/comico
・タイトル名の【フルカラー】は不要</v>
      </c>
      <c r="H50" s="26" t="str">
        <f>IFERROR(__xludf.DUMMYFUNCTION("""COMPUTED_VALUE"""),"「comico」ロゴの加工、一切NG。
「本文中のコマイラスト」を使用する際は権利表記必要")</f>
        <v>「comico」ロゴの加工、一切NG。
「本文中のコマイラスト」を使用する際は権利表記必要</v>
      </c>
      <c r="I50" s="54"/>
      <c r="J50" s="15"/>
      <c r="K50" s="16"/>
      <c r="L50" s="17"/>
      <c r="M50" s="17"/>
      <c r="N50" s="17"/>
      <c r="O50" s="17"/>
      <c r="P50" s="17"/>
      <c r="Q50" s="17"/>
      <c r="R50" s="17"/>
      <c r="S50" s="17"/>
      <c r="T50" s="17"/>
      <c r="U50" s="17"/>
      <c r="V50" s="17"/>
    </row>
    <row r="51">
      <c r="A51" s="9" t="str">
        <f>IFERROR(__xludf.DUMMYFUNCTION("""COMPUTED_VALUE"""),"NIKI")</f>
        <v>NIKI</v>
      </c>
      <c r="B51" s="10"/>
      <c r="C51" s="28" t="str">
        <f>IFERROR(__xludf.DUMMYFUNCTION("""COMPUTED_VALUE"""),"必要")</f>
        <v>必要</v>
      </c>
      <c r="D51" s="12"/>
      <c r="E51" s="12"/>
      <c r="F51" s="12" t="str">
        <f>IFERROR(__xludf.DUMMYFUNCTION("""COMPUTED_VALUE"""),"必要")</f>
        <v>必要</v>
      </c>
      <c r="G51" s="25" t="str">
        <f>IFERROR(__xludf.DUMMYFUNCTION("""COMPUTED_VALUE"""),"©著者名/NIKI 
コピーライト前のタイトル名は不要。 
「BANANA」の表記は省略可能。 
※「BANANA」以外の著者が複数名いる場合は、以下
©著者名1・著者名2/NIKI  
・書影のみの場合コピーライト不要")</f>
        <v>©著者名/NIKI 
コピーライト前のタイトル名は不要。 
「BANANA」の表記は省略可能。 
※「BANANA」以外の著者が複数名いる場合は、以下
©著者名1・著者名2/NIKI  
・書影のみの場合コピーライト不要</v>
      </c>
      <c r="H51" s="26"/>
      <c r="I51" s="14"/>
      <c r="J51" s="15"/>
      <c r="K51" s="16"/>
      <c r="L51" s="17"/>
      <c r="M51" s="17"/>
      <c r="N51" s="17"/>
      <c r="O51" s="17"/>
      <c r="P51" s="17"/>
      <c r="Q51" s="17"/>
      <c r="R51" s="17"/>
      <c r="S51" s="17"/>
      <c r="T51" s="17"/>
      <c r="U51" s="17"/>
      <c r="V51" s="17"/>
    </row>
    <row r="52">
      <c r="A52" s="55" t="str">
        <f>IFERROR(__xludf.DUMMYFUNCTION("""COMPUTED_VALUE"""),"ライブコミックス
（旧：NINO）")</f>
        <v>ライブコミックス
（旧：NINO）</v>
      </c>
      <c r="B52" s="26" t="str">
        <f>IFERROR(__xludf.DUMMYFUNCTION("""COMPUTED_VALUE"""),"ライブコミックス")</f>
        <v>ライブコミックス</v>
      </c>
      <c r="C52" s="43" t="str">
        <f>IFERROR(__xludf.DUMMYFUNCTION("""COMPUTED_VALUE"""),"必要")</f>
        <v>必要</v>
      </c>
      <c r="D52" s="56"/>
      <c r="E52" s="57"/>
      <c r="F52" s="44" t="str">
        <f>IFERROR(__xludf.DUMMYFUNCTION("""COMPUTED_VALUE"""),"必要")</f>
        <v>必要</v>
      </c>
      <c r="G52" s="58" t="str">
        <f>IFERROR(__xludf.DUMMYFUNCTION("""COMPUTED_VALUE"""),"©作家名/ライブコミックス
【TL版】が付いているタイトルの場合は【TL版】まで記載")</f>
        <v>©作家名/ライブコミックス
【TL版】が付いているタイトルの場合は【TL版】まで記載</v>
      </c>
      <c r="H52" s="59" t="str">
        <f>IFERROR(__xludf.DUMMYFUNCTION("""COMPUTED_VALUE"""),"※作家名の記載につきましてはあった方が望ましいですが、必須ではございません。 基本は出版社名を記載頂ければと思います。")</f>
        <v>※作家名の記載につきましてはあった方が望ましいですが、必須ではございません。 基本は出版社名を記載頂ければと思います。</v>
      </c>
      <c r="I52" s="14"/>
      <c r="J52" s="15"/>
      <c r="K52" s="16"/>
      <c r="L52" s="17"/>
      <c r="M52" s="17"/>
      <c r="N52" s="17"/>
      <c r="O52" s="17"/>
      <c r="P52" s="17"/>
      <c r="Q52" s="17"/>
      <c r="R52" s="17"/>
      <c r="S52" s="17"/>
      <c r="T52" s="17"/>
      <c r="U52" s="17"/>
      <c r="V52" s="17"/>
    </row>
    <row r="53">
      <c r="A53" s="50"/>
      <c r="B53" s="26" t="str">
        <f>IFERROR(__xludf.DUMMYFUNCTION("""COMPUTED_VALUE"""),"オトナ恋")</f>
        <v>オトナ恋</v>
      </c>
      <c r="C53" s="50"/>
      <c r="D53" s="56"/>
      <c r="E53" s="50"/>
      <c r="F53" s="50"/>
      <c r="G53" s="20" t="str">
        <f>IFERROR(__xludf.DUMMYFUNCTION("""COMPUTED_VALUE"""),"©オトナ恋
※一部作品は　©秋水社/ライブコミックス　（奥付に秋水社の名前があるもの）")</f>
        <v>©オトナ恋
※一部作品は　©秋水社/ライブコミックス　（奥付に秋水社の名前があるもの）</v>
      </c>
      <c r="H53" s="50"/>
      <c r="I53" s="14"/>
      <c r="J53" s="15"/>
      <c r="K53" s="16"/>
      <c r="L53" s="17"/>
      <c r="M53" s="17"/>
      <c r="N53" s="17"/>
      <c r="O53" s="17"/>
      <c r="P53" s="17"/>
      <c r="Q53" s="17"/>
      <c r="R53" s="17"/>
      <c r="S53" s="17"/>
      <c r="T53" s="17"/>
      <c r="U53" s="17"/>
      <c r="V53" s="17"/>
    </row>
    <row r="54">
      <c r="A54" s="51"/>
      <c r="B54" s="26" t="str">
        <f>IFERROR(__xludf.DUMMYFUNCTION("""COMPUTED_VALUE"""),"ズレット！")</f>
        <v>ズレット！</v>
      </c>
      <c r="C54" s="51"/>
      <c r="D54" s="56"/>
      <c r="E54" s="51"/>
      <c r="F54" s="51"/>
      <c r="G54" s="58" t="str">
        <f>IFERROR(__xludf.DUMMYFUNCTION("""COMPUTED_VALUE"""),"都度確認")</f>
        <v>都度確認</v>
      </c>
      <c r="H54" s="51"/>
      <c r="I54" s="14"/>
      <c r="J54" s="15"/>
      <c r="K54" s="16"/>
      <c r="L54" s="17"/>
      <c r="M54" s="17"/>
      <c r="N54" s="17"/>
      <c r="O54" s="17"/>
      <c r="P54" s="17"/>
      <c r="Q54" s="17"/>
      <c r="R54" s="17"/>
      <c r="S54" s="17"/>
      <c r="T54" s="17"/>
      <c r="U54" s="17"/>
      <c r="V54" s="17"/>
    </row>
    <row r="55" ht="55.5" customHeight="1">
      <c r="A55" s="9" t="str">
        <f>IFERROR(__xludf.DUMMYFUNCTION("""COMPUTED_VALUE"""),"OrangeVox")</f>
        <v>OrangeVox</v>
      </c>
      <c r="B55" s="10"/>
      <c r="C55" s="28" t="str">
        <f>IFERROR(__xludf.DUMMYFUNCTION("""COMPUTED_VALUE"""),"必要")</f>
        <v>必要</v>
      </c>
      <c r="D55" s="56"/>
      <c r="E55" s="56"/>
      <c r="F55" s="12" t="str">
        <f>IFERROR(__xludf.DUMMYFUNCTION("""COMPUTED_VALUE"""),"必要")</f>
        <v>必要</v>
      </c>
      <c r="G55" s="25" t="str">
        <f>IFERROR(__xludf.DUMMYFUNCTION("""COMPUTED_VALUE"""),"©著者名 / OrangeVox
・書影のみの場合コピーライト不要")</f>
        <v>©著者名 / OrangeVox
・書影のみの場合コピーライト不要</v>
      </c>
      <c r="H55" s="26" t="str">
        <f>IFERROR(__xludf.DUMMYFUNCTION("""COMPUTED_VALUE"""),"広告に使用する素材について、1話に限定せずに2話目以降の素材も使用してOK（最新話除く）")</f>
        <v>広告に使用する素材について、1話に限定せずに2話目以降の素材も使用してOK（最新話除く）</v>
      </c>
      <c r="I55" s="14"/>
      <c r="J55" s="15"/>
      <c r="K55" s="16"/>
      <c r="L55" s="17"/>
      <c r="M55" s="17"/>
      <c r="N55" s="17"/>
      <c r="O55" s="17"/>
      <c r="P55" s="17"/>
      <c r="Q55" s="17"/>
      <c r="R55" s="17"/>
      <c r="S55" s="17"/>
      <c r="T55" s="17"/>
      <c r="U55" s="17"/>
      <c r="V55" s="17"/>
    </row>
    <row r="56" ht="87.0" customHeight="1">
      <c r="A56" s="9" t="str">
        <f>IFERROR(__xludf.DUMMYFUNCTION("""COMPUTED_VALUE"""),"qap")</f>
        <v>qap</v>
      </c>
      <c r="B56" s="10"/>
      <c r="C56" s="11" t="str">
        <f>IFERROR(__xludf.DUMMYFUNCTION("""COMPUTED_VALUE"""),"不要")</f>
        <v>不要</v>
      </c>
      <c r="D56" s="56"/>
      <c r="E56" s="56"/>
      <c r="F56" s="12" t="str">
        <f>IFERROR(__xludf.DUMMYFUNCTION("""COMPUTED_VALUE"""),"必要")</f>
        <v>必要</v>
      </c>
      <c r="G56" s="20" t="str">
        <f>IFERROR(__xludf.DUMMYFUNCTION("""COMPUTED_VALUE"""),"©qap
※作家名の記載につきましてはあった方が望ましいですが、必須ではございません。
基本は出版社名を記載頂ければと思います。
・書影のみの場合コピーライト不要")</f>
        <v>©qap
※作家名の記載につきましてはあった方が望ましいですが、必須ではございません。
基本は出版社名を記載頂ければと思います。
・書影のみの場合コピーライト不要</v>
      </c>
      <c r="H56" s="10"/>
      <c r="I56" s="14"/>
      <c r="J56" s="15"/>
      <c r="K56" s="16"/>
      <c r="L56" s="17"/>
      <c r="M56" s="17"/>
      <c r="N56" s="17"/>
      <c r="O56" s="17"/>
      <c r="P56" s="17"/>
      <c r="Q56" s="17"/>
      <c r="R56" s="17"/>
      <c r="S56" s="17"/>
      <c r="T56" s="17"/>
      <c r="U56" s="17"/>
      <c r="V56" s="17"/>
    </row>
    <row r="57">
      <c r="A57" s="9" t="str">
        <f>IFERROR(__xludf.DUMMYFUNCTION("""COMPUTED_VALUE"""),"S・Kプロダクション")</f>
        <v>S・Kプロダクション</v>
      </c>
      <c r="B57" s="10"/>
      <c r="C57" s="11" t="str">
        <f>IFERROR(__xludf.DUMMYFUNCTION("""COMPUTED_VALUE"""),"不要")</f>
        <v>不要</v>
      </c>
      <c r="D57" s="56"/>
      <c r="E57" s="56"/>
      <c r="F57" s="12" t="str">
        <f>IFERROR(__xludf.DUMMYFUNCTION("""COMPUTED_VALUE"""),"必要")</f>
        <v>必要</v>
      </c>
      <c r="G57" s="13" t="str">
        <f>IFERROR(__xludf.DUMMYFUNCTION("""COMPUTED_VALUE"""),"©川三番地・七三太朗")</f>
        <v>©川三番地・七三太朗</v>
      </c>
      <c r="H57" s="10"/>
      <c r="I57" s="14"/>
      <c r="J57" s="15"/>
      <c r="K57" s="16"/>
      <c r="L57" s="17"/>
      <c r="M57" s="17"/>
      <c r="N57" s="17"/>
      <c r="O57" s="17"/>
      <c r="P57" s="17"/>
      <c r="Q57" s="17"/>
      <c r="R57" s="17"/>
      <c r="S57" s="17"/>
      <c r="T57" s="17"/>
      <c r="U57" s="17"/>
      <c r="V57" s="17"/>
    </row>
    <row r="58">
      <c r="A58" s="42" t="str">
        <f>IFERROR(__xludf.DUMMYFUNCTION("""COMPUTED_VALUE"""),"SBクリエイティブ")</f>
        <v>SBクリエイティブ</v>
      </c>
      <c r="B58" s="10" t="str">
        <f>IFERROR(__xludf.DUMMYFUNCTION("""COMPUTED_VALUE"""),"ハーレクイン")</f>
        <v>ハーレクイン</v>
      </c>
      <c r="C58" s="43" t="str">
        <f>IFERROR(__xludf.DUMMYFUNCTION("""COMPUTED_VALUE"""),"必要")</f>
        <v>必要</v>
      </c>
      <c r="D58" s="12"/>
      <c r="E58" s="44"/>
      <c r="F58" s="44" t="str">
        <f>IFERROR(__xludf.DUMMYFUNCTION("""COMPUTED_VALUE"""),"必要")</f>
        <v>必要</v>
      </c>
      <c r="G58" s="20" t="str">
        <f>IFERROR(__xludf.DUMMYFUNCTION("""COMPUTED_VALUE"""),"©原作者/漫画家/ハーパーコリンズ・ジャパン
・日本語表記でお願いします。
・出版社名は省力してもOK")</f>
        <v>©原作者/漫画家/ハーパーコリンズ・ジャパン
・日本語表記でお願いします。
・出版社名は省力してもOK</v>
      </c>
      <c r="H58" s="10"/>
      <c r="I58" s="14"/>
      <c r="J58" s="48" t="str">
        <f>IFERROR(__xludf.DUMMYFUNCTION("""COMPUTED_VALUE"""),"○")</f>
        <v>○</v>
      </c>
      <c r="K58" s="49" t="str">
        <f>IFERROR(__xludf.DUMMYFUNCTION("""COMPUTED_VALUE"""),"メディアドゥ（SBクリエイティブ）・直商流 ⇒転用OK
")</f>
        <v>メディアドゥ（SBクリエイティブ）・直商流 ⇒転用OK
</v>
      </c>
      <c r="L58" s="17"/>
      <c r="M58" s="17"/>
      <c r="N58" s="17"/>
      <c r="O58" s="17"/>
      <c r="P58" s="17"/>
      <c r="Q58" s="17"/>
      <c r="R58" s="17"/>
      <c r="S58" s="17"/>
      <c r="T58" s="17"/>
      <c r="U58" s="17"/>
      <c r="V58" s="17"/>
    </row>
    <row r="59">
      <c r="A59" s="51"/>
      <c r="B59" s="26" t="str">
        <f>IFERROR(__xludf.DUMMYFUNCTION("""COMPUTED_VALUE"""),"SBクリエイティブ
※ノベル・書籍限定")</f>
        <v>SBクリエイティブ
※ノベル・書籍限定</v>
      </c>
      <c r="C59" s="51"/>
      <c r="D59" s="12"/>
      <c r="E59" s="51"/>
      <c r="F59" s="51"/>
      <c r="G59" s="20" t="str">
        <f>IFERROR(__xludf.DUMMYFUNCTION("""COMPUTED_VALUE"""),"©著者名/SB Creative Corp. 
・著者名は基本日本語表記優先
・スクエニとのコラボ企画の際には上記とは別の記載ルールがございます。
・書影のみを使用する場合のC表記は不要です。
■その他条件：
→トリミングNG
→スクエニとのコラボ施策の際にはバナー掲載の優先順位あり(原作＞コミック)")</f>
        <v>©著者名/SB Creative Corp. 
・著者名は基本日本語表記優先
・スクエニとのコラボ企画の際には上記とは別の記載ルールがございます。
・書影のみを使用する場合のC表記は不要です。
■その他条件：
→トリミングNG
→スクエニとのコラボ施策の際にはバナー掲載の優先順位あり(原作＞コミック)</v>
      </c>
      <c r="H59" s="26" t="str">
        <f>IFERROR(__xludf.DUMMYFUNCTION("""COMPUTED_VALUE"""),"
")</f>
        <v>
</v>
      </c>
      <c r="I59" s="14"/>
      <c r="J59" s="51"/>
      <c r="K59" s="51"/>
      <c r="L59" s="60"/>
      <c r="M59" s="17"/>
      <c r="N59" s="17"/>
      <c r="O59" s="17"/>
      <c r="P59" s="17"/>
      <c r="Q59" s="17"/>
      <c r="R59" s="17"/>
      <c r="S59" s="17"/>
      <c r="T59" s="17"/>
      <c r="U59" s="17"/>
      <c r="V59" s="17"/>
    </row>
    <row r="60">
      <c r="A60" s="9" t="str">
        <f>IFERROR(__xludf.DUMMYFUNCTION("""COMPUTED_VALUE"""),"ＴＭＥプラス")</f>
        <v>ＴＭＥプラス</v>
      </c>
      <c r="B60" s="10"/>
      <c r="C60" s="28" t="str">
        <f>IFERROR(__xludf.DUMMYFUNCTION("""COMPUTED_VALUE"""),"必要")</f>
        <v>必要</v>
      </c>
      <c r="D60" s="12"/>
      <c r="E60" s="12"/>
      <c r="F60" s="12" t="str">
        <f>IFERROR(__xludf.DUMMYFUNCTION("""COMPUTED_VALUE"""),"必要")</f>
        <v>必要</v>
      </c>
      <c r="G60" s="18" t="str">
        <f>IFERROR(__xludf.DUMMYFUNCTION("""COMPUTED_VALUE"""),"©著者名/TMEプラス
・書影まま使用した場合はコピーライト不要")</f>
        <v>©著者名/TMEプラス
・書影まま使用した場合はコピーライト不要</v>
      </c>
      <c r="H60" s="10"/>
      <c r="I60" s="14"/>
      <c r="J60" s="15"/>
      <c r="K60" s="16"/>
      <c r="L60" s="17"/>
      <c r="M60" s="17"/>
      <c r="N60" s="17"/>
      <c r="O60" s="17"/>
      <c r="P60" s="17"/>
      <c r="Q60" s="17"/>
      <c r="R60" s="17"/>
      <c r="S60" s="17"/>
      <c r="T60" s="17"/>
      <c r="U60" s="17"/>
      <c r="V60" s="17"/>
    </row>
    <row r="61" ht="178.5" customHeight="1">
      <c r="A61" s="9" t="str">
        <f>IFERROR(__xludf.DUMMYFUNCTION("""COMPUTED_VALUE"""),"TOブックス")</f>
        <v>TOブックス</v>
      </c>
      <c r="B61" s="10"/>
      <c r="C61" s="28" t="str">
        <f>IFERROR(__xludf.DUMMYFUNCTION("""COMPUTED_VALUE"""),"必要")</f>
        <v>必要</v>
      </c>
      <c r="D61" s="12"/>
      <c r="E61" s="12"/>
      <c r="F61" s="12" t="str">
        <f>IFERROR(__xludf.DUMMYFUNCTION("""COMPUTED_VALUE"""),"必要")</f>
        <v>必要</v>
      </c>
      <c r="G61" s="25" t="str">
        <f>IFERROR(__xludf.DUMMYFUNCTION("""COMPUTED_VALUE"""),"©（半角スペース）著者名（半角スペース）/（半角スペース）原作者名（英語）
※表示形式、下記「（）」は除外してください。
※(C)の後と半角スラッシュの前後に半角スペース必須
「年数」不要 　　
「 / ＴＯブックス」は不要
 ※著者名および原作者名はローマ字表記で記載 
※人名の頭文字は基本的には大文字（イレギュラーで小文字の作品もあり）")</f>
        <v>©（半角スペース）著者名（半角スペース）/（半角スペース）原作者名（英語）
※表示形式、下記「（）」は除外してください。
※(C)の後と半角スラッシュの前後に半角スペース必須
「年数」不要 　　
「 / ＴＯブックス」は不要
 ※著者名および原作者名はローマ字表記で記載 
※人名の頭文字は基本的には大文字（イレギュラーで小文字の作品もあり）</v>
      </c>
      <c r="H61" s="26" t="str">
        <f>IFERROR(__xludf.DUMMYFUNCTION("""COMPUTED_VALUE"""),"★書影の利用について、
書店様で特に希望が無ければ最新刊を使用して頂ければと思います。
最新刊は割引対象から外れる事が多いので1巻や割引対象の中で
最新刊を使用したい等あれば、そちらを使用しても問題ありません。
※「コミックGANMA！」で掲載する作品は、
他書店において広告NG
＠COMICとつく作品に関しては、タイトルに＠COMIC（必ず全角）の記載が必須。
※ロゴに＠COMICの記載がない場合は、ロゴの近くにテキスト打ちで記載する")</f>
        <v>★書影の利用について、
書店様で特に希望が無ければ最新刊を使用して頂ければと思います。
最新刊は割引対象から外れる事が多いので1巻や割引対象の中で
最新刊を使用したい等あれば、そちらを使用しても問題ありません。
※「コミックGANMA！」で掲載する作品は、
他書店において広告NG
＠COMICとつく作品に関しては、タイトルに＠COMIC（必ず全角）の記載が必須。
※ロゴに＠COMICの記載がない場合は、ロゴの近くにテキスト打ちで記載する</v>
      </c>
      <c r="I61" s="54"/>
      <c r="J61" s="15"/>
      <c r="K61" s="16"/>
      <c r="L61" s="17"/>
      <c r="M61" s="17"/>
      <c r="N61" s="17"/>
      <c r="O61" s="17"/>
      <c r="P61" s="17"/>
      <c r="Q61" s="17"/>
      <c r="R61" s="17"/>
      <c r="S61" s="17"/>
      <c r="T61" s="17"/>
      <c r="U61" s="17"/>
      <c r="V61" s="17"/>
    </row>
    <row r="62">
      <c r="A62" s="9" t="str">
        <f>IFERROR(__xludf.DUMMYFUNCTION("""COMPUTED_VALUE"""),"Vスクロールコミックス")</f>
        <v>Vスクロールコミックス</v>
      </c>
      <c r="B62" s="10"/>
      <c r="C62" s="11" t="str">
        <f>IFERROR(__xludf.DUMMYFUNCTION("""COMPUTED_VALUE"""),"不要")</f>
        <v>不要</v>
      </c>
      <c r="D62" s="12"/>
      <c r="E62" s="12"/>
      <c r="F62" s="12" t="str">
        <f>IFERROR(__xludf.DUMMYFUNCTION("""COMPUTED_VALUE"""),"必要")</f>
        <v>必要</v>
      </c>
      <c r="G62" s="18" t="str">
        <f>IFERROR(__xludf.DUMMYFUNCTION("""COMPUTED_VALUE"""),"©作家名/Vコミ 
・著者間は「/」区切り")</f>
        <v>©作家名/Vコミ 
・著者間は「/」区切り</v>
      </c>
      <c r="H62" s="10"/>
      <c r="I62" s="14"/>
      <c r="J62" s="15"/>
      <c r="K62" s="16"/>
      <c r="L62" s="17"/>
      <c r="M62" s="17"/>
      <c r="N62" s="17"/>
      <c r="O62" s="17"/>
      <c r="P62" s="17"/>
      <c r="Q62" s="17"/>
      <c r="R62" s="17"/>
      <c r="S62" s="17"/>
      <c r="T62" s="17"/>
      <c r="U62" s="17"/>
      <c r="V62" s="17"/>
    </row>
    <row r="63">
      <c r="A63" s="30" t="str">
        <f>IFERROR(__xludf.DUMMYFUNCTION("""COMPUTED_VALUE"""),"Ziggurat")</f>
        <v>Ziggurat</v>
      </c>
      <c r="B63" s="10"/>
      <c r="C63" s="28" t="str">
        <f>IFERROR(__xludf.DUMMYFUNCTION("""COMPUTED_VALUE"""),"必要")</f>
        <v>必要</v>
      </c>
      <c r="D63" s="12"/>
      <c r="E63" s="12"/>
      <c r="F63" s="12" t="str">
        <f>IFERROR(__xludf.DUMMYFUNCTION("""COMPUTED_VALUE"""),"必要")</f>
        <v>必要</v>
      </c>
      <c r="G63" s="20" t="str">
        <f>IFERROR(__xludf.DUMMYFUNCTION("""COMPUTED_VALUE"""),"©著者名/Ziggurat
・著者間は「・」区切り（順番のルールはない）
・スラッシュは半角")</f>
        <v>©著者名/Ziggurat
・著者間は「・」区切り（順番のルールはない）
・スラッシュは半角</v>
      </c>
      <c r="H63" s="10"/>
      <c r="I63" s="54"/>
      <c r="J63" s="15"/>
      <c r="K63" s="16"/>
      <c r="L63" s="17"/>
      <c r="M63" s="17"/>
      <c r="N63" s="17"/>
      <c r="O63" s="17"/>
      <c r="P63" s="17"/>
      <c r="Q63" s="17"/>
      <c r="R63" s="17"/>
      <c r="S63" s="17"/>
      <c r="T63" s="17"/>
      <c r="U63" s="17"/>
      <c r="V63" s="17"/>
    </row>
    <row r="64">
      <c r="A64" s="9" t="str">
        <f>IFERROR(__xludf.DUMMYFUNCTION("""COMPUTED_VALUE"""),"アース・スター エンターテイメント")</f>
        <v>アース・スター エンターテイメント</v>
      </c>
      <c r="B64" s="10"/>
      <c r="C64" s="28" t="str">
        <f>IFERROR(__xludf.DUMMYFUNCTION("""COMPUTED_VALUE"""),"必要")</f>
        <v>必要</v>
      </c>
      <c r="D64" s="12"/>
      <c r="E64" s="12"/>
      <c r="F64" s="12" t="str">
        <f>IFERROR(__xludf.DUMMYFUNCTION("""COMPUTED_VALUE"""),"必要")</f>
        <v>必要</v>
      </c>
      <c r="G64" s="20" t="str">
        <f>IFERROR(__xludf.DUMMYFUNCTION("""COMPUTED_VALUE"""),"「タイトル名」©著者名/アース・スター エンターテイメント
・タイトル表記必須
・書影のみの場合コピーライト不要")</f>
        <v>「タイトル名」©著者名/アース・スター エンターテイメント
・タイトル表記必須
・書影のみの場合コピーライト不要</v>
      </c>
      <c r="H64" s="26"/>
      <c r="I64" s="26" t="str">
        <f>IFERROR(__xludf.DUMMYFUNCTION("""COMPUTED_VALUE"""),"■「野生のラスボスが現れた！黒翼の覇王」
©FireHead/YahaKo 2019,©Tsubasa Haduki 2019
■「転生吸血鬼さんはお昼寝がしたい」コミカライズ
©Tyokingyo-maru/47AgDragon 2016 ©Sakura 2018
■「私、能力は平均値でって言ったよね」
©Funa/Itsuki Akata 2016 ©Nekomint 2017
■「四十七大戦」
©Hifumi 2016
■「外れたみんなの頭のネジ」SNS禁止（著者理由）
電子書店内露出の場合「©洋"&amp;"介犬/COMICSMART INC.」を記載")</f>
        <v>■「野生のラスボスが現れた！黒翼の覇王」
©FireHead/YahaKo 2019,©Tsubasa Haduki 2019
■「転生吸血鬼さんはお昼寝がしたい」コミカライズ
©Tyokingyo-maru/47AgDragon 2016 ©Sakura 2018
■「私、能力は平均値でって言ったよね」
©Funa/Itsuki Akata 2016 ©Nekomint 2017
■「四十七大戦」
©Hifumi 2016
■「外れたみんなの頭のネジ」SNS禁止（著者理由）
電子書店内露出の場合「©洋介犬/COMICSMART INC.」を記載</v>
      </c>
      <c r="J64" s="15"/>
      <c r="K64" s="16"/>
      <c r="L64" s="17"/>
      <c r="M64" s="17"/>
      <c r="N64" s="17"/>
      <c r="O64" s="17"/>
      <c r="P64" s="17"/>
      <c r="Q64" s="17"/>
      <c r="R64" s="17"/>
      <c r="S64" s="17"/>
      <c r="T64" s="17"/>
      <c r="U64" s="17"/>
      <c r="V64" s="17"/>
    </row>
    <row r="65">
      <c r="A65" s="42" t="str">
        <f>IFERROR(__xludf.DUMMYFUNCTION("""COMPUTED_VALUE"""),"アイエムエー株式会社")</f>
        <v>アイエムエー株式会社</v>
      </c>
      <c r="B65" s="10"/>
      <c r="C65" s="61" t="str">
        <f>IFERROR(__xludf.DUMMYFUNCTION("""COMPUTED_VALUE"""),"不要")</f>
        <v>不要</v>
      </c>
      <c r="D65" s="12"/>
      <c r="E65" s="44"/>
      <c r="F65" s="12" t="str">
        <f>IFERROR(__xludf.DUMMYFUNCTION("""COMPUTED_VALUE"""),"必要")</f>
        <v>必要</v>
      </c>
      <c r="G65" s="20" t="str">
        <f>IFERROR(__xludf.DUMMYFUNCTION("""COMPUTED_VALUE"""),"©作家名/アイエムエー
▼原作者（原案者）がいる場合
©作画者/原案者/アイエムエー
")</f>
        <v>©作家名/アイエムエー
▼原作者（原案者）がいる場合
©作画者/原案者/アイエムエー
</v>
      </c>
      <c r="H65" s="10"/>
      <c r="I65" s="14"/>
      <c r="J65" s="15"/>
      <c r="K65" s="16"/>
      <c r="L65" s="17"/>
      <c r="M65" s="17"/>
      <c r="N65" s="17"/>
      <c r="O65" s="17"/>
      <c r="P65" s="17"/>
      <c r="Q65" s="17"/>
      <c r="R65" s="17"/>
      <c r="S65" s="17"/>
      <c r="T65" s="17"/>
      <c r="U65" s="17"/>
      <c r="V65" s="17"/>
    </row>
    <row r="66" ht="48.75" customHeight="1">
      <c r="A66" s="51"/>
      <c r="B66" s="10" t="str">
        <f>IFERROR(__xludf.DUMMYFUNCTION("""COMPUTED_VALUE"""),"WBASE")</f>
        <v>WBASE</v>
      </c>
      <c r="C66" s="51"/>
      <c r="D66" s="12"/>
      <c r="E66" s="51"/>
      <c r="F66" s="12" t="str">
        <f>IFERROR(__xludf.DUMMYFUNCTION("""COMPUTED_VALUE"""),"必要")</f>
        <v>必要</v>
      </c>
      <c r="G66" s="13" t="str">
        <f>IFERROR(__xludf.DUMMYFUNCTION("""COMPUTED_VALUE"""),"©作家名/WBASE")</f>
        <v>©作家名/WBASE</v>
      </c>
      <c r="H66" s="10"/>
      <c r="I66" s="14"/>
      <c r="J66" s="15"/>
      <c r="K66" s="16"/>
      <c r="L66" s="17"/>
      <c r="M66" s="17"/>
      <c r="N66" s="17"/>
      <c r="O66" s="17"/>
      <c r="P66" s="17"/>
      <c r="Q66" s="17"/>
      <c r="R66" s="17"/>
      <c r="S66" s="17"/>
      <c r="T66" s="17"/>
      <c r="U66" s="17"/>
      <c r="V66" s="17"/>
    </row>
    <row r="67" ht="93.75" customHeight="1">
      <c r="A67" s="9" t="str">
        <f>IFERROR(__xludf.DUMMYFUNCTION("""COMPUTED_VALUE"""),"アイプロダクションMAHK")</f>
        <v>アイプロダクションMAHK</v>
      </c>
      <c r="B67" s="10"/>
      <c r="C67" s="11" t="str">
        <f>IFERROR(__xludf.DUMMYFUNCTION("""COMPUTED_VALUE"""),"不要")</f>
        <v>不要</v>
      </c>
      <c r="D67" s="12"/>
      <c r="E67" s="12"/>
      <c r="F67" s="12" t="str">
        <f>IFERROR(__xludf.DUMMYFUNCTION("""COMPUTED_VALUE"""),"必要")</f>
        <v>必要</v>
      </c>
      <c r="G67" s="20" t="str">
        <f>IFERROR(__xludf.DUMMYFUNCTION("""COMPUTED_VALUE"""),"©アイプロダクション/MAHK
・書影まま使用した場合はコピーライト不要
※作家名の記載につきましてはあった方が望ましいですが、必須ではございません。
基本は出版社名を記載頂ければと思います。 ")</f>
        <v>©アイプロダクション/MAHK
・書影まま使用した場合はコピーライト不要
※作家名の記載につきましてはあった方が望ましいですが、必須ではございません。
基本は出版社名を記載頂ければと思います。 </v>
      </c>
      <c r="H67" s="10"/>
      <c r="I67" s="14"/>
      <c r="J67" s="15"/>
      <c r="K67" s="16"/>
      <c r="L67" s="17"/>
      <c r="M67" s="17"/>
      <c r="N67" s="17"/>
      <c r="O67" s="17"/>
      <c r="P67" s="17"/>
      <c r="Q67" s="17"/>
      <c r="R67" s="17"/>
      <c r="S67" s="17"/>
      <c r="T67" s="17"/>
      <c r="U67" s="17"/>
      <c r="V67" s="17"/>
    </row>
    <row r="68">
      <c r="A68" s="9" t="str">
        <f>IFERROR(__xludf.DUMMYFUNCTION("""COMPUTED_VALUE"""),"あおば出版")</f>
        <v>あおば出版</v>
      </c>
      <c r="B68" s="10"/>
      <c r="C68" s="28" t="str">
        <f>IFERROR(__xludf.DUMMYFUNCTION("""COMPUTED_VALUE"""),"必要")</f>
        <v>必要</v>
      </c>
      <c r="D68" s="12"/>
      <c r="E68" s="12"/>
      <c r="F68" s="12" t="str">
        <f>IFERROR(__xludf.DUMMYFUNCTION("""COMPUTED_VALUE"""),"必要")</f>
        <v>必要</v>
      </c>
      <c r="G68" s="25" t="str">
        <f>IFERROR(__xludf.DUMMYFUNCTION("""COMPUTED_VALUE"""),"©著者名/あおば出版")</f>
        <v>©著者名/あおば出版</v>
      </c>
      <c r="H68" s="10"/>
      <c r="I68" s="14"/>
      <c r="J68" s="15"/>
      <c r="K68" s="16"/>
      <c r="L68" s="17"/>
      <c r="M68" s="17"/>
      <c r="N68" s="17"/>
      <c r="O68" s="17"/>
      <c r="P68" s="17"/>
      <c r="Q68" s="17"/>
      <c r="R68" s="17"/>
      <c r="S68" s="17"/>
      <c r="T68" s="17"/>
      <c r="U68" s="17"/>
      <c r="V68" s="17"/>
    </row>
    <row r="69">
      <c r="A69" s="9" t="str">
        <f>IFERROR(__xludf.DUMMYFUNCTION("""COMPUTED_VALUE"""),"アクリコミック")</f>
        <v>アクリコミック</v>
      </c>
      <c r="B69" s="10"/>
      <c r="C69" s="28" t="str">
        <f>IFERROR(__xludf.DUMMYFUNCTION("""COMPUTED_VALUE"""),"必要")</f>
        <v>必要</v>
      </c>
      <c r="D69" s="12"/>
      <c r="E69" s="12"/>
      <c r="F69" s="12" t="str">
        <f>IFERROR(__xludf.DUMMYFUNCTION("""COMPUTED_VALUE"""),"必要")</f>
        <v>必要</v>
      </c>
      <c r="G69" s="13" t="str">
        <f>IFERROR(__xludf.DUMMYFUNCTION("""COMPUTED_VALUE"""),"©ACLICOMIC")</f>
        <v>©ACLICOMIC</v>
      </c>
      <c r="H69" s="10"/>
      <c r="I69" s="14"/>
      <c r="J69" s="15"/>
      <c r="K69" s="16"/>
      <c r="L69" s="17"/>
      <c r="M69" s="17"/>
      <c r="N69" s="17"/>
      <c r="O69" s="17"/>
      <c r="P69" s="17"/>
      <c r="Q69" s="17"/>
      <c r="R69" s="17"/>
      <c r="S69" s="17"/>
      <c r="T69" s="17"/>
      <c r="U69" s="17"/>
      <c r="V69" s="17"/>
    </row>
    <row r="70">
      <c r="A70" s="9" t="str">
        <f>IFERROR(__xludf.DUMMYFUNCTION("""COMPUTED_VALUE"""),"あさ出版")</f>
        <v>あさ出版</v>
      </c>
      <c r="B70" s="10"/>
      <c r="C70" s="28" t="str">
        <f>IFERROR(__xludf.DUMMYFUNCTION("""COMPUTED_VALUE"""),"必要")</f>
        <v>必要</v>
      </c>
      <c r="D70" s="12"/>
      <c r="E70" s="12"/>
      <c r="F70" s="12" t="str">
        <f>IFERROR(__xludf.DUMMYFUNCTION("""COMPUTED_VALUE"""),"必要")</f>
        <v>必要</v>
      </c>
      <c r="G70" s="18" t="str">
        <f>IFERROR(__xludf.DUMMYFUNCTION("""COMPUTED_VALUE"""),"©著者名/あさ出版
・著者間は「・」区切り
・書影まま使用した場合はコピーライト不要")</f>
        <v>©著者名/あさ出版
・著者間は「・」区切り
・書影まま使用した場合はコピーライト不要</v>
      </c>
      <c r="H70" s="10"/>
      <c r="I70" s="14"/>
      <c r="J70" s="15"/>
      <c r="K70" s="16"/>
      <c r="L70" s="17"/>
      <c r="M70" s="17"/>
      <c r="N70" s="17"/>
      <c r="O70" s="17"/>
      <c r="P70" s="17"/>
      <c r="Q70" s="17"/>
      <c r="R70" s="17"/>
      <c r="S70" s="17"/>
      <c r="T70" s="17"/>
      <c r="U70" s="17"/>
      <c r="V70" s="17"/>
    </row>
    <row r="71">
      <c r="A71" s="9" t="str">
        <f>IFERROR(__xludf.DUMMYFUNCTION("""COMPUTED_VALUE"""),"アスタリスク文庫")</f>
        <v>アスタリスク文庫</v>
      </c>
      <c r="B71" s="10"/>
      <c r="C71" s="28" t="str">
        <f>IFERROR(__xludf.DUMMYFUNCTION("""COMPUTED_VALUE"""),"必要")</f>
        <v>必要</v>
      </c>
      <c r="D71" s="12"/>
      <c r="E71" s="12"/>
      <c r="F71" s="12" t="str">
        <f>IFERROR(__xludf.DUMMYFUNCTION("""COMPUTED_VALUE"""),"必要")</f>
        <v>必要</v>
      </c>
      <c r="G71" s="18" t="str">
        <f>IFERROR(__xludf.DUMMYFUNCTION("""COMPUTED_VALUE"""),"都度問い合わせ要")</f>
        <v>都度問い合わせ要</v>
      </c>
      <c r="H71" s="10"/>
      <c r="I71" s="14"/>
      <c r="J71" s="15"/>
      <c r="K71" s="16"/>
      <c r="L71" s="17"/>
      <c r="M71" s="17"/>
      <c r="N71" s="17"/>
      <c r="O71" s="17"/>
      <c r="P71" s="17"/>
      <c r="Q71" s="17"/>
      <c r="R71" s="17"/>
      <c r="S71" s="17"/>
      <c r="T71" s="17"/>
      <c r="U71" s="17"/>
      <c r="V71" s="17"/>
    </row>
    <row r="72">
      <c r="A72" s="9" t="str">
        <f>IFERROR(__xludf.DUMMYFUNCTION("""COMPUTED_VALUE"""),"アド・グッド")</f>
        <v>アド・グッド</v>
      </c>
      <c r="B72" s="10"/>
      <c r="C72" s="28" t="str">
        <f>IFERROR(__xludf.DUMMYFUNCTION("""COMPUTED_VALUE"""),"必要")</f>
        <v>必要</v>
      </c>
      <c r="D72" s="12"/>
      <c r="E72" s="12"/>
      <c r="F72" s="12" t="str">
        <f>IFERROR(__xludf.DUMMYFUNCTION("""COMPUTED_VALUE"""),"必要")</f>
        <v>必要</v>
      </c>
      <c r="G72" s="20" t="str">
        <f>IFERROR(__xludf.DUMMYFUNCTION("""COMPUTED_VALUE"""),"書誌情報を参照（都度ご確認ください）
 ※書影まま使用した場合はコピーライト不要 
※下記記載の例は、レーベル名が２つあった場合
例）もえまんは１つ表記だけでOK
 誤：©さーくるスパイス・もえまん/もえまん
 正：©さーくるスパイス/もえまん")</f>
        <v>書誌情報を参照（都度ご確認ください）
 ※書影まま使用した場合はコピーライト不要 
※下記記載の例は、レーベル名が２つあった場合
例）もえまんは１つ表記だけでOK
 誤：©さーくるスパイス・もえまん/もえまん
 正：©さーくるスパイス/もえまん</v>
      </c>
      <c r="H72" s="10"/>
      <c r="I72" s="14"/>
      <c r="J72" s="15"/>
      <c r="K72" s="16"/>
      <c r="L72" s="17"/>
      <c r="M72" s="17"/>
      <c r="N72" s="17"/>
      <c r="O72" s="17"/>
      <c r="P72" s="17"/>
      <c r="Q72" s="17"/>
      <c r="R72" s="17"/>
      <c r="S72" s="17"/>
      <c r="T72" s="17"/>
      <c r="U72" s="17"/>
      <c r="V72" s="17"/>
    </row>
    <row r="73">
      <c r="A73" s="9" t="str">
        <f>IFERROR(__xludf.DUMMYFUNCTION("""COMPUTED_VALUE"""),"アドレナライズ")</f>
        <v>アドレナライズ</v>
      </c>
      <c r="B73" s="10"/>
      <c r="C73" s="29" t="str">
        <f>IFERROR(__xludf.DUMMYFUNCTION("""COMPUTED_VALUE"""),"必要
※書影のみであれば不要")</f>
        <v>必要
※書影のみであれば不要</v>
      </c>
      <c r="D73" s="62"/>
      <c r="E73" s="62"/>
      <c r="F73" s="12" t="str">
        <f>IFERROR(__xludf.DUMMYFUNCTION("""COMPUTED_VALUE"""),"必要")</f>
        <v>必要</v>
      </c>
      <c r="G73" s="63" t="str">
        <f>IFERROR(__xludf.DUMMYFUNCTION("""COMPUTED_VALUE"""),"©著者名/アドレナライズ")</f>
        <v>©著者名/アドレナライズ</v>
      </c>
      <c r="H73" s="26"/>
      <c r="I73" s="14"/>
      <c r="J73" s="15"/>
      <c r="K73" s="16"/>
      <c r="L73" s="17"/>
      <c r="M73" s="17"/>
      <c r="N73" s="17"/>
      <c r="O73" s="17"/>
      <c r="P73" s="17"/>
      <c r="Q73" s="17"/>
      <c r="R73" s="17"/>
      <c r="S73" s="17"/>
      <c r="T73" s="17"/>
      <c r="U73" s="17"/>
      <c r="V73" s="17"/>
    </row>
    <row r="74" ht="55.5" customHeight="1">
      <c r="A74" s="9" t="str">
        <f>IFERROR(__xludf.DUMMYFUNCTION("""COMPUTED_VALUE"""),"アフォガードコミックス")</f>
        <v>アフォガードコミックス</v>
      </c>
      <c r="B74" s="10"/>
      <c r="C74" s="11" t="str">
        <f>IFERROR(__xludf.DUMMYFUNCTION("""COMPUTED_VALUE"""),"不要")</f>
        <v>不要</v>
      </c>
      <c r="D74" s="12"/>
      <c r="E74" s="12"/>
      <c r="F74" s="12" t="str">
        <f>IFERROR(__xludf.DUMMYFUNCTION("""COMPUTED_VALUE"""),"必要")</f>
        <v>必要</v>
      </c>
      <c r="G74" s="20" t="str">
        <f>IFERROR(__xludf.DUMMYFUNCTION("""COMPUTED_VALUE"""),"「タイトル名」©著者名／アフォガードコミックス
・著者が2名以上の場合、両名の記載をお願いします。")</f>
        <v>「タイトル名」©著者名／アフォガードコミックス
・著者が2名以上の場合、両名の記載をお願いします。</v>
      </c>
      <c r="H74" s="10"/>
      <c r="I74" s="14"/>
      <c r="J74" s="15"/>
      <c r="K74" s="16"/>
      <c r="L74" s="17"/>
      <c r="M74" s="17"/>
      <c r="N74" s="17"/>
      <c r="O74" s="17"/>
      <c r="P74" s="17"/>
      <c r="Q74" s="17"/>
      <c r="R74" s="17"/>
      <c r="S74" s="17"/>
      <c r="T74" s="17"/>
      <c r="U74" s="17"/>
      <c r="V74" s="17"/>
    </row>
    <row r="75" ht="51.0" customHeight="1">
      <c r="A75" s="9" t="str">
        <f>IFERROR(__xludf.DUMMYFUNCTION("""COMPUTED_VALUE"""),"アマリリスコミックス")</f>
        <v>アマリリスコミックス</v>
      </c>
      <c r="B75" s="10"/>
      <c r="C75" s="11" t="str">
        <f>IFERROR(__xludf.DUMMYFUNCTION("""COMPUTED_VALUE"""),"不要")</f>
        <v>不要</v>
      </c>
      <c r="D75" s="12"/>
      <c r="E75" s="12"/>
      <c r="F75" s="12" t="str">
        <f>IFERROR(__xludf.DUMMYFUNCTION("""COMPUTED_VALUE"""),"必要")</f>
        <v>必要</v>
      </c>
      <c r="G75" s="20" t="str">
        <f>IFERROR(__xludf.DUMMYFUNCTION("""COMPUTED_VALUE"""),"「タイトル名」©著者名／アマリリスコミックス
・著者が2名以上の場合、両名の記載をお願いします。")</f>
        <v>「タイトル名」©著者名／アマリリスコミックス
・著者が2名以上の場合、両名の記載をお願いします。</v>
      </c>
      <c r="H75" s="10"/>
      <c r="I75" s="14"/>
      <c r="J75" s="15"/>
      <c r="K75" s="16"/>
      <c r="L75" s="17"/>
      <c r="M75" s="17"/>
      <c r="N75" s="17"/>
      <c r="O75" s="17"/>
      <c r="P75" s="17"/>
      <c r="Q75" s="17"/>
      <c r="R75" s="17"/>
      <c r="S75" s="17"/>
      <c r="T75" s="17"/>
      <c r="U75" s="17"/>
      <c r="V75" s="17"/>
    </row>
    <row r="76">
      <c r="A76" s="9" t="str">
        <f>IFERROR(__xludf.DUMMYFUNCTION("""COMPUTED_VALUE"""),"アムタス")</f>
        <v>アムタス</v>
      </c>
      <c r="B76" s="10" t="str">
        <f>IFERROR(__xludf.DUMMYFUNCTION("""COMPUTED_VALUE"""),"アムコミ")</f>
        <v>アムコミ</v>
      </c>
      <c r="C76" s="28" t="str">
        <f>IFERROR(__xludf.DUMMYFUNCTION("""COMPUTED_VALUE"""),"必要")</f>
        <v>必要</v>
      </c>
      <c r="D76" s="64"/>
      <c r="E76" s="64"/>
      <c r="F76" s="12" t="str">
        <f>IFERROR(__xludf.DUMMYFUNCTION("""COMPUTED_VALUE"""),"必要")</f>
        <v>必要</v>
      </c>
      <c r="G76" s="20" t="str">
        <f>IFERROR(__xludf.DUMMYFUNCTION("""COMPUTED_VALUE"""),"©著者名/アムコミ
・「ikak」「anzu」「GSST」「@子猫」は記載不要
・著者間は「・」区切り ")</f>
        <v>©著者名/アムコミ
・「ikak」「anzu」「GSST」「@子猫」は記載不要
・著者間は「・」区切り </v>
      </c>
      <c r="H76" s="26" t="str">
        <f>IFERROR(__xludf.DUMMYFUNCTION("""COMPUTED_VALUE"""),"→LP内に「アムタス」の表記：NG
　使う場合は「アムコミ」
着色、着衣等の加工時はその旨について確認のご連絡をお願いします。
")</f>
        <v>→LP内に「アムタス」の表記：NG
　使う場合は「アムコミ」
着色、着衣等の加工時はその旨について確認のご連絡をお願いします。
</v>
      </c>
      <c r="I76" s="14"/>
      <c r="J76" s="15"/>
      <c r="K76" s="16"/>
      <c r="L76" s="17"/>
      <c r="M76" s="17"/>
      <c r="N76" s="17"/>
      <c r="O76" s="17"/>
      <c r="P76" s="17"/>
      <c r="Q76" s="17"/>
      <c r="R76" s="17"/>
      <c r="S76" s="17"/>
      <c r="T76" s="17"/>
      <c r="U76" s="17"/>
      <c r="V76" s="17"/>
    </row>
    <row r="77" ht="266.25" customHeight="1">
      <c r="A77" s="9" t="str">
        <f>IFERROR(__xludf.DUMMYFUNCTION("""COMPUTED_VALUE"""),"アルファポリス")</f>
        <v>アルファポリス</v>
      </c>
      <c r="B77" s="10"/>
      <c r="C77" s="28" t="str">
        <f>IFERROR(__xludf.DUMMYFUNCTION("""COMPUTED_VALUE"""),"必要")</f>
        <v>必要</v>
      </c>
      <c r="D77" s="12"/>
      <c r="E77" s="12"/>
      <c r="F77" s="12" t="str">
        <f>IFERROR(__xludf.DUMMYFUNCTION("""COMPUTED_VALUE"""),"必要")</f>
        <v>必要</v>
      </c>
      <c r="G77" s="20" t="str">
        <f>IFERROR(__xludf.DUMMYFUNCTION("""COMPUTED_VALUE"""),"©著者名A・著者名B／アルファポリス
・年数表記は不要
・日本語表記
・「原作者・漫画家」の順
※複数作品を掲載するコピーライトについて
■Ａ（理想の形）
「書名」©原作者名・漫画家名／アルファポリス　「書名」©原作者名・漫画家名／アルファポリス
■Ｂ（長くなり入りきらない場合）
©原作者名・漫画家名／原作者名・漫画家名／アルファポリス ")</f>
        <v>©著者名A・著者名B／アルファポリス
・年数表記は不要
・日本語表記
・「原作者・漫画家」の順
※複数作品を掲載するコピーライトについて
■Ａ（理想の形）
「書名」©原作者名・漫画家名／アルファポリス　「書名」©原作者名・漫画家名／アルファポリス
■Ｂ（長くなり入りきらない場合）
©原作者名・漫画家名／原作者名・漫画家名／アルファポリス </v>
      </c>
      <c r="H77" s="26" t="str">
        <f>IFERROR(__xludf.DUMMYFUNCTION("""COMPUTED_VALUE"""),"※全てのバナー共通で、書籍版のタイトルロゴの使用はお控えいただき、文字ベタ打ちに変更。
アルファポリス公式サイト上のバナーと酷似したデザインも避ける。
※コミック版の書影ロゴ抜出でもNGの場合があるので、コミック・ノベル問わずに書影からのタイトルロゴ抜き出しは避けたほうがよさそうです
※ベタ打ちの場合でも、ロゴデザインに酷似している場合も避ける。（別のフォントのベタ打ちで対応）
")</f>
        <v>※全てのバナー共通で、書籍版のタイトルロゴの使用はお控えいただき、文字ベタ打ちに変更。
アルファポリス公式サイト上のバナーと酷似したデザインも避ける。
※コミック版の書影ロゴ抜出でもNGの場合があるので、コミック・ノベル問わずに書影からのタイトルロゴ抜き出しは避けたほうがよさそうです
※ベタ打ちの場合でも、ロゴデザインに酷似している場合も避ける。（別のフォントのベタ打ちで対応）
</v>
      </c>
      <c r="I77" s="40"/>
      <c r="J77" s="65" t="str">
        <f>IFERROR(__xludf.DUMMYFUNCTION("""COMPUTED_VALUE"""),"○※")</f>
        <v>○※</v>
      </c>
      <c r="K77" s="66" t="str">
        <f>IFERROR(__xludf.DUMMYFUNCTION("""COMPUTED_VALUE"""),"分冊版で制作したバナーを単行本のタイトル詳細ページへ着地させてもOK。
ただし、転用したタイトルはライツ営業へ共有が必要。※事後でもOK")</f>
        <v>分冊版で制作したバナーを単行本のタイトル詳細ページへ着地させてもOK。
ただし、転用したタイトルはライツ営業へ共有が必要。※事後でもOK</v>
      </c>
      <c r="L77" s="17"/>
      <c r="M77" s="17"/>
      <c r="N77" s="17"/>
      <c r="O77" s="17"/>
      <c r="P77" s="17"/>
      <c r="Q77" s="17"/>
      <c r="R77" s="17"/>
      <c r="S77" s="17"/>
      <c r="T77" s="17"/>
      <c r="U77" s="17"/>
      <c r="V77" s="17"/>
    </row>
    <row r="78" ht="22.5" customHeight="1">
      <c r="A78" s="9" t="str">
        <f>IFERROR(__xludf.DUMMYFUNCTION("""COMPUTED_VALUE"""),"アロマコミック")</f>
        <v>アロマコミック</v>
      </c>
      <c r="B78" s="10"/>
      <c r="C78" s="11" t="str">
        <f>IFERROR(__xludf.DUMMYFUNCTION("""COMPUTED_VALUE"""),"不要")</f>
        <v>不要</v>
      </c>
      <c r="D78" s="12"/>
      <c r="E78" s="12"/>
      <c r="F78" s="12" t="str">
        <f>IFERROR(__xludf.DUMMYFUNCTION("""COMPUTED_VALUE"""),"必要")</f>
        <v>必要</v>
      </c>
      <c r="G78" s="13" t="str">
        <f>IFERROR(__xludf.DUMMYFUNCTION("""COMPUTED_VALUE"""),"©アロマコミック")</f>
        <v>©アロマコミック</v>
      </c>
      <c r="H78" s="10"/>
      <c r="I78" s="14"/>
      <c r="J78" s="15"/>
      <c r="K78" s="16"/>
      <c r="L78" s="17"/>
      <c r="M78" s="17"/>
      <c r="N78" s="17"/>
      <c r="O78" s="17"/>
      <c r="P78" s="17"/>
      <c r="Q78" s="17"/>
      <c r="R78" s="17"/>
      <c r="S78" s="17"/>
      <c r="T78" s="17"/>
      <c r="U78" s="17"/>
      <c r="V78" s="17"/>
    </row>
    <row r="79">
      <c r="A79" s="9" t="str">
        <f>IFERROR(__xludf.DUMMYFUNCTION("""COMPUTED_VALUE"""),"イースト・プレス")</f>
        <v>イースト・プレス</v>
      </c>
      <c r="B79" s="10"/>
      <c r="C79" s="28" t="str">
        <f>IFERROR(__xludf.DUMMYFUNCTION("""COMPUTED_VALUE"""),"必要")</f>
        <v>必要</v>
      </c>
      <c r="D79" s="12"/>
      <c r="E79" s="12"/>
      <c r="F79" s="12" t="str">
        <f>IFERROR(__xludf.DUMMYFUNCTION("""COMPUTED_VALUE"""),"必要")</f>
        <v>必要</v>
      </c>
      <c r="G79" s="20" t="str">
        <f>IFERROR(__xludf.DUMMYFUNCTION("""COMPUTED_VALUE"""),"『タイトル名』©作者名/イースト・プレス
・作品名必須
・書影のみの場合もコピーライト必要
（ただし、文字の配置が困難な極端に小さいバナーの場合は省略可）")</f>
        <v>『タイトル名』©作者名/イースト・プレス
・作品名必須
・書影のみの場合もコピーライト必要
（ただし、文字の配置が困難な極端に小さいバナーの場合は省略可）</v>
      </c>
      <c r="H79" s="10"/>
      <c r="I79" s="14"/>
      <c r="J79" s="15"/>
      <c r="K79" s="16"/>
      <c r="L79" s="17"/>
      <c r="M79" s="17"/>
      <c r="N79" s="17"/>
      <c r="O79" s="17"/>
      <c r="P79" s="17"/>
      <c r="Q79" s="17"/>
      <c r="R79" s="17"/>
      <c r="S79" s="17"/>
      <c r="T79" s="17"/>
      <c r="U79" s="17"/>
      <c r="V79" s="17"/>
    </row>
    <row r="80" ht="46.5" customHeight="1">
      <c r="A80" s="9" t="str">
        <f>IFERROR(__xludf.DUMMYFUNCTION("""COMPUTED_VALUE"""),"インテルフィン")</f>
        <v>インテルフィン</v>
      </c>
      <c r="B80" s="10"/>
      <c r="C80" s="28" t="str">
        <f>IFERROR(__xludf.DUMMYFUNCTION("""COMPUTED_VALUE"""),"必要")</f>
        <v>必要</v>
      </c>
      <c r="D80" s="12"/>
      <c r="E80" s="12"/>
      <c r="F80" s="12" t="str">
        <f>IFERROR(__xludf.DUMMYFUNCTION("""COMPUTED_VALUE"""),"必要")</f>
        <v>必要</v>
      </c>
      <c r="G80" s="20" t="str">
        <f>IFERROR(__xludf.DUMMYFUNCTION("""COMPUTED_VALUE"""),"©作家名/インテルフィン
・書影のみの場合もコピーライト必要")</f>
        <v>©作家名/インテルフィン
・書影のみの場合もコピーライト必要</v>
      </c>
      <c r="H80" s="10"/>
      <c r="I80" s="14"/>
      <c r="J80" s="15"/>
      <c r="K80" s="16"/>
      <c r="L80" s="17"/>
      <c r="M80" s="17"/>
      <c r="N80" s="17"/>
      <c r="O80" s="17"/>
      <c r="P80" s="17"/>
      <c r="Q80" s="17"/>
      <c r="R80" s="17"/>
      <c r="S80" s="17"/>
      <c r="T80" s="17"/>
      <c r="U80" s="17"/>
      <c r="V80" s="17"/>
    </row>
    <row r="81" ht="58.5" customHeight="1">
      <c r="A81" s="9" t="str">
        <f>IFERROR(__xludf.DUMMYFUNCTION("""COMPUTED_VALUE"""),"インプレス")</f>
        <v>インプレス</v>
      </c>
      <c r="B81" s="10"/>
      <c r="C81" s="28" t="str">
        <f>IFERROR(__xludf.DUMMYFUNCTION("""COMPUTED_VALUE"""),"必要")</f>
        <v>必要</v>
      </c>
      <c r="D81" s="62"/>
      <c r="E81" s="62"/>
      <c r="F81" s="12" t="str">
        <f>IFERROR(__xludf.DUMMYFUNCTION("""COMPUTED_VALUE"""),"不要")</f>
        <v>不要</v>
      </c>
      <c r="G81" s="67" t="str">
        <f>IFERROR(__xludf.DUMMYFUNCTION("""COMPUTED_VALUE"""),"原則不要
※作品によっては必須のもの有
（出版社に問い合わせになるので一旦無しで制作してください。）")</f>
        <v>原則不要
※作品によっては必須のもの有
（出版社に問い合わせになるので一旦無しで制作してください。）</v>
      </c>
      <c r="H81" s="10"/>
      <c r="I81" s="14"/>
      <c r="J81" s="15"/>
      <c r="K81" s="16"/>
      <c r="L81" s="17"/>
      <c r="M81" s="17"/>
      <c r="N81" s="17"/>
      <c r="O81" s="17"/>
      <c r="P81" s="17"/>
      <c r="Q81" s="17"/>
      <c r="R81" s="17"/>
      <c r="S81" s="17"/>
      <c r="T81" s="17"/>
      <c r="U81" s="17"/>
      <c r="V81" s="17"/>
    </row>
    <row r="82" ht="40.5" customHeight="1">
      <c r="A82" s="42" t="str">
        <f>IFERROR(__xludf.DUMMYFUNCTION("""COMPUTED_VALUE"""),"ウェイブ")</f>
        <v>ウェイブ</v>
      </c>
      <c r="B82" s="26" t="str">
        <f>IFERROR(__xludf.DUMMYFUNCTION("""COMPUTED_VALUE"""),"wwwave comics
（旧：COMIC維新）")</f>
        <v>wwwave comics
（旧：COMIC維新）</v>
      </c>
      <c r="C82" s="61" t="str">
        <f>IFERROR(__xludf.DUMMYFUNCTION("""COMPUTED_VALUE"""),"不要")</f>
        <v>不要</v>
      </c>
      <c r="D82" s="12"/>
      <c r="E82" s="44" t="str">
        <f>IFERROR(__xludf.DUMMYFUNCTION("""COMPUTED_VALUE"""),"色づけＯＫ
加工した場合は事前確認必要")</f>
        <v>色づけＯＫ
加工した場合は事前確認必要</v>
      </c>
      <c r="F82" s="12" t="str">
        <f>IFERROR(__xludf.DUMMYFUNCTION("""COMPUTED_VALUE"""),"必要")</f>
        <v>必要</v>
      </c>
      <c r="G82" s="45" t="str">
        <f>IFERROR(__xludf.DUMMYFUNCTION("""COMPUTED_VALUE"""),"©作者名/出版社名 
※出版社名：wwwave comics、patica、screamo
・作者名に「uroco」が含まれる場合、C表記には記載不要です。 
「uroco」以外の作者名を記載してください。 【削除可】 ・uroco　・うろ子　・虚児　・鱗")</f>
        <v>©作者名/出版社名 
※出版社名：wwwave comics、patica、screamo
・作者名に「uroco」が含まれる場合、C表記には記載不要です。 
「uroco」以外の作者名を記載してください。 【削除可】 ・uroco　・うろ子　・虚児　・鱗</v>
      </c>
      <c r="H82" s="68" t="str">
        <f>IFERROR(__xludf.DUMMYFUNCTION("""COMPUTED_VALUE"""),"色づけＯＫ
→LP内に「ウェイブ」の表記：NG
　使う場合は「スクリーモ」or「wwwave comics」
動画広告の場合でも事前確認不要(担当営業確認済み)")</f>
        <v>色づけＯＫ
→LP内に「ウェイブ」の表記：NG
　使う場合は「スクリーモ」or「wwwave comics」
動画広告の場合でも事前確認不要(担当営業確認済み)</v>
      </c>
      <c r="I82" s="14"/>
      <c r="J82" s="15"/>
      <c r="K82" s="16"/>
      <c r="L82" s="17"/>
      <c r="M82" s="17"/>
      <c r="N82" s="17"/>
      <c r="O82" s="17"/>
      <c r="P82" s="17"/>
      <c r="Q82" s="17"/>
      <c r="R82" s="17"/>
      <c r="S82" s="17"/>
      <c r="T82" s="17"/>
      <c r="U82" s="17"/>
      <c r="V82" s="17"/>
    </row>
    <row r="83" ht="66.0" customHeight="1">
      <c r="A83" s="50"/>
      <c r="B83" s="26" t="str">
        <f>IFERROR(__xludf.DUMMYFUNCTION("""COMPUTED_VALUE"""),"パチカ")</f>
        <v>パチカ</v>
      </c>
      <c r="C83" s="50"/>
      <c r="D83" s="12"/>
      <c r="E83" s="50"/>
      <c r="F83" s="12" t="str">
        <f>IFERROR(__xludf.DUMMYFUNCTION("""COMPUTED_VALUE"""),"必要")</f>
        <v>必要</v>
      </c>
      <c r="G83" s="50"/>
      <c r="H83" s="50"/>
      <c r="I83" s="14"/>
      <c r="J83" s="15"/>
      <c r="K83" s="16"/>
      <c r="L83" s="17"/>
      <c r="M83" s="17"/>
      <c r="N83" s="17"/>
      <c r="O83" s="17"/>
      <c r="P83" s="17"/>
      <c r="Q83" s="17"/>
      <c r="R83" s="17"/>
      <c r="S83" s="17"/>
      <c r="T83" s="17"/>
      <c r="U83" s="17"/>
      <c r="V83" s="17"/>
    </row>
    <row r="84" ht="66.0" customHeight="1">
      <c r="A84" s="51"/>
      <c r="B84" s="10" t="str">
        <f>IFERROR(__xludf.DUMMYFUNCTION("""COMPUTED_VALUE"""),"スクリーモ")</f>
        <v>スクリーモ</v>
      </c>
      <c r="C84" s="51"/>
      <c r="D84" s="12"/>
      <c r="E84" s="51"/>
      <c r="F84" s="12" t="str">
        <f>IFERROR(__xludf.DUMMYFUNCTION("""COMPUTED_VALUE"""),"必要")</f>
        <v>必要</v>
      </c>
      <c r="G84" s="51"/>
      <c r="H84" s="51"/>
      <c r="I84" s="14"/>
      <c r="J84" s="15"/>
      <c r="K84" s="16"/>
      <c r="L84" s="17"/>
      <c r="M84" s="17"/>
      <c r="N84" s="17"/>
      <c r="O84" s="17"/>
      <c r="P84" s="17"/>
      <c r="Q84" s="17"/>
      <c r="R84" s="17"/>
      <c r="S84" s="17"/>
      <c r="T84" s="17"/>
      <c r="U84" s="17"/>
      <c r="V84" s="17"/>
    </row>
    <row r="85" ht="43.5" customHeight="1">
      <c r="A85" s="9" t="str">
        <f>IFERROR(__xludf.DUMMYFUNCTION("""COMPUTED_VALUE"""),"エイシス")</f>
        <v>エイシス</v>
      </c>
      <c r="B85" s="26" t="str">
        <f>IFERROR(__xludf.DUMMYFUNCTION("""COMPUTED_VALUE"""),"DLcomics")</f>
        <v>DLcomics</v>
      </c>
      <c r="C85" s="28" t="str">
        <f>IFERROR(__xludf.DUMMYFUNCTION("""COMPUTED_VALUE"""),"必要")</f>
        <v>必要</v>
      </c>
      <c r="D85" s="62"/>
      <c r="E85" s="62" t="str">
        <f>IFERROR(__xludf.DUMMYFUNCTION("""COMPUTED_VALUE"""),"着色などの
改変はNG")</f>
        <v>着色などの
改変はNG</v>
      </c>
      <c r="F85" s="12" t="str">
        <f>IFERROR(__xludf.DUMMYFUNCTION("""COMPUTED_VALUE"""),"不要")</f>
        <v>不要</v>
      </c>
      <c r="G85" s="69" t="str">
        <f>IFERROR(__xludf.DUMMYFUNCTION("""COMPUTED_VALUE"""),"©作家名/DLsite")</f>
        <v>©作家名/DLsite</v>
      </c>
      <c r="H85" s="26" t="str">
        <f>IFERROR(__xludf.DUMMYFUNCTION("""COMPUTED_VALUE"""),"拡大縮小やトリミングは問題ございません")</f>
        <v>拡大縮小やトリミングは問題ございません</v>
      </c>
      <c r="I85" s="14"/>
      <c r="J85" s="15"/>
      <c r="K85" s="16"/>
      <c r="L85" s="17"/>
      <c r="M85" s="17"/>
      <c r="N85" s="17"/>
      <c r="O85" s="17"/>
      <c r="P85" s="17"/>
      <c r="Q85" s="17"/>
      <c r="R85" s="17"/>
      <c r="S85" s="17"/>
      <c r="T85" s="17"/>
      <c r="U85" s="17"/>
      <c r="V85" s="17"/>
    </row>
    <row r="86" ht="21.75" customHeight="1">
      <c r="A86" s="9" t="str">
        <f>IFERROR(__xludf.DUMMYFUNCTION("""COMPUTED_VALUE"""),"エースオブハーツ")</f>
        <v>エースオブハーツ</v>
      </c>
      <c r="B86" s="10"/>
      <c r="C86" s="11" t="str">
        <f>IFERROR(__xludf.DUMMYFUNCTION("""COMPUTED_VALUE"""),"不要")</f>
        <v>不要</v>
      </c>
      <c r="D86" s="62"/>
      <c r="E86" s="62"/>
      <c r="F86" s="12" t="str">
        <f>IFERROR(__xludf.DUMMYFUNCTION("""COMPUTED_VALUE"""),"不要")</f>
        <v>不要</v>
      </c>
      <c r="G86" s="27"/>
      <c r="H86" s="10"/>
      <c r="I86" s="14"/>
      <c r="J86" s="15"/>
      <c r="K86" s="16"/>
      <c r="L86" s="17"/>
      <c r="M86" s="17"/>
      <c r="N86" s="17"/>
      <c r="O86" s="17"/>
      <c r="P86" s="17"/>
      <c r="Q86" s="17"/>
      <c r="R86" s="17"/>
      <c r="S86" s="17"/>
      <c r="T86" s="17"/>
      <c r="U86" s="17"/>
      <c r="V86" s="17"/>
    </row>
    <row r="87">
      <c r="A87" s="9" t="str">
        <f>IFERROR(__xludf.DUMMYFUNCTION("""COMPUTED_VALUE"""),"エブリスタ")</f>
        <v>エブリスタ</v>
      </c>
      <c r="B87" s="10"/>
      <c r="C87" s="11" t="str">
        <f>IFERROR(__xludf.DUMMYFUNCTION("""COMPUTED_VALUE"""),"不要")</f>
        <v>不要</v>
      </c>
      <c r="D87" s="12"/>
      <c r="E87" s="12"/>
      <c r="F87" s="12" t="str">
        <f>IFERROR(__xludf.DUMMYFUNCTION("""COMPUTED_VALUE"""),"必要")</f>
        <v>必要</v>
      </c>
      <c r="G87" s="18" t="str">
        <f>IFERROR(__xludf.DUMMYFUNCTION("""COMPUTED_VALUE"""),"©著者名/エブリスタ
・著者間は「・」区切り")</f>
        <v>©著者名/エブリスタ
・著者間は「・」区切り</v>
      </c>
      <c r="H87" s="10"/>
      <c r="I87" s="14"/>
      <c r="J87" s="15"/>
      <c r="K87" s="16"/>
      <c r="L87" s="17"/>
      <c r="M87" s="17"/>
      <c r="N87" s="17"/>
      <c r="O87" s="17"/>
      <c r="P87" s="17"/>
      <c r="Q87" s="17"/>
      <c r="R87" s="17"/>
      <c r="S87" s="17"/>
      <c r="T87" s="17"/>
      <c r="U87" s="17"/>
      <c r="V87" s="17"/>
    </row>
    <row r="88">
      <c r="A88" s="9" t="str">
        <f>IFERROR(__xludf.DUMMYFUNCTION("""COMPUTED_VALUE"""),"エルシーラブブックス")</f>
        <v>エルシーラブブックス</v>
      </c>
      <c r="B88" s="10"/>
      <c r="C88" s="28" t="str">
        <f>IFERROR(__xludf.DUMMYFUNCTION("""COMPUTED_VALUE"""),"必要")</f>
        <v>必要</v>
      </c>
      <c r="D88" s="12"/>
      <c r="E88" s="12"/>
      <c r="F88" s="12" t="str">
        <f>IFERROR(__xludf.DUMMYFUNCTION("""COMPUTED_VALUE"""),"必要")</f>
        <v>必要</v>
      </c>
      <c r="G88" s="18" t="str">
        <f>IFERROR(__xludf.DUMMYFUNCTION("""COMPUTED_VALUE"""),"©LC love cosmetic
・書影まま使用した場合はコピーライト不要")</f>
        <v>©LC love cosmetic
・書影まま使用した場合はコピーライト不要</v>
      </c>
      <c r="H88" s="10"/>
      <c r="I88" s="14"/>
      <c r="J88" s="15"/>
      <c r="K88" s="16"/>
      <c r="L88" s="17"/>
      <c r="M88" s="17"/>
      <c r="N88" s="17"/>
      <c r="O88" s="17"/>
      <c r="P88" s="17"/>
      <c r="Q88" s="17"/>
      <c r="R88" s="17"/>
      <c r="S88" s="17"/>
      <c r="T88" s="17"/>
      <c r="U88" s="17"/>
      <c r="V88" s="17"/>
    </row>
    <row r="89" ht="93.0" customHeight="1">
      <c r="A89" s="42" t="str">
        <f>IFERROR(__xludf.DUMMYFUNCTION("""COMPUTED_VALUE"""),"オークラ出版")</f>
        <v>オークラ出版</v>
      </c>
      <c r="B89" s="10"/>
      <c r="C89" s="43" t="str">
        <f>IFERROR(__xludf.DUMMYFUNCTION("""COMPUTED_VALUE"""),"必要")</f>
        <v>必要</v>
      </c>
      <c r="D89" s="12"/>
      <c r="E89" s="44"/>
      <c r="F89" s="44" t="str">
        <f>IFERROR(__xludf.DUMMYFUNCTION("""COMPUTED_VALUE"""),"必要")</f>
        <v>必要</v>
      </c>
      <c r="G89" s="45" t="str">
        <f>IFERROR(__xludf.DUMMYFUNCTION("""COMPUTED_VALUE"""),"©著者名/オークラ出版 レーベル
▼enigmaコミックスレーベルの場合　
©作者名/オークラ出版 enigma
▼アクアコミックスの場合
 ©作者名/オークラ出版 アクア")</f>
        <v>©著者名/オークラ出版 レーベル
▼enigmaコミックスレーベルの場合　
©作者名/オークラ出版 enigma
▼アクアコミックスの場合
 ©作者名/オークラ出版 アクア</v>
      </c>
      <c r="H89" s="70"/>
      <c r="I89" s="71"/>
      <c r="J89" s="15"/>
      <c r="K89" s="16"/>
      <c r="L89" s="17"/>
      <c r="M89" s="17"/>
      <c r="N89" s="17"/>
      <c r="O89" s="17"/>
      <c r="P89" s="17"/>
      <c r="Q89" s="17"/>
      <c r="R89" s="17"/>
      <c r="S89" s="17"/>
      <c r="T89" s="17"/>
      <c r="U89" s="17"/>
      <c r="V89" s="17"/>
    </row>
    <row r="90">
      <c r="A90" s="51"/>
      <c r="B90" s="26" t="str">
        <f>IFERROR(__xludf.DUMMYFUNCTION("""COMPUTED_VALUE"""),"オークス")</f>
        <v>オークス</v>
      </c>
      <c r="C90" s="51"/>
      <c r="D90" s="12"/>
      <c r="E90" s="51"/>
      <c r="F90" s="51"/>
      <c r="G90" s="51"/>
      <c r="H90" s="51"/>
      <c r="I90" s="51"/>
      <c r="J90" s="15"/>
      <c r="K90" s="16"/>
      <c r="L90" s="17"/>
      <c r="M90" s="17"/>
      <c r="N90" s="17"/>
      <c r="O90" s="17"/>
      <c r="P90" s="17"/>
      <c r="Q90" s="17"/>
      <c r="R90" s="17"/>
      <c r="S90" s="17"/>
      <c r="T90" s="17"/>
      <c r="U90" s="17"/>
      <c r="V90" s="17"/>
    </row>
    <row r="91" ht="324.75" customHeight="1">
      <c r="A91" s="9" t="str">
        <f>IFERROR(__xludf.DUMMYFUNCTION("""COMPUTED_VALUE"""),"オーバーラップ")</f>
        <v>オーバーラップ</v>
      </c>
      <c r="B91" s="10"/>
      <c r="C91" s="28" t="str">
        <f>IFERROR(__xludf.DUMMYFUNCTION("""COMPUTED_VALUE"""),"必要")</f>
        <v>必要</v>
      </c>
      <c r="D91" s="12"/>
      <c r="E91" s="12"/>
      <c r="F91" s="12" t="str">
        <f>IFERROR(__xludf.DUMMYFUNCTION("""COMPUTED_VALUE"""),"必要")</f>
        <v>必要</v>
      </c>
      <c r="G91" s="72" t="str">
        <f>IFERROR(__xludf.DUMMYFUNCTION("""COMPUTED_VALUE"""),"■オーバーラップ_特殊コピーライト一覧
【通常ルール】
ボンデジ作品、BLTL作品につきましては
すべて「（C）作家名／オーバーラップ」にて統一。（「／」は全角で統一）
(「LiQulle（リキューレ）」作品も上記ルールが適用されます)
単話、もしくはBLTL作品については
(C)漫画著者・原作者／オーバーラップ
単行本（BLTL以外）の場合は
(C)著者名　(C)原作者名／オーバーラップ
②他版元合同の場合は、表記を合わせる。
③オーバーラップ書籍コミカライズ作品（C）表記
(C)漫画著者 ("&amp;"C)原作者／オーバーラップ
※キャラクター原案の表記は不要
※(C)漫画著者■(C)原作者／オーバーラップ
■＝全角スペース　
※複数作品使用の際は、各作品で使用するスペースが全角と半角で混ざらないように、全角スペースで統一してください。")</f>
        <v>■オーバーラップ_特殊コピーライト一覧
【通常ルール】
ボンデジ作品、BLTL作品につきましては
すべて「（C）作家名／オーバーラップ」にて統一。（「／」は全角で統一）
(「LiQulle（リキューレ）」作品も上記ルールが適用されます)
単話、もしくはBLTL作品については
(C)漫画著者・原作者／オーバーラップ
単行本（BLTL以外）の場合は
(C)著者名　(C)原作者名／オーバーラップ
②他版元合同の場合は、表記を合わせる。
③オーバーラップ書籍コミカライズ作品（C）表記
(C)漫画著者 (C)原作者／オーバーラップ
※キャラクター原案の表記は不要
※(C)漫画著者■(C)原作者／オーバーラップ
■＝全角スペース　
※複数作品使用の際は、各作品で使用するスペースが全角と半角で混ざらないように、全角スペースで統一してください。</v>
      </c>
      <c r="H91" s="26" t="str">
        <f>IFERROR(__xludf.DUMMYFUNCTION("""COMPUTED_VALUE"""),"
■作品名の【ラブパルフェ】の表記について
バナーやページに掲載していただく際は【ラブパルフェ】トルツメをお願い致します。")</f>
        <v>
■作品名の【ラブパルフェ】の表記について
バナーやページに掲載していただく際は【ラブパルフェ】トルツメをお願い致します。</v>
      </c>
      <c r="I91" s="73" t="str">
        <f>IFERROR(__xludf.DUMMYFUNCTION("""COMPUTED_VALUE"""),"「3分インスタントの沈黙」のコマ画像使用する場合の注意事項
　・兄の一人称：俺
　・弟の一人称：オレ
「とんでもスキルで異世界放浪メシ」
　　作中内の【EON】表記：バナーや広告での使用はNG
　　（使用する場合は【EON】表記削除して使用）
　　「従属」という言葉は基本NG→「従魔」に置き換える。（作中では「従属」という言葉は使用されていないため）
　　（「従魔」という文言が伝わりにくいなどの理由であえて「従属」としている場合は使用OK。要事前確認）")</f>
        <v>「3分インスタントの沈黙」のコマ画像使用する場合の注意事項
　・兄の一人称：俺
　・弟の一人称：オレ
「とんでもスキルで異世界放浪メシ」
　　作中内の【EON】表記：バナーや広告での使用はNG
　　（使用する場合は【EON】表記削除して使用）
　　「従属」という言葉は基本NG→「従魔」に置き換える。（作中では「従属」という言葉は使用されていないため）
　　（「従魔」という文言が伝わりにくいなどの理由であえて「従属」としている場合は使用OK。要事前確認）</v>
      </c>
      <c r="J91" s="15"/>
      <c r="K91" s="16"/>
      <c r="L91" s="17"/>
      <c r="M91" s="17"/>
      <c r="N91" s="17"/>
      <c r="O91" s="17"/>
      <c r="P91" s="17"/>
      <c r="Q91" s="17"/>
      <c r="R91" s="17"/>
      <c r="S91" s="17"/>
      <c r="T91" s="17"/>
      <c r="U91" s="17"/>
      <c r="V91" s="17"/>
    </row>
    <row r="92" ht="72.0" customHeight="1">
      <c r="A92" s="9" t="str">
        <f>IFERROR(__xludf.DUMMYFUNCTION("""COMPUTED_VALUE"""),"キビダンゴプロジェクト BookLive!Artstudio")</f>
        <v>キビダンゴプロジェクト BookLive!Artstudio</v>
      </c>
      <c r="B92" s="10"/>
      <c r="C92" s="11" t="str">
        <f>IFERROR(__xludf.DUMMYFUNCTION("""COMPUTED_VALUE"""),"不要")</f>
        <v>不要</v>
      </c>
      <c r="D92" s="12"/>
      <c r="E92" s="12"/>
      <c r="F92" s="12" t="str">
        <f>IFERROR(__xludf.DUMMYFUNCTION("""COMPUTED_VALUE"""),"必要")</f>
        <v>必要</v>
      </c>
      <c r="G92" s="18" t="str">
        <f>IFERROR(__xludf.DUMMYFUNCTION("""COMPUTED_VALUE"""),"©キビダンゴプロジェクト/BookLive!Artstudio
※作家名の記載につきましてはあった方が望ましいですが、必須ではございません。
基本は出版社名を記載頂ければと思います。")</f>
        <v>©キビダンゴプロジェクト/BookLive!Artstudio
※作家名の記載につきましてはあった方が望ましいですが、必須ではございません。
基本は出版社名を記載頂ければと思います。</v>
      </c>
      <c r="H92" s="10"/>
      <c r="I92" s="14"/>
      <c r="J92" s="15"/>
      <c r="K92" s="16"/>
      <c r="L92" s="17"/>
      <c r="M92" s="17"/>
      <c r="N92" s="17"/>
      <c r="O92" s="17"/>
      <c r="P92" s="17"/>
      <c r="Q92" s="17"/>
      <c r="R92" s="17"/>
      <c r="S92" s="17"/>
      <c r="T92" s="17"/>
      <c r="U92" s="17"/>
      <c r="V92" s="17"/>
    </row>
    <row r="93">
      <c r="A93" s="9" t="str">
        <f>IFERROR(__xludf.DUMMYFUNCTION("""COMPUTED_VALUE"""),"キャスコミ")</f>
        <v>キャスコミ</v>
      </c>
      <c r="B93" s="10"/>
      <c r="C93" s="28" t="str">
        <f>IFERROR(__xludf.DUMMYFUNCTION("""COMPUTED_VALUE"""),"必要")</f>
        <v>必要</v>
      </c>
      <c r="D93" s="62"/>
      <c r="E93" s="62"/>
      <c r="F93" s="12" t="str">
        <f>IFERROR(__xludf.DUMMYFUNCTION("""COMPUTED_VALUE"""),"不要")</f>
        <v>不要</v>
      </c>
      <c r="G93" s="27"/>
      <c r="H93" s="10"/>
      <c r="I93" s="14"/>
      <c r="J93" s="15"/>
      <c r="K93" s="16"/>
      <c r="L93" s="17"/>
      <c r="M93" s="17"/>
      <c r="N93" s="17"/>
      <c r="O93" s="17"/>
      <c r="P93" s="17"/>
      <c r="Q93" s="17"/>
      <c r="R93" s="17"/>
      <c r="S93" s="17"/>
      <c r="T93" s="17"/>
      <c r="U93" s="17"/>
      <c r="V93" s="17"/>
    </row>
    <row r="94">
      <c r="A94" s="9" t="str">
        <f>IFERROR(__xludf.DUMMYFUNCTION("""COMPUTED_VALUE"""),"キャスティーン")</f>
        <v>キャスティーン</v>
      </c>
      <c r="B94" s="10"/>
      <c r="C94" s="11" t="str">
        <f>IFERROR(__xludf.DUMMYFUNCTION("""COMPUTED_VALUE"""),"不要")</f>
        <v>不要</v>
      </c>
      <c r="D94" s="62"/>
      <c r="E94" s="62"/>
      <c r="F94" s="12" t="str">
        <f>IFERROR(__xludf.DUMMYFUNCTION("""COMPUTED_VALUE"""),"不要")</f>
        <v>不要</v>
      </c>
      <c r="G94" s="27"/>
      <c r="H94" s="10"/>
      <c r="I94" s="14"/>
      <c r="J94" s="15"/>
      <c r="K94" s="16"/>
      <c r="L94" s="17"/>
      <c r="M94" s="17"/>
      <c r="N94" s="17"/>
      <c r="O94" s="17"/>
      <c r="P94" s="17"/>
      <c r="Q94" s="17"/>
      <c r="R94" s="17"/>
      <c r="S94" s="17"/>
      <c r="T94" s="17"/>
      <c r="U94" s="17"/>
      <c r="V94" s="17"/>
    </row>
    <row r="95">
      <c r="A95" s="9" t="str">
        <f>IFERROR(__xludf.DUMMYFUNCTION("""COMPUTED_VALUE"""),"キャスラブ")</f>
        <v>キャスラブ</v>
      </c>
      <c r="B95" s="10"/>
      <c r="C95" s="11" t="str">
        <f>IFERROR(__xludf.DUMMYFUNCTION("""COMPUTED_VALUE"""),"不要")</f>
        <v>不要</v>
      </c>
      <c r="D95" s="62"/>
      <c r="E95" s="62"/>
      <c r="F95" s="12" t="str">
        <f>IFERROR(__xludf.DUMMYFUNCTION("""COMPUTED_VALUE"""),"不要")</f>
        <v>不要</v>
      </c>
      <c r="G95" s="27"/>
      <c r="H95" s="10"/>
      <c r="I95" s="14"/>
      <c r="J95" s="15"/>
      <c r="K95" s="16"/>
      <c r="L95" s="17"/>
      <c r="M95" s="17"/>
      <c r="N95" s="17"/>
      <c r="O95" s="17"/>
      <c r="P95" s="17"/>
      <c r="Q95" s="17"/>
      <c r="R95" s="17"/>
      <c r="S95" s="17"/>
      <c r="T95" s="17"/>
      <c r="U95" s="17"/>
      <c r="V95" s="17"/>
    </row>
    <row r="96">
      <c r="A96" s="9" t="str">
        <f>IFERROR(__xludf.DUMMYFUNCTION("""COMPUTED_VALUE"""),"キルタイムコミュニケーション")</f>
        <v>キルタイムコミュニケーション</v>
      </c>
      <c r="B96" s="10"/>
      <c r="C96" s="28" t="str">
        <f>IFERROR(__xludf.DUMMYFUNCTION("""COMPUTED_VALUE"""),"必要")</f>
        <v>必要</v>
      </c>
      <c r="D96" s="12"/>
      <c r="E96" s="12"/>
      <c r="F96" s="12" t="str">
        <f>IFERROR(__xludf.DUMMYFUNCTION("""COMPUTED_VALUE"""),"必要")</f>
        <v>必要</v>
      </c>
      <c r="G96" s="20" t="str">
        <f>IFERROR(__xludf.DUMMYFUNCTION("""COMPUTED_VALUE"""),"©作家・イラストレーター名/キルタイムコミュニケーション
・書影まま使用した場合はコピーライト不要")</f>
        <v>©作家・イラストレーター名/キルタイムコミュニケーション
・書影まま使用した場合はコピーライト不要</v>
      </c>
      <c r="H96" s="10"/>
      <c r="I96" s="14"/>
      <c r="J96" s="15"/>
      <c r="K96" s="16"/>
      <c r="L96" s="17"/>
      <c r="M96" s="17"/>
      <c r="N96" s="17"/>
      <c r="O96" s="17"/>
      <c r="P96" s="17"/>
      <c r="Q96" s="17"/>
      <c r="R96" s="17"/>
      <c r="S96" s="17"/>
      <c r="T96" s="17"/>
      <c r="U96" s="17"/>
      <c r="V96" s="17"/>
    </row>
    <row r="97">
      <c r="A97" s="9" t="str">
        <f>IFERROR(__xludf.DUMMYFUNCTION("""COMPUTED_VALUE"""),"クリエイティブエンタテインメント")</f>
        <v>クリエイティブエンタテインメント</v>
      </c>
      <c r="B97" s="10"/>
      <c r="C97" s="11" t="str">
        <f>IFERROR(__xludf.DUMMYFUNCTION("""COMPUTED_VALUE"""),"不要")</f>
        <v>不要</v>
      </c>
      <c r="D97" s="12"/>
      <c r="E97" s="12"/>
      <c r="F97" s="12" t="str">
        <f>IFERROR(__xludf.DUMMYFUNCTION("""COMPUTED_VALUE"""),"必要")</f>
        <v>必要</v>
      </c>
      <c r="G97" s="13" t="str">
        <f>IFERROR(__xludf.DUMMYFUNCTION("""COMPUTED_VALUE"""),"©作者／クリエイティブエンタテインメント")</f>
        <v>©作者／クリエイティブエンタテインメント</v>
      </c>
      <c r="H97" s="10"/>
      <c r="I97" s="14"/>
      <c r="J97" s="15"/>
      <c r="K97" s="16"/>
      <c r="L97" s="17"/>
      <c r="M97" s="17"/>
      <c r="N97" s="17"/>
      <c r="O97" s="17"/>
      <c r="P97" s="17"/>
      <c r="Q97" s="17"/>
      <c r="R97" s="17"/>
      <c r="S97" s="17"/>
      <c r="T97" s="17"/>
      <c r="U97" s="17"/>
      <c r="V97" s="17"/>
    </row>
    <row r="98">
      <c r="A98" s="42" t="str">
        <f>IFERROR(__xludf.DUMMYFUNCTION("""COMPUTED_VALUE"""),"グループ・ゼロ")</f>
        <v>グループ・ゼロ</v>
      </c>
      <c r="B98" s="10" t="str">
        <f>IFERROR(__xludf.DUMMYFUNCTION("""COMPUTED_VALUE"""),"グループ・ゼロ")</f>
        <v>グループ・ゼロ</v>
      </c>
      <c r="C98" s="61" t="str">
        <f>IFERROR(__xludf.DUMMYFUNCTION("""COMPUTED_VALUE"""),"不要")</f>
        <v>不要</v>
      </c>
      <c r="D98" s="74"/>
      <c r="E98" s="75" t="str">
        <f>IFERROR(__xludf.DUMMYFUNCTION("""COMPUTED_VALUE"""),"不要")</f>
        <v>不要</v>
      </c>
      <c r="F98" s="44" t="str">
        <f>IFERROR(__xludf.DUMMYFUNCTION("""COMPUTED_VALUE"""),"必要")</f>
        <v>必要</v>
      </c>
      <c r="G98" s="76" t="str">
        <f>IFERROR(__xludf.DUMMYFUNCTION("""COMPUTED_VALUE"""),"©作者名/グループ・ゼロ
・著者間は「/」区切り ")</f>
        <v>©作者名/グループ・ゼロ
・著者間は「/」区切り </v>
      </c>
      <c r="H98" s="10"/>
      <c r="I98" s="14"/>
      <c r="J98" s="15"/>
      <c r="K98" s="16"/>
      <c r="L98" s="17"/>
      <c r="M98" s="17"/>
      <c r="N98" s="17"/>
      <c r="O98" s="17"/>
      <c r="P98" s="17"/>
      <c r="Q98" s="17"/>
      <c r="R98" s="17"/>
      <c r="S98" s="17"/>
      <c r="T98" s="17"/>
      <c r="U98" s="17"/>
      <c r="V98" s="17"/>
    </row>
    <row r="99">
      <c r="A99" s="50"/>
      <c r="B99" s="10" t="str">
        <f>IFERROR(__xludf.DUMMYFUNCTION("""COMPUTED_VALUE"""),"キープオン")</f>
        <v>キープオン</v>
      </c>
      <c r="C99" s="50"/>
      <c r="D99" s="74"/>
      <c r="E99" s="50"/>
      <c r="F99" s="50"/>
      <c r="G99" s="50"/>
      <c r="H99" s="10"/>
      <c r="I99" s="14"/>
      <c r="J99" s="15"/>
      <c r="K99" s="16"/>
      <c r="L99" s="17"/>
      <c r="M99" s="17"/>
      <c r="N99" s="17"/>
      <c r="O99" s="17"/>
      <c r="P99" s="17"/>
      <c r="Q99" s="17"/>
      <c r="R99" s="17"/>
      <c r="S99" s="17"/>
      <c r="T99" s="17"/>
      <c r="U99" s="17"/>
      <c r="V99" s="17"/>
    </row>
    <row r="100">
      <c r="A100" s="50"/>
      <c r="B100" s="10" t="str">
        <f>IFERROR(__xludf.DUMMYFUNCTION("""COMPUTED_VALUE"""),"グループＰＯＰ")</f>
        <v>グループＰＯＰ</v>
      </c>
      <c r="C100" s="50"/>
      <c r="D100" s="74"/>
      <c r="E100" s="50"/>
      <c r="F100" s="50"/>
      <c r="G100" s="50"/>
      <c r="H100" s="10"/>
      <c r="I100" s="14"/>
      <c r="J100" s="15"/>
      <c r="K100" s="16"/>
      <c r="L100" s="17"/>
      <c r="M100" s="17"/>
      <c r="N100" s="17"/>
      <c r="O100" s="17"/>
      <c r="P100" s="17"/>
      <c r="Q100" s="17"/>
      <c r="R100" s="17"/>
      <c r="S100" s="17"/>
      <c r="T100" s="17"/>
      <c r="U100" s="17"/>
      <c r="V100" s="17"/>
    </row>
    <row r="101">
      <c r="A101" s="50"/>
      <c r="B101" s="10" t="str">
        <f>IFERROR(__xludf.DUMMYFUNCTION("""COMPUTED_VALUE"""),"ダイナミック・プロダクション")</f>
        <v>ダイナミック・プロダクション</v>
      </c>
      <c r="C101" s="50"/>
      <c r="D101" s="74"/>
      <c r="E101" s="50"/>
      <c r="F101" s="50"/>
      <c r="G101" s="50"/>
      <c r="H101" s="10"/>
      <c r="I101" s="14"/>
      <c r="J101" s="15"/>
      <c r="K101" s="16"/>
      <c r="L101" s="17"/>
      <c r="M101" s="17"/>
      <c r="N101" s="17"/>
      <c r="O101" s="17"/>
      <c r="P101" s="17"/>
      <c r="Q101" s="17"/>
      <c r="R101" s="17"/>
      <c r="S101" s="17"/>
      <c r="T101" s="17"/>
      <c r="U101" s="17"/>
      <c r="V101" s="17"/>
    </row>
    <row r="102">
      <c r="A102" s="50"/>
      <c r="B102" s="10" t="str">
        <f>IFERROR(__xludf.DUMMYFUNCTION("""COMPUTED_VALUE"""),"松文館")</f>
        <v>松文館</v>
      </c>
      <c r="C102" s="50"/>
      <c r="D102" s="74"/>
      <c r="E102" s="50"/>
      <c r="F102" s="50"/>
      <c r="G102" s="50"/>
      <c r="H102" s="10"/>
      <c r="I102" s="14"/>
      <c r="J102" s="15"/>
      <c r="K102" s="16"/>
      <c r="L102" s="17"/>
      <c r="M102" s="17"/>
      <c r="N102" s="17"/>
      <c r="O102" s="17"/>
      <c r="P102" s="17"/>
      <c r="Q102" s="17"/>
      <c r="R102" s="17"/>
      <c r="S102" s="17"/>
      <c r="T102" s="17"/>
      <c r="U102" s="17"/>
      <c r="V102" s="17"/>
    </row>
    <row r="103">
      <c r="A103" s="51"/>
      <c r="B103" s="10" t="str">
        <f>IFERROR(__xludf.DUMMYFUNCTION("""COMPUTED_VALUE"""),"道出版")</f>
        <v>道出版</v>
      </c>
      <c r="C103" s="51"/>
      <c r="D103" s="74"/>
      <c r="E103" s="51"/>
      <c r="F103" s="51"/>
      <c r="G103" s="51"/>
      <c r="H103" s="10"/>
      <c r="I103" s="14"/>
      <c r="J103" s="15"/>
      <c r="K103" s="16"/>
      <c r="L103" s="17"/>
      <c r="M103" s="17"/>
      <c r="N103" s="17"/>
      <c r="O103" s="17"/>
      <c r="P103" s="17"/>
      <c r="Q103" s="17"/>
      <c r="R103" s="17"/>
      <c r="S103" s="17"/>
      <c r="T103" s="17"/>
      <c r="U103" s="17"/>
      <c r="V103" s="17"/>
    </row>
    <row r="104">
      <c r="A104" s="42" t="str">
        <f>IFERROR(__xludf.DUMMYFUNCTION("""COMPUTED_VALUE"""),"コアマガジン")</f>
        <v>コアマガジン</v>
      </c>
      <c r="B104" s="10"/>
      <c r="C104" s="28" t="str">
        <f>IFERROR(__xludf.DUMMYFUNCTION("""COMPUTED_VALUE"""),"必要")</f>
        <v>必要</v>
      </c>
      <c r="D104" s="12"/>
      <c r="E104" s="12" t="str">
        <f>IFERROR(__xludf.DUMMYFUNCTION("""COMPUTED_VALUE"""),"着色NG")</f>
        <v>着色NG</v>
      </c>
      <c r="F104" s="12" t="str">
        <f>IFERROR(__xludf.DUMMYFUNCTION("""COMPUTED_VALUE"""),"必要")</f>
        <v>必要</v>
      </c>
      <c r="G104" s="20" t="str">
        <f>IFERROR(__xludf.DUMMYFUNCTION("""COMPUTED_VALUE"""),"©作者名/コアマガジン
※書影のみでもコピーライト必要
▼drapコンテンツの場合　
©作者名/drap")</f>
        <v>©作者名/コアマガジン
※書影のみでもコピーライト必要
▼drapコンテンツの場合　
©作者名/drap</v>
      </c>
      <c r="H104" s="77"/>
      <c r="I104" s="14"/>
      <c r="J104" s="15"/>
      <c r="K104" s="16"/>
      <c r="L104" s="17"/>
      <c r="M104" s="17"/>
      <c r="N104" s="17"/>
      <c r="O104" s="17"/>
      <c r="P104" s="17"/>
      <c r="Q104" s="17"/>
      <c r="R104" s="17"/>
      <c r="S104" s="17"/>
      <c r="T104" s="17"/>
      <c r="U104" s="17"/>
      <c r="V104" s="17"/>
    </row>
    <row r="105">
      <c r="A105" s="51"/>
      <c r="B105" s="26" t="str">
        <f>IFERROR(__xludf.DUMMYFUNCTION("""COMPUTED_VALUE"""),"メガみっくす☆せれくしょん")</f>
        <v>メガみっくす☆せれくしょん</v>
      </c>
      <c r="C105" s="78" t="str">
        <f>IFERROR(__xludf.DUMMYFUNCTION("""COMPUTED_VALUE"""),"不要")</f>
        <v>不要</v>
      </c>
      <c r="D105" s="12"/>
      <c r="E105" s="12"/>
      <c r="F105" s="12" t="str">
        <f>IFERROR(__xludf.DUMMYFUNCTION("""COMPUTED_VALUE"""),"必要")</f>
        <v>必要</v>
      </c>
      <c r="G105" s="25" t="str">
        <f>IFERROR(__xludf.DUMMYFUNCTION("""COMPUTED_VALUE"""),"©作者名/コアマガジン")</f>
        <v>©作者名/コアマガジン</v>
      </c>
      <c r="H105" s="10"/>
      <c r="I105" s="40"/>
      <c r="J105" s="15"/>
      <c r="K105" s="16"/>
      <c r="L105" s="17"/>
      <c r="M105" s="17"/>
      <c r="N105" s="17"/>
      <c r="O105" s="17"/>
      <c r="P105" s="17"/>
      <c r="Q105" s="17"/>
      <c r="R105" s="17"/>
      <c r="S105" s="17"/>
      <c r="T105" s="17"/>
      <c r="U105" s="17"/>
      <c r="V105" s="17"/>
    </row>
    <row r="106">
      <c r="A106" s="79" t="str">
        <f>IFERROR(__xludf.DUMMYFUNCTION("""COMPUTED_VALUE"""),"コアミックス
（旧ノース・スターズ・ピクチャーズも含まれます）")</f>
        <v>コアミックス
（旧ノース・スターズ・ピクチャーズも含まれます）</v>
      </c>
      <c r="B106" s="70"/>
      <c r="C106" s="43" t="str">
        <f>IFERROR(__xludf.DUMMYFUNCTION("""COMPUTED_VALUE"""),"必要")</f>
        <v>必要</v>
      </c>
      <c r="D106" s="12"/>
      <c r="E106" s="44"/>
      <c r="F106" s="44" t="str">
        <f>IFERROR(__xludf.DUMMYFUNCTION("""COMPUTED_VALUE"""),"必要")</f>
        <v>必要</v>
      </c>
      <c r="G106" s="80" t="str">
        <f>IFERROR(__xludf.DUMMYFUNCTION("""COMPUTED_VALUE"""),"©著者名／コアミックス
・スラッシュは全角
※書影のみでもコピーライト必要")</f>
        <v>©著者名／コアミックス
・スラッシュは全角
※書影のみでもコピーライト必要</v>
      </c>
      <c r="H106" s="70" t="str">
        <f>IFERROR(__xludf.DUMMYFUNCTION("""COMPUTED_VALUE"""),"・書影のみ加工せず使用する場合は事前確認不要。
・コマ画像使用時に、原則吹き出しを書き換える事はおやめください。
　書き換える場合は事前の監修と作家許諾の為の時間を頂きたいです。
　※通常の許諾確認より、時間がかかります。")</f>
        <v>・書影のみ加工せず使用する場合は事前確認不要。
・コマ画像使用時に、原則吹き出しを書き換える事はおやめください。
　書き換える場合は事前の監修と作家許諾の為の時間を頂きたいです。
　※通常の許諾確認より、時間がかかります。</v>
      </c>
      <c r="I106" s="47"/>
      <c r="J106" s="15"/>
      <c r="K106" s="16"/>
      <c r="L106" s="17"/>
      <c r="M106" s="17"/>
      <c r="N106" s="17"/>
      <c r="O106" s="17"/>
      <c r="P106" s="17"/>
      <c r="Q106" s="17"/>
      <c r="R106" s="17"/>
      <c r="S106" s="17"/>
      <c r="T106" s="17"/>
      <c r="U106" s="17"/>
      <c r="V106" s="17"/>
    </row>
    <row r="107" ht="86.25" customHeight="1">
      <c r="A107" s="51"/>
      <c r="B107" s="51"/>
      <c r="C107" s="51"/>
      <c r="D107" s="12"/>
      <c r="E107" s="51"/>
      <c r="F107" s="51"/>
      <c r="G107" s="51"/>
      <c r="H107" s="51"/>
      <c r="I107" s="51"/>
      <c r="J107" s="15"/>
      <c r="K107" s="16"/>
      <c r="L107" s="17"/>
      <c r="M107" s="17"/>
      <c r="N107" s="17"/>
      <c r="O107" s="17"/>
      <c r="P107" s="17"/>
      <c r="Q107" s="17"/>
      <c r="R107" s="17"/>
      <c r="S107" s="17"/>
      <c r="T107" s="17"/>
      <c r="U107" s="17"/>
      <c r="V107" s="17"/>
    </row>
    <row r="108">
      <c r="A108" s="9" t="str">
        <f>IFERROR(__xludf.DUMMYFUNCTION("""COMPUTED_VALUE"""),"ココレカ")</f>
        <v>ココレカ</v>
      </c>
      <c r="B108" s="10"/>
      <c r="C108" s="11" t="str">
        <f>IFERROR(__xludf.DUMMYFUNCTION("""COMPUTED_VALUE"""),"不要")</f>
        <v>不要</v>
      </c>
      <c r="D108" s="12"/>
      <c r="E108" s="12"/>
      <c r="F108" s="12" t="str">
        <f>IFERROR(__xludf.DUMMYFUNCTION("""COMPUTED_VALUE"""),"必要")</f>
        <v>必要</v>
      </c>
      <c r="G108" s="18" t="str">
        <f>IFERROR(__xludf.DUMMYFUNCTION("""COMPUTED_VALUE"""),"©ココレカ 著者名
・複数著者の場合は　©ココレカ 著者1/著者2
・書影まま使用した場合はコピーライト不要")</f>
        <v>©ココレカ 著者名
・複数著者の場合は　©ココレカ 著者1/著者2
・書影まま使用した場合はコピーライト不要</v>
      </c>
      <c r="H108" s="10"/>
      <c r="I108" s="14"/>
      <c r="J108" s="15"/>
      <c r="K108" s="16"/>
      <c r="L108" s="17"/>
      <c r="M108" s="17"/>
      <c r="N108" s="17"/>
      <c r="O108" s="17"/>
      <c r="P108" s="17"/>
      <c r="Q108" s="17"/>
      <c r="R108" s="17"/>
      <c r="S108" s="17"/>
      <c r="T108" s="17"/>
      <c r="U108" s="17"/>
      <c r="V108" s="17"/>
    </row>
    <row r="109" ht="63.0" customHeight="1">
      <c r="A109" s="55" t="str">
        <f>IFERROR(__xludf.DUMMYFUNCTION("""COMPUTED_VALUE"""),"コスミック出版
※「使用画像テキスト」要")</f>
        <v>コスミック出版
※「使用画像テキスト」要</v>
      </c>
      <c r="B109" s="10"/>
      <c r="C109" s="29" t="str">
        <f>IFERROR(__xludf.DUMMYFUNCTION("""COMPUTED_VALUE"""),"必要")</f>
        <v>必要</v>
      </c>
      <c r="D109" s="12" t="str">
        <f>IFERROR(__xludf.DUMMYFUNCTION("""COMPUTED_VALUE"""),"使用画像テキスト")</f>
        <v>使用画像テキスト</v>
      </c>
      <c r="E109" s="44"/>
      <c r="F109" s="44" t="str">
        <f>IFERROR(__xludf.DUMMYFUNCTION("""COMPUTED_VALUE"""),"必要")</f>
        <v>必要</v>
      </c>
      <c r="G109" s="25" t="str">
        <f>IFERROR(__xludf.DUMMYFUNCTION("""COMPUTED_VALUE"""),"©著者名/コスミック出版
 ※著者名はローマ字・日本語どちらの表記でも問題なし")</f>
        <v>©著者名/コスミック出版
 ※著者名はローマ字・日本語どちらの表記でも問題なし</v>
      </c>
      <c r="H109" s="26"/>
      <c r="I109" s="14"/>
      <c r="J109" s="15"/>
      <c r="K109" s="16"/>
      <c r="L109" s="17"/>
      <c r="M109" s="17"/>
      <c r="N109" s="17"/>
      <c r="O109" s="17"/>
      <c r="P109" s="17"/>
      <c r="Q109" s="17"/>
      <c r="R109" s="17"/>
      <c r="S109" s="17"/>
      <c r="T109" s="17"/>
      <c r="U109" s="17"/>
      <c r="V109" s="17"/>
    </row>
    <row r="110">
      <c r="A110" s="51"/>
      <c r="B110" s="81" t="str">
        <f>IFERROR(__xludf.DUMMYFUNCTION("""COMPUTED_VALUE"""),"ソルマーレ編集部")</f>
        <v>ソルマーレ編集部</v>
      </c>
      <c r="C110" s="82" t="str">
        <f>IFERROR(__xludf.DUMMYFUNCTION("""COMPUTED_VALUE"""),"不要")</f>
        <v>不要</v>
      </c>
      <c r="D110" s="12"/>
      <c r="E110" s="51"/>
      <c r="F110" s="51"/>
      <c r="G110" s="20" t="str">
        <f>IFERROR(__xludf.DUMMYFUNCTION("""COMPUTED_VALUE"""),"桃色日記
©著者名/コスミック出版/ソルマーレ編集部
・出稿先が｢アダルト｣の場合
©作者名/コスミック出版")</f>
        <v>桃色日記
©著者名/コスミック出版/ソルマーレ編集部
・出稿先が｢アダルト｣の場合
©作者名/コスミック出版</v>
      </c>
      <c r="H110" s="31"/>
      <c r="I110" s="33"/>
      <c r="J110" s="34"/>
      <c r="K110" s="35"/>
      <c r="L110" s="36"/>
      <c r="M110" s="36"/>
      <c r="N110" s="36"/>
      <c r="O110" s="36"/>
      <c r="P110" s="36"/>
      <c r="Q110" s="36"/>
      <c r="R110" s="36"/>
      <c r="S110" s="36"/>
      <c r="T110" s="36"/>
      <c r="U110" s="36"/>
      <c r="V110" s="36"/>
    </row>
    <row r="111">
      <c r="A111" s="9" t="str">
        <f>IFERROR(__xludf.DUMMYFUNCTION("""COMPUTED_VALUE"""),"ゴマブックス")</f>
        <v>ゴマブックス</v>
      </c>
      <c r="B111" s="10"/>
      <c r="C111" s="28" t="str">
        <f>IFERROR(__xludf.DUMMYFUNCTION("""COMPUTED_VALUE"""),"必要")</f>
        <v>必要</v>
      </c>
      <c r="D111" s="12"/>
      <c r="E111" s="12"/>
      <c r="F111" s="12" t="str">
        <f>IFERROR(__xludf.DUMMYFUNCTION("""COMPUTED_VALUE"""),"必要")</f>
        <v>必要</v>
      </c>
      <c r="G111" s="13" t="str">
        <f>IFERROR(__xludf.DUMMYFUNCTION("""COMPUTED_VALUE"""),"©著者名/ゴマブックス")</f>
        <v>©著者名/ゴマブックス</v>
      </c>
      <c r="H111" s="10"/>
      <c r="I111" s="14"/>
      <c r="J111" s="15"/>
      <c r="K111" s="16"/>
      <c r="L111" s="17"/>
      <c r="M111" s="17"/>
      <c r="N111" s="17"/>
      <c r="O111" s="17"/>
      <c r="P111" s="17"/>
      <c r="Q111" s="17"/>
      <c r="R111" s="17"/>
      <c r="S111" s="17"/>
      <c r="T111" s="17"/>
      <c r="U111" s="17"/>
      <c r="V111" s="17"/>
    </row>
    <row r="112">
      <c r="A112" s="9" t="str">
        <f>IFERROR(__xludf.DUMMYFUNCTION("""COMPUTED_VALUE"""),"コミックハウス")</f>
        <v>コミックハウス</v>
      </c>
      <c r="B112" s="10"/>
      <c r="C112" s="11" t="str">
        <f>IFERROR(__xludf.DUMMYFUNCTION("""COMPUTED_VALUE"""),"不要")</f>
        <v>不要</v>
      </c>
      <c r="D112" s="12"/>
      <c r="E112" s="12"/>
      <c r="F112" s="12" t="str">
        <f>IFERROR(__xludf.DUMMYFUNCTION("""COMPUTED_VALUE"""),"必要")</f>
        <v>必要</v>
      </c>
      <c r="G112" s="13" t="str">
        <f>IFERROR(__xludf.DUMMYFUNCTION("""COMPUTED_VALUE"""),"©著者名/コミックハウス")</f>
        <v>©著者名/コミックハウス</v>
      </c>
      <c r="H112" s="10"/>
      <c r="I112" s="14"/>
      <c r="J112" s="15"/>
      <c r="K112" s="16"/>
      <c r="L112" s="17"/>
      <c r="M112" s="17"/>
      <c r="N112" s="17"/>
      <c r="O112" s="17"/>
      <c r="P112" s="17"/>
      <c r="Q112" s="17"/>
      <c r="R112" s="17"/>
      <c r="S112" s="17"/>
      <c r="T112" s="17"/>
      <c r="U112" s="17"/>
      <c r="V112" s="17"/>
    </row>
    <row r="113" ht="21.0" customHeight="1">
      <c r="A113" s="55" t="str">
        <f>IFERROR(__xludf.DUMMYFUNCTION("""COMPUTED_VALUE"""),"コミディア
※2022/8～コミックストック
CLLENN
2023/9～")</f>
        <v>コミディア
※2022/8～コミックストック
CLLENN
2023/9～</v>
      </c>
      <c r="B113" s="26" t="str">
        <f>IFERROR(__xludf.DUMMYFUNCTION("""COMPUTED_VALUE"""),"CLLENN COMICS （一般）")</f>
        <v>CLLENN COMICS （一般）</v>
      </c>
      <c r="C113" s="43" t="str">
        <f>IFERROR(__xludf.DUMMYFUNCTION("""COMPUTED_VALUE"""),"必要")</f>
        <v>必要</v>
      </c>
      <c r="D113" s="12"/>
      <c r="E113" s="44"/>
      <c r="F113" s="44" t="str">
        <f>IFERROR(__xludf.DUMMYFUNCTION("""COMPUTED_VALUE"""),"必要")</f>
        <v>必要</v>
      </c>
      <c r="G113" s="80" t="str">
        <f>IFERROR(__xludf.DUMMYFUNCTION("""COMPUTED_VALUE"""),"©作者名/コミディア
2022/8～「©作者名/コミックストック」
©作者名/CLLENN
・コピーライト表記の際、「オイナリ/oinari」があれば省略（人物名でないため）
・タイトル名【HQカラー】は必須。")</f>
        <v>©作者名/コミディア
2022/8～「©作者名/コミックストック」
©作者名/CLLENN
・コピーライト表記の際、「オイナリ/oinari」があれば省略（人物名でないため）
・タイトル名【HQカラー】は必須。</v>
      </c>
      <c r="H113" s="46" t="str">
        <f>IFERROR(__xludf.DUMMYFUNCTION("""COMPUTED_VALUE"""),"2023/9～コミックストック・フューチャーコミックス・GIGATOON Studioの3社合併
・どうしようもない場合は仕方ないが、基本コマの回転禁止")</f>
        <v>2023/9～コミックストック・フューチャーコミックス・GIGATOON Studioの3社合併
・どうしようもない場合は仕方ないが、基本コマの回転禁止</v>
      </c>
      <c r="I113" s="83"/>
      <c r="J113" s="15"/>
      <c r="K113" s="16"/>
      <c r="L113" s="17"/>
      <c r="M113" s="17"/>
      <c r="N113" s="17"/>
      <c r="O113" s="17"/>
      <c r="P113" s="17"/>
      <c r="Q113" s="17"/>
      <c r="R113" s="17"/>
      <c r="S113" s="17"/>
      <c r="T113" s="17"/>
      <c r="U113" s="17"/>
      <c r="V113" s="17"/>
    </row>
    <row r="114" ht="21.0" customHeight="1">
      <c r="A114" s="50"/>
      <c r="B114" s="26" t="str">
        <f>IFERROR(__xludf.DUMMYFUNCTION("""COMPUTED_VALUE"""),"BL CLLENN（BL）")</f>
        <v>BL CLLENN（BL）</v>
      </c>
      <c r="C114" s="50"/>
      <c r="D114" s="12"/>
      <c r="E114" s="50"/>
      <c r="F114" s="50"/>
      <c r="G114" s="50"/>
      <c r="H114" s="50"/>
      <c r="I114" s="14"/>
      <c r="J114" s="15"/>
      <c r="K114" s="16"/>
      <c r="L114" s="17"/>
      <c r="M114" s="17"/>
      <c r="N114" s="17"/>
      <c r="O114" s="17"/>
      <c r="P114" s="17"/>
      <c r="Q114" s="17"/>
      <c r="R114" s="17"/>
      <c r="S114" s="17"/>
      <c r="T114" s="17"/>
      <c r="U114" s="17"/>
      <c r="V114" s="17"/>
    </row>
    <row r="115" ht="23.25" customHeight="1">
      <c r="A115" s="51"/>
      <c r="B115" s="26" t="str">
        <f>IFERROR(__xludf.DUMMYFUNCTION("""COMPUTED_VALUE"""),"TL CLLENN（TL）")</f>
        <v>TL CLLENN（TL）</v>
      </c>
      <c r="C115" s="50"/>
      <c r="D115" s="12"/>
      <c r="E115" s="50"/>
      <c r="F115" s="50"/>
      <c r="G115" s="51"/>
      <c r="H115" s="50"/>
      <c r="I115" s="14"/>
      <c r="J115" s="15"/>
      <c r="K115" s="16"/>
      <c r="L115" s="17"/>
      <c r="M115" s="17"/>
      <c r="N115" s="17"/>
      <c r="O115" s="17"/>
      <c r="P115" s="17"/>
      <c r="Q115" s="17"/>
      <c r="R115" s="17"/>
      <c r="S115" s="17"/>
      <c r="T115" s="17"/>
      <c r="U115" s="17"/>
      <c r="V115" s="17"/>
    </row>
    <row r="116">
      <c r="A116" s="30" t="str">
        <f>IFERROR(__xludf.DUMMYFUNCTION("""COMPUTED_VALUE"""),"CLLENN（DEEPER-ZERO）")</f>
        <v>CLLENN（DEEPER-ZERO）</v>
      </c>
      <c r="B116" s="26" t="str">
        <f>IFERROR(__xludf.DUMMYFUNCTION("""COMPUTED_VALUE"""),"MENS DEEPER-ZERO（オトナ）")</f>
        <v>MENS DEEPER-ZERO（オトナ）</v>
      </c>
      <c r="C116" s="51"/>
      <c r="D116" s="12"/>
      <c r="E116" s="51"/>
      <c r="F116" s="51"/>
      <c r="G116" s="25" t="str">
        <f>IFERROR(__xludf.DUMMYFUNCTION("""COMPUTED_VALUE"""),"©作者名/DEEPER-ZERO")</f>
        <v>©作者名/DEEPER-ZERO</v>
      </c>
      <c r="H116" s="51"/>
      <c r="I116" s="14"/>
      <c r="J116" s="15"/>
      <c r="K116" s="16"/>
      <c r="L116" s="17"/>
      <c r="M116" s="17"/>
      <c r="N116" s="17"/>
      <c r="O116" s="17"/>
      <c r="P116" s="17"/>
      <c r="Q116" s="17"/>
      <c r="R116" s="17"/>
      <c r="S116" s="17"/>
      <c r="T116" s="17"/>
      <c r="U116" s="17"/>
      <c r="V116" s="17"/>
    </row>
    <row r="117">
      <c r="A117" s="30" t="str">
        <f>IFERROR(__xludf.DUMMYFUNCTION("""COMPUTED_VALUE"""),"ふゅーじょんぷろだくと")</f>
        <v>ふゅーじょんぷろだくと</v>
      </c>
      <c r="B117" s="26" t="str">
        <f>IFERROR(__xludf.DUMMYFUNCTION("""COMPUTED_VALUE"""),"ふゅーじょんぷろだくと")</f>
        <v>ふゅーじょんぷろだくと</v>
      </c>
      <c r="C117" s="29" t="str">
        <f>IFERROR(__xludf.DUMMYFUNCTION("""COMPUTED_VALUE"""),"必要")</f>
        <v>必要</v>
      </c>
      <c r="D117" s="12"/>
      <c r="E117" s="12"/>
      <c r="F117" s="12" t="str">
        <f>IFERROR(__xludf.DUMMYFUNCTION("""COMPUTED_VALUE"""),"必要")</f>
        <v>必要</v>
      </c>
      <c r="G117" s="25" t="str">
        <f>IFERROR(__xludf.DUMMYFUNCTION("""COMPUTED_VALUE"""),"©作家名/FUSION PRODUCT
【省略する場合】著：作家名、もしくはレーベル名のみ")</f>
        <v>©作家名/FUSION PRODUCT
【省略する場合】著：作家名、もしくはレーベル名のみ</v>
      </c>
      <c r="H117" s="10"/>
      <c r="I117" s="14"/>
      <c r="J117" s="15"/>
      <c r="K117" s="16"/>
      <c r="L117" s="17"/>
      <c r="M117" s="17"/>
      <c r="N117" s="17"/>
      <c r="O117" s="17"/>
      <c r="P117" s="17"/>
      <c r="Q117" s="17"/>
      <c r="R117" s="17"/>
      <c r="S117" s="17"/>
      <c r="T117" s="17"/>
      <c r="U117" s="17"/>
      <c r="V117" s="17"/>
    </row>
    <row r="118">
      <c r="A118" s="9" t="str">
        <f>IFERROR(__xludf.DUMMYFUNCTION("""COMPUTED_VALUE"""),"コルク")</f>
        <v>コルク</v>
      </c>
      <c r="B118" s="10"/>
      <c r="C118" s="11" t="str">
        <f>IFERROR(__xludf.DUMMYFUNCTION("""COMPUTED_VALUE"""),"不要")</f>
        <v>不要</v>
      </c>
      <c r="D118" s="12"/>
      <c r="E118" s="12"/>
      <c r="F118" s="12" t="str">
        <f>IFERROR(__xludf.DUMMYFUNCTION("""COMPUTED_VALUE"""),"必要")</f>
        <v>必要</v>
      </c>
      <c r="G118" s="20" t="str">
        <f>IFERROR(__xludf.DUMMYFUNCTION("""COMPUTED_VALUE"""),"©ローマ字著者名/Cork
・書影まま使用した場合はコピーライト不要")</f>
        <v>©ローマ字著者名/Cork
・書影まま使用した場合はコピーライト不要</v>
      </c>
      <c r="H118" s="10"/>
      <c r="I118" s="14"/>
      <c r="J118" s="15"/>
      <c r="K118" s="16"/>
      <c r="L118" s="17"/>
      <c r="M118" s="17"/>
      <c r="N118" s="17"/>
      <c r="O118" s="17"/>
      <c r="P118" s="17"/>
      <c r="Q118" s="17"/>
      <c r="R118" s="17"/>
      <c r="S118" s="17"/>
      <c r="T118" s="17"/>
      <c r="U118" s="17"/>
      <c r="V118" s="17"/>
    </row>
    <row r="119">
      <c r="A119" s="9" t="str">
        <f>IFERROR(__xludf.DUMMYFUNCTION("""COMPUTED_VALUE"""),"コンポジラ")</f>
        <v>コンポジラ</v>
      </c>
      <c r="B119" s="10"/>
      <c r="C119" s="11" t="str">
        <f>IFERROR(__xludf.DUMMYFUNCTION("""COMPUTED_VALUE"""),"不要")</f>
        <v>不要</v>
      </c>
      <c r="D119" s="84"/>
      <c r="E119" s="84" t="str">
        <f>IFERROR(__xludf.DUMMYFUNCTION("""COMPUTED_VALUE"""),"▼加工した場合
事前確認必要
※顔の赤らみ削除も事前確認必要")</f>
        <v>▼加工した場合
事前確認必要
※顔の赤らみ削除も事前確認必要</v>
      </c>
      <c r="F119" s="12" t="str">
        <f>IFERROR(__xludf.DUMMYFUNCTION("""COMPUTED_VALUE"""),"必要")</f>
        <v>必要</v>
      </c>
      <c r="G119" s="20" t="str">
        <f>IFERROR(__xludf.DUMMYFUNCTION("""COMPUTED_VALUE"""),"©ローマ字著者名/Cork
・書影まま使用した場合はコピーライト不要")</f>
        <v>©ローマ字著者名/Cork
・書影まま使用した場合はコピーライト不要</v>
      </c>
      <c r="H119" s="26" t="str">
        <f>IFERROR(__xludf.DUMMYFUNCTION("""COMPUTED_VALUE"""),"素材着色する場合は事前確認が必要。
作品ごとに違いますので出版社名を確認してください
※顔の赤らみを消すのも自主規制扱いなので許諾確認必要です。2016.10.7")</f>
        <v>素材着色する場合は事前確認が必要。
作品ごとに違いますので出版社名を確認してください
※顔の赤らみを消すのも自主規制扱いなので許諾確認必要です。2016.10.7</v>
      </c>
      <c r="I119" s="14"/>
      <c r="J119" s="15"/>
      <c r="K119" s="16"/>
      <c r="L119" s="17"/>
      <c r="M119" s="17"/>
      <c r="N119" s="17"/>
      <c r="O119" s="17"/>
      <c r="P119" s="17"/>
      <c r="Q119" s="17"/>
      <c r="R119" s="17"/>
      <c r="S119" s="17"/>
      <c r="T119" s="17"/>
      <c r="U119" s="17"/>
      <c r="V119" s="17"/>
    </row>
    <row r="120" ht="88.5" customHeight="1">
      <c r="A120" s="30" t="str">
        <f>IFERROR(__xludf.DUMMYFUNCTION("""COMPUTED_VALUE"""),"ジュネット")</f>
        <v>ジュネット</v>
      </c>
      <c r="B120" s="10"/>
      <c r="C120" s="11" t="str">
        <f>IFERROR(__xludf.DUMMYFUNCTION("""COMPUTED_VALUE"""),"不要")</f>
        <v>不要</v>
      </c>
      <c r="D120" s="12"/>
      <c r="E120" s="12" t="str">
        <f>IFERROR(__xludf.DUMMYFUNCTION("""COMPUTED_VALUE"""),"不要")</f>
        <v>不要</v>
      </c>
      <c r="F120" s="12" t="str">
        <f>IFERROR(__xludf.DUMMYFUNCTION("""COMPUTED_VALUE"""),"必要")</f>
        <v>必要</v>
      </c>
      <c r="G120" s="25" t="str">
        <f>IFERROR(__xludf.DUMMYFUNCTION("""COMPUTED_VALUE"""),"©作者名/ジュネット")</f>
        <v>©作者名/ジュネット</v>
      </c>
      <c r="H120" s="26"/>
      <c r="I120" s="40"/>
      <c r="J120" s="15"/>
      <c r="K120" s="16"/>
      <c r="L120" s="17"/>
      <c r="M120" s="17"/>
      <c r="N120" s="17"/>
      <c r="O120" s="17"/>
      <c r="P120" s="17"/>
      <c r="Q120" s="17"/>
      <c r="R120" s="17"/>
      <c r="S120" s="17"/>
      <c r="T120" s="17"/>
      <c r="U120" s="17"/>
      <c r="V120" s="17"/>
    </row>
    <row r="121">
      <c r="A121" s="42" t="str">
        <f>IFERROR(__xludf.DUMMYFUNCTION("""COMPUTED_VALUE"""),"サード・ライン・ネクスト")</f>
        <v>サード・ライン・ネクスト</v>
      </c>
      <c r="B121" s="10" t="str">
        <f>IFERROR(__xludf.DUMMYFUNCTION("""COMPUTED_VALUE"""),"サード・ライン・ネクスト")</f>
        <v>サード・ライン・ネクスト</v>
      </c>
      <c r="C121" s="85" t="str">
        <f>IFERROR(__xludf.DUMMYFUNCTION("""COMPUTED_VALUE"""),"不要")</f>
        <v>不要</v>
      </c>
      <c r="D121" s="84"/>
      <c r="E121" s="86" t="str">
        <f>IFERROR(__xludf.DUMMYFUNCTION("""COMPUTED_VALUE"""),"▼加工した場合
事前確認必要")</f>
        <v>▼加工した場合
事前確認必要</v>
      </c>
      <c r="F121" s="44" t="str">
        <f>IFERROR(__xludf.DUMMYFUNCTION("""COMPUTED_VALUE"""),"必要")</f>
        <v>必要</v>
      </c>
      <c r="G121" s="18" t="str">
        <f>IFERROR(__xludf.DUMMYFUNCTION("""COMPUTED_VALUE"""),"©作家名／サード・ライン
・レーベル名にサード・ラインがついてない作品はコピーライトにサード・ラインをいれることはNG")</f>
        <v>©作家名／サード・ライン
・レーベル名にサード・ラインがついてない作品はコピーライトにサード・ラインをいれることはNG</v>
      </c>
      <c r="H121" s="10" t="str">
        <f>IFERROR(__xludf.DUMMYFUNCTION("""COMPUTED_VALUE"""),"色づけの場合は確認が必要")</f>
        <v>色づけの場合は確認が必要</v>
      </c>
      <c r="I121" s="40" t="str">
        <f>IFERROR(__xludf.DUMMYFUNCTION("""COMPUTED_VALUE"""),"本宮は、©本宮ひろ志
仕組み上、入ってしまうならば、 ©本宮ひろ志／サード・ライン")</f>
        <v>本宮は、©本宮ひろ志
仕組み上、入ってしまうならば、 ©本宮ひろ志／サード・ライン</v>
      </c>
      <c r="J121" s="15"/>
      <c r="K121" s="16"/>
      <c r="L121" s="17"/>
      <c r="M121" s="17"/>
      <c r="N121" s="17"/>
      <c r="O121" s="17"/>
      <c r="P121" s="17"/>
      <c r="Q121" s="17"/>
      <c r="R121" s="17"/>
      <c r="S121" s="17"/>
      <c r="T121" s="17"/>
      <c r="U121" s="17"/>
      <c r="V121" s="17"/>
    </row>
    <row r="122" ht="42.0" customHeight="1">
      <c r="A122" s="50"/>
      <c r="B122" s="10" t="str">
        <f>IFERROR(__xludf.DUMMYFUNCTION("""COMPUTED_VALUE"""),"デジタルコミック流通ネットワーク")</f>
        <v>デジタルコミック流通ネットワーク</v>
      </c>
      <c r="C122" s="50"/>
      <c r="D122" s="84"/>
      <c r="E122" s="50"/>
      <c r="F122" s="50"/>
      <c r="G122" s="20" t="str">
        <f>IFERROR(__xludf.DUMMYFUNCTION("""COMPUTED_VALUE"""),"©作者名 
※基本は出版社名なし")</f>
        <v>©作者名 
※基本は出版社名なし</v>
      </c>
      <c r="H122" s="10"/>
      <c r="I122" s="14"/>
      <c r="J122" s="15"/>
      <c r="K122" s="16"/>
      <c r="L122" s="17"/>
      <c r="M122" s="17"/>
      <c r="N122" s="17"/>
      <c r="O122" s="17"/>
      <c r="P122" s="17"/>
      <c r="Q122" s="17"/>
      <c r="R122" s="17"/>
      <c r="S122" s="17"/>
      <c r="T122" s="17"/>
      <c r="U122" s="17"/>
      <c r="V122" s="17"/>
    </row>
    <row r="123">
      <c r="A123" s="50"/>
      <c r="B123" s="10" t="str">
        <f>IFERROR(__xludf.DUMMYFUNCTION("""COMPUTED_VALUE"""),"みなみ出版")</f>
        <v>みなみ出版</v>
      </c>
      <c r="C123" s="50"/>
      <c r="D123" s="84"/>
      <c r="E123" s="50"/>
      <c r="F123" s="50"/>
      <c r="G123" s="13" t="str">
        <f>IFERROR(__xludf.DUMMYFUNCTION("""COMPUTED_VALUE"""),"©作家名/みなみ出版")</f>
        <v>©作家名/みなみ出版</v>
      </c>
      <c r="H123" s="10"/>
      <c r="I123" s="14"/>
      <c r="J123" s="15"/>
      <c r="K123" s="16"/>
      <c r="L123" s="17"/>
      <c r="M123" s="17"/>
      <c r="N123" s="17"/>
      <c r="O123" s="17"/>
      <c r="P123" s="17"/>
      <c r="Q123" s="17"/>
      <c r="R123" s="17"/>
      <c r="S123" s="17"/>
      <c r="T123" s="17"/>
      <c r="U123" s="17"/>
      <c r="V123" s="17"/>
    </row>
    <row r="124">
      <c r="A124" s="50"/>
      <c r="B124" s="10" t="str">
        <f>IFERROR(__xludf.DUMMYFUNCTION("""COMPUTED_VALUE"""),"快感倶楽部")</f>
        <v>快感倶楽部</v>
      </c>
      <c r="C124" s="50"/>
      <c r="D124" s="84"/>
      <c r="E124" s="50"/>
      <c r="F124" s="50"/>
      <c r="G124" s="20" t="str">
        <f>IFERROR(__xludf.DUMMYFUNCTION("""COMPUTED_VALUE"""),"©作家名/快感倶楽部 
・出版社名として｢快感倶楽部｣を扱いたいとのこと。")</f>
        <v>©作家名/快感倶楽部 
・出版社名として｢快感倶楽部｣を扱いたいとのこと。</v>
      </c>
      <c r="H124" s="26" t="str">
        <f>IFERROR(__xludf.DUMMYFUNCTION("""COMPUTED_VALUE"""),"・版面露出の際は5P程度に抑える。
※LPや動画等作成の際、素材丸ごと5P以上使用の場合は事前可否有")</f>
        <v>・版面露出の際は5P程度に抑える。
※LPや動画等作成の際、素材丸ごと5P以上使用の場合は事前可否有</v>
      </c>
      <c r="I124" s="14"/>
      <c r="J124" s="15"/>
      <c r="K124" s="16"/>
      <c r="L124" s="17"/>
      <c r="M124" s="17"/>
      <c r="N124" s="17"/>
      <c r="O124" s="17"/>
      <c r="P124" s="17"/>
      <c r="Q124" s="17"/>
      <c r="R124" s="17"/>
      <c r="S124" s="17"/>
      <c r="T124" s="17"/>
      <c r="U124" s="17"/>
      <c r="V124" s="17"/>
    </row>
    <row r="125">
      <c r="A125" s="50"/>
      <c r="B125" s="10" t="str">
        <f>IFERROR(__xludf.DUMMYFUNCTION("""COMPUTED_VALUE"""),"侍侍")</f>
        <v>侍侍</v>
      </c>
      <c r="C125" s="50"/>
      <c r="D125" s="84"/>
      <c r="E125" s="50"/>
      <c r="F125" s="50"/>
      <c r="G125" s="18" t="str">
        <f>IFERROR(__xludf.DUMMYFUNCTION("""COMPUTED_VALUE"""),"©作者名/侍侍
・アダルト作品取扱いの「侍侍」は｢サード・ライン｣表記NG")</f>
        <v>©作者名/侍侍
・アダルト作品取扱いの「侍侍」は｢サード・ライン｣表記NG</v>
      </c>
      <c r="H125" s="10"/>
      <c r="I125" s="14"/>
      <c r="J125" s="15"/>
      <c r="K125" s="16"/>
      <c r="L125" s="17"/>
      <c r="M125" s="17"/>
      <c r="N125" s="17"/>
      <c r="O125" s="17"/>
      <c r="P125" s="17"/>
      <c r="Q125" s="17"/>
      <c r="R125" s="17"/>
      <c r="S125" s="17"/>
      <c r="T125" s="17"/>
      <c r="U125" s="17"/>
      <c r="V125" s="17"/>
    </row>
    <row r="126">
      <c r="A126" s="50"/>
      <c r="B126" s="10" t="str">
        <f>IFERROR(__xludf.DUMMYFUNCTION("""COMPUTED_VALUE"""),"激ちゅぱっ")</f>
        <v>激ちゅぱっ</v>
      </c>
      <c r="C126" s="50"/>
      <c r="D126" s="84"/>
      <c r="E126" s="50"/>
      <c r="F126" s="50"/>
      <c r="G126" s="20" t="str">
        <f>IFERROR(__xludf.DUMMYFUNCTION("""COMPUTED_VALUE"""),"©作者名/激ちゅぱっ
・書影まま使用した場合はコピーライト不要")</f>
        <v>©作者名/激ちゅぱっ
・書影まま使用した場合はコピーライト不要</v>
      </c>
      <c r="H126" s="10"/>
      <c r="I126" s="14"/>
      <c r="J126" s="15"/>
      <c r="K126" s="16"/>
      <c r="L126" s="17"/>
      <c r="M126" s="17"/>
      <c r="N126" s="17"/>
      <c r="O126" s="17"/>
      <c r="P126" s="17"/>
      <c r="Q126" s="17"/>
      <c r="R126" s="17"/>
      <c r="S126" s="17"/>
      <c r="T126" s="17"/>
      <c r="U126" s="17"/>
      <c r="V126" s="17"/>
    </row>
    <row r="127">
      <c r="A127" s="51"/>
      <c r="B127" s="26" t="str">
        <f>IFERROR(__xludf.DUMMYFUNCTION("""COMPUTED_VALUE"""),"コミックアラカルト")</f>
        <v>コミックアラカルト</v>
      </c>
      <c r="C127" s="51"/>
      <c r="D127" s="84"/>
      <c r="E127" s="51"/>
      <c r="F127" s="51"/>
      <c r="G127" s="20" t="str">
        <f>IFERROR(__xludf.DUMMYFUNCTION("""COMPUTED_VALUE"""),"(C)著(C)原作(C)SANKYO(C)デジタルアトラクション 
※(C)区切りでお願いします。
【(C)SANKYO(C)デジタルアトラクション】はデフォルトで入れてほしい")</f>
        <v>(C)著(C)原作(C)SANKYO(C)デジタルアトラクション 
※(C)区切りでお願いします。
【(C)SANKYO(C)デジタルアトラクション】はデフォルトで入れてほしい</v>
      </c>
      <c r="H127" s="10"/>
      <c r="I127" s="14"/>
      <c r="J127" s="15"/>
      <c r="K127" s="16"/>
      <c r="L127" s="17"/>
      <c r="M127" s="17"/>
      <c r="N127" s="17"/>
      <c r="O127" s="17"/>
      <c r="P127" s="17"/>
      <c r="Q127" s="17"/>
      <c r="R127" s="17"/>
      <c r="S127" s="17"/>
      <c r="T127" s="17"/>
      <c r="U127" s="17"/>
      <c r="V127" s="17"/>
    </row>
    <row r="128">
      <c r="A128" s="30" t="str">
        <f>IFERROR(__xludf.DUMMYFUNCTION("""COMPUTED_VALUE"""),"サイゾー")</f>
        <v>サイゾー</v>
      </c>
      <c r="B128" s="10"/>
      <c r="C128" s="28" t="str">
        <f>IFERROR(__xludf.DUMMYFUNCTION("""COMPUTED_VALUE"""),"必要")</f>
        <v>必要</v>
      </c>
      <c r="D128" s="12"/>
      <c r="E128" s="12"/>
      <c r="F128" s="12" t="str">
        <f>IFERROR(__xludf.DUMMYFUNCTION("""COMPUTED_VALUE"""),"必要")</f>
        <v>必要</v>
      </c>
      <c r="G128" s="25" t="str">
        <f>IFERROR(__xludf.DUMMYFUNCTION("""COMPUTED_VALUE"""),"©著者名／レーベル名
・著者間は「／」区切り
例）©coimi／さくら蒼／ウーコミkiss!")</f>
        <v>©著者名／レーベル名
・著者間は「／」区切り
例）©coimi／さくら蒼／ウーコミkiss!</v>
      </c>
      <c r="H128" s="10"/>
      <c r="I128" s="40"/>
      <c r="J128" s="15"/>
      <c r="K128" s="16"/>
      <c r="L128" s="17"/>
      <c r="M128" s="17"/>
      <c r="N128" s="17"/>
      <c r="O128" s="17"/>
      <c r="P128" s="17"/>
      <c r="Q128" s="17"/>
      <c r="R128" s="17"/>
      <c r="S128" s="17"/>
      <c r="T128" s="17"/>
      <c r="U128" s="17"/>
      <c r="V128" s="17"/>
    </row>
    <row r="129">
      <c r="A129" s="9" t="str">
        <f>IFERROR(__xludf.DUMMYFUNCTION("""COMPUTED_VALUE"""),"ジーウォーク")</f>
        <v>ジーウォーク</v>
      </c>
      <c r="B129" s="10"/>
      <c r="C129" s="28" t="str">
        <f>IFERROR(__xludf.DUMMYFUNCTION("""COMPUTED_VALUE"""),"必要")</f>
        <v>必要</v>
      </c>
      <c r="D129" s="12"/>
      <c r="E129" s="12"/>
      <c r="F129" s="12" t="str">
        <f>IFERROR(__xludf.DUMMYFUNCTION("""COMPUTED_VALUE"""),"必要")</f>
        <v>必要</v>
      </c>
      <c r="G129" s="13" t="str">
        <f>IFERROR(__xludf.DUMMYFUNCTION("""COMPUTED_VALUE"""),"©著者名/出版社名")</f>
        <v>©著者名/出版社名</v>
      </c>
      <c r="H129" s="10"/>
      <c r="I129" s="40"/>
      <c r="J129" s="15"/>
      <c r="K129" s="16"/>
      <c r="L129" s="17"/>
      <c r="M129" s="17"/>
      <c r="N129" s="17"/>
      <c r="O129" s="17"/>
      <c r="P129" s="17"/>
      <c r="Q129" s="17"/>
      <c r="R129" s="17"/>
      <c r="S129" s="17"/>
      <c r="T129" s="17"/>
      <c r="U129" s="17"/>
      <c r="V129" s="17"/>
    </row>
    <row r="130" ht="45.75" customHeight="1">
      <c r="A130" s="52" t="str">
        <f>IFERROR(__xludf.DUMMYFUNCTION("""COMPUTED_VALUE"""),"シーラボ
※「使用画像テキスト」要")</f>
        <v>シーラボ
※「使用画像テキスト」要</v>
      </c>
      <c r="B130" s="10"/>
      <c r="C130" s="28" t="str">
        <f>IFERROR(__xludf.DUMMYFUNCTION("""COMPUTED_VALUE"""),"必要")</f>
        <v>必要</v>
      </c>
      <c r="D130" s="12" t="str">
        <f>IFERROR(__xludf.DUMMYFUNCTION("""COMPUTED_VALUE"""),"使用画像テキスト")</f>
        <v>使用画像テキスト</v>
      </c>
      <c r="E130" s="12"/>
      <c r="F130" s="12" t="str">
        <f>IFERROR(__xludf.DUMMYFUNCTION("""COMPUTED_VALUE"""),"必要")</f>
        <v>必要</v>
      </c>
      <c r="G130" s="58" t="str">
        <f>IFERROR(__xludf.DUMMYFUNCTION("""COMPUTED_VALUE"""),"「タイトル名」©著者名／レーベル名")</f>
        <v>「タイトル名」©著者名／レーベル名</v>
      </c>
      <c r="H130" s="10"/>
      <c r="I130" s="14"/>
      <c r="J130" s="15"/>
      <c r="K130" s="16"/>
      <c r="L130" s="17"/>
      <c r="M130" s="17"/>
      <c r="N130" s="17"/>
      <c r="O130" s="17"/>
      <c r="P130" s="17"/>
      <c r="Q130" s="17"/>
      <c r="R130" s="17"/>
      <c r="S130" s="17"/>
      <c r="T130" s="17"/>
      <c r="U130" s="17"/>
      <c r="V130" s="17"/>
    </row>
    <row r="131" ht="72.0" customHeight="1">
      <c r="A131" s="9" t="str">
        <f>IFERROR(__xludf.DUMMYFUNCTION("""COMPUTED_VALUE"""),"シガリロ")</f>
        <v>シガリロ</v>
      </c>
      <c r="B131" s="10"/>
      <c r="C131" s="11" t="str">
        <f>IFERROR(__xludf.DUMMYFUNCTION("""COMPUTED_VALUE"""),"不要")</f>
        <v>不要</v>
      </c>
      <c r="D131" s="12"/>
      <c r="E131" s="12"/>
      <c r="F131" s="12" t="str">
        <f>IFERROR(__xludf.DUMMYFUNCTION("""COMPUTED_VALUE"""),"必要")</f>
        <v>必要</v>
      </c>
      <c r="G131" s="20" t="str">
        <f>IFERROR(__xludf.DUMMYFUNCTION("""COMPUTED_VALUE"""),"©作者名/シガリロ
・書影まま使用した場合はコピーライト不要")</f>
        <v>©作者名/シガリロ
・書影まま使用した場合はコピーライト不要</v>
      </c>
      <c r="H131" s="10"/>
      <c r="I131" s="14"/>
      <c r="J131" s="15"/>
      <c r="K131" s="16"/>
      <c r="L131" s="17"/>
      <c r="M131" s="17"/>
      <c r="N131" s="17"/>
      <c r="O131" s="17"/>
      <c r="P131" s="17"/>
      <c r="Q131" s="17"/>
      <c r="R131" s="17"/>
      <c r="S131" s="17"/>
      <c r="T131" s="17"/>
      <c r="U131" s="17"/>
      <c r="V131" s="17"/>
    </row>
    <row r="132">
      <c r="A132" s="9" t="str">
        <f>IFERROR(__xludf.DUMMYFUNCTION("""COMPUTED_VALUE"""),"ジャイブ")</f>
        <v>ジャイブ</v>
      </c>
      <c r="B132" s="10"/>
      <c r="C132" s="28" t="str">
        <f>IFERROR(__xludf.DUMMYFUNCTION("""COMPUTED_VALUE"""),"必要")</f>
        <v>必要</v>
      </c>
      <c r="D132" s="12"/>
      <c r="E132" s="12"/>
      <c r="F132" s="12" t="str">
        <f>IFERROR(__xludf.DUMMYFUNCTION("""COMPUTED_VALUE"""),"必要")</f>
        <v>必要</v>
      </c>
      <c r="G132" s="18" t="str">
        <f>IFERROR(__xludf.DUMMYFUNCTION("""COMPUTED_VALUE"""),"©作者名/JIVE・ネクストF
・C表記内に作品名は不要")</f>
        <v>©作者名/JIVE・ネクストF
・C表記内に作品名は不要</v>
      </c>
      <c r="H132" s="87" t="str">
        <f>IFERROR(__xludf.DUMMYFUNCTION("""COMPUTED_VALUE"""),"SNS（Facebook・インスタグラム・X）はアカウントテキスト必須")</f>
        <v>SNS（Facebook・インスタグラム・X）はアカウントテキスト必須</v>
      </c>
      <c r="I132" s="14"/>
      <c r="J132" s="15"/>
      <c r="K132" s="16"/>
      <c r="L132" s="17"/>
      <c r="M132" s="17"/>
      <c r="N132" s="17"/>
      <c r="O132" s="17"/>
      <c r="P132" s="17"/>
      <c r="Q132" s="17"/>
      <c r="R132" s="17"/>
      <c r="S132" s="17"/>
      <c r="T132" s="17"/>
      <c r="U132" s="17"/>
      <c r="V132" s="17"/>
    </row>
    <row r="133">
      <c r="A133" s="42" t="str">
        <f>IFERROR(__xludf.DUMMYFUNCTION("""COMPUTED_VALUE"""),"シュークリーム")</f>
        <v>シュークリーム</v>
      </c>
      <c r="B133" s="10" t="str">
        <f>IFERROR(__xludf.DUMMYFUNCTION("""COMPUTED_VALUE"""),"シュークリーム")</f>
        <v>シュークリーム</v>
      </c>
      <c r="C133" s="61" t="str">
        <f>IFERROR(__xludf.DUMMYFUNCTION("""COMPUTED_VALUE"""),"不要")</f>
        <v>不要</v>
      </c>
      <c r="D133" s="12"/>
      <c r="E133" s="44"/>
      <c r="F133" s="44" t="str">
        <f>IFERROR(__xludf.DUMMYFUNCTION("""COMPUTED_VALUE"""),"必要")</f>
        <v>必要</v>
      </c>
      <c r="G133" s="20" t="str">
        <f>IFERROR(__xludf.DUMMYFUNCTION("""COMPUTED_VALUE"""),"©作者名/シュークリーム
▼パピレスとの協業作品
©作者名/シュークリームPOP
・書影まま使用した場合はコピーライト不要")</f>
        <v>©作者名/シュークリーム
▼パピレスとの協業作品
©作者名/シュークリームPOP
・書影まま使用した場合はコピーライト不要</v>
      </c>
      <c r="H133" s="26" t="str">
        <f>IFERROR(__xludf.DUMMYFUNCTION("""COMPUTED_VALUE"""),"©表記に関してタイトル詳細では判断できないので
事前にお問い合わせください。
一般媒体での伏せ字使用のCP許諾確認は不要")</f>
        <v>©表記に関してタイトル詳細では判断できないので
事前にお問い合わせください。
一般媒体での伏せ字使用のCP許諾確認は不要</v>
      </c>
      <c r="I133" s="14"/>
      <c r="J133" s="15"/>
      <c r="K133" s="16"/>
      <c r="L133" s="17"/>
      <c r="M133" s="17"/>
      <c r="N133" s="17"/>
      <c r="O133" s="17"/>
      <c r="P133" s="17"/>
      <c r="Q133" s="17"/>
      <c r="R133" s="17"/>
      <c r="S133" s="17"/>
      <c r="T133" s="17"/>
      <c r="U133" s="17"/>
      <c r="V133" s="17"/>
    </row>
    <row r="134">
      <c r="A134" s="50"/>
      <c r="B134" s="77" t="str">
        <f>IFERROR(__xludf.DUMMYFUNCTION("""COMPUTED_VALUE"""),"fromRED")</f>
        <v>fromRED</v>
      </c>
      <c r="C134" s="50"/>
      <c r="D134" s="12"/>
      <c r="E134" s="50"/>
      <c r="F134" s="50"/>
      <c r="G134" s="20" t="str">
        <f>IFERROR(__xludf.DUMMYFUNCTION("""COMPUTED_VALUE"""),"©作者名/シュークリーム
・書影まま使用した場合はコピーライト不要")</f>
        <v>©作者名/シュークリーム
・書影まま使用した場合はコピーライト不要</v>
      </c>
      <c r="H134" s="26" t="str">
        <f>IFERROR(__xludf.DUMMYFUNCTION("""COMPUTED_VALUE"""),"※一部例外作品 
「Boys Love」「たとえ信じられなくても」 (C)毒液/SMC   ")</f>
        <v>※一部例外作品 
「Boys Love」「たとえ信じられなくても」 (C)毒液/SMC   </v>
      </c>
      <c r="I134" s="14"/>
      <c r="J134" s="15"/>
      <c r="K134" s="16"/>
      <c r="L134" s="17"/>
      <c r="M134" s="17"/>
      <c r="N134" s="17"/>
      <c r="O134" s="17"/>
      <c r="P134" s="17"/>
      <c r="Q134" s="17"/>
      <c r="R134" s="17"/>
      <c r="S134" s="17"/>
      <c r="T134" s="17"/>
      <c r="U134" s="17"/>
      <c r="V134" s="17"/>
    </row>
    <row r="135">
      <c r="A135" s="50"/>
      <c r="B135" s="10" t="str">
        <f>IFERROR(__xludf.DUMMYFUNCTION("""COMPUTED_VALUE"""),"アメイロ")</f>
        <v>アメイロ</v>
      </c>
      <c r="C135" s="51"/>
      <c r="D135" s="12"/>
      <c r="E135" s="51"/>
      <c r="F135" s="51"/>
      <c r="G135" s="20" t="str">
        <f>IFERROR(__xludf.DUMMYFUNCTION("""COMPUTED_VALUE"""),"©作者名/シュークリーム
・書影まま使用した場合はコピーライト不要")</f>
        <v>©作者名/シュークリーム
・書影まま使用した場合はコピーライト不要</v>
      </c>
      <c r="H135" s="10"/>
      <c r="I135" s="14"/>
      <c r="J135" s="15"/>
      <c r="K135" s="16"/>
      <c r="L135" s="17"/>
      <c r="M135" s="17"/>
      <c r="N135" s="17"/>
      <c r="O135" s="17"/>
      <c r="P135" s="17"/>
      <c r="Q135" s="17"/>
      <c r="R135" s="17"/>
      <c r="S135" s="17"/>
      <c r="T135" s="17"/>
      <c r="U135" s="17"/>
      <c r="V135" s="17"/>
    </row>
    <row r="136">
      <c r="A136" s="51"/>
      <c r="B136" s="26" t="str">
        <f>IFERROR(__xludf.DUMMYFUNCTION("""COMPUTED_VALUE"""),"OUR FEEL")</f>
        <v>OUR FEEL</v>
      </c>
      <c r="C136" s="28" t="str">
        <f>IFERROR(__xludf.DUMMYFUNCTION("""COMPUTED_VALUE"""),"必要")</f>
        <v>必要</v>
      </c>
      <c r="D136" s="12"/>
      <c r="E136" s="12"/>
      <c r="F136" s="12" t="str">
        <f>IFERROR(__xludf.DUMMYFUNCTION("""COMPUTED_VALUE"""),"必要")</f>
        <v>必要</v>
      </c>
      <c r="G136" s="20" t="str">
        <f>IFERROR(__xludf.DUMMYFUNCTION("""COMPUTED_VALUE"""),"©作者名/シュークリーム
※作品によって異なる場合有／都度確認要　
・書影まま使用した場合はコピーライト不要")</f>
        <v>©作者名/シュークリーム
※作品によって異なる場合有／都度確認要　
・書影まま使用した場合はコピーライト不要</v>
      </c>
      <c r="H136" s="26" t="str">
        <f>IFERROR(__xludf.DUMMYFUNCTION("""COMPUTED_VALUE"""),"文言などのニュアンスを気にしている作品が多いため
このレーベルのみ事前確認が必要です")</f>
        <v>文言などのニュアンスを気にしている作品が多いため
このレーベルのみ事前確認が必要です</v>
      </c>
      <c r="I136" s="14"/>
      <c r="J136" s="15"/>
      <c r="K136" s="16"/>
      <c r="L136" s="17"/>
      <c r="M136" s="17"/>
      <c r="N136" s="17"/>
      <c r="O136" s="17"/>
      <c r="P136" s="17"/>
      <c r="Q136" s="17"/>
      <c r="R136" s="17"/>
      <c r="S136" s="17"/>
      <c r="T136" s="17"/>
      <c r="U136" s="17"/>
      <c r="V136" s="17"/>
    </row>
    <row r="137" ht="150.0" customHeight="1">
      <c r="A137" s="9" t="str">
        <f>IFERROR(__xludf.DUMMYFUNCTION("""COMPUTED_VALUE"""),"ジュリアンパブリッシング")</f>
        <v>ジュリアンパブリッシング</v>
      </c>
      <c r="B137" s="10"/>
      <c r="C137" s="28" t="str">
        <f>IFERROR(__xludf.DUMMYFUNCTION("""COMPUTED_VALUE"""),"必要")</f>
        <v>必要</v>
      </c>
      <c r="D137" s="12"/>
      <c r="E137" s="12"/>
      <c r="F137" s="12" t="str">
        <f>IFERROR(__xludf.DUMMYFUNCTION("""COMPUTED_VALUE"""),"必要")</f>
        <v>必要</v>
      </c>
      <c r="G137" s="20" t="str">
        <f>IFERROR(__xludf.DUMMYFUNCTION("""COMPUTED_VALUE"""),"■C表記形式： 　©著者名/ジュリアンパブリッシング  
★著者が2名以上いる場合のルール 　
©著者名1/著者名2/ジュリアンパブリッシング 
※イラスト原案者も記載する。 
⇒納品バナーの場合”・”で区切られてくることがありますが、問題ないとのこと。  
↑正しい形は「/」
■書影のみを使用する場合のC表記 ： 　要")</f>
        <v>■C表記形式： 　©著者名/ジュリアンパブリッシング  
★著者が2名以上いる場合のルール 　
©著者名1/著者名2/ジュリアンパブリッシング 
※イラスト原案者も記載する。 
⇒納品バナーの場合”・”で区切られてくることがありますが、問題ないとのこと。  
↑正しい形は「/」
■書影のみを使用する場合のC表記 ： 　要</v>
      </c>
      <c r="H137" s="26" t="str">
        <f>IFERROR(__xludf.DUMMYFUNCTION("""COMPUTED_VALUE"""),"過去何度か著者間の区切りを「/」にして修正指示ありましたが
「/」が正しいと情報統制とれましたので今後は「/」で納品ください（2024/12/17）")</f>
        <v>過去何度か著者間の区切りを「/」にして修正指示ありましたが
「/」が正しいと情報統制とれましたので今後は「/」で納品ください（2024/12/17）</v>
      </c>
      <c r="I137" s="14"/>
      <c r="J137" s="15"/>
      <c r="K137" s="16"/>
      <c r="L137" s="17"/>
      <c r="M137" s="17"/>
      <c r="N137" s="17"/>
      <c r="O137" s="17"/>
      <c r="P137" s="17"/>
      <c r="Q137" s="17"/>
      <c r="R137" s="17"/>
      <c r="S137" s="17"/>
      <c r="T137" s="17"/>
      <c r="U137" s="17"/>
      <c r="V137" s="17"/>
    </row>
    <row r="138">
      <c r="A138" s="9" t="str">
        <f>IFERROR(__xludf.DUMMYFUNCTION("""COMPUTED_VALUE"""),"スキマ")</f>
        <v>スキマ</v>
      </c>
      <c r="B138" s="10"/>
      <c r="C138" s="28" t="str">
        <f>IFERROR(__xludf.DUMMYFUNCTION("""COMPUTED_VALUE"""),"必要")</f>
        <v>必要</v>
      </c>
      <c r="D138" s="12"/>
      <c r="E138" s="12"/>
      <c r="F138" s="12" t="str">
        <f>IFERROR(__xludf.DUMMYFUNCTION("""COMPUTED_VALUE"""),"必要")</f>
        <v>必要</v>
      </c>
      <c r="G138" s="20" t="str">
        <f>IFERROR(__xludf.DUMMYFUNCTION("""COMPUTED_VALUE"""),"©著者名／TORICO
・著者間は「, 」区切り
・書影のみ使用でもコピーライト必要")</f>
        <v>©著者名／TORICO
・著者間は「, 」区切り
・書影のみ使用でもコピーライト必要</v>
      </c>
      <c r="H138" s="10"/>
      <c r="I138" s="14"/>
      <c r="J138" s="15"/>
      <c r="K138" s="16"/>
      <c r="L138" s="17"/>
      <c r="M138" s="17"/>
      <c r="N138" s="17"/>
      <c r="O138" s="17"/>
      <c r="P138" s="17"/>
      <c r="Q138" s="17"/>
      <c r="R138" s="17"/>
      <c r="S138" s="17"/>
      <c r="T138" s="17"/>
      <c r="U138" s="17"/>
      <c r="V138" s="17"/>
    </row>
    <row r="139">
      <c r="A139" s="9" t="str">
        <f>IFERROR(__xludf.DUMMYFUNCTION("""COMPUTED_VALUE"""),"スクウェア・エニックス")</f>
        <v>スクウェア・エニックス</v>
      </c>
      <c r="B139" s="26"/>
      <c r="C139" s="28" t="str">
        <f>IFERROR(__xludf.DUMMYFUNCTION("""COMPUTED_VALUE"""),"必要")</f>
        <v>必要</v>
      </c>
      <c r="D139" s="12"/>
      <c r="E139" s="12"/>
      <c r="F139" s="12" t="str">
        <f>IFERROR(__xludf.DUMMYFUNCTION("""COMPUTED_VALUE"""),"必要")</f>
        <v>必要</v>
      </c>
      <c r="G139" s="88" t="str">
        <f>IFERROR(__xludf.DUMMYFUNCTION("""COMPUTED_VALUE"""),"スクウェア・エニックス
■バナー内にタイトル名記載必須
上記になければタイトル詳細のあらすじ内参照")</f>
        <v>スクウェア・エニックス
■バナー内にタイトル名記載必須
上記になければタイトル詳細のあらすじ内参照</v>
      </c>
      <c r="H139" s="26" t="str">
        <f>IFERROR(__xludf.DUMMYFUNCTION("""COMPUTED_VALUE"""),"画像の回転NG。キャラへの文字かぶりNG。
フルカラー口絵のバナー等への使用はNG
(口絵は購入した読者の方だけがみられる特典としたい)
コマ画像のコマ割り加工NＧ。
※「キャラへの文字被りNG」でしたが顔にかからなければ大丈夫そうです。
C表記で「20XX」となっている年号を入れるものは、年号部分が毎年更新になるそうです。
なので、現在の年号を入れてください。
★一迅社作品と一緒にバナーに使うのはNGです！
---------------------------------------------"&amp;"--
・一迅社作品と一緒のバナー掲載はNG
・一迅社作品がバナーの施策についても参加もNG
-----------------------------------------------")</f>
        <v>画像の回転NG。キャラへの文字かぶりNG。
フルカラー口絵のバナー等への使用はNG
(口絵は購入した読者の方だけがみられる特典としたい)
コマ画像のコマ割り加工NＧ。
※「キャラへの文字被りNG」でしたが顔にかからなければ大丈夫そうです。
C表記で「20XX」となっている年号を入れるものは、年号部分が毎年更新になるそうです。
なので、現在の年号を入れてください。
★一迅社作品と一緒にバナーに使うのはNGです！
-----------------------------------------------
・一迅社作品と一緒のバナー掲載はNG
・一迅社作品がバナーの施策についても参加もNG
-----------------------------------------------</v>
      </c>
      <c r="I139" s="40"/>
      <c r="J139" s="65"/>
      <c r="K139" s="16"/>
      <c r="L139" s="17"/>
      <c r="M139" s="17"/>
      <c r="N139" s="17"/>
      <c r="O139" s="17"/>
      <c r="P139" s="17"/>
      <c r="Q139" s="17"/>
      <c r="R139" s="17"/>
      <c r="S139" s="17"/>
      <c r="T139" s="17"/>
      <c r="U139" s="17"/>
      <c r="V139" s="17"/>
    </row>
    <row r="140">
      <c r="A140" s="9" t="str">
        <f>IFERROR(__xludf.DUMMYFUNCTION("""COMPUTED_VALUE"""),"スコラマガジン")</f>
        <v>スコラマガジン</v>
      </c>
      <c r="B140" s="10"/>
      <c r="C140" s="28" t="str">
        <f>IFERROR(__xludf.DUMMYFUNCTION("""COMPUTED_VALUE"""),"必要")</f>
        <v>必要</v>
      </c>
      <c r="D140" s="12"/>
      <c r="E140" s="12"/>
      <c r="F140" s="12" t="str">
        <f>IFERROR(__xludf.DUMMYFUNCTION("""COMPUTED_VALUE"""),"必要")</f>
        <v>必要</v>
      </c>
      <c r="G140" s="13" t="str">
        <f>IFERROR(__xludf.DUMMYFUNCTION("""COMPUTED_VALUE"""),"©著者名/スコラマガジン")</f>
        <v>©著者名/スコラマガジン</v>
      </c>
      <c r="H140" s="10"/>
      <c r="I140" s="14"/>
      <c r="J140" s="15"/>
      <c r="K140" s="16"/>
      <c r="L140" s="17"/>
      <c r="M140" s="17"/>
      <c r="N140" s="17"/>
      <c r="O140" s="17"/>
      <c r="P140" s="17"/>
      <c r="Q140" s="17"/>
      <c r="R140" s="17"/>
      <c r="S140" s="17"/>
      <c r="T140" s="17"/>
      <c r="U140" s="17"/>
      <c r="V140" s="17"/>
    </row>
    <row r="141" ht="109.5" customHeight="1">
      <c r="A141" s="9" t="str">
        <f>IFERROR(__xludf.DUMMYFUNCTION("""COMPUTED_VALUE"""),"スターツ出版")</f>
        <v>スターツ出版</v>
      </c>
      <c r="B141" s="89"/>
      <c r="C141" s="28" t="str">
        <f>IFERROR(__xludf.DUMMYFUNCTION("""COMPUTED_VALUE"""),"必要")</f>
        <v>必要</v>
      </c>
      <c r="D141" s="12"/>
      <c r="E141" s="12"/>
      <c r="F141" s="12" t="str">
        <f>IFERROR(__xludf.DUMMYFUNCTION("""COMPUTED_VALUE"""),"必要")</f>
        <v>必要</v>
      </c>
      <c r="G141" s="20" t="str">
        <f>IFERROR(__xludf.DUMMYFUNCTION("""COMPUTED_VALUE"""),"©作画者名・原作者名/スターツ出版
・書影まま使用した場合はコピーライト不要
・タイトルにある「Berry’sFantasy」などのレーベル名は不要。
（書名、作画・原作/スターツ出版の記載あれば問題なし）
・著者氏名どちらかが1文字の場合、氏名の間に半角あける。
誤）©七輝翼/スターツ出版
正）©七輝 翼/スターツ出版")</f>
        <v>©作画者名・原作者名/スターツ出版
・書影まま使用した場合はコピーライト不要
・タイトルにある「Berry’sFantasy」などのレーベル名は不要。
（書名、作画・原作/スターツ出版の記載あれば問題なし）
・著者氏名どちらかが1文字の場合、氏名の間に半角あける。
誤）©七輝翼/スターツ出版
正）©七輝 翼/スターツ出版</v>
      </c>
      <c r="H141" s="10"/>
      <c r="I141" s="14"/>
      <c r="J141" s="65" t="str">
        <f>IFERROR(__xludf.DUMMYFUNCTION("""COMPUTED_VALUE"""),"○")</f>
        <v>○</v>
      </c>
      <c r="K141" s="66"/>
      <c r="L141" s="17"/>
      <c r="M141" s="17"/>
      <c r="N141" s="17"/>
      <c r="O141" s="17"/>
      <c r="P141" s="17"/>
      <c r="Q141" s="17"/>
      <c r="R141" s="17"/>
      <c r="S141" s="17"/>
      <c r="T141" s="17"/>
      <c r="U141" s="17"/>
      <c r="V141" s="17"/>
    </row>
    <row r="142" ht="96.0" customHeight="1">
      <c r="A142" s="30" t="str">
        <f>IFERROR(__xludf.DUMMYFUNCTION("""COMPUTED_VALUE"""),"徳間書店ハルト")</f>
        <v>徳間書店ハルト</v>
      </c>
      <c r="B142" s="10"/>
      <c r="C142" s="28" t="str">
        <f>IFERROR(__xludf.DUMMYFUNCTION("""COMPUTED_VALUE"""),"必要")</f>
        <v>必要</v>
      </c>
      <c r="D142" s="12"/>
      <c r="E142" s="12"/>
      <c r="F142" s="12" t="str">
        <f>IFERROR(__xludf.DUMMYFUNCTION("""COMPUTED_VALUE"""),"必要")</f>
        <v>必要</v>
      </c>
      <c r="G142" s="20" t="str">
        <f>IFERROR(__xludf.DUMMYFUNCTION("""COMPUTED_VALUE"""),"©著者名/スタジオC.I 
©著者名
※どちらでもOK
・著者間は「・」区切り
・書影まま使用した場合はコピーライト不要")</f>
        <v>©著者名/スタジオC.I 
©著者名
※どちらでもOK
・著者間は「・」区切り
・書影まま使用した場合はコピーライト不要</v>
      </c>
      <c r="H142" s="10"/>
      <c r="I142" s="14"/>
      <c r="J142" s="15"/>
      <c r="K142" s="16"/>
      <c r="L142" s="17"/>
      <c r="M142" s="17"/>
      <c r="N142" s="17"/>
      <c r="O142" s="17"/>
      <c r="P142" s="17"/>
      <c r="Q142" s="17"/>
      <c r="R142" s="17"/>
      <c r="S142" s="17"/>
      <c r="T142" s="17"/>
      <c r="U142" s="17"/>
      <c r="V142" s="17"/>
    </row>
    <row r="143">
      <c r="A143" s="42" t="str">
        <f>IFERROR(__xludf.DUMMYFUNCTION("""COMPUTED_VALUE"""),"スタンダード")</f>
        <v>スタンダード</v>
      </c>
      <c r="B143" s="26" t="str">
        <f>IFERROR(__xludf.DUMMYFUNCTION("""COMPUTED_VALUE"""),"STDパブリッシング")</f>
        <v>STDパブリッシング</v>
      </c>
      <c r="C143" s="61" t="str">
        <f>IFERROR(__xludf.DUMMYFUNCTION("""COMPUTED_VALUE"""),"不要")</f>
        <v>不要</v>
      </c>
      <c r="D143" s="12"/>
      <c r="E143" s="44"/>
      <c r="F143" s="44" t="str">
        <f>IFERROR(__xludf.DUMMYFUNCTION("""COMPUTED_VALUE"""),"必要")</f>
        <v>必要</v>
      </c>
      <c r="G143" s="13" t="str">
        <f>IFERROR(__xludf.DUMMYFUNCTION("""COMPUTED_VALUE"""),"©作者名/STDパブリッシング")</f>
        <v>©作者名/STDパブリッシング</v>
      </c>
      <c r="H143" s="10"/>
      <c r="I143" s="14"/>
      <c r="J143" s="15"/>
      <c r="K143" s="16"/>
      <c r="L143" s="17"/>
      <c r="M143" s="17"/>
      <c r="N143" s="17"/>
      <c r="O143" s="17"/>
      <c r="P143" s="17"/>
      <c r="Q143" s="17"/>
      <c r="R143" s="17"/>
      <c r="S143" s="17"/>
      <c r="T143" s="17"/>
      <c r="U143" s="17"/>
      <c r="V143" s="17"/>
    </row>
    <row r="144" ht="20.25" customHeight="1">
      <c r="A144" s="51"/>
      <c r="B144" s="26" t="str">
        <f>IFERROR(__xludf.DUMMYFUNCTION("""COMPUTED_VALUE"""),"DTSパブリッシング")</f>
        <v>DTSパブリッシング</v>
      </c>
      <c r="C144" s="51"/>
      <c r="D144" s="12"/>
      <c r="E144" s="51"/>
      <c r="F144" s="51"/>
      <c r="G144" s="69" t="str">
        <f>IFERROR(__xludf.DUMMYFUNCTION("""COMPUTED_VALUE"""),"©作者名/DTSパブリッシング")</f>
        <v>©作者名/DTSパブリッシング</v>
      </c>
      <c r="H144" s="10"/>
      <c r="I144" s="14"/>
      <c r="J144" s="15"/>
      <c r="K144" s="16"/>
      <c r="L144" s="17"/>
      <c r="M144" s="17"/>
      <c r="N144" s="17"/>
      <c r="O144" s="17"/>
      <c r="P144" s="17"/>
      <c r="Q144" s="17"/>
      <c r="R144" s="17"/>
      <c r="S144" s="17"/>
      <c r="T144" s="17"/>
      <c r="U144" s="17"/>
      <c r="V144" s="17"/>
    </row>
    <row r="145" ht="20.25" customHeight="1">
      <c r="A145" s="9" t="str">
        <f>IFERROR(__xludf.DUMMYFUNCTION("""COMPUTED_VALUE"""),"スフレ文庫")</f>
        <v>スフレ文庫</v>
      </c>
      <c r="B145" s="10"/>
      <c r="C145" s="28" t="str">
        <f>IFERROR(__xludf.DUMMYFUNCTION("""COMPUTED_VALUE"""),"必要")</f>
        <v>必要</v>
      </c>
      <c r="D145" s="62"/>
      <c r="E145" s="62"/>
      <c r="F145" s="12" t="str">
        <f>IFERROR(__xludf.DUMMYFUNCTION("""COMPUTED_VALUE"""),"必要")</f>
        <v>必要</v>
      </c>
      <c r="G145" s="27" t="str">
        <f>IFERROR(__xludf.DUMMYFUNCTION("""COMPUTED_VALUE"""),"事前問い合わせ要")</f>
        <v>事前問い合わせ要</v>
      </c>
      <c r="H145" s="10"/>
      <c r="I145" s="14"/>
      <c r="J145" s="15"/>
      <c r="K145" s="16"/>
      <c r="L145" s="17"/>
      <c r="M145" s="17"/>
      <c r="N145" s="17"/>
      <c r="O145" s="17"/>
      <c r="P145" s="17"/>
      <c r="Q145" s="17"/>
      <c r="R145" s="17"/>
      <c r="S145" s="17"/>
      <c r="T145" s="17"/>
      <c r="U145" s="17"/>
      <c r="V145" s="17"/>
    </row>
    <row r="146" ht="72.0" customHeight="1">
      <c r="A146" s="52" t="str">
        <f>IFERROR(__xludf.DUMMYFUNCTION("""COMPUTED_VALUE"""),"ソニー・デジタルエンタテインメント・サービス
※「使用画像テキスト」要")</f>
        <v>ソニー・デジタルエンタテインメント・サービス
※「使用画像テキスト」要</v>
      </c>
      <c r="B146" s="10"/>
      <c r="C146" s="28" t="str">
        <f>IFERROR(__xludf.DUMMYFUNCTION("""COMPUTED_VALUE"""),"必要")</f>
        <v>必要</v>
      </c>
      <c r="D146" s="12" t="str">
        <f>IFERROR(__xludf.DUMMYFUNCTION("""COMPUTED_VALUE"""),"使用画像テキスト")</f>
        <v>使用画像テキスト</v>
      </c>
      <c r="E146" s="12"/>
      <c r="F146" s="12" t="str">
        <f>IFERROR(__xludf.DUMMYFUNCTION("""COMPUTED_VALUE"""),"必要")</f>
        <v>必要</v>
      </c>
      <c r="G146" s="13" t="str">
        <f>IFERROR(__xludf.DUMMYFUNCTION("""COMPUTED_VALUE"""),"「タイトル名」©著者名/ソニー・デジタル エンタテインメント")</f>
        <v>「タイトル名」©著者名/ソニー・デジタル エンタテインメント</v>
      </c>
      <c r="H146" s="10"/>
      <c r="I146" s="14"/>
      <c r="J146" s="15"/>
      <c r="K146" s="16"/>
      <c r="L146" s="17"/>
      <c r="M146" s="17"/>
      <c r="N146" s="17"/>
      <c r="O146" s="17"/>
      <c r="P146" s="17"/>
      <c r="Q146" s="17"/>
      <c r="R146" s="17"/>
      <c r="S146" s="17"/>
      <c r="T146" s="17"/>
      <c r="U146" s="17"/>
      <c r="V146" s="17"/>
    </row>
    <row r="147">
      <c r="A147" s="30" t="str">
        <f>IFERROR(__xludf.DUMMYFUNCTION("""COMPUTED_VALUE"""),"シーモアコミックス
旧：ソルマーレ編集部
※2024/9/20～名称変更
")</f>
        <v>シーモアコミックス
旧：ソルマーレ編集部
※2024/9/20～名称変更
</v>
      </c>
      <c r="B147" s="10"/>
      <c r="C147" s="11" t="str">
        <f>IFERROR(__xludf.DUMMYFUNCTION("""COMPUTED_VALUE"""),"不要")</f>
        <v>不要</v>
      </c>
      <c r="D147" s="84"/>
      <c r="E147" s="84" t="str">
        <f>IFERROR(__xludf.DUMMYFUNCTION("""COMPUTED_VALUE"""),"フキダシ移動は事前可否なし
伏字加工は事前可否あり")</f>
        <v>フキダシ移動は事前可否なし
伏字加工は事前可否あり</v>
      </c>
      <c r="F147" s="12" t="str">
        <f>IFERROR(__xludf.DUMMYFUNCTION("""COMPUTED_VALUE"""),"必要")</f>
        <v>必要</v>
      </c>
      <c r="G147" s="20" t="str">
        <f>IFERROR(__xludf.DUMMYFUNCTION("""COMPUTED_VALUE"""),"© 作家名/シーモアコミックス
※©と作家名の間の半角スペース必須
▼出稿先が｢アダルト｣の場合
© 作者名
※©と作者名の間に半角スペース必須
※作品によっては「© 作者名/原作者名/鶴山文化社/シーモアコミックス」というC表記もあるのでご注意ください。")</f>
        <v>© 作家名/シーモアコミックス
※©と作家名の間の半角スペース必須
▼出稿先が｢アダルト｣の場合
© 作者名
※©と作者名の間に半角スペース必須
※作品によっては「© 作者名/原作者名/鶴山文化社/シーモアコミックス」というC表記もあるのでご注意ください。</v>
      </c>
      <c r="H147" s="26" t="str">
        <f>IFERROR(__xludf.DUMMYFUNCTION("""COMPUTED_VALUE"""),"2024/9/20にソルマーレ編集部が名称変更したことでシーモアオリジナルレーベルと同じ名称になった。
元々のシーモアコミックスは「トレモア」というレーベルになってるのでそこで判別できる
■書影使用について
⇒下記の場合は許諾確認不要
・書影画像を加工しない（トリミングやテキストを重ねる等）
・画像と一緒に配信するテキストはサイトのサービス訴求を使用
⇒書影全体使用（タイトル名、作者名等のトリミングなし）であれば、コピーライト省略OK
")</f>
        <v>2024/9/20にソルマーレ編集部が名称変更したことでシーモアオリジナルレーベルと同じ名称になった。
元々のシーモアコミックスは「トレモア」というレーベルになってるのでそこで判別できる
■書影使用について
⇒下記の場合は許諾確認不要
・書影画像を加工しない（トリミングやテキストを重ねる等）
・画像と一緒に配信するテキストはサイトのサービス訴求を使用
⇒書影全体使用（タイトル名、作者名等のトリミングなし）であれば、コピーライト省略OK
</v>
      </c>
      <c r="I147" s="90"/>
      <c r="J147" s="65" t="str">
        <f>IFERROR(__xludf.DUMMYFUNCTION("""COMPUTED_VALUE"""),"○")</f>
        <v>○</v>
      </c>
      <c r="K147" s="16"/>
      <c r="L147" s="17"/>
      <c r="M147" s="17"/>
      <c r="N147" s="17"/>
      <c r="O147" s="17"/>
      <c r="P147" s="17"/>
      <c r="Q147" s="17"/>
      <c r="R147" s="17"/>
      <c r="S147" s="17"/>
      <c r="T147" s="17"/>
      <c r="U147" s="17"/>
      <c r="V147" s="17"/>
    </row>
    <row r="148" ht="29.25" customHeight="1">
      <c r="A148" s="55" t="str">
        <f>IFERROR(__xludf.DUMMYFUNCTION("""COMPUTED_VALUE"""),"シーモアコミックス")</f>
        <v>シーモアコミックス</v>
      </c>
      <c r="B148" s="91" t="str">
        <f>IFERROR(__xludf.DUMMYFUNCTION("""COMPUTED_VALUE"""),"トレモア・ロマンス")</f>
        <v>トレモア・ロマンス</v>
      </c>
      <c r="C148" s="85" t="str">
        <f>IFERROR(__xludf.DUMMYFUNCTION("""COMPUTED_VALUE"""),"不要")</f>
        <v>不要</v>
      </c>
      <c r="D148" s="92"/>
      <c r="E148" s="93" t="str">
        <f>IFERROR(__xludf.DUMMYFUNCTION("""COMPUTED_VALUE"""),"▼加工した場合
事前可否あり")</f>
        <v>▼加工した場合
事前可否あり</v>
      </c>
      <c r="F148" s="44" t="str">
        <f>IFERROR(__xludf.DUMMYFUNCTION("""COMPUTED_VALUE"""),"必要")</f>
        <v>必要</v>
      </c>
      <c r="G148" s="94" t="str">
        <f>IFERROR(__xludf.DUMMYFUNCTION("""COMPUTED_VALUE"""),"© 作者名/シーモアコミックス
※©と作者名の間に半角スペース必須
▼出稿先が｢アダルト｣の場合
© 作者名
※©と作者名の間に半角スペース必須")</f>
        <v>© 作者名/シーモアコミックス
※©と作者名の間に半角スペース必須
▼出稿先が｢アダルト｣の場合
© 作者名
※©と作者名の間に半角スペース必須</v>
      </c>
      <c r="H148" s="68" t="str">
        <f>IFERROR(__xludf.DUMMYFUNCTION("""COMPUTED_VALUE"""),"■書影使用について
⇒下記の場合は許諾確認不要
・書影画像を加工しない（トリミングやテキストを重ねる等）
・画像と一緒に配信するテキストはサイトのサービス訴求を使用
⇒書影全体使用（タイトル名、作者名等のトリミングなし）であれば、コピーライト省略OK")</f>
        <v>■書影使用について
⇒下記の場合は許諾確認不要
・書影画像を加工しない（トリミングやテキストを重ねる等）
・画像と一緒に配信するテキストはサイトのサービス訴求を使用
⇒書影全体使用（タイトル名、作者名等のトリミングなし）であれば、コピーライト省略OK</v>
      </c>
      <c r="I148" s="14"/>
      <c r="J148" s="65" t="str">
        <f>IFERROR(__xludf.DUMMYFUNCTION("""COMPUTED_VALUE"""),"○")</f>
        <v>○</v>
      </c>
      <c r="K148" s="16"/>
      <c r="L148" s="17"/>
      <c r="M148" s="17"/>
      <c r="N148" s="17"/>
      <c r="O148" s="17"/>
      <c r="P148" s="17"/>
      <c r="Q148" s="17"/>
      <c r="R148" s="17"/>
      <c r="S148" s="17"/>
      <c r="T148" s="17"/>
      <c r="U148" s="17"/>
      <c r="V148" s="17"/>
    </row>
    <row r="149" ht="34.5" customHeight="1">
      <c r="A149" s="50"/>
      <c r="B149" s="26" t="str">
        <f>IFERROR(__xludf.DUMMYFUNCTION("""COMPUTED_VALUE"""),"トレモア・リアルラブ ")</f>
        <v>トレモア・リアルラブ </v>
      </c>
      <c r="C149" s="50"/>
      <c r="D149" s="92"/>
      <c r="E149" s="50"/>
      <c r="F149" s="50"/>
      <c r="G149" s="50"/>
      <c r="H149" s="50"/>
      <c r="I149" s="14"/>
      <c r="J149" s="65" t="str">
        <f>IFERROR(__xludf.DUMMYFUNCTION("""COMPUTED_VALUE"""),"○")</f>
        <v>○</v>
      </c>
      <c r="K149" s="16"/>
      <c r="L149" s="17"/>
      <c r="M149" s="17"/>
      <c r="N149" s="17"/>
      <c r="O149" s="17"/>
      <c r="P149" s="17"/>
      <c r="Q149" s="17"/>
      <c r="R149" s="17"/>
      <c r="S149" s="17"/>
      <c r="T149" s="17"/>
      <c r="U149" s="17"/>
      <c r="V149" s="17"/>
    </row>
    <row r="150" ht="42.75" customHeight="1">
      <c r="A150" s="51"/>
      <c r="B150" s="26" t="str">
        <f>IFERROR(__xludf.DUMMYFUNCTION("""COMPUTED_VALUE"""),"トレモア・スプラッシュ ")</f>
        <v>トレモア・スプラッシュ </v>
      </c>
      <c r="C150" s="51"/>
      <c r="D150" s="92"/>
      <c r="E150" s="51"/>
      <c r="F150" s="51"/>
      <c r="G150" s="51"/>
      <c r="H150" s="51"/>
      <c r="I150" s="14"/>
      <c r="J150" s="65" t="str">
        <f>IFERROR(__xludf.DUMMYFUNCTION("""COMPUTED_VALUE"""),"○")</f>
        <v>○</v>
      </c>
      <c r="K150" s="16"/>
      <c r="L150" s="17"/>
      <c r="M150" s="17"/>
      <c r="N150" s="17"/>
      <c r="O150" s="17"/>
      <c r="P150" s="17"/>
      <c r="Q150" s="17"/>
      <c r="R150" s="17"/>
      <c r="S150" s="17"/>
      <c r="T150" s="17"/>
      <c r="U150" s="17"/>
      <c r="V150" s="17"/>
    </row>
    <row r="151" ht="20.25" customHeight="1">
      <c r="A151" s="9" t="str">
        <f>IFERROR(__xludf.DUMMYFUNCTION("""COMPUTED_VALUE"""),"ダイヤモンド社")</f>
        <v>ダイヤモンド社</v>
      </c>
      <c r="B151" s="10"/>
      <c r="C151" s="28" t="str">
        <f>IFERROR(__xludf.DUMMYFUNCTION("""COMPUTED_VALUE"""),"必要")</f>
        <v>必要</v>
      </c>
      <c r="D151" s="12"/>
      <c r="E151" s="12"/>
      <c r="F151" s="12" t="str">
        <f>IFERROR(__xludf.DUMMYFUNCTION("""COMPUTED_VALUE"""),"必要")</f>
        <v>必要</v>
      </c>
      <c r="G151" s="13" t="str">
        <f>IFERROR(__xludf.DUMMYFUNCTION("""COMPUTED_VALUE"""),"©著者名/出版社名")</f>
        <v>©著者名/出版社名</v>
      </c>
      <c r="H151" s="10"/>
      <c r="I151" s="14"/>
      <c r="J151" s="15"/>
      <c r="K151" s="16"/>
      <c r="L151" s="17"/>
      <c r="M151" s="17"/>
      <c r="N151" s="17"/>
      <c r="O151" s="17"/>
      <c r="P151" s="17"/>
      <c r="Q151" s="17"/>
      <c r="R151" s="17"/>
      <c r="S151" s="17"/>
      <c r="T151" s="17"/>
      <c r="U151" s="17"/>
      <c r="V151" s="17"/>
    </row>
    <row r="152">
      <c r="A152" s="9" t="str">
        <f>IFERROR(__xludf.DUMMYFUNCTION("""COMPUTED_VALUE"""),"ちばあきおプロダクション")</f>
        <v>ちばあきおプロダクション</v>
      </c>
      <c r="B152" s="10"/>
      <c r="C152" s="28" t="str">
        <f>IFERROR(__xludf.DUMMYFUNCTION("""COMPUTED_VALUE"""),"必要")</f>
        <v>必要</v>
      </c>
      <c r="D152" s="12"/>
      <c r="E152" s="12"/>
      <c r="F152" s="12" t="str">
        <f>IFERROR(__xludf.DUMMYFUNCTION("""COMPUTED_VALUE"""),"必要")</f>
        <v>必要</v>
      </c>
      <c r="G152" s="13" t="str">
        <f>IFERROR(__xludf.DUMMYFUNCTION("""COMPUTED_VALUE"""),"©ちばあきお")</f>
        <v>©ちばあきお</v>
      </c>
      <c r="H152" s="10"/>
      <c r="I152" s="14"/>
      <c r="J152" s="15"/>
      <c r="K152" s="16"/>
      <c r="L152" s="17"/>
      <c r="M152" s="17"/>
      <c r="N152" s="17"/>
      <c r="O152" s="17"/>
      <c r="P152" s="17"/>
      <c r="Q152" s="17"/>
      <c r="R152" s="17"/>
      <c r="S152" s="17"/>
      <c r="T152" s="17"/>
      <c r="U152" s="17"/>
      <c r="V152" s="17"/>
    </row>
    <row r="153">
      <c r="A153" s="95" t="str">
        <f>IFERROR(__xludf.DUMMYFUNCTION("""COMPUTED_VALUE"""),"チャンスドライブ")</f>
        <v>チャンスドライブ</v>
      </c>
      <c r="B153" s="10"/>
      <c r="C153" s="11" t="str">
        <f>IFERROR(__xludf.DUMMYFUNCTION("""COMPUTED_VALUE"""),"不要")</f>
        <v>不要</v>
      </c>
      <c r="D153" s="12"/>
      <c r="E153" s="12"/>
      <c r="F153" s="12" t="str">
        <f>IFERROR(__xludf.DUMMYFUNCTION("""COMPUTED_VALUE"""),"必要")</f>
        <v>必要</v>
      </c>
      <c r="G153" s="13" t="str">
        <f>IFERROR(__xludf.DUMMYFUNCTION("""COMPUTED_VALUE"""),"©作者/チャンスドライブ")</f>
        <v>©作者/チャンスドライブ</v>
      </c>
      <c r="H153" s="10"/>
      <c r="I153" s="14"/>
      <c r="J153" s="15"/>
      <c r="K153" s="16"/>
      <c r="L153" s="17"/>
      <c r="M153" s="17"/>
      <c r="N153" s="17"/>
      <c r="O153" s="17"/>
      <c r="P153" s="17"/>
      <c r="Q153" s="17"/>
      <c r="R153" s="17"/>
      <c r="S153" s="17"/>
      <c r="T153" s="17"/>
      <c r="U153" s="17"/>
      <c r="V153" s="17"/>
    </row>
    <row r="154">
      <c r="A154" s="9" t="str">
        <f>IFERROR(__xludf.DUMMYFUNCTION("""COMPUTED_VALUE"""),"デイジーコミックス")</f>
        <v>デイジーコミックス</v>
      </c>
      <c r="B154" s="10"/>
      <c r="C154" s="28" t="str">
        <f>IFERROR(__xludf.DUMMYFUNCTION("""COMPUTED_VALUE"""),"必要")</f>
        <v>必要</v>
      </c>
      <c r="D154" s="12"/>
      <c r="E154" s="12"/>
      <c r="F154" s="12" t="str">
        <f>IFERROR(__xludf.DUMMYFUNCTION("""COMPUTED_VALUE"""),"必要")</f>
        <v>必要</v>
      </c>
      <c r="G154" s="13" t="str">
        <f>IFERROR(__xludf.DUMMYFUNCTION("""COMPUTED_VALUE"""),"©デイジーコミックス")</f>
        <v>©デイジーコミックス</v>
      </c>
      <c r="H154" s="10" t="str">
        <f>IFERROR(__xludf.DUMMYFUNCTION("""COMPUTED_VALUE"""),"デイジーコミックス（英和出版社）とは異なりますのでご注意ください")</f>
        <v>デイジーコミックス（英和出版社）とは異なりますのでご注意ください</v>
      </c>
      <c r="I154" s="14"/>
      <c r="J154" s="15"/>
      <c r="K154" s="16"/>
      <c r="L154" s="17"/>
      <c r="M154" s="17"/>
      <c r="N154" s="17"/>
      <c r="O154" s="17"/>
      <c r="P154" s="17"/>
      <c r="Q154" s="17"/>
      <c r="R154" s="17"/>
      <c r="S154" s="17"/>
      <c r="T154" s="17"/>
      <c r="U154" s="17"/>
      <c r="V154" s="17"/>
    </row>
    <row r="155">
      <c r="A155" s="9" t="str">
        <f>IFERROR(__xludf.DUMMYFUNCTION("""COMPUTED_VALUE"""),"ディスカヴァー・トゥエンティワン")</f>
        <v>ディスカヴァー・トゥエンティワン</v>
      </c>
      <c r="B155" s="10"/>
      <c r="C155" s="28" t="str">
        <f>IFERROR(__xludf.DUMMYFUNCTION("""COMPUTED_VALUE"""),"必要")</f>
        <v>必要</v>
      </c>
      <c r="D155" s="12"/>
      <c r="E155" s="12"/>
      <c r="F155" s="12" t="str">
        <f>IFERROR(__xludf.DUMMYFUNCTION("""COMPUTED_VALUE"""),"必要")</f>
        <v>必要</v>
      </c>
      <c r="G155" s="18" t="str">
        <f>IFERROR(__xludf.DUMMYFUNCTION("""COMPUTED_VALUE"""),"©著者名/ディスカヴァー・トゥエンティワン
・書影まま使用した場合はコピーライト不要")</f>
        <v>©著者名/ディスカヴァー・トゥエンティワン
・書影まま使用した場合はコピーライト不要</v>
      </c>
      <c r="H155" s="26" t="str">
        <f>IFERROR(__xludf.DUMMYFUNCTION("""COMPUTED_VALUE"""),"書影のみ使用なら事前確認不要")</f>
        <v>書影のみ使用なら事前確認不要</v>
      </c>
      <c r="I155" s="14"/>
      <c r="J155" s="15"/>
      <c r="K155" s="16"/>
      <c r="L155" s="17"/>
      <c r="M155" s="17"/>
      <c r="N155" s="17"/>
      <c r="O155" s="17"/>
      <c r="P155" s="17"/>
      <c r="Q155" s="17"/>
      <c r="R155" s="17"/>
      <c r="S155" s="17"/>
      <c r="T155" s="17"/>
      <c r="U155" s="17"/>
      <c r="V155" s="17"/>
    </row>
    <row r="156">
      <c r="A156" s="9" t="str">
        <f>IFERROR(__xludf.DUMMYFUNCTION("""COMPUTED_VALUE"""),"ナイトコミック")</f>
        <v>ナイトコミック</v>
      </c>
      <c r="B156" s="10"/>
      <c r="C156" s="11" t="str">
        <f>IFERROR(__xludf.DUMMYFUNCTION("""COMPUTED_VALUE"""),"不要")</f>
        <v>不要</v>
      </c>
      <c r="D156" s="11"/>
      <c r="E156" s="11" t="str">
        <f>IFERROR(__xludf.DUMMYFUNCTION("""COMPUTED_VALUE"""),"不要")</f>
        <v>不要</v>
      </c>
      <c r="F156" s="12" t="str">
        <f>IFERROR(__xludf.DUMMYFUNCTION("""COMPUTED_VALUE"""),"不要")</f>
        <v>不要</v>
      </c>
      <c r="G156" s="67" t="str">
        <f>IFERROR(__xludf.DUMMYFUNCTION("""COMPUTED_VALUE"""),"コピーライト不要")</f>
        <v>コピーライト不要</v>
      </c>
      <c r="H156" s="10"/>
      <c r="I156" s="14"/>
      <c r="J156" s="15"/>
      <c r="K156" s="16"/>
      <c r="L156" s="17"/>
      <c r="M156" s="17"/>
      <c r="N156" s="17"/>
      <c r="O156" s="17"/>
      <c r="P156" s="17"/>
      <c r="Q156" s="17"/>
      <c r="R156" s="17"/>
      <c r="S156" s="17"/>
      <c r="T156" s="17"/>
      <c r="U156" s="17"/>
      <c r="V156" s="17"/>
    </row>
    <row r="157">
      <c r="A157" s="9" t="str">
        <f>IFERROR(__xludf.DUMMYFUNCTION("""COMPUTED_VALUE"""),"ナンバーナイン")</f>
        <v>ナンバーナイン</v>
      </c>
      <c r="B157" s="10"/>
      <c r="C157" s="29" t="str">
        <f>IFERROR(__xludf.DUMMYFUNCTION("""COMPUTED_VALUE"""),"必要")</f>
        <v>必要</v>
      </c>
      <c r="D157" s="62"/>
      <c r="E157" s="62"/>
      <c r="F157" s="12" t="str">
        <f>IFERROR(__xludf.DUMMYFUNCTION("""COMPUTED_VALUE"""),"必要")</f>
        <v>必要</v>
      </c>
      <c r="G157" s="67" t="str">
        <f>IFERROR(__xludf.DUMMYFUNCTION("""COMPUTED_VALUE""")," 『タイトル』©作者名/ナンバーナイン
 ▼うめ先生
©UME 2018
 ▼かっぴー先生
 ©kappy2018/ナンバーナイン
タイトル表記については二重括弧『』統一、
【連載版】【タテヨミ】（話売り）などが含まれていれば表記必須
■書影のみを使用する場合のC表記 ： 要
※タイトル名がレギュレーションに引っかかる場合省略可（backlogにその旨記載必須）
")</f>
        <v> 『タイトル』©作者名/ナンバーナイン
 ▼うめ先生
©UME 2018
 ▼かっぴー先生
 ©kappy2018/ナンバーナイン
タイトル表記については二重括弧『』統一、
【連載版】【タテヨミ】（話売り）などが含まれていれば表記必須
■書影のみを使用する場合のC表記 ： 要
※タイトル名がレギュレーションに引っかかる場合省略可（backlogにその旨記載必須）
</v>
      </c>
      <c r="H157" s="96"/>
      <c r="I157" s="14"/>
      <c r="J157" s="15"/>
      <c r="K157" s="16"/>
      <c r="L157" s="17"/>
      <c r="M157" s="17"/>
      <c r="N157" s="17"/>
      <c r="O157" s="17"/>
      <c r="P157" s="17"/>
      <c r="Q157" s="17"/>
      <c r="R157" s="17"/>
      <c r="S157" s="17"/>
      <c r="T157" s="17"/>
      <c r="U157" s="17"/>
      <c r="V157" s="17"/>
    </row>
    <row r="158">
      <c r="A158" s="9" t="str">
        <f>IFERROR(__xludf.DUMMYFUNCTION("""COMPUTED_VALUE"""),"はぁとふる書房")</f>
        <v>はぁとふる書房</v>
      </c>
      <c r="B158" s="10"/>
      <c r="C158" s="11" t="str">
        <f>IFERROR(__xludf.DUMMYFUNCTION("""COMPUTED_VALUE"""),"不要")</f>
        <v>不要</v>
      </c>
      <c r="D158" s="12"/>
      <c r="E158" s="12"/>
      <c r="F158" s="12" t="str">
        <f>IFERROR(__xludf.DUMMYFUNCTION("""COMPUTED_VALUE"""),"必要")</f>
        <v>必要</v>
      </c>
      <c r="G158" s="18" t="str">
        <f>IFERROR(__xludf.DUMMYFUNCTION("""COMPUTED_VALUE"""),"©はぁとふる書房
※作家名の記載につきましてはあった方が望ましいですが、必須ではございません。
基本は出版社名を記載頂ければと思います。 
")</f>
        <v>©はぁとふる書房
※作家名の記載につきましてはあった方が望ましいですが、必須ではございません。
基本は出版社名を記載頂ければと思います。 
</v>
      </c>
      <c r="H158" s="10"/>
      <c r="I158" s="14"/>
      <c r="J158" s="15"/>
      <c r="K158" s="16"/>
      <c r="L158" s="17"/>
      <c r="M158" s="17"/>
      <c r="N158" s="17"/>
      <c r="O158" s="17"/>
      <c r="P158" s="17"/>
      <c r="Q158" s="17"/>
      <c r="R158" s="17"/>
      <c r="S158" s="17"/>
      <c r="T158" s="17"/>
      <c r="U158" s="17"/>
      <c r="V158" s="17"/>
    </row>
    <row r="159" ht="184.5" customHeight="1">
      <c r="A159" s="30" t="str">
        <f>IFERROR(__xludf.DUMMYFUNCTION("""COMPUTED_VALUE"""),"ハーパーコリンズ・ジャパン")</f>
        <v>ハーパーコリンズ・ジャパン</v>
      </c>
      <c r="B159" s="10"/>
      <c r="C159" s="28" t="str">
        <f>IFERROR(__xludf.DUMMYFUNCTION("""COMPUTED_VALUE"""),"必要")</f>
        <v>必要</v>
      </c>
      <c r="D159" s="12"/>
      <c r="E159" s="12"/>
      <c r="F159" s="12" t="str">
        <f>IFERROR(__xludf.DUMMYFUNCTION("""COMPUTED_VALUE"""),"必要")</f>
        <v>必要</v>
      </c>
      <c r="G159" s="20" t="str">
        <f>IFERROR(__xludf.DUMMYFUNCTION("""COMPUTED_VALUE"""),"©著者名/ハーパーコリンズ・ジャパン
▼原作者が要る場合
©漫画家・原作者/ハーパーコリンズ・ジャパン
▼イラストレーターがいる場合
©著者名・イラストレーター/ハーパーコリンズ・ジャパン
・書影のみの場合もコピーライト必要
・クレジットのタイトル改行NG
・作品名を表記する際、【分冊版】や【新装版】など【】付の記載は除外する。
")</f>
        <v>©著者名/ハーパーコリンズ・ジャパン
▼原作者が要る場合
©漫画家・原作者/ハーパーコリンズ・ジャパン
▼イラストレーターがいる場合
©著者名・イラストレーター/ハーパーコリンズ・ジャパン
・書影のみの場合もコピーライト必要
・クレジットのタイトル改行NG
・作品名を表記する際、【分冊版】や【新装版】など【】付の記載は除外する。
</v>
      </c>
      <c r="H159" s="96" t="str">
        <f>IFERROR(__xludf.DUMMYFUNCTION("""COMPUTED_VALUE"""),"※キャンペーンページ内、特集内など、
作品単体の掲載以外の場合は　©K.K. HarperCollins Japan.
※コミックもテキストも、社名表記はカタカナで。
「名言コーナー」：台詞そのまま使用なら確認不要。")</f>
        <v>※キャンペーンページ内、特集内など、
作品単体の掲載以外の場合は　©K.K. HarperCollins Japan.
※コミックもテキストも、社名表記はカタカナで。
「名言コーナー」：台詞そのまま使用なら確認不要。</v>
      </c>
      <c r="I159" s="14"/>
      <c r="J159" s="15"/>
      <c r="K159" s="16"/>
      <c r="L159" s="17"/>
      <c r="M159" s="17"/>
      <c r="N159" s="17"/>
      <c r="O159" s="17"/>
      <c r="P159" s="17"/>
      <c r="Q159" s="17"/>
      <c r="R159" s="17"/>
      <c r="S159" s="17"/>
      <c r="T159" s="17"/>
      <c r="U159" s="17"/>
      <c r="V159" s="17"/>
    </row>
    <row r="160" ht="117.75" customHeight="1">
      <c r="A160" s="97" t="str">
        <f>IFERROR(__xludf.DUMMYFUNCTION("""COMPUTED_VALUE"""),"乙女ドルチェ・コミックス")</f>
        <v>乙女ドルチェ・コミックス</v>
      </c>
      <c r="B160" s="77"/>
      <c r="C160" s="28" t="str">
        <f>IFERROR(__xludf.DUMMYFUNCTION("""COMPUTED_VALUE"""),"必要")</f>
        <v>必要</v>
      </c>
      <c r="D160" s="12"/>
      <c r="E160" s="12"/>
      <c r="F160" s="12" t="str">
        <f>IFERROR(__xludf.DUMMYFUNCTION("""COMPUTED_VALUE"""),"必要")</f>
        <v>必要</v>
      </c>
      <c r="G160" s="20" t="str">
        <f>IFERROR(__xludf.DUMMYFUNCTION("""COMPUTED_VALUE"""),"©著者名/ハーパーコリンズ・ジャパン
▼原作者が要る場合
©漫画家・原作者/ハーパーコリンズ・ジャパン
※原作イラストレーター、キャラクター原案の名前はトル
・書影のみの場合もコピーライト必要
・クレジットのタイトル改行NG")</f>
        <v>©著者名/ハーパーコリンズ・ジャパン
▼原作者が要る場合
©漫画家・原作者/ハーパーコリンズ・ジャパン
※原作イラストレーター、キャラクター原案の名前はトル
・書影のみの場合もコピーライト必要
・クレジットのタイトル改行NG</v>
      </c>
      <c r="H160" s="96"/>
      <c r="I160" s="40"/>
      <c r="J160" s="15"/>
      <c r="K160" s="16"/>
      <c r="L160" s="17"/>
      <c r="M160" s="17"/>
      <c r="N160" s="17"/>
      <c r="O160" s="17"/>
      <c r="P160" s="17"/>
      <c r="Q160" s="17"/>
      <c r="R160" s="17"/>
      <c r="S160" s="17"/>
      <c r="T160" s="17"/>
      <c r="U160" s="17"/>
      <c r="V160" s="17"/>
    </row>
    <row r="161">
      <c r="A161" s="42" t="str">
        <f>IFERROR(__xludf.DUMMYFUNCTION("""COMPUTED_VALUE"""),"ハイストーン")</f>
        <v>ハイストーン</v>
      </c>
      <c r="B161" s="10" t="str">
        <f>IFERROR(__xludf.DUMMYFUNCTION("""COMPUTED_VALUE"""),"ハイストーン")</f>
        <v>ハイストーン</v>
      </c>
      <c r="C161" s="28" t="str">
        <f>IFERROR(__xludf.DUMMYFUNCTION("""COMPUTED_VALUE"""),"必要")</f>
        <v>必要</v>
      </c>
      <c r="D161" s="12"/>
      <c r="E161" s="12"/>
      <c r="F161" s="44" t="str">
        <f>IFERROR(__xludf.DUMMYFUNCTION("""COMPUTED_VALUE"""),"必要")</f>
        <v>必要</v>
      </c>
      <c r="G161" s="98" t="str">
        <f>IFERROR(__xludf.DUMMYFUNCTION("""COMPUTED_VALUE"""),"©作者名/ハイストーン")</f>
        <v>©作者名/ハイストーン</v>
      </c>
      <c r="H161" s="10"/>
      <c r="I161" s="14"/>
      <c r="J161" s="15"/>
      <c r="K161" s="16"/>
      <c r="L161" s="17"/>
      <c r="M161" s="17"/>
      <c r="N161" s="17"/>
      <c r="O161" s="17"/>
      <c r="P161" s="17"/>
      <c r="Q161" s="17"/>
      <c r="R161" s="17"/>
      <c r="S161" s="17"/>
      <c r="T161" s="17"/>
      <c r="U161" s="17"/>
      <c r="V161" s="17"/>
    </row>
    <row r="162">
      <c r="A162" s="50"/>
      <c r="B162" s="10" t="str">
        <f>IFERROR(__xludf.DUMMYFUNCTION("""COMPUTED_VALUE"""),"HSパブリッシング")</f>
        <v>HSパブリッシング</v>
      </c>
      <c r="C162" s="61" t="str">
        <f>IFERROR(__xludf.DUMMYFUNCTION("""COMPUTED_VALUE"""),"不要")</f>
        <v>不要</v>
      </c>
      <c r="D162" s="84"/>
      <c r="E162" s="86" t="str">
        <f>IFERROR(__xludf.DUMMYFUNCTION("""COMPUTED_VALUE"""),"▼加工した場合
事前確認必要")</f>
        <v>▼加工した場合
事前確認必要</v>
      </c>
      <c r="F162" s="50"/>
      <c r="G162" s="51"/>
      <c r="H162" s="10"/>
      <c r="I162" s="14"/>
      <c r="J162" s="15"/>
      <c r="K162" s="16"/>
      <c r="L162" s="17"/>
      <c r="M162" s="17"/>
      <c r="N162" s="17"/>
      <c r="O162" s="17"/>
      <c r="P162" s="17"/>
      <c r="Q162" s="17"/>
      <c r="R162" s="17"/>
      <c r="S162" s="17"/>
      <c r="T162" s="17"/>
      <c r="U162" s="17"/>
      <c r="V162" s="17"/>
    </row>
    <row r="163">
      <c r="A163" s="51"/>
      <c r="B163" s="10" t="str">
        <f>IFERROR(__xludf.DUMMYFUNCTION("""COMPUTED_VALUE"""),"福本プロ")</f>
        <v>福本プロ</v>
      </c>
      <c r="C163" s="51"/>
      <c r="D163" s="84"/>
      <c r="E163" s="51"/>
      <c r="F163" s="51"/>
      <c r="G163" s="13" t="str">
        <f>IFERROR(__xludf.DUMMYFUNCTION("""COMPUTED_VALUE"""),"©福本伸行/highstone,Inc.")</f>
        <v>©福本伸行/highstone,Inc.</v>
      </c>
      <c r="H163" s="10"/>
      <c r="I163" s="14"/>
      <c r="J163" s="15"/>
      <c r="K163" s="16"/>
      <c r="L163" s="17"/>
      <c r="M163" s="17"/>
      <c r="N163" s="17"/>
      <c r="O163" s="17"/>
      <c r="P163" s="17"/>
      <c r="Q163" s="17"/>
      <c r="R163" s="17"/>
      <c r="S163" s="17"/>
      <c r="T163" s="17"/>
      <c r="U163" s="17"/>
      <c r="V163" s="17"/>
    </row>
    <row r="164" ht="61.5" customHeight="1">
      <c r="A164" s="9" t="str">
        <f>IFERROR(__xludf.DUMMYFUNCTION("""COMPUTED_VALUE"""),"はちみつ書房")</f>
        <v>はちみつ書房</v>
      </c>
      <c r="B164" s="10"/>
      <c r="C164" s="11" t="str">
        <f>IFERROR(__xludf.DUMMYFUNCTION("""COMPUTED_VALUE"""),"不要")</f>
        <v>不要</v>
      </c>
      <c r="D164" s="12"/>
      <c r="E164" s="12"/>
      <c r="F164" s="12" t="str">
        <f>IFERROR(__xludf.DUMMYFUNCTION("""COMPUTED_VALUE"""),"必要")</f>
        <v>必要</v>
      </c>
      <c r="G164" s="20" t="str">
        <f>IFERROR(__xludf.DUMMYFUNCTION("""COMPUTED_VALUE"""),"©著者名/出版社名
▼著者が「川島れいこ」の作品の場合　
©大島プロダクション/はちみつ書房")</f>
        <v>©著者名/出版社名
▼著者が「川島れいこ」の作品の場合　
©大島プロダクション/はちみつ書房</v>
      </c>
      <c r="H164" s="10"/>
      <c r="I164" s="14"/>
      <c r="J164" s="15"/>
      <c r="K164" s="16"/>
      <c r="L164" s="17"/>
      <c r="M164" s="17"/>
      <c r="N164" s="17"/>
      <c r="O164" s="17"/>
      <c r="P164" s="17"/>
      <c r="Q164" s="17"/>
      <c r="R164" s="17"/>
      <c r="S164" s="17"/>
      <c r="T164" s="17"/>
      <c r="U164" s="17"/>
      <c r="V164" s="17"/>
    </row>
    <row r="165">
      <c r="A165" s="9" t="str">
        <f>IFERROR(__xludf.DUMMYFUNCTION("""COMPUTED_VALUE"""),"パラダイム")</f>
        <v>パラダイム</v>
      </c>
      <c r="B165" s="10"/>
      <c r="C165" s="29" t="str">
        <f>IFERROR(__xludf.DUMMYFUNCTION("""COMPUTED_VALUE"""),"必要")</f>
        <v>必要</v>
      </c>
      <c r="D165" s="12"/>
      <c r="E165" s="12"/>
      <c r="F165" s="12" t="str">
        <f>IFERROR(__xludf.DUMMYFUNCTION("""COMPUTED_VALUE"""),"必要")</f>
        <v>必要</v>
      </c>
      <c r="G165" s="25" t="str">
        <f>IFERROR(__xludf.DUMMYFUNCTION("""COMPUTED_VALUE"""),"都度ご確認ください
基本的には、書誌の通りでお願いいたします。 「漫画家/原作者」順の「/」区切りです。
書影のみの利用の際もC表記必要です")</f>
        <v>都度ご確認ください
基本的には、書誌の通りでお願いいたします。 「漫画家/原作者」順の「/」区切りです。
書影のみの利用の際もC表記必要です</v>
      </c>
      <c r="H165" s="10"/>
      <c r="I165" s="14"/>
      <c r="J165" s="15"/>
      <c r="K165" s="16"/>
      <c r="L165" s="17"/>
      <c r="M165" s="17"/>
      <c r="N165" s="17"/>
      <c r="O165" s="17"/>
      <c r="P165" s="17"/>
      <c r="Q165" s="17"/>
      <c r="R165" s="17"/>
      <c r="S165" s="17"/>
      <c r="T165" s="17"/>
      <c r="U165" s="17"/>
      <c r="V165" s="17"/>
    </row>
    <row r="166">
      <c r="A166" s="9" t="str">
        <f>IFERROR(__xludf.DUMMYFUNCTION("""COMPUTED_VALUE"""),"パルソラ")</f>
        <v>パルソラ</v>
      </c>
      <c r="B166" s="10"/>
      <c r="C166" s="11" t="str">
        <f>IFERROR(__xludf.DUMMYFUNCTION("""COMPUTED_VALUE"""),"不要")</f>
        <v>不要</v>
      </c>
      <c r="D166" s="12"/>
      <c r="E166" s="12" t="str">
        <f>IFERROR(__xludf.DUMMYFUNCTION("""COMPUTED_VALUE"""),"着色OK")</f>
        <v>着色OK</v>
      </c>
      <c r="F166" s="12" t="str">
        <f>IFERROR(__xludf.DUMMYFUNCTION("""COMPUTED_VALUE"""),"必要")</f>
        <v>必要</v>
      </c>
      <c r="G166" s="20" t="str">
        <f>IFERROR(__xludf.DUMMYFUNCTION("""COMPUTED_VALUE"""),"©作家名・漫画家名/パルソラ
▼出稿先が｢アダルト｣の場合は　
©作者名")</f>
        <v>©作家名・漫画家名/パルソラ
▼出稿先が｢アダルト｣の場合は　
©作者名</v>
      </c>
      <c r="H166" s="10" t="str">
        <f>IFERROR(__xludf.DUMMYFUNCTION("""COMPUTED_VALUE"""),"色づけＯＫ　確認必要なし")</f>
        <v>色づけＯＫ　確認必要なし</v>
      </c>
      <c r="I166" s="14"/>
      <c r="J166" s="15"/>
      <c r="K166" s="16"/>
      <c r="L166" s="17"/>
      <c r="M166" s="17"/>
      <c r="N166" s="17"/>
      <c r="O166" s="17"/>
      <c r="P166" s="17"/>
      <c r="Q166" s="17"/>
      <c r="R166" s="17"/>
      <c r="S166" s="17"/>
      <c r="T166" s="17"/>
      <c r="U166" s="17"/>
      <c r="V166" s="17"/>
    </row>
    <row r="167">
      <c r="A167" s="9" t="str">
        <f>IFERROR(__xludf.DUMMYFUNCTION("""COMPUTED_VALUE"""),"ぴあ")</f>
        <v>ぴあ</v>
      </c>
      <c r="B167" s="10"/>
      <c r="C167" s="28" t="str">
        <f>IFERROR(__xludf.DUMMYFUNCTION("""COMPUTED_VALUE"""),"必要")</f>
        <v>必要</v>
      </c>
      <c r="D167" s="12"/>
      <c r="E167" s="12"/>
      <c r="F167" s="12" t="str">
        <f>IFERROR(__xludf.DUMMYFUNCTION("""COMPUTED_VALUE"""),"必要")</f>
        <v>必要</v>
      </c>
      <c r="G167" s="13" t="str">
        <f>IFERROR(__xludf.DUMMYFUNCTION("""COMPUTED_VALUE"""),"©著者名/ぴあ")</f>
        <v>©著者名/ぴあ</v>
      </c>
      <c r="H167" s="26" t="str">
        <f>IFERROR(__xludf.DUMMYFUNCTION("""COMPUTED_VALUE"""),"書影のみ使用なら事前確認不要")</f>
        <v>書影のみ使用なら事前確認不要</v>
      </c>
      <c r="I167" s="14"/>
      <c r="J167" s="15"/>
      <c r="K167" s="16"/>
      <c r="L167" s="17"/>
      <c r="M167" s="17"/>
      <c r="N167" s="17"/>
      <c r="O167" s="17"/>
      <c r="P167" s="17"/>
      <c r="Q167" s="17"/>
      <c r="R167" s="17"/>
      <c r="S167" s="17"/>
      <c r="T167" s="17"/>
      <c r="U167" s="17"/>
      <c r="V167" s="17"/>
    </row>
    <row r="168">
      <c r="A168" s="55" t="str">
        <f>IFERROR(__xludf.DUMMYFUNCTION("""COMPUTED_VALUE"""),"ビーグリー")</f>
        <v>ビーグリー</v>
      </c>
      <c r="B168" s="10" t="str">
        <f>IFERROR(__xludf.DUMMYFUNCTION("""COMPUTED_VALUE"""),"ビーグリー")</f>
        <v>ビーグリー</v>
      </c>
      <c r="C168" s="43" t="str">
        <f>IFERROR(__xludf.DUMMYFUNCTION("""COMPUTED_VALUE"""),"必要")</f>
        <v>必要</v>
      </c>
      <c r="D168" s="12"/>
      <c r="E168" s="44"/>
      <c r="F168" s="44" t="str">
        <f>IFERROR(__xludf.DUMMYFUNCTION("""COMPUTED_VALUE"""),"必要")</f>
        <v>必要</v>
      </c>
      <c r="G168" s="80" t="str">
        <f>IFERROR(__xludf.DUMMYFUNCTION("""COMPUTED_VALUE"""),"都度確認要
リリース前作品で、先行リスト上でコピーライト確認できる場合
⇒記載されてるコピーライトを「正」として進めてください。
リリース済み作品で先行リスト上でコピーライト確認できない場合
⇒制作前にお問い合わせください。")</f>
        <v>都度確認要
リリース前作品で、先行リスト上でコピーライト確認できる場合
⇒記載されてるコピーライトを「正」として進めてください。
リリース済み作品で先行リスト上でコピーライト確認できない場合
⇒制作前にお問い合わせください。</v>
      </c>
      <c r="H168" s="70"/>
      <c r="I168" s="71"/>
      <c r="J168" s="15"/>
      <c r="K168" s="16"/>
      <c r="L168" s="17"/>
      <c r="M168" s="17"/>
      <c r="N168" s="17"/>
      <c r="O168" s="17"/>
      <c r="P168" s="17"/>
      <c r="Q168" s="17"/>
      <c r="R168" s="17"/>
      <c r="S168" s="17"/>
      <c r="T168" s="17"/>
      <c r="U168" s="17"/>
      <c r="V168" s="17"/>
    </row>
    <row r="169">
      <c r="A169" s="50"/>
      <c r="B169" s="26" t="str">
        <f>IFERROR(__xludf.DUMMYFUNCTION("""COMPUTED_VALUE"""),"アイプロダクション")</f>
        <v>アイプロダクション</v>
      </c>
      <c r="C169" s="50"/>
      <c r="D169" s="12"/>
      <c r="E169" s="50"/>
      <c r="F169" s="50"/>
      <c r="G169" s="50"/>
      <c r="H169" s="50"/>
      <c r="I169" s="50"/>
      <c r="J169" s="15"/>
      <c r="K169" s="16"/>
      <c r="L169" s="17"/>
      <c r="M169" s="17"/>
      <c r="N169" s="17"/>
      <c r="O169" s="17"/>
      <c r="P169" s="17"/>
      <c r="Q169" s="17"/>
      <c r="R169" s="17"/>
      <c r="S169" s="17"/>
      <c r="T169" s="17"/>
      <c r="U169" s="17"/>
      <c r="V169" s="17"/>
    </row>
    <row r="170">
      <c r="A170" s="50"/>
      <c r="B170" s="10" t="str">
        <f>IFERROR(__xludf.DUMMYFUNCTION("""COMPUTED_VALUE"""),"BBコミック")</f>
        <v>BBコミック</v>
      </c>
      <c r="C170" s="50"/>
      <c r="D170" s="12"/>
      <c r="E170" s="50"/>
      <c r="F170" s="50"/>
      <c r="G170" s="50"/>
      <c r="H170" s="50"/>
      <c r="I170" s="50"/>
      <c r="J170" s="15"/>
      <c r="K170" s="16"/>
      <c r="L170" s="17"/>
      <c r="M170" s="17"/>
      <c r="N170" s="17"/>
      <c r="O170" s="17"/>
      <c r="P170" s="17"/>
      <c r="Q170" s="17"/>
      <c r="R170" s="17"/>
      <c r="S170" s="17"/>
      <c r="T170" s="17"/>
      <c r="U170" s="17"/>
      <c r="V170" s="17"/>
    </row>
    <row r="171">
      <c r="A171" s="50"/>
      <c r="B171" s="10" t="str">
        <f>IFERROR(__xludf.DUMMYFUNCTION("""COMPUTED_VALUE"""),"グループ・ゼロ")</f>
        <v>グループ・ゼロ</v>
      </c>
      <c r="C171" s="50"/>
      <c r="D171" s="12"/>
      <c r="E171" s="50"/>
      <c r="F171" s="50"/>
      <c r="G171" s="50"/>
      <c r="H171" s="50"/>
      <c r="I171" s="50"/>
      <c r="J171" s="15"/>
      <c r="K171" s="16"/>
      <c r="L171" s="17"/>
      <c r="M171" s="17"/>
      <c r="N171" s="17"/>
      <c r="O171" s="17"/>
      <c r="P171" s="17"/>
      <c r="Q171" s="17"/>
      <c r="R171" s="17"/>
      <c r="S171" s="17"/>
      <c r="T171" s="17"/>
      <c r="U171" s="17"/>
      <c r="V171" s="17"/>
    </row>
    <row r="172">
      <c r="A172" s="50"/>
      <c r="B172" s="10" t="str">
        <f>IFERROR(__xludf.DUMMYFUNCTION("""COMPUTED_VALUE"""),"ぶんか社")</f>
        <v>ぶんか社</v>
      </c>
      <c r="C172" s="50"/>
      <c r="D172" s="12"/>
      <c r="E172" s="50"/>
      <c r="F172" s="50"/>
      <c r="G172" s="50"/>
      <c r="H172" s="50"/>
      <c r="I172" s="50"/>
      <c r="J172" s="15"/>
      <c r="K172" s="16"/>
      <c r="L172" s="17"/>
      <c r="M172" s="17"/>
      <c r="N172" s="17"/>
      <c r="O172" s="17"/>
      <c r="P172" s="17"/>
      <c r="Q172" s="17"/>
      <c r="R172" s="17"/>
      <c r="S172" s="17"/>
      <c r="T172" s="17"/>
      <c r="U172" s="17"/>
      <c r="V172" s="17"/>
    </row>
    <row r="173">
      <c r="A173" s="51"/>
      <c r="B173" s="10" t="str">
        <f>IFERROR(__xludf.DUMMYFUNCTION("""COMPUTED_VALUE"""),"青泉社")</f>
        <v>青泉社</v>
      </c>
      <c r="C173" s="51"/>
      <c r="D173" s="12"/>
      <c r="E173" s="51"/>
      <c r="F173" s="51"/>
      <c r="G173" s="51"/>
      <c r="H173" s="51"/>
      <c r="I173" s="51"/>
      <c r="J173" s="15"/>
      <c r="K173" s="16"/>
      <c r="L173" s="17"/>
      <c r="M173" s="17"/>
      <c r="N173" s="17"/>
      <c r="O173" s="17"/>
      <c r="P173" s="17"/>
      <c r="Q173" s="17"/>
      <c r="R173" s="17"/>
      <c r="S173" s="17"/>
      <c r="T173" s="17"/>
      <c r="U173" s="17"/>
      <c r="V173" s="17"/>
    </row>
    <row r="174">
      <c r="A174" s="9" t="str">
        <f>IFERROR(__xludf.DUMMYFUNCTION("""COMPUTED_VALUE"""),"ヒーローズ")</f>
        <v>ヒーローズ</v>
      </c>
      <c r="B174" s="10"/>
      <c r="C174" s="28" t="str">
        <f>IFERROR(__xludf.DUMMYFUNCTION("""COMPUTED_VALUE"""),"必要")</f>
        <v>必要</v>
      </c>
      <c r="D174" s="62"/>
      <c r="E174" s="62"/>
      <c r="F174" s="12" t="str">
        <f>IFERROR(__xludf.DUMMYFUNCTION("""COMPUTED_VALUE"""),"必要")</f>
        <v>必要</v>
      </c>
      <c r="G174" s="99" t="str">
        <f>IFERROR(__xludf.DUMMYFUNCTION("""COMPUTED_VALUE"""),"(C)著者名 / ヒーローズ
(C)著者名　著者名 / ヒーローズ
※スラッシュは半角
※スラッシュの前後に半角スペースを入れる
※共著の区切りは全角スペース
※版権元のある作品には一部例外があります。")</f>
        <v>(C)著者名 / ヒーローズ
(C)著者名　著者名 / ヒーローズ
※スラッシュは半角
※スラッシュの前後に半角スペースを入れる
※共著の区切りは全角スペース
※版権元のある作品には一部例外があります。</v>
      </c>
      <c r="H174" s="100" t="str">
        <f>IFERROR(__xludf.DUMMYFUNCTION("""COMPUTED_VALUE"""),"コピーライト一覧
書影のみ使用なら事前確認不要")</f>
        <v>コピーライト一覧
書影のみ使用なら事前確認不要</v>
      </c>
      <c r="I174" s="14"/>
      <c r="J174" s="15"/>
      <c r="K174" s="16"/>
      <c r="L174" s="17"/>
      <c r="M174" s="17"/>
      <c r="N174" s="17"/>
      <c r="O174" s="17"/>
      <c r="P174" s="17"/>
      <c r="Q174" s="17"/>
      <c r="R174" s="17"/>
      <c r="S174" s="17"/>
      <c r="T174" s="17"/>
      <c r="U174" s="17"/>
      <c r="V174" s="17"/>
    </row>
    <row r="175" ht="30.0" customHeight="1">
      <c r="A175" s="9" t="str">
        <f>IFERROR(__xludf.DUMMYFUNCTION("""COMPUTED_VALUE"""),"ビズビズコミックス")</f>
        <v>ビズビズコミックス</v>
      </c>
      <c r="B175" s="10"/>
      <c r="C175" s="28" t="str">
        <f>IFERROR(__xludf.DUMMYFUNCTION("""COMPUTED_VALUE"""),"必要")</f>
        <v>必要</v>
      </c>
      <c r="D175" s="62"/>
      <c r="E175" s="62"/>
      <c r="F175" s="12" t="str">
        <f>IFERROR(__xludf.DUMMYFUNCTION("""COMPUTED_VALUE"""),"必要")</f>
        <v>必要</v>
      </c>
      <c r="G175" s="69" t="str">
        <f>IFERROR(__xludf.DUMMYFUNCTION("""COMPUTED_VALUE"""),"『タイトル』© 著者名／ハーパーコリンズ・ジャパン")</f>
        <v>『タイトル』© 著者名／ハーパーコリンズ・ジャパン</v>
      </c>
      <c r="H175" s="10"/>
      <c r="I175" s="14"/>
      <c r="J175" s="15"/>
      <c r="K175" s="16"/>
      <c r="L175" s="17"/>
      <c r="M175" s="17"/>
      <c r="N175" s="17"/>
      <c r="O175" s="17"/>
      <c r="P175" s="17"/>
      <c r="Q175" s="17"/>
      <c r="R175" s="17"/>
      <c r="S175" s="17"/>
      <c r="T175" s="17"/>
      <c r="U175" s="17"/>
      <c r="V175" s="17"/>
    </row>
    <row r="176" ht="78.0" customHeight="1">
      <c r="A176" s="42" t="str">
        <f>IFERROR(__xludf.DUMMYFUNCTION("""COMPUTED_VALUE"""),"ファンギルド")</f>
        <v>ファンギルド</v>
      </c>
      <c r="B176" s="26" t="str">
        <f>IFERROR(__xludf.DUMMYFUNCTION("""COMPUTED_VALUE"""),"Rush!
")</f>
        <v>Rush!
</v>
      </c>
      <c r="C176" s="61" t="str">
        <f>IFERROR(__xludf.DUMMYFUNCTION("""COMPUTED_VALUE"""),"不要")</f>
        <v>不要</v>
      </c>
      <c r="D176" s="84"/>
      <c r="E176" s="86" t="str">
        <f>IFERROR(__xludf.DUMMYFUNCTION("""COMPUTED_VALUE"""),"▼加工した場合
事前確認必要")</f>
        <v>▼加工した場合
事前確認必要</v>
      </c>
      <c r="F176" s="44" t="str">
        <f>IFERROR(__xludf.DUMMYFUNCTION("""COMPUTED_VALUE"""),"必要")</f>
        <v>必要</v>
      </c>
      <c r="G176" s="45" t="str">
        <f>IFERROR(__xludf.DUMMYFUNCTION("""COMPUTED_VALUE"""),"©作家名
・「ラブきゅんコミック編集部」「エロマンガ島編集部」「caramel編集部」は記載不要")</f>
        <v>©作家名
・「ラブきゅんコミック編集部」「エロマンガ島編集部」「caramel編集部」は記載不要</v>
      </c>
      <c r="H176" s="26" t="str">
        <f>IFERROR(__xludf.DUMMYFUNCTION("""COMPUTED_VALUE"""),"■書影使用について
⇒下記の場合は許諾確認不要
・書影画像を加工しない（トリミングやテキストを重ねる等）
・画像と一緒に配信するテキストはサイトのサービス訴求を使用
⇒コピーライト記載不要")</f>
        <v>■書影使用について
⇒下記の場合は許諾確認不要
・書影画像を加工しない（トリミングやテキストを重ねる等）
・画像と一緒に配信するテキストはサイトのサービス訴求を使用
⇒コピーライト記載不要</v>
      </c>
      <c r="I176" s="14"/>
      <c r="J176" s="65" t="str">
        <f>IFERROR(__xludf.DUMMYFUNCTION("""COMPUTED_VALUE"""),"○")</f>
        <v>○</v>
      </c>
      <c r="K176" s="16"/>
      <c r="L176" s="17"/>
      <c r="M176" s="17"/>
      <c r="N176" s="17"/>
      <c r="O176" s="17"/>
      <c r="P176" s="17"/>
      <c r="Q176" s="17"/>
      <c r="R176" s="17"/>
      <c r="S176" s="17"/>
      <c r="T176" s="17"/>
      <c r="U176" s="17"/>
      <c r="V176" s="17"/>
    </row>
    <row r="177" ht="78.0" customHeight="1">
      <c r="A177" s="50"/>
      <c r="B177" s="26" t="str">
        <f>IFERROR(__xludf.DUMMYFUNCTION("""COMPUTED_VALUE"""),"Rush! Z")</f>
        <v>Rush! Z</v>
      </c>
      <c r="C177" s="50"/>
      <c r="D177" s="84"/>
      <c r="E177" s="50"/>
      <c r="F177" s="50"/>
      <c r="G177" s="51"/>
      <c r="H177" s="26" t="str">
        <f>IFERROR(__xludf.DUMMYFUNCTION("""COMPUTED_VALUE"""),"■書影使用について
⇒下記の場合は許諾確認不要
・書影画像を加工しない（トリミングやテキストを重ねる等）
・画像と一緒に配信するテキストはサイトのサービス訴求を使用
⇒コピーライト記載不要")</f>
        <v>■書影使用について
⇒下記の場合は許諾確認不要
・書影画像を加工しない（トリミングやテキストを重ねる等）
・画像と一緒に配信するテキストはサイトのサービス訴求を使用
⇒コピーライト記載不要</v>
      </c>
      <c r="I177" s="14"/>
      <c r="J177" s="65" t="str">
        <f>IFERROR(__xludf.DUMMYFUNCTION("""COMPUTED_VALUE"""),"○")</f>
        <v>○</v>
      </c>
      <c r="K177" s="16"/>
      <c r="L177" s="17"/>
      <c r="M177" s="17"/>
      <c r="N177" s="17"/>
      <c r="O177" s="17"/>
      <c r="P177" s="17"/>
      <c r="Q177" s="17"/>
      <c r="R177" s="17"/>
      <c r="S177" s="17"/>
      <c r="T177" s="17"/>
      <c r="U177" s="17"/>
      <c r="V177" s="17"/>
    </row>
    <row r="178">
      <c r="A178" s="50"/>
      <c r="B178" s="26" t="str">
        <f>IFERROR(__xludf.DUMMYFUNCTION("""COMPUTED_VALUE"""),"ソルレーベル
※協業とは別です。")</f>
        <v>ソルレーベル
※協業とは別です。</v>
      </c>
      <c r="C178" s="50"/>
      <c r="D178" s="84"/>
      <c r="E178" s="50"/>
      <c r="F178" s="50"/>
      <c r="G178" s="18" t="str">
        <f>IFERROR(__xludf.DUMMYFUNCTION("""COMPUTED_VALUE"""),"©の後は英語表記
・「ラブきゅんコミック編集部」「エロマンガ島編集部」「caramel編集部」は記載不要")</f>
        <v>©の後は英語表記
・「ラブきゅんコミック編集部」「エロマンガ島編集部」「caramel編集部」は記載不要</v>
      </c>
      <c r="H178" s="46" t="str">
        <f>IFERROR(__xludf.DUMMYFUNCTION("""COMPUTED_VALUE"""),"動画は事前可否必要
■書影使用について
⇒下記の場合は許諾確認不要
・書影画像を加工しない（トリミングやテキストを重ねる等）
・画像と一緒に配信するテキストはサイトのサービス訴求を使用
⇒コピーライト記載不要")</f>
        <v>動画は事前可否必要
■書影使用について
⇒下記の場合は許諾確認不要
・書影画像を加工しない（トリミングやテキストを重ねる等）
・画像と一緒に配信するテキストはサイトのサービス訴求を使用
⇒コピーライト記載不要</v>
      </c>
      <c r="I178" s="14"/>
      <c r="J178" s="65" t="str">
        <f>IFERROR(__xludf.DUMMYFUNCTION("""COMPUTED_VALUE"""),"○")</f>
        <v>○</v>
      </c>
      <c r="K178" s="16"/>
      <c r="L178" s="17"/>
      <c r="M178" s="17"/>
      <c r="N178" s="17"/>
      <c r="O178" s="17"/>
      <c r="P178" s="17"/>
      <c r="Q178" s="17"/>
      <c r="R178" s="17"/>
      <c r="S178" s="17"/>
      <c r="T178" s="17"/>
      <c r="U178" s="17"/>
      <c r="V178" s="17"/>
    </row>
    <row r="179">
      <c r="A179" s="50"/>
      <c r="B179" s="26" t="str">
        <f>IFERROR(__xludf.DUMMYFUNCTION("""COMPUTED_VALUE"""),"作品ジャンルがTL・BL・オトナ")</f>
        <v>作品ジャンルがTL・BL・オトナ</v>
      </c>
      <c r="C179" s="50"/>
      <c r="D179" s="84"/>
      <c r="E179" s="50"/>
      <c r="F179" s="50"/>
      <c r="G179" s="101" t="str">
        <f>IFERROR(__xludf.DUMMYFUNCTION("""COMPUTED_VALUE"""),"©作家名/モバイルメディアリサーチ
↓作家名が英語表記の場合↓
©作家名/MMR
・「ラブきゅんコミック編集部」「エロマンガ島編集部」「caramel編集部」は記載不要")</f>
        <v>©作家名/モバイルメディアリサーチ
↓作家名が英語表記の場合↓
©作家名/MMR
・「ラブきゅんコミック編集部」「エロマンガ島編集部」「caramel編集部」は記載不要</v>
      </c>
      <c r="H179" s="50"/>
      <c r="I179" s="14"/>
      <c r="J179" s="65" t="str">
        <f>IFERROR(__xludf.DUMMYFUNCTION("""COMPUTED_VALUE"""),"○")</f>
        <v>○</v>
      </c>
      <c r="K179" s="16"/>
      <c r="L179" s="17"/>
      <c r="M179" s="17"/>
      <c r="N179" s="17"/>
      <c r="O179" s="17"/>
      <c r="P179" s="17"/>
      <c r="Q179" s="17"/>
      <c r="R179" s="17"/>
      <c r="S179" s="17"/>
      <c r="T179" s="17"/>
      <c r="U179" s="17"/>
      <c r="V179" s="17"/>
    </row>
    <row r="180" ht="81.0" customHeight="1">
      <c r="A180" s="51"/>
      <c r="B180" s="26" t="str">
        <f>IFERROR(__xludf.DUMMYFUNCTION("""COMPUTED_VALUE"""),"作品ジャンルが少年・青年・少女・女性")</f>
        <v>作品ジャンルが少年・青年・少女・女性</v>
      </c>
      <c r="C180" s="51"/>
      <c r="D180" s="84"/>
      <c r="E180" s="51"/>
      <c r="F180" s="51"/>
      <c r="G180" s="25" t="str">
        <f>IFERROR(__xludf.DUMMYFUNCTION("""COMPUTED_VALUE"""),"©作家名/ファンギルド
↓作家名が英語表記の場合↓
©作家名/FUNGUILD
※JAMTOON除く")</f>
        <v>©作家名/ファンギルド
↓作家名が英語表記の場合↓
©作家名/FUNGUILD
※JAMTOON除く</v>
      </c>
      <c r="H180" s="51"/>
      <c r="I180" s="14"/>
      <c r="J180" s="65" t="str">
        <f>IFERROR(__xludf.DUMMYFUNCTION("""COMPUTED_VALUE"""),"○")</f>
        <v>○</v>
      </c>
      <c r="K180" s="16"/>
      <c r="L180" s="17"/>
      <c r="M180" s="17"/>
      <c r="N180" s="17"/>
      <c r="O180" s="17"/>
      <c r="P180" s="17"/>
      <c r="Q180" s="17"/>
      <c r="R180" s="17"/>
      <c r="S180" s="17"/>
      <c r="T180" s="17"/>
      <c r="U180" s="17"/>
      <c r="V180" s="17"/>
    </row>
    <row r="181">
      <c r="A181" s="42" t="str">
        <f>IFERROR(__xludf.DUMMYFUNCTION("""COMPUTED_VALUE"""),"フェアベル")</f>
        <v>フェアベル</v>
      </c>
      <c r="B181" s="10" t="str">
        <f>IFERROR(__xludf.DUMMYFUNCTION("""COMPUTED_VALUE"""),"フェアベル")</f>
        <v>フェアベル</v>
      </c>
      <c r="C181" s="43" t="str">
        <f>IFERROR(__xludf.DUMMYFUNCTION("""COMPUTED_VALUE"""),"必要")</f>
        <v>必要</v>
      </c>
      <c r="D181" s="12"/>
      <c r="E181" s="44"/>
      <c r="F181" s="44" t="str">
        <f>IFERROR(__xludf.DUMMYFUNCTION("""COMPUTED_VALUE"""),"必要")</f>
        <v>必要</v>
      </c>
      <c r="G181" s="20" t="str">
        <f>IFERROR(__xludf.DUMMYFUNCTION("""COMPUTED_VALUE"""),"©作者名/フェアベル
▼池田理代子作品
©池田理代子プロダクション ")</f>
        <v>©作者名/フェアベル
▼池田理代子作品
©池田理代子プロダクション </v>
      </c>
      <c r="H181" s="10"/>
      <c r="I181" s="14"/>
      <c r="J181" s="15"/>
      <c r="K181" s="16"/>
      <c r="L181" s="17"/>
      <c r="M181" s="17"/>
      <c r="N181" s="17"/>
      <c r="O181" s="17"/>
      <c r="P181" s="17"/>
      <c r="Q181" s="17"/>
      <c r="R181" s="17"/>
      <c r="S181" s="17"/>
      <c r="T181" s="17"/>
      <c r="U181" s="17"/>
      <c r="V181" s="17"/>
    </row>
    <row r="182" ht="22.5" customHeight="1">
      <c r="A182" s="51"/>
      <c r="B182" s="10" t="str">
        <f>IFERROR(__xludf.DUMMYFUNCTION("""COMPUTED_VALUE"""),"ピーチピンク")</f>
        <v>ピーチピンク</v>
      </c>
      <c r="C182" s="51"/>
      <c r="D182" s="12"/>
      <c r="E182" s="51"/>
      <c r="F182" s="51"/>
      <c r="G182" s="13" t="str">
        <f>IFERROR(__xludf.DUMMYFUNCTION("""COMPUTED_VALUE"""),"©作家名/ピーチピンク")</f>
        <v>©作家名/ピーチピンク</v>
      </c>
      <c r="H182" s="10"/>
      <c r="I182" s="14"/>
      <c r="J182" s="15"/>
      <c r="K182" s="16"/>
      <c r="L182" s="17"/>
      <c r="M182" s="17"/>
      <c r="N182" s="17"/>
      <c r="O182" s="17"/>
      <c r="P182" s="17"/>
      <c r="Q182" s="17"/>
      <c r="R182" s="17"/>
      <c r="S182" s="17"/>
      <c r="T182" s="17"/>
      <c r="U182" s="17"/>
      <c r="V182" s="17"/>
    </row>
    <row r="183">
      <c r="A183" s="9" t="str">
        <f>IFERROR(__xludf.DUMMYFUNCTION("""COMPUTED_VALUE"""),"ブックブライト")</f>
        <v>ブックブライト</v>
      </c>
      <c r="B183" s="10"/>
      <c r="C183" s="28" t="str">
        <f>IFERROR(__xludf.DUMMYFUNCTION("""COMPUTED_VALUE"""),"必要")</f>
        <v>必要</v>
      </c>
      <c r="D183" s="12"/>
      <c r="E183" s="12"/>
      <c r="F183" s="12" t="str">
        <f>IFERROR(__xludf.DUMMYFUNCTION("""COMPUTED_VALUE"""),"必要")</f>
        <v>必要</v>
      </c>
      <c r="G183" s="18" t="str">
        <f>IFERROR(__xludf.DUMMYFUNCTION("""COMPUTED_VALUE"""),"©著者名/ブックブライト
・書影まま使用した場合はコピーライト不要")</f>
        <v>©著者名/ブックブライト
・書影まま使用した場合はコピーライト不要</v>
      </c>
      <c r="H183" s="10"/>
      <c r="I183" s="14"/>
      <c r="J183" s="15"/>
      <c r="K183" s="16"/>
      <c r="L183" s="17"/>
      <c r="M183" s="17"/>
      <c r="N183" s="17"/>
      <c r="O183" s="17"/>
      <c r="P183" s="17"/>
      <c r="Q183" s="17"/>
      <c r="R183" s="17"/>
      <c r="S183" s="17"/>
      <c r="T183" s="17"/>
      <c r="U183" s="17"/>
      <c r="V183" s="17"/>
    </row>
    <row r="184">
      <c r="A184" s="42" t="str">
        <f>IFERROR(__xludf.DUMMYFUNCTION("""COMPUTED_VALUE"""),"ブックマークジャパン")</f>
        <v>ブックマークジャパン</v>
      </c>
      <c r="B184" s="10" t="str">
        <f>IFERROR(__xludf.DUMMYFUNCTION("""COMPUTED_VALUE"""),"ゴリラ堂")</f>
        <v>ゴリラ堂</v>
      </c>
      <c r="C184" s="61" t="str">
        <f>IFERROR(__xludf.DUMMYFUNCTION("""COMPUTED_VALUE"""),"不要")</f>
        <v>不要</v>
      </c>
      <c r="D184" s="78"/>
      <c r="E184" s="102" t="str">
        <f>IFERROR(__xludf.DUMMYFUNCTION("""COMPUTED_VALUE"""),"▼加工内容問わず
事前確認不要")</f>
        <v>▼加工内容問わず
事前確認不要</v>
      </c>
      <c r="F184" s="102" t="str">
        <f>IFERROR(__xludf.DUMMYFUNCTION("""COMPUTED_VALUE"""),"必要")</f>
        <v>必要</v>
      </c>
      <c r="G184" s="103" t="str">
        <f>IFERROR(__xludf.DUMMYFUNCTION("""COMPUTED_VALUE"""),"『タイトル名』©作者名/Bコミ
・タイトル名必須")</f>
        <v>『タイトル名』©作者名/Bコミ
・タイトル名必須</v>
      </c>
      <c r="H184" s="46" t="str">
        <f>IFERROR(__xludf.DUMMYFUNCTION("""COMPUTED_VALUE"""),"タイトル名必須ですが、媒体レギュレーションの関係でタイトル名を省略した場合、コピーライトの記載があれば監修不要です。")</f>
        <v>タイトル名必須ですが、媒体レギュレーションの関係でタイトル名を省略した場合、コピーライトの記載があれば監修不要です。</v>
      </c>
      <c r="I184" s="14"/>
      <c r="J184" s="15"/>
      <c r="K184" s="16"/>
      <c r="L184" s="17"/>
      <c r="M184" s="17"/>
      <c r="N184" s="17"/>
      <c r="O184" s="17"/>
      <c r="P184" s="17"/>
      <c r="Q184" s="17"/>
      <c r="R184" s="17"/>
      <c r="S184" s="17"/>
      <c r="T184" s="17"/>
      <c r="U184" s="17"/>
      <c r="V184" s="17"/>
    </row>
    <row r="185" ht="25.5" customHeight="1">
      <c r="A185" s="50"/>
      <c r="B185" s="10" t="str">
        <f>IFERROR(__xludf.DUMMYFUNCTION("""COMPUTED_VALUE"""),"ブックマークジャパン")</f>
        <v>ブックマークジャパン</v>
      </c>
      <c r="C185" s="50"/>
      <c r="D185" s="78"/>
      <c r="E185" s="50"/>
      <c r="F185" s="50"/>
      <c r="G185" s="50"/>
      <c r="H185" s="50"/>
      <c r="I185" s="14"/>
      <c r="J185" s="15"/>
      <c r="K185" s="16"/>
      <c r="L185" s="17"/>
      <c r="M185" s="17"/>
      <c r="N185" s="17"/>
      <c r="O185" s="17"/>
      <c r="P185" s="17"/>
      <c r="Q185" s="17"/>
      <c r="R185" s="17"/>
      <c r="S185" s="17"/>
      <c r="T185" s="17"/>
      <c r="U185" s="17"/>
      <c r="V185" s="17"/>
    </row>
    <row r="186">
      <c r="A186" s="50"/>
      <c r="B186" s="26" t="str">
        <f>IFERROR(__xludf.DUMMYFUNCTION("""COMPUTED_VALUE"""),"Bコミ")</f>
        <v>Bコミ</v>
      </c>
      <c r="C186" s="51"/>
      <c r="D186" s="78"/>
      <c r="E186" s="51"/>
      <c r="F186" s="51"/>
      <c r="G186" s="51"/>
      <c r="H186" s="51"/>
      <c r="I186" s="14"/>
      <c r="J186" s="15"/>
      <c r="K186" s="16"/>
      <c r="L186" s="17"/>
      <c r="M186" s="17"/>
      <c r="N186" s="17"/>
      <c r="O186" s="17"/>
      <c r="P186" s="17"/>
      <c r="Q186" s="17"/>
      <c r="R186" s="17"/>
      <c r="S186" s="17"/>
      <c r="T186" s="17"/>
      <c r="U186" s="17"/>
      <c r="V186" s="17"/>
    </row>
    <row r="187">
      <c r="A187" s="51"/>
      <c r="B187" s="26" t="str">
        <f>IFERROR(__xludf.DUMMYFUNCTION("""COMPUTED_VALUE"""),"タツノコプロ")</f>
        <v>タツノコプロ</v>
      </c>
      <c r="C187" s="28" t="str">
        <f>IFERROR(__xludf.DUMMYFUNCTION("""COMPUTED_VALUE"""),"必要")</f>
        <v>必要</v>
      </c>
      <c r="D187" s="104"/>
      <c r="E187" s="104"/>
      <c r="F187" s="78" t="str">
        <f>IFERROR(__xludf.DUMMYFUNCTION("""COMPUTED_VALUE"""),"必要")</f>
        <v>必要</v>
      </c>
      <c r="G187" s="105" t="str">
        <f>IFERROR(__xludf.DUMMYFUNCTION("""COMPUTED_VALUE"""),"■C表記形式はタイトル毎に異なる為、都度確認")</f>
        <v>■C表記形式はタイトル毎に異なる為、都度確認</v>
      </c>
      <c r="H187" s="10"/>
      <c r="I187" s="14"/>
      <c r="J187" s="15"/>
      <c r="K187" s="16"/>
      <c r="L187" s="17"/>
      <c r="M187" s="106"/>
      <c r="N187" s="106"/>
      <c r="O187" s="106"/>
      <c r="P187" s="106"/>
      <c r="Q187" s="106"/>
      <c r="R187" s="106"/>
      <c r="S187" s="106"/>
      <c r="T187" s="106"/>
      <c r="U187" s="106"/>
      <c r="V187" s="106"/>
    </row>
    <row r="188">
      <c r="A188" s="107" t="str">
        <f>IFERROR(__xludf.DUMMYFUNCTION("""COMPUTED_VALUE"""),"フューチャーコミックス
2023/9～CLLENNと合併")</f>
        <v>フューチャーコミックス
2023/9～CLLENNと合併</v>
      </c>
      <c r="B188" s="108"/>
      <c r="C188" s="109" t="str">
        <f>IFERROR(__xludf.DUMMYFUNCTION("""COMPUTED_VALUE"""),"不要")</f>
        <v>不要</v>
      </c>
      <c r="D188" s="110"/>
      <c r="E188" s="110"/>
      <c r="F188" s="111" t="str">
        <f>IFERROR(__xludf.DUMMYFUNCTION("""COMPUTED_VALUE"""),"必要")</f>
        <v>必要</v>
      </c>
      <c r="G188" s="112" t="str">
        <f>IFERROR(__xludf.DUMMYFUNCTION("""COMPUTED_VALUE"""),"CLLENNルールを参照してください
©作者名/フューチャーコミックス
もしくは　©作者名/Futurecomics
・C表記は省略しても構いません
・「オイナリ/oinari」の表記は省略可　※1.プロモ外部用はC表記不要")</f>
        <v>CLLENNルールを参照してください
©作者名/フューチャーコミックス
もしくは　©作者名/Futurecomics
・C表記は省略しても構いません
・「オイナリ/oinari」の表記は省略可　※1.プロモ外部用はC表記不要</v>
      </c>
      <c r="H188" s="108"/>
      <c r="I188" s="113"/>
      <c r="J188" s="114"/>
      <c r="K188" s="115"/>
      <c r="L188" s="106"/>
      <c r="M188" s="106"/>
      <c r="N188" s="106"/>
      <c r="O188" s="106"/>
      <c r="P188" s="106"/>
      <c r="Q188" s="106"/>
      <c r="R188" s="106"/>
      <c r="S188" s="106"/>
      <c r="T188" s="106"/>
      <c r="U188" s="106"/>
      <c r="V188" s="106"/>
    </row>
    <row r="189">
      <c r="A189" s="52" t="str">
        <f>IFERROR(__xludf.DUMMYFUNCTION("""COMPUTED_VALUE"""),"ブライト出版社
※「使用画像テキスト」要")</f>
        <v>ブライト出版社
※「使用画像テキスト」要</v>
      </c>
      <c r="B189" s="10"/>
      <c r="C189" s="28" t="str">
        <f>IFERROR(__xludf.DUMMYFUNCTION("""COMPUTED_VALUE"""),"必要")</f>
        <v>必要</v>
      </c>
      <c r="D189" s="12" t="str">
        <f>IFERROR(__xludf.DUMMYFUNCTION("""COMPUTED_VALUE"""),"使用画像テキスト")</f>
        <v>使用画像テキスト</v>
      </c>
      <c r="E189" s="116"/>
      <c r="F189" s="12" t="str">
        <f>IFERROR(__xludf.DUMMYFUNCTION("""COMPUTED_VALUE"""),"必要")</f>
        <v>必要</v>
      </c>
      <c r="G189" s="13" t="str">
        <f>IFERROR(__xludf.DUMMYFUNCTION("""COMPUTED_VALUE"""),"©著者名/ブライト出版")</f>
        <v>©著者名/ブライト出版</v>
      </c>
      <c r="H189" s="77" t="str">
        <f>IFERROR(__xludf.DUMMYFUNCTION("""COMPUTED_VALUE"""),"キャンペーンがラブコフレ関連のものについては
大誠社、ブライト出版のC表記ルールに関わらず、以下の仕様となるようです。
--------------------------------
著者名を入れる場合　：©作家名/ラブコフレ　
著者名を入れない場合：©ラブコフレ
※C表記については｢©ラブコフレ｣が必須・入れば作家名も。
--------------------------------
⇒ブライト出版から出版されたラブコフレ作品で、「©作者名/ブライト出版」はNGだった　")</f>
        <v>キャンペーンがラブコフレ関連のものについては
大誠社、ブライト出版のC表記ルールに関わらず、以下の仕様となるようです。
--------------------------------
著者名を入れる場合　：©作家名/ラブコフレ　
著者名を入れない場合：©ラブコフレ
※C表記については｢©ラブコフレ｣が必須・入れば作家名も。
--------------------------------
⇒ブライト出版から出版されたラブコフレ作品で、「©作者名/ブライト出版」はNGだった　</v>
      </c>
      <c r="I189" s="14"/>
      <c r="J189" s="15"/>
      <c r="K189" s="16"/>
      <c r="L189" s="17"/>
      <c r="M189" s="17"/>
      <c r="N189" s="17"/>
      <c r="O189" s="17"/>
      <c r="P189" s="17"/>
      <c r="Q189" s="17"/>
      <c r="R189" s="17"/>
      <c r="S189" s="17"/>
      <c r="T189" s="17"/>
      <c r="U189" s="17"/>
      <c r="V189" s="17"/>
    </row>
    <row r="190">
      <c r="A190" s="42" t="str">
        <f>IFERROR(__xludf.DUMMYFUNCTION("""COMPUTED_VALUE"""),"プランタン出版")</f>
        <v>プランタン出版</v>
      </c>
      <c r="B190" s="10" t="str">
        <f>IFERROR(__xludf.DUMMYFUNCTION("""COMPUTED_VALUE"""),"プランタン出版")</f>
        <v>プランタン出版</v>
      </c>
      <c r="C190" s="117" t="str">
        <f>IFERROR(__xludf.DUMMYFUNCTION("""COMPUTED_VALUE"""),"不要
（動画の場合は必要）")</f>
        <v>不要
（動画の場合は必要）</v>
      </c>
      <c r="D190" s="116"/>
      <c r="E190" s="116"/>
      <c r="F190" s="12" t="str">
        <f>IFERROR(__xludf.DUMMYFUNCTION("""COMPUTED_VALUE"""),"必要")</f>
        <v>必要</v>
      </c>
      <c r="G190" s="98" t="str">
        <f>IFERROR(__xludf.DUMMYFUNCTION("""COMPUTED_VALUE"""),"©著者名/プランタン出版")</f>
        <v>©著者名/プランタン出版</v>
      </c>
      <c r="H190" s="10"/>
      <c r="I190" s="14"/>
      <c r="J190" s="15"/>
      <c r="K190" s="16"/>
      <c r="L190" s="17"/>
      <c r="M190" s="17"/>
      <c r="N190" s="17"/>
      <c r="O190" s="17"/>
      <c r="P190" s="17"/>
      <c r="Q190" s="17"/>
      <c r="R190" s="17"/>
      <c r="S190" s="17"/>
      <c r="T190" s="17"/>
      <c r="U190" s="17"/>
      <c r="V190" s="17"/>
    </row>
    <row r="191" ht="37.5" customHeight="1">
      <c r="A191" s="51"/>
      <c r="B191" s="10" t="str">
        <f>IFERROR(__xludf.DUMMYFUNCTION("""COMPUTED_VALUE"""),"プランタン出版/Canna Comics")</f>
        <v>プランタン出版/Canna Comics</v>
      </c>
      <c r="C191" s="51"/>
      <c r="D191" s="116"/>
      <c r="E191" s="116"/>
      <c r="F191" s="12" t="str">
        <f>IFERROR(__xludf.DUMMYFUNCTION("""COMPUTED_VALUE"""),"必要")</f>
        <v>必要</v>
      </c>
      <c r="G191" s="51"/>
      <c r="H191" s="10"/>
      <c r="I191" s="14"/>
      <c r="J191" s="15"/>
      <c r="K191" s="16"/>
      <c r="L191" s="17"/>
      <c r="M191" s="17"/>
      <c r="N191" s="17"/>
      <c r="O191" s="17"/>
      <c r="P191" s="17"/>
      <c r="Q191" s="17"/>
      <c r="R191" s="17"/>
      <c r="S191" s="17"/>
      <c r="T191" s="17"/>
      <c r="U191" s="17"/>
      <c r="V191" s="17"/>
    </row>
    <row r="192" ht="74.25" customHeight="1">
      <c r="A192" s="30" t="str">
        <f>IFERROR(__xludf.DUMMYFUNCTION("""COMPUTED_VALUE"""),"クロスフォリオ出版
（旧：ブリック出版）")</f>
        <v>クロスフォリオ出版
（旧：ブリック出版）</v>
      </c>
      <c r="B192" s="10"/>
      <c r="C192" s="11" t="str">
        <f>IFERROR(__xludf.DUMMYFUNCTION("""COMPUTED_VALUE"""),"不要")</f>
        <v>不要</v>
      </c>
      <c r="D192" s="12"/>
      <c r="E192" s="12"/>
      <c r="F192" s="12" t="str">
        <f>IFERROR(__xludf.DUMMYFUNCTION("""COMPUTED_VALUE"""),"必要")</f>
        <v>必要</v>
      </c>
      <c r="G192" s="118" t="str">
        <f>IFERROR(__xludf.DUMMYFUNCTION("""COMPUTED_VALUE"""),"©クロスフォリオ出版
バナーなどでは例外的に作家名の記載なしでもOK")</f>
        <v>©クロスフォリオ出版
バナーなどでは例外的に作家名の記載なしでもOK</v>
      </c>
      <c r="H192" s="119" t="str">
        <f>IFERROR(__xludf.DUMMYFUNCTION("""COMPUTED_VALUE"""),"「THE猥談」レーベル作品は事後共有要")</f>
        <v>「THE猥談」レーベル作品は事後共有要</v>
      </c>
      <c r="I192" s="14"/>
      <c r="J192" s="15"/>
      <c r="K192" s="16"/>
      <c r="L192" s="17"/>
      <c r="M192" s="17"/>
      <c r="N192" s="17"/>
      <c r="O192" s="17"/>
      <c r="P192" s="17"/>
      <c r="Q192" s="17"/>
      <c r="R192" s="17"/>
      <c r="S192" s="17"/>
      <c r="T192" s="17"/>
      <c r="U192" s="17"/>
      <c r="V192" s="17"/>
    </row>
    <row r="193">
      <c r="A193" s="9" t="str">
        <f>IFERROR(__xludf.DUMMYFUNCTION("""COMPUTED_VALUE"""),"フレックスコミックス")</f>
        <v>フレックスコミックス</v>
      </c>
      <c r="B193" s="10"/>
      <c r="C193" s="28" t="str">
        <f>IFERROR(__xludf.DUMMYFUNCTION("""COMPUTED_VALUE"""),"必要")</f>
        <v>必要</v>
      </c>
      <c r="D193" s="116"/>
      <c r="E193" s="116"/>
      <c r="F193" s="12" t="str">
        <f>IFERROR(__xludf.DUMMYFUNCTION("""COMPUTED_VALUE"""),"必要")</f>
        <v>必要</v>
      </c>
      <c r="G193" s="18" t="str">
        <f>IFERROR(__xludf.DUMMYFUNCTION("""COMPUTED_VALUE"""),"©作者名/レーベル名
・書影まま使用した場合はコピーライト不要")</f>
        <v>©作者名/レーベル名
・書影まま使用した場合はコピーライト不要</v>
      </c>
      <c r="H193" s="10"/>
      <c r="I193" s="14"/>
      <c r="J193" s="15"/>
      <c r="K193" s="16"/>
      <c r="L193" s="17"/>
      <c r="M193" s="17"/>
      <c r="N193" s="17"/>
      <c r="O193" s="17"/>
      <c r="P193" s="17"/>
      <c r="Q193" s="17"/>
      <c r="R193" s="17"/>
      <c r="S193" s="17"/>
      <c r="T193" s="17"/>
      <c r="U193" s="17"/>
      <c r="V193" s="17"/>
    </row>
    <row r="194">
      <c r="A194" s="42" t="str">
        <f>IFERROR(__xludf.DUMMYFUNCTION("""COMPUTED_VALUE"""),"フロンティアワークス")</f>
        <v>フロンティアワークス</v>
      </c>
      <c r="B194" s="10" t="str">
        <f>IFERROR(__xludf.DUMMYFUNCTION("""COMPUTED_VALUE"""),"フロンティアワークス")</f>
        <v>フロンティアワークス</v>
      </c>
      <c r="C194" s="43" t="str">
        <f>IFERROR(__xludf.DUMMYFUNCTION("""COMPUTED_VALUE"""),"必要")</f>
        <v>必要</v>
      </c>
      <c r="D194" s="120"/>
      <c r="E194" s="120"/>
      <c r="F194" s="44" t="str">
        <f>IFERROR(__xludf.DUMMYFUNCTION("""COMPUTED_VALUE"""),"必要")</f>
        <v>必要</v>
      </c>
      <c r="G194" s="20" t="str">
        <f>IFERROR(__xludf.DUMMYFUNCTION("""COMPUTED_VALUE"""),"©作者名/Frontier Works Inc. 
・アダルトサイトの場合は　©作家名")</f>
        <v>©作者名/Frontier Works Inc. 
・アダルトサイトの場合は　©作家名</v>
      </c>
      <c r="H194" s="68" t="str">
        <f>IFERROR(__xludf.DUMMYFUNCTION("""COMPUTED_VALUE"""),"「©」や「/」前後の文字間隔の判定が大変厳しいため、フォントの選定にご注意ください。（実際には半角スペースを入れていなくても、少しでも入っているように見えると修正になります）
色づけ：キャラクターなどに直接影響を与えるものでなければOK
下記作家はアダルトNG
・座裏屋蘭丸
◇「広瀬煉」先生表記について
広瀬と煉の間に半角アキ挿入をお願いいたします
（誤）広瀬煉→（正）広瀬 煉")</f>
        <v>「©」や「/」前後の文字間隔の判定が大変厳しいため、フォントの選定にご注意ください。（実際には半角スペースを入れていなくても、少しでも入っているように見えると修正になります）
色づけ：キャラクターなどに直接影響を与えるものでなければOK
下記作家はアダルトNG
・座裏屋蘭丸
◇「広瀬煉」先生表記について
広瀬と煉の間に半角アキ挿入をお願いいたします
（誤）広瀬煉→（正）広瀬 煉</v>
      </c>
      <c r="I194" s="47"/>
      <c r="J194" s="15"/>
      <c r="K194" s="16"/>
      <c r="L194" s="17"/>
      <c r="M194" s="17"/>
      <c r="N194" s="17"/>
      <c r="O194" s="17"/>
      <c r="P194" s="17"/>
      <c r="Q194" s="17"/>
      <c r="R194" s="17"/>
      <c r="S194" s="17"/>
      <c r="T194" s="17"/>
      <c r="U194" s="17"/>
      <c r="V194" s="17"/>
    </row>
    <row r="195" ht="27.75" customHeight="1">
      <c r="A195" s="50"/>
      <c r="B195" s="10" t="str">
        <f>IFERROR(__xludf.DUMMYFUNCTION("""COMPUTED_VALUE"""),"3E")</f>
        <v>3E</v>
      </c>
      <c r="C195" s="50"/>
      <c r="D195" s="50"/>
      <c r="E195" s="50"/>
      <c r="F195" s="50"/>
      <c r="G195" s="13" t="str">
        <f>IFERROR(__xludf.DUMMYFUNCTION("""COMPUTED_VALUE"""),"©作者名/3E")</f>
        <v>©作者名/3E</v>
      </c>
      <c r="H195" s="50"/>
      <c r="I195" s="50"/>
      <c r="J195" s="15"/>
      <c r="K195" s="16"/>
      <c r="L195" s="17"/>
      <c r="M195" s="17"/>
      <c r="N195" s="17"/>
      <c r="O195" s="17"/>
      <c r="P195" s="17"/>
      <c r="Q195" s="17"/>
      <c r="R195" s="17"/>
      <c r="S195" s="17"/>
      <c r="T195" s="17"/>
      <c r="U195" s="17"/>
      <c r="V195" s="17"/>
    </row>
    <row r="196">
      <c r="A196" s="50"/>
      <c r="B196" s="10" t="str">
        <f>IFERROR(__xludf.DUMMYFUNCTION("""COMPUTED_VALUE"""),"アリアンローズコミックス")</f>
        <v>アリアンローズコミックス</v>
      </c>
      <c r="C196" s="50"/>
      <c r="D196" s="50"/>
      <c r="E196" s="50"/>
      <c r="F196" s="50"/>
      <c r="G196" s="45" t="str">
        <f>IFERROR(__xludf.DUMMYFUNCTION("""COMPUTED_VALUE"""),"©著者名・原作者名/Frontier Works Inc. 
・アダルトサイトの場合は　©作家名
・ダリアコミックスe / Daria（ダリア）作品はアダルト面では作品名不要
・作者が複数いる場合は　©著者名・原作者名/Frontier Works Inc. ")</f>
        <v>©著者名・原作者名/Frontier Works Inc. 
・アダルトサイトの場合は　©作家名
・ダリアコミックスe / Daria（ダリア）作品はアダルト面では作品名不要
・作者が複数いる場合は　©著者名・原作者名/Frontier Works Inc. </v>
      </c>
      <c r="H196" s="50"/>
      <c r="I196" s="50"/>
      <c r="J196" s="15"/>
      <c r="K196" s="16"/>
      <c r="L196" s="17"/>
      <c r="M196" s="17"/>
      <c r="N196" s="17"/>
      <c r="O196" s="17"/>
      <c r="P196" s="17"/>
      <c r="Q196" s="17"/>
      <c r="R196" s="17"/>
      <c r="S196" s="17"/>
      <c r="T196" s="17"/>
      <c r="U196" s="17"/>
      <c r="V196" s="17"/>
    </row>
    <row r="197" ht="30.0" customHeight="1">
      <c r="A197" s="50"/>
      <c r="B197" s="10" t="str">
        <f>IFERROR(__xludf.DUMMYFUNCTION("""COMPUTED_VALUE"""),"ダリアコミックス")</f>
        <v>ダリアコミックス</v>
      </c>
      <c r="C197" s="50"/>
      <c r="D197" s="50"/>
      <c r="E197" s="50"/>
      <c r="F197" s="50"/>
      <c r="G197" s="50"/>
      <c r="H197" s="50"/>
      <c r="I197" s="50"/>
      <c r="J197" s="15"/>
      <c r="K197" s="16"/>
      <c r="L197" s="17"/>
      <c r="M197" s="17"/>
      <c r="N197" s="17"/>
      <c r="O197" s="17"/>
      <c r="P197" s="17"/>
      <c r="Q197" s="17"/>
      <c r="R197" s="17"/>
      <c r="S197" s="17"/>
      <c r="T197" s="17"/>
      <c r="U197" s="17"/>
      <c r="V197" s="17"/>
    </row>
    <row r="198" ht="45.0" customHeight="1">
      <c r="A198" s="50"/>
      <c r="B198" s="10" t="str">
        <f>IFERROR(__xludf.DUMMYFUNCTION("""COMPUTED_VALUE"""),"リラクトコミックス")</f>
        <v>リラクトコミックス</v>
      </c>
      <c r="C198" s="50"/>
      <c r="D198" s="50"/>
      <c r="E198" s="50"/>
      <c r="F198" s="50"/>
      <c r="G198" s="51"/>
      <c r="H198" s="50"/>
      <c r="I198" s="50"/>
      <c r="J198" s="15"/>
      <c r="K198" s="16"/>
      <c r="L198" s="17"/>
      <c r="M198" s="17"/>
      <c r="N198" s="17"/>
      <c r="O198" s="17"/>
      <c r="P198" s="17"/>
      <c r="Q198" s="17"/>
      <c r="R198" s="17"/>
      <c r="S198" s="17"/>
      <c r="T198" s="17"/>
      <c r="U198" s="17"/>
      <c r="V198" s="17"/>
    </row>
    <row r="199" ht="57.75" customHeight="1">
      <c r="A199" s="51"/>
      <c r="B199" s="10" t="str">
        <f>IFERROR(__xludf.DUMMYFUNCTION("""COMPUTED_VALUE"""),"ラブスイーツ")</f>
        <v>ラブスイーツ</v>
      </c>
      <c r="C199" s="51"/>
      <c r="D199" s="51"/>
      <c r="E199" s="51"/>
      <c r="F199" s="51"/>
      <c r="G199" s="18" t="str">
        <f>IFERROR(__xludf.DUMMYFUNCTION("""COMPUTED_VALUE"""),"©作者名/ラブスイーツ
・アダルトサイトの場合は　©作家名")</f>
        <v>©作者名/ラブスイーツ
・アダルトサイトの場合は　©作家名</v>
      </c>
      <c r="H199" s="51"/>
      <c r="I199" s="51"/>
      <c r="J199" s="15"/>
      <c r="K199" s="16"/>
      <c r="L199" s="17"/>
      <c r="M199" s="17"/>
      <c r="N199" s="17"/>
      <c r="O199" s="17"/>
      <c r="P199" s="17"/>
      <c r="Q199" s="17"/>
      <c r="R199" s="17"/>
      <c r="S199" s="17"/>
      <c r="T199" s="17"/>
      <c r="U199" s="17"/>
      <c r="V199" s="17"/>
    </row>
    <row r="200">
      <c r="A200" s="9" t="str">
        <f>IFERROR(__xludf.DUMMYFUNCTION("""COMPUTED_VALUE"""),"ぶんか社")</f>
        <v>ぶんか社</v>
      </c>
      <c r="B200" s="10"/>
      <c r="C200" s="121" t="str">
        <f>IFERROR(__xludf.DUMMYFUNCTION("""COMPUTED_VALUE"""),"不要
「着色」「動画」の場合は必要")</f>
        <v>不要
「着色」「動画」の場合は必要</v>
      </c>
      <c r="D200" s="116"/>
      <c r="E200" s="116"/>
      <c r="F200" s="12" t="str">
        <f>IFERROR(__xludf.DUMMYFUNCTION("""COMPUTED_VALUE"""),"必要")</f>
        <v>必要</v>
      </c>
      <c r="G200" s="20" t="str">
        <f>IFERROR(__xludf.DUMMYFUNCTION("""COMPUTED_VALUE"""),"©作者名/ぶんか社
・オトメイトの場合　©作者名・オトメイト/ぶんか社")</f>
        <v>©作者名/ぶんか社
・オトメイトの場合　©作者名・オトメイト/ぶんか社</v>
      </c>
      <c r="H200" s="26" t="str">
        <f>IFERROR(__xludf.DUMMYFUNCTION("""COMPUTED_VALUE"""),"つきのおまめ先生作品「宮原先輩と藤原くん フジクマくんのせいで、ぬいぐるみ卒業しました。」は事前可否ありで対応")</f>
        <v>つきのおまめ先生作品「宮原先輩と藤原くん フジクマくんのせいで、ぬいぐるみ卒業しました。」は事前可否ありで対応</v>
      </c>
      <c r="I200" s="14"/>
      <c r="J200" s="15"/>
      <c r="K200" s="16"/>
      <c r="L200" s="17"/>
      <c r="M200" s="17"/>
      <c r="N200" s="17"/>
      <c r="O200" s="17"/>
      <c r="P200" s="17"/>
      <c r="Q200" s="17"/>
      <c r="R200" s="17"/>
      <c r="S200" s="17"/>
      <c r="T200" s="17"/>
      <c r="U200" s="17"/>
      <c r="V200" s="17"/>
    </row>
    <row r="201">
      <c r="A201" s="30" t="str">
        <f>IFERROR(__xludf.DUMMYFUNCTION("""COMPUTED_VALUE"""),"楽楽出版")</f>
        <v>楽楽出版</v>
      </c>
      <c r="B201" s="10"/>
      <c r="C201" s="121" t="str">
        <f>IFERROR(__xludf.DUMMYFUNCTION("""COMPUTED_VALUE"""),"不要
「着色」「動画」の場合は必要")</f>
        <v>不要
「着色」「動画」の場合は必要</v>
      </c>
      <c r="D201" s="116"/>
      <c r="E201" s="116"/>
      <c r="F201" s="12" t="str">
        <f>IFERROR(__xludf.DUMMYFUNCTION("""COMPUTED_VALUE"""),"必要")</f>
        <v>必要</v>
      </c>
      <c r="G201" s="25" t="str">
        <f>IFERROR(__xludf.DUMMYFUNCTION("""COMPUTED_VALUE"""),"©作者名/楽楽出版")</f>
        <v>©作者名/楽楽出版</v>
      </c>
      <c r="H201" s="10"/>
      <c r="I201" s="14"/>
      <c r="J201" s="15"/>
      <c r="K201" s="16"/>
      <c r="L201" s="17"/>
      <c r="M201" s="17"/>
      <c r="N201" s="17"/>
      <c r="O201" s="17"/>
      <c r="P201" s="17"/>
      <c r="Q201" s="17"/>
      <c r="R201" s="17"/>
      <c r="S201" s="17"/>
      <c r="T201" s="17"/>
      <c r="U201" s="17"/>
      <c r="V201" s="17"/>
    </row>
    <row r="202">
      <c r="A202" s="9" t="str">
        <f>IFERROR(__xludf.DUMMYFUNCTION("""COMPUTED_VALUE"""),"ベレ出版")</f>
        <v>ベレ出版</v>
      </c>
      <c r="B202" s="10"/>
      <c r="C202" s="28" t="str">
        <f>IFERROR(__xludf.DUMMYFUNCTION("""COMPUTED_VALUE"""),"必要")</f>
        <v>必要</v>
      </c>
      <c r="D202" s="116"/>
      <c r="E202" s="116"/>
      <c r="F202" s="12" t="str">
        <f>IFERROR(__xludf.DUMMYFUNCTION("""COMPUTED_VALUE"""),"必要")</f>
        <v>必要</v>
      </c>
      <c r="G202" s="20" t="str">
        <f>IFERROR(__xludf.DUMMYFUNCTION("""COMPUTED_VALUE"""),"©著者名/ベレ出版
・著者間は「・」区切り
・書影まま使用した場合はコピーライト不要")</f>
        <v>©著者名/ベレ出版
・著者間は「・」区切り
・書影まま使用した場合はコピーライト不要</v>
      </c>
      <c r="H202" s="10"/>
      <c r="I202" s="14"/>
      <c r="J202" s="15"/>
      <c r="K202" s="16"/>
      <c r="L202" s="17"/>
      <c r="M202" s="17"/>
      <c r="N202" s="17"/>
      <c r="O202" s="17"/>
      <c r="P202" s="17"/>
      <c r="Q202" s="17"/>
      <c r="R202" s="17"/>
      <c r="S202" s="17"/>
      <c r="T202" s="17"/>
      <c r="U202" s="17"/>
      <c r="V202" s="17"/>
    </row>
    <row r="203" ht="51.75" customHeight="1">
      <c r="A203" s="42" t="str">
        <f>IFERROR(__xludf.DUMMYFUNCTION("""COMPUTED_VALUE"""),"ボイジャー")</f>
        <v>ボイジャー</v>
      </c>
      <c r="B203" s="10" t="str">
        <f>IFERROR(__xludf.DUMMYFUNCTION("""COMPUTED_VALUE"""),"佐藤漫画製作所")</f>
        <v>佐藤漫画製作所</v>
      </c>
      <c r="C203" s="43" t="str">
        <f>IFERROR(__xludf.DUMMYFUNCTION("""COMPUTED_VALUE"""),"必要")</f>
        <v>必要</v>
      </c>
      <c r="D203" s="116"/>
      <c r="E203" s="116"/>
      <c r="F203" s="12" t="str">
        <f>IFERROR(__xludf.DUMMYFUNCTION("""COMPUTED_VALUE"""),"必要")</f>
        <v>必要</v>
      </c>
      <c r="G203" s="45" t="str">
        <f>IFERROR(__xludf.DUMMYFUNCTION("""COMPUTED_VALUE"""),"「タイトル名」©著者名
主な表記ルール
©︎作家名 原作者＋作画担当者 
©︎原作：名前/作画：担当者名 原案・取材者アリ 
©︎作家名（原案・取材：名前） 共著
©︎作家名/作家名・・・")</f>
        <v>「タイトル名」©著者名
主な表記ルール
©︎作家名 原作者＋作画担当者 
©︎原作：名前/作画：担当者名 原案・取材者アリ 
©︎作家名（原案・取材：名前） 共著
©︎作家名/作家名・・・</v>
      </c>
      <c r="H203" s="70"/>
      <c r="I203" s="14"/>
      <c r="J203" s="15"/>
      <c r="K203" s="16"/>
      <c r="L203" s="17"/>
      <c r="M203" s="17"/>
      <c r="N203" s="17"/>
      <c r="O203" s="17"/>
      <c r="P203" s="17"/>
      <c r="Q203" s="17"/>
      <c r="R203" s="17"/>
      <c r="S203" s="17"/>
      <c r="T203" s="17"/>
      <c r="U203" s="17"/>
      <c r="V203" s="17"/>
    </row>
    <row r="204" ht="63.0" customHeight="1">
      <c r="A204" s="51"/>
      <c r="B204" s="10" t="str">
        <f>IFERROR(__xludf.DUMMYFUNCTION("""COMPUTED_VALUE"""),"電書バト")</f>
        <v>電書バト</v>
      </c>
      <c r="C204" s="51"/>
      <c r="D204" s="116"/>
      <c r="E204" s="116"/>
      <c r="F204" s="12" t="str">
        <f>IFERROR(__xludf.DUMMYFUNCTION("""COMPUTED_VALUE"""),"必要")</f>
        <v>必要</v>
      </c>
      <c r="G204" s="51"/>
      <c r="H204" s="51"/>
      <c r="I204" s="14"/>
      <c r="J204" s="15"/>
      <c r="K204" s="16"/>
      <c r="L204" s="17"/>
      <c r="M204" s="17"/>
      <c r="N204" s="17"/>
      <c r="O204" s="17"/>
      <c r="P204" s="17"/>
      <c r="Q204" s="17"/>
      <c r="R204" s="17"/>
      <c r="S204" s="17"/>
      <c r="T204" s="17"/>
      <c r="U204" s="17"/>
      <c r="V204" s="17"/>
    </row>
    <row r="205" ht="99.75" customHeight="1">
      <c r="A205" s="9" t="str">
        <f>IFERROR(__xludf.DUMMYFUNCTION("""COMPUTED_VALUE"""),"ホビージャパン")</f>
        <v>ホビージャパン</v>
      </c>
      <c r="B205" s="10"/>
      <c r="C205" s="28" t="str">
        <f>IFERROR(__xludf.DUMMYFUNCTION("""COMPUTED_VALUE"""),"必要")</f>
        <v>必要</v>
      </c>
      <c r="D205" s="116"/>
      <c r="E205" s="116"/>
      <c r="F205" s="12" t="str">
        <f>IFERROR(__xludf.DUMMYFUNCTION("""COMPUTED_VALUE"""),"必要")</f>
        <v>必要</v>
      </c>
      <c r="G205" s="13" t="str">
        <f>IFERROR(__xludf.DUMMYFUNCTION("""COMPUTED_VALUE"""),"©著者名　イラストレーター名
・著者間は「・」区切り
・全て日本語表記、原作者名→マンガ家名→原作イラストレーター名の順
・漢字3文字の作家は名字と名前の間に半角をアケる")</f>
        <v>©著者名　イラストレーター名
・著者間は「・」区切り
・全て日本語表記、原作者名→マンガ家名→原作イラストレーター名の順
・漢字3文字の作家は名字と名前の間に半角をアケる</v>
      </c>
      <c r="H205" s="10"/>
      <c r="I205" s="14"/>
      <c r="J205" s="15"/>
      <c r="K205" s="16"/>
      <c r="L205" s="17"/>
      <c r="M205" s="17"/>
      <c r="N205" s="17"/>
      <c r="O205" s="17"/>
      <c r="P205" s="17"/>
      <c r="Q205" s="17"/>
      <c r="R205" s="17"/>
      <c r="S205" s="17"/>
      <c r="T205" s="17"/>
      <c r="U205" s="17"/>
      <c r="V205" s="17"/>
    </row>
    <row r="206">
      <c r="A206" s="9" t="str">
        <f>IFERROR(__xludf.DUMMYFUNCTION("""COMPUTED_VALUE"""),"ボブとアンジーebook")</f>
        <v>ボブとアンジーebook</v>
      </c>
      <c r="B206" s="10"/>
      <c r="C206" s="28" t="str">
        <f>IFERROR(__xludf.DUMMYFUNCTION("""COMPUTED_VALUE"""),"必要")</f>
        <v>必要</v>
      </c>
      <c r="D206" s="116"/>
      <c r="E206" s="116"/>
      <c r="F206" s="12" t="str">
        <f>IFERROR(__xludf.DUMMYFUNCTION("""COMPUTED_VALUE"""),"必要")</f>
        <v>必要</v>
      </c>
      <c r="G206" s="20" t="str">
        <f>IFERROR(__xludf.DUMMYFUNCTION("""COMPUTED_VALUE"""),"©ボブとアンジーebook
・書影まま使用した場合はコピーライト不要")</f>
        <v>©ボブとアンジーebook
・書影まま使用した場合はコピーライト不要</v>
      </c>
      <c r="H206" s="10"/>
      <c r="I206" s="14"/>
      <c r="J206" s="15"/>
      <c r="K206" s="16"/>
      <c r="L206" s="17"/>
      <c r="M206" s="17"/>
      <c r="N206" s="17"/>
      <c r="O206" s="17"/>
      <c r="P206" s="17"/>
      <c r="Q206" s="17"/>
      <c r="R206" s="17"/>
      <c r="S206" s="17"/>
      <c r="T206" s="17"/>
      <c r="U206" s="17"/>
      <c r="V206" s="17"/>
    </row>
    <row r="207">
      <c r="A207" s="9" t="str">
        <f>IFERROR(__xludf.DUMMYFUNCTION("""COMPUTED_VALUE"""),"マイクロマガジン社")</f>
        <v>マイクロマガジン社</v>
      </c>
      <c r="B207" s="10"/>
      <c r="C207" s="28" t="str">
        <f>IFERROR(__xludf.DUMMYFUNCTION("""COMPUTED_VALUE"""),"必要")</f>
        <v>必要</v>
      </c>
      <c r="D207" s="116"/>
      <c r="E207" s="116"/>
      <c r="F207" s="12" t="str">
        <f>IFERROR(__xludf.DUMMYFUNCTION("""COMPUTED_VALUE"""),"必要")</f>
        <v>必要</v>
      </c>
      <c r="G207" s="20" t="str">
        <f>IFERROR(__xludf.DUMMYFUNCTION("""COMPUTED_VALUE"""),"©著者名・イラストレーター名/マイクロマガジン社
・書影まま使用した場合はコピーライト不要")</f>
        <v>©著者名・イラストレーター名/マイクロマガジン社
・書影まま使用した場合はコピーライト不要</v>
      </c>
      <c r="H207" s="10"/>
      <c r="I207" s="40"/>
      <c r="J207" s="15"/>
      <c r="K207" s="16"/>
      <c r="L207" s="17"/>
      <c r="M207" s="17"/>
      <c r="N207" s="17"/>
      <c r="O207" s="17"/>
      <c r="P207" s="17"/>
      <c r="Q207" s="17"/>
      <c r="R207" s="17"/>
      <c r="S207" s="17"/>
      <c r="T207" s="17"/>
      <c r="U207" s="17"/>
      <c r="V207" s="17"/>
    </row>
    <row r="208">
      <c r="A208" s="9" t="str">
        <f>IFERROR(__xludf.DUMMYFUNCTION("""COMPUTED_VALUE"""),"マガジンハウス")</f>
        <v>マガジンハウス</v>
      </c>
      <c r="B208" s="10"/>
      <c r="C208" s="28" t="str">
        <f>IFERROR(__xludf.DUMMYFUNCTION("""COMPUTED_VALUE"""),"必要")</f>
        <v>必要</v>
      </c>
      <c r="D208" s="116"/>
      <c r="E208" s="116"/>
      <c r="F208" s="12" t="str">
        <f>IFERROR(__xludf.DUMMYFUNCTION("""COMPUTED_VALUE"""),"必要")</f>
        <v>必要</v>
      </c>
      <c r="G208" s="13" t="str">
        <f>IFERROR(__xludf.DUMMYFUNCTION("""COMPUTED_VALUE"""),"©作者名/マガジンハウス")</f>
        <v>©作者名/マガジンハウス</v>
      </c>
      <c r="H208" s="10"/>
      <c r="I208" s="14"/>
      <c r="J208" s="15"/>
      <c r="K208" s="16"/>
      <c r="L208" s="17"/>
      <c r="M208" s="17"/>
      <c r="N208" s="17"/>
      <c r="O208" s="17"/>
      <c r="P208" s="17"/>
      <c r="Q208" s="17"/>
      <c r="R208" s="17"/>
      <c r="S208" s="17"/>
      <c r="T208" s="17"/>
      <c r="U208" s="17"/>
      <c r="V208" s="17"/>
    </row>
    <row r="209">
      <c r="A209" s="42" t="str">
        <f>IFERROR(__xludf.DUMMYFUNCTION("""COMPUTED_VALUE"""),"マッグガーデン")</f>
        <v>マッグガーデン</v>
      </c>
      <c r="B209" s="10"/>
      <c r="C209" s="28" t="str">
        <f>IFERROR(__xludf.DUMMYFUNCTION("""COMPUTED_VALUE"""),"必要")</f>
        <v>必要</v>
      </c>
      <c r="D209" s="116"/>
      <c r="E209" s="116"/>
      <c r="F209" s="12" t="str">
        <f>IFERROR(__xludf.DUMMYFUNCTION("""COMPUTED_VALUE"""),"必要")</f>
        <v>必要</v>
      </c>
      <c r="G209" s="20" t="str">
        <f>IFERROR(__xludf.DUMMYFUNCTION("""COMPUTED_VALUE"""),"『タイトル名』©作者名/マッグガーデン
・フォントによって｢マッグカーテン｣に見えると指摘ありましたので、フォントにご注意ください。")</f>
        <v>『タイトル名』©作者名/マッグガーデン
・フォントによって｢マッグカーテン｣に見えると指摘ありましたので、フォントにご注意ください。</v>
      </c>
      <c r="H209" s="77" t="str">
        <f>IFERROR(__xludf.DUMMYFUNCTION("""COMPUTED_VALUE"""),"書影以外は全て作家確認が必要
")</f>
        <v>書影以外は全て作家確認が必要
</v>
      </c>
      <c r="I209" s="54" t="str">
        <f>IFERROR(__xludf.DUMMYFUNCTION("""COMPUTED_VALUE"""),"「魔法使いの嫁｣
他版元の作品と並べてのバナー掲載や、版元横断施策の実施はNG")</f>
        <v>「魔法使いの嫁｣
他版元の作品と並べてのバナー掲載や、版元横断施策の実施はNG</v>
      </c>
      <c r="J209" s="15"/>
      <c r="K209" s="16"/>
      <c r="L209" s="17"/>
      <c r="M209" s="17"/>
      <c r="N209" s="17"/>
      <c r="O209" s="17"/>
      <c r="P209" s="17"/>
      <c r="Q209" s="17"/>
      <c r="R209" s="17"/>
      <c r="S209" s="17"/>
      <c r="T209" s="17"/>
      <c r="U209" s="17"/>
      <c r="V209" s="17"/>
    </row>
    <row r="210" ht="52.5" customHeight="1">
      <c r="A210" s="51"/>
      <c r="B210" s="26" t="str">
        <f>IFERROR(__xludf.DUMMYFUNCTION("""COMPUTED_VALUE"""),"KOOI.")</f>
        <v>KOOI.</v>
      </c>
      <c r="C210" s="28" t="str">
        <f>IFERROR(__xludf.DUMMYFUNCTION("""COMPUTED_VALUE"""),"必要")</f>
        <v>必要</v>
      </c>
      <c r="D210" s="116"/>
      <c r="E210" s="116"/>
      <c r="F210" s="12" t="str">
        <f>IFERROR(__xludf.DUMMYFUNCTION("""COMPUTED_VALUE"""),"必要")</f>
        <v>必要</v>
      </c>
      <c r="G210" s="25" t="str">
        <f>IFERROR(__xludf.DUMMYFUNCTION("""COMPUTED_VALUE"""),"©作者名")</f>
        <v>©作者名</v>
      </c>
      <c r="H210" s="10"/>
      <c r="I210" s="14"/>
      <c r="J210" s="15"/>
      <c r="K210" s="16"/>
      <c r="L210" s="17"/>
      <c r="M210" s="17"/>
      <c r="N210" s="17"/>
      <c r="O210" s="17"/>
      <c r="P210" s="17"/>
      <c r="Q210" s="17"/>
      <c r="R210" s="17"/>
      <c r="S210" s="17"/>
      <c r="T210" s="17"/>
      <c r="U210" s="17"/>
      <c r="V210" s="17"/>
    </row>
    <row r="211">
      <c r="A211" s="9" t="str">
        <f>IFERROR(__xludf.DUMMYFUNCTION("""COMPUTED_VALUE"""),"まつもと泉")</f>
        <v>まつもと泉</v>
      </c>
      <c r="B211" s="10"/>
      <c r="C211" s="11" t="str">
        <f>IFERROR(__xludf.DUMMYFUNCTION("""COMPUTED_VALUE"""),"不要")</f>
        <v>不要</v>
      </c>
      <c r="D211" s="116"/>
      <c r="E211" s="116"/>
      <c r="F211" s="12" t="str">
        <f>IFERROR(__xludf.DUMMYFUNCTION("""COMPUTED_VALUE"""),"必要")</f>
        <v>必要</v>
      </c>
      <c r="G211" s="13" t="str">
        <f>IFERROR(__xludf.DUMMYFUNCTION("""COMPUTED_VALUE"""),"©まつもと泉")</f>
        <v>©まつもと泉</v>
      </c>
      <c r="H211" s="10"/>
      <c r="I211" s="14"/>
      <c r="J211" s="15"/>
      <c r="K211" s="16"/>
      <c r="L211" s="17"/>
      <c r="M211" s="17"/>
      <c r="N211" s="17"/>
      <c r="O211" s="17"/>
      <c r="P211" s="17"/>
      <c r="Q211" s="17"/>
      <c r="R211" s="17"/>
      <c r="S211" s="17"/>
      <c r="T211" s="17"/>
      <c r="U211" s="17"/>
      <c r="V211" s="17"/>
    </row>
    <row r="212" ht="72.0" customHeight="1">
      <c r="A212" s="9" t="str">
        <f>IFERROR(__xludf.DUMMYFUNCTION("""COMPUTED_VALUE"""),"ミスターブルー")</f>
        <v>ミスターブルー</v>
      </c>
      <c r="B212" s="10"/>
      <c r="C212" s="11" t="str">
        <f>IFERROR(__xludf.DUMMYFUNCTION("""COMPUTED_VALUE"""),"不要")</f>
        <v>不要</v>
      </c>
      <c r="D212" s="116"/>
      <c r="E212" s="116"/>
      <c r="F212" s="12" t="str">
        <f>IFERROR(__xludf.DUMMYFUNCTION("""COMPUTED_VALUE"""),"必要")</f>
        <v>必要</v>
      </c>
      <c r="G212" s="18" t="str">
        <f>IFERROR(__xludf.DUMMYFUNCTION("""COMPUTED_VALUE"""),"©ミスターブルー
※作家名の記載につきましてはあった方が望ましいですが、必須ではございません。
基本は出版社名を記載頂ければと思います。")</f>
        <v>©ミスターブルー
※作家名の記載につきましてはあった方が望ましいですが、必須ではございません。
基本は出版社名を記載頂ければと思います。</v>
      </c>
      <c r="H212" s="10"/>
      <c r="I212" s="14"/>
      <c r="J212" s="15"/>
      <c r="K212" s="16"/>
      <c r="L212" s="17"/>
      <c r="M212" s="17"/>
      <c r="N212" s="17"/>
      <c r="O212" s="17"/>
      <c r="P212" s="17"/>
      <c r="Q212" s="17"/>
      <c r="R212" s="17"/>
      <c r="S212" s="17"/>
      <c r="T212" s="17"/>
      <c r="U212" s="17"/>
      <c r="V212" s="17"/>
    </row>
    <row r="213">
      <c r="A213" s="9" t="str">
        <f>IFERROR(__xludf.DUMMYFUNCTION("""COMPUTED_VALUE"""),"ミネルバ")</f>
        <v>ミネルバ</v>
      </c>
      <c r="B213" s="10"/>
      <c r="C213" s="11" t="str">
        <f>IFERROR(__xludf.DUMMYFUNCTION("""COMPUTED_VALUE"""),"不要")</f>
        <v>不要</v>
      </c>
      <c r="D213" s="116"/>
      <c r="E213" s="116"/>
      <c r="F213" s="12" t="str">
        <f>IFERROR(__xludf.DUMMYFUNCTION("""COMPUTED_VALUE"""),"必要")</f>
        <v>必要</v>
      </c>
      <c r="G213" s="13" t="str">
        <f>IFERROR(__xludf.DUMMYFUNCTION("""COMPUTED_VALUE"""),"©著者名/ミネルバ")</f>
        <v>©著者名/ミネルバ</v>
      </c>
      <c r="H213" s="10"/>
      <c r="I213" s="14"/>
      <c r="J213" s="15"/>
      <c r="K213" s="16"/>
      <c r="L213" s="17"/>
      <c r="M213" s="17"/>
      <c r="N213" s="17"/>
      <c r="O213" s="17"/>
      <c r="P213" s="17"/>
      <c r="Q213" s="17"/>
      <c r="R213" s="17"/>
      <c r="S213" s="17"/>
      <c r="T213" s="17"/>
      <c r="U213" s="17"/>
      <c r="V213" s="17"/>
    </row>
    <row r="214">
      <c r="A214" s="42" t="str">
        <f>IFERROR(__xludf.DUMMYFUNCTION("""COMPUTED_VALUE"""),"メディアソフト")</f>
        <v>メディアソフト</v>
      </c>
      <c r="B214" s="10" t="str">
        <f>IFERROR(__xludf.DUMMYFUNCTION("""COMPUTED_VALUE"""),"メディアソフト")</f>
        <v>メディアソフト</v>
      </c>
      <c r="C214" s="43" t="str">
        <f>IFERROR(__xludf.DUMMYFUNCTION("""COMPUTED_VALUE"""),"必要")</f>
        <v>必要</v>
      </c>
      <c r="D214" s="116"/>
      <c r="E214" s="116"/>
      <c r="F214" s="12" t="str">
        <f>IFERROR(__xludf.DUMMYFUNCTION("""COMPUTED_VALUE"""),"必要")</f>
        <v>必要</v>
      </c>
      <c r="G214" s="18" t="str">
        <f>IFERROR(__xludf.DUMMYFUNCTION("""COMPUTED_VALUE"""),"©作家名/メディアソフト
・作者が複数いる場合は　©作家名　©作家名/メディアソフト
・アンソロジー名 ©著者名/メディアソフト
・中面作品を使用する場合は ©該当作家名/メディアソフト 
")</f>
        <v>©作家名/メディアソフト
・作者が複数いる場合は　©作家名　©作家名/メディアソフト
・アンソロジー名 ©著者名/メディアソフト
・中面作品を使用する場合は ©該当作家名/メディアソフト 
</v>
      </c>
      <c r="H214" s="70" t="str">
        <f>IFERROR(__xludf.DUMMYFUNCTION("""COMPUTED_VALUE"""),"表紙イラストのみを使用したバナーには、全サイズに掲載アンソロジー名も記載してください。
コマ画像のみを露出させる場合は、掲載アンソロジー名も記載してください。
（コマ画像が書影・書誌情報とセットになっている場合は、アンソロジー名の記載は不要）")</f>
        <v>表紙イラストのみを使用したバナーには、全サイズに掲載アンソロジー名も記載してください。
コマ画像のみを露出させる場合は、掲載アンソロジー名も記載してください。
（コマ画像が書影・書誌情報とセットになっている場合は、アンソロジー名の記載は不要）</v>
      </c>
      <c r="I214" s="71"/>
      <c r="J214" s="15"/>
      <c r="K214" s="16"/>
      <c r="L214" s="17"/>
      <c r="M214" s="17"/>
      <c r="N214" s="17"/>
      <c r="O214" s="17"/>
      <c r="P214" s="17"/>
      <c r="Q214" s="17"/>
      <c r="R214" s="17"/>
      <c r="S214" s="17"/>
      <c r="T214" s="17"/>
      <c r="U214" s="17"/>
      <c r="V214" s="17"/>
    </row>
    <row r="215">
      <c r="A215" s="50"/>
      <c r="B215" s="10" t="str">
        <f>IFERROR(__xludf.DUMMYFUNCTION("""COMPUTED_VALUE"""),"デイジーコミックス（英和出版社）")</f>
        <v>デイジーコミックス（英和出版社）</v>
      </c>
      <c r="C215" s="50"/>
      <c r="D215" s="116"/>
      <c r="E215" s="116"/>
      <c r="F215" s="12" t="str">
        <f>IFERROR(__xludf.DUMMYFUNCTION("""COMPUTED_VALUE"""),"必要")</f>
        <v>必要</v>
      </c>
      <c r="G215" s="13" t="str">
        <f>IFERROR(__xludf.DUMMYFUNCTION("""COMPUTED_VALUE"""),"©作家名/英和出版社")</f>
        <v>©作家名/英和出版社</v>
      </c>
      <c r="H215" s="50"/>
      <c r="I215" s="50"/>
      <c r="J215" s="15"/>
      <c r="K215" s="16"/>
      <c r="L215" s="17"/>
      <c r="M215" s="17"/>
      <c r="N215" s="17"/>
      <c r="O215" s="17"/>
      <c r="P215" s="17"/>
      <c r="Q215" s="17"/>
      <c r="R215" s="17"/>
      <c r="S215" s="17"/>
      <c r="T215" s="17"/>
      <c r="U215" s="17"/>
      <c r="V215" s="17"/>
    </row>
    <row r="216">
      <c r="A216" s="51"/>
      <c r="B216" s="10" t="str">
        <f>IFERROR(__xludf.DUMMYFUNCTION("""COMPUTED_VALUE"""),"ブレインハウス")</f>
        <v>ブレインハウス</v>
      </c>
      <c r="C216" s="51"/>
      <c r="D216" s="116"/>
      <c r="E216" s="116"/>
      <c r="F216" s="12" t="str">
        <f>IFERROR(__xludf.DUMMYFUNCTION("""COMPUTED_VALUE"""),"必要")</f>
        <v>必要</v>
      </c>
      <c r="G216" s="20" t="str">
        <f>IFERROR(__xludf.DUMMYFUNCTION("""COMPUTED_VALUE"""),"©作家名/ブレインハウス
・作者が複数いる場合は　©作家名　©作家名/ブレインハウス
・アンソロジー名 ©著者名/ブレインハウス
・中面作品を使用する場合は ©該当作家名/ブレインハウス 
")</f>
        <v>©作家名/ブレインハウス
・作者が複数いる場合は　©作家名　©作家名/ブレインハウス
・アンソロジー名 ©著者名/ブレインハウス
・中面作品を使用する場合は ©該当作家名/ブレインハウス 
</v>
      </c>
      <c r="H216" s="51"/>
      <c r="I216" s="51"/>
      <c r="J216" s="15"/>
      <c r="K216" s="16"/>
      <c r="L216" s="17"/>
      <c r="M216" s="17"/>
      <c r="N216" s="17"/>
      <c r="O216" s="17"/>
      <c r="P216" s="17"/>
      <c r="Q216" s="17"/>
      <c r="R216" s="17"/>
      <c r="S216" s="17"/>
      <c r="T216" s="17"/>
      <c r="U216" s="17"/>
      <c r="V216" s="17"/>
    </row>
    <row r="217">
      <c r="A217" s="42" t="str">
        <f>IFERROR(__xludf.DUMMYFUNCTION("""COMPUTED_VALUE"""),"メディアックス")</f>
        <v>メディアックス</v>
      </c>
      <c r="B217" s="10" t="str">
        <f>IFERROR(__xludf.DUMMYFUNCTION("""COMPUTED_VALUE"""),"一水社")</f>
        <v>一水社</v>
      </c>
      <c r="C217" s="61" t="str">
        <f>IFERROR(__xludf.DUMMYFUNCTION("""COMPUTED_VALUE"""),"不要")</f>
        <v>不要</v>
      </c>
      <c r="D217" s="116"/>
      <c r="E217" s="116"/>
      <c r="F217" s="85" t="str">
        <f>IFERROR(__xludf.DUMMYFUNCTION("""COMPUTED_VALUE"""),"必要")</f>
        <v>必要</v>
      </c>
      <c r="G217" s="122" t="str">
        <f>IFERROR(__xludf.DUMMYFUNCTION("""COMPUTED_VALUE"""),"©作家名/出版社")</f>
        <v>©作家名/出版社</v>
      </c>
      <c r="H217" s="10"/>
      <c r="I217" s="14"/>
      <c r="J217" s="15"/>
      <c r="K217" s="16"/>
      <c r="L217" s="17"/>
      <c r="M217" s="17"/>
      <c r="N217" s="17"/>
      <c r="O217" s="17"/>
      <c r="P217" s="17"/>
      <c r="Q217" s="17"/>
      <c r="R217" s="17"/>
      <c r="S217" s="17"/>
      <c r="T217" s="17"/>
      <c r="U217" s="17"/>
      <c r="V217" s="17"/>
    </row>
    <row r="218">
      <c r="A218" s="50"/>
      <c r="B218" s="26" t="str">
        <f>IFERROR(__xludf.DUMMYFUNCTION("""COMPUTED_VALUE"""),"いずみコミックス")</f>
        <v>いずみコミックス</v>
      </c>
      <c r="C218" s="50"/>
      <c r="D218" s="116"/>
      <c r="E218" s="116"/>
      <c r="F218" s="50"/>
      <c r="G218" s="50"/>
      <c r="H218" s="10"/>
      <c r="I218" s="14"/>
      <c r="J218" s="15"/>
      <c r="K218" s="16"/>
      <c r="L218" s="17"/>
      <c r="M218" s="17"/>
      <c r="N218" s="17"/>
      <c r="O218" s="17"/>
      <c r="P218" s="17"/>
      <c r="Q218" s="17"/>
      <c r="R218" s="17"/>
      <c r="S218" s="17"/>
      <c r="T218" s="17"/>
      <c r="U218" s="17"/>
      <c r="V218" s="17"/>
    </row>
    <row r="219">
      <c r="A219" s="51"/>
      <c r="B219" s="10" t="str">
        <f>IFERROR(__xludf.DUMMYFUNCTION("""COMPUTED_VALUE"""),"光彩書房")</f>
        <v>光彩書房</v>
      </c>
      <c r="C219" s="51"/>
      <c r="D219" s="116"/>
      <c r="E219" s="116"/>
      <c r="F219" s="51"/>
      <c r="G219" s="51"/>
      <c r="H219" s="10"/>
      <c r="I219" s="14"/>
      <c r="J219" s="15"/>
      <c r="K219" s="16"/>
      <c r="L219" s="17"/>
      <c r="M219" s="17"/>
      <c r="N219" s="17"/>
      <c r="O219" s="17"/>
      <c r="P219" s="17"/>
      <c r="Q219" s="17"/>
      <c r="R219" s="17"/>
      <c r="S219" s="17"/>
      <c r="T219" s="17"/>
      <c r="U219" s="17"/>
      <c r="V219" s="17"/>
    </row>
    <row r="220">
      <c r="A220" s="9" t="str">
        <f>IFERROR(__xludf.DUMMYFUNCTION("""COMPUTED_VALUE"""),"メディアドゥ（旧）")</f>
        <v>メディアドゥ（旧）</v>
      </c>
      <c r="B220" s="10"/>
      <c r="C220" s="28" t="str">
        <f>IFERROR(__xludf.DUMMYFUNCTION("""COMPUTED_VALUE"""),"必要")</f>
        <v>必要</v>
      </c>
      <c r="D220" s="116"/>
      <c r="E220" s="116"/>
      <c r="F220" s="12" t="str">
        <f>IFERROR(__xludf.DUMMYFUNCTION("""COMPUTED_VALUE"""),"必要")</f>
        <v>必要</v>
      </c>
      <c r="G220" s="13"/>
      <c r="H220" s="10"/>
      <c r="I220" s="14"/>
      <c r="J220" s="15"/>
      <c r="K220" s="16"/>
      <c r="L220" s="17"/>
      <c r="M220" s="17"/>
      <c r="N220" s="17"/>
      <c r="O220" s="17"/>
      <c r="P220" s="17"/>
      <c r="Q220" s="17"/>
      <c r="R220" s="17"/>
      <c r="S220" s="17"/>
      <c r="T220" s="17"/>
      <c r="U220" s="17"/>
      <c r="V220" s="17"/>
    </row>
    <row r="221">
      <c r="A221" s="9" t="str">
        <f>IFERROR(__xludf.DUMMYFUNCTION("""COMPUTED_VALUE"""),"ゆうが舎")</f>
        <v>ゆうが舎</v>
      </c>
      <c r="B221" s="10"/>
      <c r="C221" s="11" t="str">
        <f>IFERROR(__xludf.DUMMYFUNCTION("""COMPUTED_VALUE"""),"不要")</f>
        <v>不要</v>
      </c>
      <c r="D221" s="116"/>
      <c r="E221" s="116"/>
      <c r="F221" s="12" t="str">
        <f>IFERROR(__xludf.DUMMYFUNCTION("""COMPUTED_VALUE"""),"必要")</f>
        <v>必要</v>
      </c>
      <c r="G221" s="13" t="str">
        <f>IFERROR(__xludf.DUMMYFUNCTION("""COMPUTED_VALUE"""),"©作者名/ゆうが舎")</f>
        <v>©作者名/ゆうが舎</v>
      </c>
      <c r="H221" s="10"/>
      <c r="I221" s="14"/>
      <c r="J221" s="15"/>
      <c r="K221" s="16"/>
      <c r="L221" s="17"/>
      <c r="M221" s="17"/>
      <c r="N221" s="17"/>
      <c r="O221" s="17"/>
      <c r="P221" s="17"/>
      <c r="Q221" s="17"/>
      <c r="R221" s="17"/>
      <c r="S221" s="17"/>
      <c r="T221" s="17"/>
      <c r="U221" s="17"/>
      <c r="V221" s="17"/>
    </row>
    <row r="222" ht="21.0" customHeight="1">
      <c r="A222" s="42" t="str">
        <f>IFERROR(__xludf.DUMMYFUNCTION("""COMPUTED_VALUE"""),"ライドオン")</f>
        <v>ライドオン</v>
      </c>
      <c r="B222" s="10" t="str">
        <f>IFERROR(__xludf.DUMMYFUNCTION("""COMPUTED_VALUE"""),"たかだ書房")</f>
        <v>たかだ書房</v>
      </c>
      <c r="C222" s="43" t="str">
        <f>IFERROR(__xludf.DUMMYFUNCTION("""COMPUTED_VALUE"""),"必要")</f>
        <v>必要</v>
      </c>
      <c r="D222" s="116"/>
      <c r="E222" s="116"/>
      <c r="F222" s="44" t="str">
        <f>IFERROR(__xludf.DUMMYFUNCTION("""COMPUTED_VALUE"""),"必要")</f>
        <v>必要</v>
      </c>
      <c r="G222" s="13" t="str">
        <f>IFERROR(__xludf.DUMMYFUNCTION("""COMPUTED_VALUE"""),"©作家名/たかだ書房")</f>
        <v>©作家名/たかだ書房</v>
      </c>
      <c r="H222" s="10"/>
      <c r="I222" s="14"/>
      <c r="J222" s="15"/>
      <c r="K222" s="16"/>
      <c r="L222" s="17"/>
      <c r="M222" s="17"/>
      <c r="N222" s="17"/>
      <c r="O222" s="17"/>
      <c r="P222" s="17"/>
      <c r="Q222" s="17"/>
      <c r="R222" s="17"/>
      <c r="S222" s="17"/>
      <c r="T222" s="17"/>
      <c r="U222" s="17"/>
      <c r="V222" s="17"/>
    </row>
    <row r="223" ht="31.5" customHeight="1">
      <c r="A223" s="50"/>
      <c r="B223" s="26" t="str">
        <f>IFERROR(__xludf.DUMMYFUNCTION("""COMPUTED_VALUE"""),"セ・キララ文庫")</f>
        <v>セ・キララ文庫</v>
      </c>
      <c r="C223" s="50"/>
      <c r="D223" s="116"/>
      <c r="E223" s="116"/>
      <c r="F223" s="50"/>
      <c r="G223" s="25" t="str">
        <f>IFERROR(__xludf.DUMMYFUNCTION("""COMPUTED_VALUE"""),"(C)作者名/レーベル名")</f>
        <v>(C)作者名/レーベル名</v>
      </c>
      <c r="H223" s="10"/>
      <c r="I223" s="40"/>
      <c r="J223" s="15"/>
      <c r="K223" s="16"/>
      <c r="L223" s="17"/>
      <c r="M223" s="17"/>
      <c r="N223" s="17"/>
      <c r="O223" s="17"/>
      <c r="P223" s="17"/>
      <c r="Q223" s="17"/>
      <c r="R223" s="17"/>
      <c r="S223" s="17"/>
      <c r="T223" s="17"/>
      <c r="U223" s="17"/>
      <c r="V223" s="17"/>
    </row>
    <row r="224" ht="31.5" customHeight="1">
      <c r="A224" s="51"/>
      <c r="B224" s="26" t="str">
        <f>IFERROR(__xludf.DUMMYFUNCTION("""COMPUTED_VALUE"""),"FILL-IN")</f>
        <v>FILL-IN</v>
      </c>
      <c r="C224" s="51"/>
      <c r="D224" s="116"/>
      <c r="E224" s="116"/>
      <c r="F224" s="51"/>
      <c r="G224" s="25" t="str">
        <f>IFERROR(__xludf.DUMMYFUNCTION("""COMPUTED_VALUE"""),"©作者名/FILL-IN")</f>
        <v>©作者名/FILL-IN</v>
      </c>
      <c r="H224" s="10"/>
      <c r="I224" s="40"/>
      <c r="J224" s="15"/>
      <c r="K224" s="16"/>
      <c r="L224" s="17"/>
      <c r="M224" s="17"/>
      <c r="N224" s="17"/>
      <c r="O224" s="17"/>
      <c r="P224" s="17"/>
      <c r="Q224" s="17"/>
      <c r="R224" s="17"/>
      <c r="S224" s="17"/>
      <c r="T224" s="17"/>
      <c r="U224" s="17"/>
      <c r="V224" s="17"/>
    </row>
    <row r="225" ht="59.25" customHeight="1">
      <c r="A225" s="9" t="str">
        <f>IFERROR(__xludf.DUMMYFUNCTION("""COMPUTED_VALUE"""),"リイド社")</f>
        <v>リイド社</v>
      </c>
      <c r="B225" s="10"/>
      <c r="C225" s="28" t="str">
        <f>IFERROR(__xludf.DUMMYFUNCTION("""COMPUTED_VALUE"""),"必要")</f>
        <v>必要</v>
      </c>
      <c r="D225" s="116"/>
      <c r="E225" s="116"/>
      <c r="F225" s="12" t="str">
        <f>IFERROR(__xludf.DUMMYFUNCTION("""COMPUTED_VALUE"""),"必要")</f>
        <v>必要</v>
      </c>
      <c r="G225" s="25" t="str">
        <f>IFERROR(__xludf.DUMMYFUNCTION("""COMPUTED_VALUE"""),"©作家/リイド社
・クリベロンコミックス作品は、©作家/クリベロン")</f>
        <v>©作家/リイド社
・クリベロンコミックス作品は、©作家/クリベロン</v>
      </c>
      <c r="H225" s="10"/>
      <c r="I225" s="40"/>
      <c r="J225" s="15"/>
      <c r="K225" s="16"/>
      <c r="L225" s="17"/>
      <c r="M225" s="17"/>
      <c r="N225" s="17"/>
      <c r="O225" s="17"/>
      <c r="P225" s="17"/>
      <c r="Q225" s="17"/>
      <c r="R225" s="17"/>
      <c r="S225" s="17"/>
      <c r="T225" s="17"/>
      <c r="U225" s="17"/>
      <c r="V225" s="17"/>
    </row>
    <row r="226" ht="163.5" customHeight="1">
      <c r="A226" s="42" t="str">
        <f>IFERROR(__xludf.DUMMYFUNCTION("""COMPUTED_VALUE"""),"リブレ")</f>
        <v>リブレ</v>
      </c>
      <c r="B226" s="10"/>
      <c r="C226" s="43" t="str">
        <f>IFERROR(__xludf.DUMMYFUNCTION("""COMPUTED_VALUE"""),"必要")</f>
        <v>必要</v>
      </c>
      <c r="D226" s="12"/>
      <c r="E226" s="12"/>
      <c r="F226" s="12" t="str">
        <f>IFERROR(__xludf.DUMMYFUNCTION("""COMPUTED_VALUE"""),"必要")</f>
        <v>必要</v>
      </c>
      <c r="G226" s="45" t="str">
        <f>IFERROR(__xludf.DUMMYFUNCTION("""COMPUTED_VALUE"""),"©作家名/libre
・書影まま使用した場合はコピーライト不要
・漢字3文字で苗字と名前表記の著者様は苗字と名前の間に半角アキを入れる。
例）©岩本 薫/libre
※※アダルト媒体に限り※※
コピーライトの後半部分を
　社名（libre）ではなく、レーベル名に変更する。
＜TL作品＞
©著者名/ショコラブ
©著者名/e乙蜜コミックス
©著者名/セキララ文庫
＜BL作品＞
©著者名/ビーボーイ
※一部の作品はアダルト媒体でも「libre」のまま
　リストはこちら→「リブレコピーライト」シート")</f>
        <v>©作家名/libre
・書影まま使用した場合はコピーライト不要
・漢字3文字で苗字と名前表記の著者様は苗字と名前の間に半角アキを入れる。
例）©岩本 薫/libre
※※アダルト媒体に限り※※
コピーライトの後半部分を
　社名（libre）ではなく、レーベル名に変更する。
＜TL作品＞
©著者名/ショコラブ
©著者名/e乙蜜コミックス
©著者名/セキララ文庫
＜BL作品＞
©著者名/ビーボーイ
※一部の作品はアダルト媒体でも「libre」のまま
　リストはこちら→「リブレコピーライト」シート</v>
      </c>
      <c r="H226" s="123" t="str">
        <f>IFERROR(__xludf.DUMMYFUNCTION("""COMPUTED_VALUE"""),"一般作品とTL作品を一緒に扱うのはNGになります
※リブレ＝BLという認識を持たれたくないCPの強い要望
バナー制作の注意(※プロモ)
下記のリブレバナー制作時の注意点確認ください
502_リブレ
・「性器／結合部」のコマは使用NG　
・元からそのページのコマ割りであったかのようなトリミングの組み合わせでバナー制作はNG。セリフは必ず本文中のものをそのまま使用してください(送り仮名等であっても、原作そのままでない場合、作家への確認が必要となり、返事に時間がかかってしまう可能性あり)　
※ドラマ化作品な"&amp;"どで主演の名前を掲載する場合、事務所への確認が必要となるため、名前を入れるのはNGで(過去に事務所に確認した際、掲載NGになったそうです)。
BL＆TLコンテンツのバナー・LP制作の際も、基本「©作家名/libre」で表記。
性描写が激しいものに限って編集部名（レーベル名）に変更。")</f>
        <v>一般作品とTL作品を一緒に扱うのはNGになります
※リブレ＝BLという認識を持たれたくないCPの強い要望
バナー制作の注意(※プロモ)
下記のリブレバナー制作時の注意点確認ください
502_リブレ
・「性器／結合部」のコマは使用NG　
・元からそのページのコマ割りであったかのようなトリミングの組み合わせでバナー制作はNG。セリフは必ず本文中のものをそのまま使用してください(送り仮名等であっても、原作そのままでない場合、作家への確認が必要となり、返事に時間がかかってしまう可能性あり)　
※ドラマ化作品などで主演の名前を掲載する場合、事務所への確認が必要となるため、名前を入れるのはNGで(過去に事務所に確認した際、掲載NGになったそうです)。
BL＆TLコンテンツのバナー・LP制作の際も、基本「©作家名/libre」で表記。
性描写が激しいものに限って編集部名（レーベル名）に変更。</v>
      </c>
      <c r="I226" s="21" t="str">
        <f>IFERROR(__xludf.DUMMYFUNCTION("""COMPUTED_VALUE"""),"※「楢崎壮太」先生、「楢島さち」先生の表記について、CPより指摘があることがあります
詳しくは「リブレ出版の注意」シートをご確認ください")</f>
        <v>※「楢崎壮太」先生、「楢島さち」先生の表記について、CPより指摘があることがあります
詳しくは「リブレ出版の注意」シートをご確認ください</v>
      </c>
      <c r="J226" s="15"/>
      <c r="K226" s="16"/>
      <c r="L226" s="17"/>
      <c r="M226" s="17"/>
      <c r="N226" s="17"/>
      <c r="O226" s="17"/>
      <c r="P226" s="17"/>
      <c r="Q226" s="17"/>
      <c r="R226" s="17"/>
      <c r="S226" s="17"/>
      <c r="T226" s="17"/>
      <c r="U226" s="17"/>
      <c r="V226" s="17"/>
    </row>
    <row r="227" ht="81.0" customHeight="1">
      <c r="A227" s="51"/>
      <c r="B227" s="10" t="str">
        <f>IFERROR(__xludf.DUMMYFUNCTION("""COMPUTED_VALUE"""),"ZITTO")</f>
        <v>ZITTO</v>
      </c>
      <c r="C227" s="51"/>
      <c r="D227" s="12"/>
      <c r="E227" s="12"/>
      <c r="F227" s="12" t="str">
        <f>IFERROR(__xludf.DUMMYFUNCTION("""COMPUTED_VALUE"""),"必要")</f>
        <v>必要</v>
      </c>
      <c r="G227" s="51"/>
      <c r="H227" s="51"/>
      <c r="I227" s="14"/>
      <c r="J227" s="15"/>
      <c r="K227" s="16"/>
      <c r="L227" s="17"/>
      <c r="M227" s="17"/>
      <c r="N227" s="17"/>
      <c r="O227" s="17"/>
      <c r="P227" s="17"/>
      <c r="Q227" s="17"/>
      <c r="R227" s="17"/>
      <c r="S227" s="17"/>
      <c r="T227" s="17"/>
      <c r="U227" s="17"/>
      <c r="V227" s="17"/>
    </row>
    <row r="228">
      <c r="A228" s="55" t="str">
        <f>IFERROR(__xludf.DUMMYFUNCTION("""COMPUTED_VALUE"""),"レジンエンターテインメント")</f>
        <v>レジンエンターテインメント</v>
      </c>
      <c r="B228" s="124" t="str">
        <f>IFERROR(__xludf.DUMMYFUNCTION("""COMPUTED_VALUE"""),"レジンコミックス")</f>
        <v>レジンコミックス</v>
      </c>
      <c r="C228" s="121" t="str">
        <f>IFERROR(__xludf.DUMMYFUNCTION("""COMPUTED_VALUE"""),"不要")</f>
        <v>不要</v>
      </c>
      <c r="D228" s="12"/>
      <c r="E228" s="44" t="str">
        <f>IFERROR(__xludf.DUMMYFUNCTION("""COMPUTED_VALUE"""),"軽度の加工の場合事前確認不要
※フキダシ移動・伏字は不要
その他は相談必須")</f>
        <v>軽度の加工の場合事前確認不要
※フキダシ移動・伏字は不要
その他は相談必須</v>
      </c>
      <c r="F228" s="12" t="str">
        <f>IFERROR(__xludf.DUMMYFUNCTION("""COMPUTED_VALUE"""),"必要")</f>
        <v>必要</v>
      </c>
      <c r="G228" s="25" t="str">
        <f>IFERROR(__xludf.DUMMYFUNCTION("""COMPUTED_VALUE"""),"©レジンコミックス
・著者名不要")</f>
        <v>©レジンコミックス
・著者名不要</v>
      </c>
      <c r="H228" s="46" t="str">
        <f>IFERROR(__xludf.DUMMYFUNCTION("""COMPUTED_VALUE"""),"一般媒体の伏せ字加工：確認不要
【タテヨミ】⇔【フルカラー】の遷移先変更について
でコピーライトに【タテヨミ】もしくは【フルカラー】を明記してない場合に限り確認不要で実施可")</f>
        <v>一般媒体の伏せ字加工：確認不要
【タテヨミ】⇔【フルカラー】の遷移先変更について
でコピーライトに【タテヨミ】もしくは【フルカラー】を明記してない場合に限り確認不要で実施可</v>
      </c>
      <c r="I228" s="14"/>
      <c r="J228" s="15"/>
      <c r="K228" s="16"/>
      <c r="L228" s="17"/>
      <c r="M228" s="17"/>
      <c r="N228" s="17"/>
      <c r="O228" s="17"/>
      <c r="P228" s="17"/>
      <c r="Q228" s="17"/>
      <c r="R228" s="17"/>
      <c r="S228" s="17"/>
      <c r="T228" s="17"/>
      <c r="U228" s="17"/>
      <c r="V228" s="17"/>
    </row>
    <row r="229" ht="75.0" customHeight="1">
      <c r="A229" s="51"/>
      <c r="B229" s="125" t="str">
        <f>IFERROR(__xludf.DUMMYFUNCTION("""COMPUTED_VALUE"""),"レジンコミックス／Kidari Studio")</f>
        <v>レジンコミックス／Kidari Studio</v>
      </c>
      <c r="C229" s="121" t="str">
        <f>IFERROR(__xludf.DUMMYFUNCTION("""COMPUTED_VALUE"""),"不要")</f>
        <v>不要</v>
      </c>
      <c r="D229" s="12"/>
      <c r="E229" s="51"/>
      <c r="F229" s="12" t="str">
        <f>IFERROR(__xludf.DUMMYFUNCTION("""COMPUTED_VALUE"""),"必要")</f>
        <v>必要</v>
      </c>
      <c r="G229" s="25" t="str">
        <f>IFERROR(__xludf.DUMMYFUNCTION("""COMPUTED_VALUE"""),"ⓒ作者名/ Kidari Studio, Inc.")</f>
        <v>ⓒ作者名/ Kidari Studio, Inc.</v>
      </c>
      <c r="H229" s="51"/>
      <c r="I229" s="14"/>
      <c r="J229" s="15"/>
      <c r="K229" s="16"/>
      <c r="L229" s="17"/>
      <c r="M229" s="17"/>
      <c r="N229" s="17"/>
      <c r="O229" s="17"/>
      <c r="P229" s="17"/>
      <c r="Q229" s="17"/>
      <c r="R229" s="17"/>
      <c r="S229" s="17"/>
      <c r="T229" s="17"/>
      <c r="U229" s="17"/>
      <c r="V229" s="17"/>
    </row>
    <row r="230">
      <c r="A230" s="9" t="str">
        <f>IFERROR(__xludf.DUMMYFUNCTION("""COMPUTED_VALUE"""),"ワニブックス")</f>
        <v>ワニブックス</v>
      </c>
      <c r="B230" s="10"/>
      <c r="C230" s="28" t="str">
        <f>IFERROR(__xludf.DUMMYFUNCTION("""COMPUTED_VALUE"""),"必要")</f>
        <v>必要</v>
      </c>
      <c r="D230" s="116"/>
      <c r="E230" s="116"/>
      <c r="F230" s="12" t="str">
        <f>IFERROR(__xludf.DUMMYFUNCTION("""COMPUTED_VALUE"""),"必要")</f>
        <v>必要</v>
      </c>
      <c r="G230" s="13" t="str">
        <f>IFERROR(__xludf.DUMMYFUNCTION("""COMPUTED_VALUE"""),"©著者名/ワニブックス")</f>
        <v>©著者名/ワニブックス</v>
      </c>
      <c r="H230" s="10"/>
      <c r="I230" s="14"/>
      <c r="J230" s="15"/>
      <c r="K230" s="16"/>
      <c r="L230" s="17"/>
      <c r="M230" s="17"/>
      <c r="N230" s="17"/>
      <c r="O230" s="17"/>
      <c r="P230" s="17"/>
      <c r="Q230" s="17"/>
      <c r="R230" s="17"/>
      <c r="S230" s="17"/>
      <c r="T230" s="17"/>
      <c r="U230" s="17"/>
      <c r="V230" s="17"/>
    </row>
    <row r="231">
      <c r="A231" s="9" t="str">
        <f>IFERROR(__xludf.DUMMYFUNCTION("""COMPUTED_VALUE"""),"ワニマガジン社")</f>
        <v>ワニマガジン社</v>
      </c>
      <c r="B231" s="10"/>
      <c r="C231" s="28" t="str">
        <f>IFERROR(__xludf.DUMMYFUNCTION("""COMPUTED_VALUE"""),"必要")</f>
        <v>必要</v>
      </c>
      <c r="D231" s="116"/>
      <c r="E231" s="116"/>
      <c r="F231" s="12" t="str">
        <f>IFERROR(__xludf.DUMMYFUNCTION("""COMPUTED_VALUE"""),"必要")</f>
        <v>必要</v>
      </c>
      <c r="G231" s="13" t="str">
        <f>IFERROR(__xludf.DUMMYFUNCTION("""COMPUTED_VALUE"""),"©作家名/ワニマガジン社")</f>
        <v>©作家名/ワニマガジン社</v>
      </c>
      <c r="H231" s="10" t="str">
        <f>IFERROR(__xludf.DUMMYFUNCTION("""COMPUTED_VALUE"""),"プロモバナー⇒雑誌タイトルについても、ⓒ作者名/ワニマガジン社で統一。
×⇒雑誌名/ワニマガジン社")</f>
        <v>プロモバナー⇒雑誌タイトルについても、ⓒ作者名/ワニマガジン社で統一。
×⇒雑誌名/ワニマガジン社</v>
      </c>
      <c r="I231" s="14"/>
      <c r="J231" s="15"/>
      <c r="K231" s="16"/>
      <c r="L231" s="17"/>
      <c r="M231" s="17"/>
      <c r="N231" s="17"/>
      <c r="O231" s="17"/>
      <c r="P231" s="17"/>
      <c r="Q231" s="17"/>
      <c r="R231" s="17"/>
      <c r="S231" s="17"/>
      <c r="T231" s="17"/>
      <c r="U231" s="17"/>
      <c r="V231" s="17"/>
    </row>
    <row r="232">
      <c r="A232" s="9" t="str">
        <f>IFERROR(__xludf.DUMMYFUNCTION("""COMPUTED_VALUE"""),"茜新社")</f>
        <v>茜新社</v>
      </c>
      <c r="B232" s="10"/>
      <c r="C232" s="11" t="str">
        <f>IFERROR(__xludf.DUMMYFUNCTION("""COMPUTED_VALUE"""),"不要")</f>
        <v>不要</v>
      </c>
      <c r="D232" s="116"/>
      <c r="E232" s="116"/>
      <c r="F232" s="12" t="str">
        <f>IFERROR(__xludf.DUMMYFUNCTION("""COMPUTED_VALUE"""),"必要")</f>
        <v>必要</v>
      </c>
      <c r="G232" s="13" t="str">
        <f>IFERROR(__xludf.DUMMYFUNCTION("""COMPUTED_VALUE"""),"©著者名/茜新社")</f>
        <v>©著者名/茜新社</v>
      </c>
      <c r="H232" s="10"/>
      <c r="I232" s="14"/>
      <c r="J232" s="15"/>
      <c r="K232" s="16"/>
      <c r="L232" s="17"/>
      <c r="M232" s="17"/>
      <c r="N232" s="17"/>
      <c r="O232" s="17"/>
      <c r="P232" s="17"/>
      <c r="Q232" s="17"/>
      <c r="R232" s="17"/>
      <c r="S232" s="17"/>
      <c r="T232" s="17"/>
      <c r="U232" s="17"/>
      <c r="V232" s="17"/>
    </row>
    <row r="233">
      <c r="A233" s="9" t="str">
        <f>IFERROR(__xludf.DUMMYFUNCTION("""COMPUTED_VALUE"""),"一彩出版")</f>
        <v>一彩出版</v>
      </c>
      <c r="B233" s="10"/>
      <c r="C233" s="28" t="str">
        <f>IFERROR(__xludf.DUMMYFUNCTION("""COMPUTED_VALUE"""),"必要")</f>
        <v>必要</v>
      </c>
      <c r="D233" s="116"/>
      <c r="E233" s="116"/>
      <c r="F233" s="12" t="str">
        <f>IFERROR(__xludf.DUMMYFUNCTION("""COMPUTED_VALUE"""),"必要")</f>
        <v>必要</v>
      </c>
      <c r="G233" s="18" t="str">
        <f>IFERROR(__xludf.DUMMYFUNCTION("""COMPUTED_VALUE"""),"©一彩出版
・書影まま使用した場合はコピーライト不要")</f>
        <v>©一彩出版
・書影まま使用した場合はコピーライト不要</v>
      </c>
      <c r="H233" s="10" t="str">
        <f>IFERROR(__xludf.DUMMYFUNCTION("""COMPUTED_VALUE"""),"明らかに同人誌と分かる場合は、権利表記は不要")</f>
        <v>明らかに同人誌と分かる場合は、権利表記は不要</v>
      </c>
      <c r="I233" s="14"/>
      <c r="J233" s="15"/>
      <c r="K233" s="16"/>
      <c r="L233" s="17"/>
      <c r="M233" s="17"/>
      <c r="N233" s="17"/>
      <c r="O233" s="17"/>
      <c r="P233" s="17"/>
      <c r="Q233" s="17"/>
      <c r="R233" s="17"/>
      <c r="S233" s="17"/>
      <c r="T233" s="17"/>
      <c r="U233" s="17"/>
      <c r="V233" s="17"/>
    </row>
    <row r="234">
      <c r="A234" s="9" t="str">
        <f>IFERROR(__xludf.DUMMYFUNCTION("""COMPUTED_VALUE"""),"一迅社")</f>
        <v>一迅社</v>
      </c>
      <c r="B234" s="10"/>
      <c r="C234" s="28" t="str">
        <f>IFERROR(__xludf.DUMMYFUNCTION("""COMPUTED_VALUE"""),"必要")</f>
        <v>必要</v>
      </c>
      <c r="D234" s="12"/>
      <c r="E234" s="12"/>
      <c r="F234" s="12" t="str">
        <f>IFERROR(__xludf.DUMMYFUNCTION("""COMPUTED_VALUE"""),"必要")</f>
        <v>必要</v>
      </c>
      <c r="G234" s="20" t="str">
        <f>IFERROR(__xludf.DUMMYFUNCTION("""COMPUTED_VALUE"""),"©作家名／一迅社
・著者間は「・」区切り
・書影のみの場合はコピーライト不要
・原作と作画など、連名の場合は「©著者名（一迅社WEB（http://www.ichijinsha.co.jp/）に記載されている順番）／一迅社」")</f>
        <v>©作家名／一迅社
・著者間は「・」区切り
・書影のみの場合はコピーライト不要
・原作と作画など、連名の場合は「©著者名（一迅社WEB（http://www.ichijinsha.co.jp/）に記載されている順番）／一迅社」</v>
      </c>
      <c r="H234" s="77" t="str">
        <f>IFERROR(__xludf.DUMMYFUNCTION("""COMPUTED_VALUE"""),"・comic POOLについて
慎重に扱っているレーベルとのことで、許諾確認など少し時間がかかるかもしれません。
※基本的に上記になりますが、以下のような例外もあります
【『政宗くんのリベンジ』のみ「©竹岡葉月・Tiv／一迅社」と逆。】")</f>
        <v>・comic POOLについて
慎重に扱っているレーベルとのことで、許諾確認など少し時間がかかるかもしれません。
※基本的に上記になりますが、以下のような例外もあります
【『政宗くんのリベンジ』のみ「©竹岡葉月・Tiv／一迅社」と逆。】</v>
      </c>
      <c r="I234" s="14"/>
      <c r="J234" s="65" t="str">
        <f>IFERROR(__xludf.DUMMYFUNCTION("""COMPUTED_VALUE"""),"○")</f>
        <v>○</v>
      </c>
      <c r="K234" s="16"/>
      <c r="L234" s="17"/>
      <c r="M234" s="17"/>
      <c r="N234" s="17"/>
      <c r="O234" s="17"/>
      <c r="P234" s="17"/>
      <c r="Q234" s="17"/>
      <c r="R234" s="17"/>
      <c r="S234" s="17"/>
      <c r="T234" s="17"/>
      <c r="U234" s="17"/>
      <c r="V234" s="17"/>
    </row>
    <row r="235">
      <c r="A235" s="9" t="str">
        <f>IFERROR(__xludf.DUMMYFUNCTION("""COMPUTED_VALUE"""),"一二三書房")</f>
        <v>一二三書房</v>
      </c>
      <c r="B235" s="10"/>
      <c r="C235" s="28" t="str">
        <f>IFERROR(__xludf.DUMMYFUNCTION("""COMPUTED_VALUE"""),"必要")</f>
        <v>必要</v>
      </c>
      <c r="D235" s="116"/>
      <c r="E235" s="116"/>
      <c r="F235" s="12" t="str">
        <f>IFERROR(__xludf.DUMMYFUNCTION("""COMPUTED_VALUE"""),"必要")</f>
        <v>必要</v>
      </c>
      <c r="G235" s="18" t="str">
        <f>IFERROR(__xludf.DUMMYFUNCTION("""COMPUTED_VALUE"""),"©著者(ローマ字表記)
・書影まま使用した場合はコピーライト不要
・出版社の各レーベルのHPをご確認いただくのが正確です。
・イラストレーターさん、社名は基本的には不要です。(作品によっては必要なことも）")</f>
        <v>©著者(ローマ字表記)
・書影まま使用した場合はコピーライト不要
・出版社の各レーベルのHPをご確認いただくのが正確です。
・イラストレーターさん、社名は基本的には不要です。(作品によっては必要なことも）</v>
      </c>
      <c r="H235" s="126"/>
      <c r="I235" s="14"/>
      <c r="J235" s="15"/>
      <c r="K235" s="16"/>
      <c r="L235" s="17"/>
      <c r="M235" s="17"/>
      <c r="N235" s="17"/>
      <c r="O235" s="17"/>
      <c r="P235" s="17"/>
      <c r="Q235" s="17"/>
      <c r="R235" s="17"/>
      <c r="S235" s="17"/>
      <c r="T235" s="17"/>
      <c r="U235" s="17"/>
      <c r="V235" s="17"/>
    </row>
    <row r="236">
      <c r="A236" s="9" t="str">
        <f>IFERROR(__xludf.DUMMYFUNCTION("""COMPUTED_VALUE"""),"海王社")</f>
        <v>海王社</v>
      </c>
      <c r="B236" s="10"/>
      <c r="C236" s="29" t="str">
        <f>IFERROR(__xludf.DUMMYFUNCTION("""COMPUTED_VALUE"""),"必要
※ジャンルがアダルトの作品は不要")</f>
        <v>必要
※ジャンルがアダルトの作品は不要</v>
      </c>
      <c r="D236" s="116"/>
      <c r="E236" s="12" t="str">
        <f>IFERROR(__xludf.DUMMYFUNCTION("""COMPUTED_VALUE"""),"ぶんか社 ")</f>
        <v>ぶんか社 </v>
      </c>
      <c r="F236" s="12" t="str">
        <f>IFERROR(__xludf.DUMMYFUNCTION("""COMPUTED_VALUE"""),"必要")</f>
        <v>必要</v>
      </c>
      <c r="G236" s="20" t="str">
        <f>IFERROR(__xludf.DUMMYFUNCTION("""COMPUTED_VALUE"""),"©作者名/海王社
タイトルによって違う場合があるので確認。
・漢字3文字で苗字と名前表記の著者は苗字と名前の間に半角スペースを入れる
例）氷室 桜/海王社
※藤峰式は半角スペースなしでOK
「楢崎ねねこ」先生の表記について、CPより指摘があることがあります
詳しくは「ぶんか社・海王社」シートをご確認ください")</f>
        <v>©作者名/海王社
タイトルによって違う場合があるので確認。
・漢字3文字で苗字と名前表記の著者は苗字と名前の間に半角スペースを入れる
例）氷室 桜/海王社
※藤峰式は半角スペースなしでOK
「楢崎ねねこ」先生の表記について、CPより指摘があることがあります
詳しくは「ぶんか社・海王社」シートをご確認ください</v>
      </c>
      <c r="H236" s="10" t="str">
        <f>IFERROR(__xludf.DUMMYFUNCTION("""COMPUTED_VALUE"""),"作者名を日本語表記")</f>
        <v>作者名を日本語表記</v>
      </c>
      <c r="I236" s="14"/>
      <c r="J236" s="15"/>
      <c r="K236" s="16"/>
      <c r="L236" s="17"/>
      <c r="M236" s="17"/>
      <c r="N236" s="17"/>
      <c r="O236" s="17"/>
      <c r="P236" s="17"/>
      <c r="Q236" s="17"/>
      <c r="R236" s="17"/>
      <c r="S236" s="17"/>
      <c r="T236" s="17"/>
      <c r="U236" s="17"/>
      <c r="V236" s="17"/>
    </row>
    <row r="237">
      <c r="A237" s="9" t="str">
        <f>IFERROR(__xludf.DUMMYFUNCTION("""COMPUTED_VALUE"""),"学研")</f>
        <v>学研</v>
      </c>
      <c r="B237" s="10"/>
      <c r="C237" s="28" t="str">
        <f>IFERROR(__xludf.DUMMYFUNCTION("""COMPUTED_VALUE"""),"必要")</f>
        <v>必要</v>
      </c>
      <c r="D237" s="116"/>
      <c r="E237" s="116"/>
      <c r="F237" s="12" t="str">
        <f>IFERROR(__xludf.DUMMYFUNCTION("""COMPUTED_VALUE"""),"必要")</f>
        <v>必要</v>
      </c>
      <c r="G237" s="18" t="str">
        <f>IFERROR(__xludf.DUMMYFUNCTION("""COMPUTED_VALUE"""),"©著者名/学研
・書影まま使用した場合はコピーライト不要
（並列してならぶ他の書影にC表記がある場合はC表記記載要）")</f>
        <v>©著者名/学研
・書影まま使用した場合はコピーライト不要
（並列してならぶ他の書影にC表記がある場合はC表記記載要）</v>
      </c>
      <c r="H237" s="77" t="str">
        <f>IFERROR(__xludf.DUMMYFUNCTION("""COMPUTED_VALUE"""),"学研から
書影に加工がないことを前提に許諾いただきました。
また並列してならぶ他の書影にC表記がある場合は
C表記をお願いしたいとのことです。
他がC表記ないなら、書影であればC不要とのことです。")</f>
        <v>学研から
書影に加工がないことを前提に許諾いただきました。
また並列してならぶ他の書影にC表記がある場合は
C表記をお願いしたいとのことです。
他がC表記ないなら、書影であればC不要とのことです。</v>
      </c>
      <c r="I237" s="14"/>
      <c r="J237" s="15"/>
      <c r="K237" s="16"/>
      <c r="L237" s="17"/>
      <c r="M237" s="17"/>
      <c r="N237" s="17"/>
      <c r="O237" s="17"/>
      <c r="P237" s="17"/>
      <c r="Q237" s="17"/>
      <c r="R237" s="17"/>
      <c r="S237" s="17"/>
      <c r="T237" s="17"/>
      <c r="U237" s="17"/>
      <c r="V237" s="17"/>
    </row>
    <row r="238" ht="76.5" customHeight="1">
      <c r="A238" s="42" t="str">
        <f>IFERROR(__xludf.DUMMYFUNCTION("""COMPUTED_VALUE"""),"笠倉出版社")</f>
        <v>笠倉出版社</v>
      </c>
      <c r="B238" s="10"/>
      <c r="C238" s="43" t="str">
        <f>IFERROR(__xludf.DUMMYFUNCTION("""COMPUTED_VALUE"""),"必要")</f>
        <v>必要</v>
      </c>
      <c r="D238" s="12"/>
      <c r="E238" s="12"/>
      <c r="F238" s="12" t="str">
        <f>IFERROR(__xludf.DUMMYFUNCTION("""COMPUTED_VALUE"""),"必要")</f>
        <v>必要</v>
      </c>
      <c r="G238" s="20" t="str">
        <f>IFERROR(__xludf.DUMMYFUNCTION("""COMPUTED_VALUE"""),"©作者名/笠倉出版社
・原作者の表示は不要（プラセボ・equal作品は必要／作画・原作者の順）
・「ache」「alt」などレーベル用の記号は不要。
・著者間は中点「・」もしくはスラッシュ「/」どちらでもOK")</f>
        <v>©作者名/笠倉出版社
・原作者の表示は不要（プラセボ・equal作品は必要／作画・原作者の順）
・「ache」「alt」などレーベル用の記号は不要。
・著者間は中点「・」もしくはスラッシュ「/」どちらでもOK</v>
      </c>
      <c r="H238" s="10" t="str">
        <f>IFERROR(__xludf.DUMMYFUNCTION("""COMPUTED_VALUE"""),"コマサム以外に書影使用でも©表記が必要")</f>
        <v>コマサム以外に書影使用でも©表記が必要</v>
      </c>
      <c r="I238" s="14"/>
      <c r="J238" s="15"/>
      <c r="K238" s="16"/>
      <c r="L238" s="17"/>
      <c r="M238" s="17"/>
      <c r="N238" s="17"/>
      <c r="O238" s="17"/>
      <c r="P238" s="17"/>
      <c r="Q238" s="17"/>
      <c r="R238" s="17"/>
      <c r="S238" s="17"/>
      <c r="T238" s="17"/>
      <c r="U238" s="17"/>
      <c r="V238" s="17"/>
    </row>
    <row r="239">
      <c r="A239" s="51"/>
      <c r="B239" s="127" t="str">
        <f>IFERROR(__xludf.DUMMYFUNCTION("""COMPUTED_VALUE"""),"テッパン書房")</f>
        <v>テッパン書房</v>
      </c>
      <c r="C239" s="51"/>
      <c r="D239" s="116"/>
      <c r="E239" s="116"/>
      <c r="F239" s="12" t="str">
        <f>IFERROR(__xludf.DUMMYFUNCTION("""COMPUTED_VALUE"""),"必要")</f>
        <v>必要</v>
      </c>
      <c r="G239" s="18" t="str">
        <f>IFERROR(__xludf.DUMMYFUNCTION("""COMPUTED_VALUE"""),"©作者名/テッパン書房
・原作者の表示は不要
・｢kupa｣は原作者表記のため不要")</f>
        <v>©作者名/テッパン書房
・原作者の表示は不要
・｢kupa｣は原作者表記のため不要</v>
      </c>
      <c r="H239" s="10" t="str">
        <f>IFERROR(__xludf.DUMMYFUNCTION("""COMPUTED_VALUE"""),"コマサム以外に書影使用でも©表記が必要
オトナタイトルについて
※本レーベルは｢テッパン書房｣という出版社名で配信しておりますので、
　今後も｢テッパン書房｣でお願いいたします")</f>
        <v>コマサム以外に書影使用でも©表記が必要
オトナタイトルについて
※本レーベルは｢テッパン書房｣という出版社名で配信しておりますので、
　今後も｢テッパン書房｣でお願いいたします</v>
      </c>
      <c r="I239" s="14"/>
      <c r="J239" s="15"/>
      <c r="K239" s="16"/>
      <c r="L239" s="17"/>
      <c r="M239" s="17"/>
      <c r="N239" s="17"/>
      <c r="O239" s="17"/>
      <c r="P239" s="17"/>
      <c r="Q239" s="17"/>
      <c r="R239" s="17"/>
      <c r="S239" s="17"/>
      <c r="T239" s="17"/>
      <c r="U239" s="17"/>
      <c r="V239" s="17"/>
    </row>
    <row r="240">
      <c r="A240" s="9" t="str">
        <f>IFERROR(__xludf.DUMMYFUNCTION("""COMPUTED_VALUE"""),"幻冬舎コミックス")</f>
        <v>幻冬舎コミックス</v>
      </c>
      <c r="B240" s="10"/>
      <c r="C240" s="28" t="str">
        <f>IFERROR(__xludf.DUMMYFUNCTION("""COMPUTED_VALUE"""),"必要")</f>
        <v>必要</v>
      </c>
      <c r="D240" s="12"/>
      <c r="E240" s="12"/>
      <c r="F240" s="12" t="str">
        <f>IFERROR(__xludf.DUMMYFUNCTION("""COMPUTED_VALUE"""),"必要")</f>
        <v>必要</v>
      </c>
      <c r="G240" s="20" t="str">
        <f>IFERROR(__xludf.DUMMYFUNCTION("""COMPUTED_VALUE"""),"©作者名/幻冬舎コミックス
・著者間は「・」区切り
・作者が複数いる場合は　©原作者名・作画者名／幻冬舎コミックス")</f>
        <v>©作者名/幻冬舎コミックス
・著者間は「・」区切り
・作者が複数いる場合は　©原作者名・作画者名／幻冬舎コミックス</v>
      </c>
      <c r="H240" s="10" t="str">
        <f>IFERROR(__xludf.DUMMYFUNCTION("""COMPUTED_VALUE"""),"ドラマ化、映画化等されたものは©表記確認要
■バナー制作の際の注意
作品によっては難しいものもあるかと思うのですが
書影を １８０度回転させて上下さかさまの状態にしての使用は
なるべく避けていただけますと幸いです。
■バーズロゴについて
「月刊コミックバーズ」雑誌ロゴに関しては使用不可。
※「月刊コミックバーズ」休刊の為
使用するならば「バーズコミックス」テキスト文言で使用。
（単語自体は刊行物のレーベル名の為、問題なし。） 
")</f>
        <v>ドラマ化、映画化等されたものは©表記確認要
■バナー制作の際の注意
作品によっては難しいものもあるかと思うのですが
書影を １８０度回転させて上下さかさまの状態にしての使用は
なるべく避けていただけますと幸いです。
■バーズロゴについて
「月刊コミックバーズ」雑誌ロゴに関しては使用不可。
※「月刊コミックバーズ」休刊の為
使用するならば「バーズコミックス」テキスト文言で使用。
（単語自体は刊行物のレーベル名の為、問題なし。） 
</v>
      </c>
      <c r="I240" s="54" t="str">
        <f>IFERROR(__xludf.DUMMYFUNCTION("""COMPUTED_VALUE"""),"「ぼくたちダイアリー」
©NANAO SUZU, YAMAMOTO KOTETSUKO, GENTOSHA COMICS
｢輪るピングドラム｣
©イクニチャウダー.柴田五十鈴.幻冬舎コミックス 2014
©イクニチャウダー／ピングループ
「天上の眼」
©KIKUCHI　SHŌTA, GENTOSHA COMICS 2006 
「廃ゲーマーな妹と始めるVRMMO生活」
©鈴森一・NU／講談社・幻冬舎コミックス
")</f>
        <v>「ぼくたちダイアリー」
©NANAO SUZU, YAMAMOTO KOTETSUKO, GENTOSHA COMICS
｢輪るピングドラム｣
©イクニチャウダー.柴田五十鈴.幻冬舎コミックス 2014
©イクニチャウダー／ピングループ
「天上の眼」
©KIKUCHI　SHŌTA, GENTOSHA COMICS 2006 
「廃ゲーマーな妹と始めるVRMMO生活」
©鈴森一・NU／講談社・幻冬舎コミックス
</v>
      </c>
      <c r="J240" s="15"/>
      <c r="K240" s="16"/>
      <c r="L240" s="17"/>
      <c r="M240" s="17"/>
      <c r="N240" s="17"/>
      <c r="O240" s="17"/>
      <c r="P240" s="17"/>
      <c r="Q240" s="17"/>
      <c r="R240" s="17"/>
      <c r="S240" s="17"/>
      <c r="T240" s="17"/>
      <c r="U240" s="17"/>
      <c r="V240" s="17"/>
    </row>
    <row r="241">
      <c r="A241" s="52" t="str">
        <f>IFERROR(__xludf.DUMMYFUNCTION("""COMPUTED_VALUE"""),"光文社
※「使用画像テキスト」要")</f>
        <v>光文社
※「使用画像テキスト」要</v>
      </c>
      <c r="B241" s="10"/>
      <c r="C241" s="28" t="str">
        <f>IFERROR(__xludf.DUMMYFUNCTION("""COMPUTED_VALUE"""),"必要")</f>
        <v>必要</v>
      </c>
      <c r="D241" s="12" t="str">
        <f>IFERROR(__xludf.DUMMYFUNCTION("""COMPUTED_VALUE"""),"使用画像テキスト")</f>
        <v>使用画像テキスト</v>
      </c>
      <c r="E241" s="116"/>
      <c r="F241" s="12" t="str">
        <f>IFERROR(__xludf.DUMMYFUNCTION("""COMPUTED_VALUE"""),"必要")</f>
        <v>必要</v>
      </c>
      <c r="G241" s="20" t="str">
        <f>IFERROR(__xludf.DUMMYFUNCTION("""COMPUTED_VALUE"""),"©著者名1・著者名2/光文社
・著者間は「・」区切り 
・BLは許諾に時間がかかる場合有")</f>
        <v>©著者名1・著者名2/光文社
・著者間は「・」区切り 
・BLは許諾に時間がかかる場合有</v>
      </c>
      <c r="H241" s="10" t="str">
        <f>IFERROR(__xludf.DUMMYFUNCTION("""COMPUTED_VALUE"""),"光文社古典新訳文庫はロゴの改行NG
テキストでレーベルロゴを作成する場合は元のロゴとは別物とわかるようなデザインにすること(似せるのNG)")</f>
        <v>光文社古典新訳文庫はロゴの改行NG
テキストでレーベルロゴを作成する場合は元のロゴとは別物とわかるようなデザインにすること(似せるのNG)</v>
      </c>
      <c r="I241" s="14"/>
      <c r="J241" s="15"/>
      <c r="K241" s="16"/>
      <c r="L241" s="17"/>
      <c r="M241" s="17"/>
      <c r="N241" s="17"/>
      <c r="O241" s="17"/>
      <c r="P241" s="17"/>
      <c r="Q241" s="17"/>
      <c r="R241" s="17"/>
      <c r="S241" s="17"/>
      <c r="T241" s="17"/>
      <c r="U241" s="17"/>
      <c r="V241" s="17"/>
    </row>
    <row r="242">
      <c r="A242" s="30" t="str">
        <f>IFERROR(__xludf.DUMMYFUNCTION("""COMPUTED_VALUE"""),"講談社")</f>
        <v>講談社</v>
      </c>
      <c r="B242" s="19"/>
      <c r="C242" s="28" t="str">
        <f>IFERROR(__xludf.DUMMYFUNCTION("""COMPUTED_VALUE"""),"必要")</f>
        <v>必要</v>
      </c>
      <c r="D242" s="12" t="str">
        <f>IFERROR(__xludf.DUMMYFUNCTION("""COMPUTED_VALUE"""),"Metaアカウント")</f>
        <v>Metaアカウント</v>
      </c>
      <c r="E242" s="12"/>
      <c r="F242" s="12" t="str">
        <f>IFERROR(__xludf.DUMMYFUNCTION("""COMPUTED_VALUE"""),"必要")</f>
        <v>必要</v>
      </c>
      <c r="G242" s="20" t="str">
        <f>IFERROR(__xludf.DUMMYFUNCTION("""COMPUTED_VALUE"""),"『タイトル名』©作者名/講談社
※原則日本語表記を推奨
・星海社コミックスの場合は　©作者名/星海社・講談社
​・ラノベは　©作者名/講談社　イラスト：作家名
・文字モノは　©作家名/講談社
・作者が複数いる場合は、書誌情報に登録されている順が正となります。
・別冊フレンド作品は全て作品タイトルに「ベツフレプチ」の記載は不要
※書影のC表記について
・回転や重なりがあっても、書影であることがはっきりしている場合C表記記載不要
・こちらから素材としてイラストや写真をお渡しした場合や、書影から写真やイラ"&amp;"ストを抜き出してお使いになる場合（あまり好ましくありませんが）は
C表記記載要 
基本はすべて、
・タイトルロゴを使うか、
・テキストで表記するか、
・©の前にタイトル表記をするか
※タイトルは、『』が必要。
例）『タイトルA』・『タイトルB』・『タイトルC』ⒸタイトルA著者・タイトルB著者・タイトルC著者/講談社
 ")</f>
        <v>『タイトル名』©作者名/講談社
※原則日本語表記を推奨
・星海社コミックスの場合は　©作者名/星海社・講談社
​・ラノベは　©作者名/講談社　イラスト：作家名
・文字モノは　©作家名/講談社
・作者が複数いる場合は、書誌情報に登録されている順が正となります。
・別冊フレンド作品は全て作品タイトルに「ベツフレプチ」の記載は不要
※書影のC表記について
・回転や重なりがあっても、書影であることがはっきりしている場合C表記記載不要
・こちらから素材としてイラストや写真をお渡しした場合や、書影から写真やイラストを抜き出してお使いになる場合（あまり好ましくありませんが）は
C表記記載要 
基本はすべて、
・タイトルロゴを使うか、
・テキストで表記するか、
・©の前にタイトル表記をするか
※タイトルは、『』が必要。
例）『タイトルA』・『タイトルB』・『タイトルC』ⒸタイトルA著者・タイトルB著者・タイトルC著者/講談社
 </v>
      </c>
      <c r="H242" s="26" t="str">
        <f>IFERROR(__xludf.DUMMYFUNCTION("""COMPUTED_VALUE"""),"※大きいバナーの場合は、画像の横向き不可
・巻に収録されている口絵は使用NG
（使用できるのはCPからいただいた素材と書影のみ）
・ロゴの加工はNG
（4Cのロゴの色変更もNG、1Cロゴに色を付けるのはOK）
・ロゴの使用は必須ではありませんが、ロゴに似せたテキストを使用するのであればロゴを使用して欲しい。
表記注意　☓プチKiss　→　○プチキス
ロゴ素材の提供ありますが使用NGです。
※キャッチについてのルール
『キャラクターのセリフのように見受けられる文言はNG』となります
")</f>
        <v>※大きいバナーの場合は、画像の横向き不可
・巻に収録されている口絵は使用NG
（使用できるのはCPからいただいた素材と書影のみ）
・ロゴの加工はNG
（4Cのロゴの色変更もNG、1Cロゴに色を付けるのはOK）
・ロゴの使用は必須ではありませんが、ロゴに似せたテキストを使用するのであればロゴを使用して欲しい。
表記注意　☓プチKiss　→　○プチキス
ロゴ素材の提供ありますが使用NGです。
※キャッチについてのルール
『キャラクターのセリフのように見受けられる文言はNG』となります
</v>
      </c>
      <c r="I242" s="128" t="str">
        <f>IFERROR(__xludf.DUMMYFUNCTION("""COMPUTED_VALUE"""),"「亜人」のC表記→1巻の素材使用時も桜井画門のみでOK
「ALL OUT!!」の主人公の名前（名字）について
書誌では「祗園」となっておりますが「祇園」（氏の下に線が入らない）が正しい表記。
画像などに入れる際は「祇園」を使ってください。
テキストで使用する際は「祗園」で大丈夫だそうです。
「アルスラーン戦記」
©荒川弘・田中芳樹/講談社
「GIANT KILLING」
GIANT KILLING ／講談社
※©はつけない
※画像に作者名を入れる際は、下記の表記でお願いします。
ツジトモ
原案／綱本"&amp;"将也
※「ツジトモ」は大きめに、「原案／綱本将也」は小さめに。
「放課後カルテ」
拒食症の話 【1巻の3話目（77～108ページ）】は外部出稿やサイト内バナー（コマ画像含む）での使用を禁止
「赤松健」「青井聖」作品全て
©赤松 健/講談社
©青井 聖/講談社
※姓名の間に半角スペース
「累」
『累ーかさねー』(C)Daruma Matsuura/講談社
※タイトル名/コンテンツ名は『累』が正。
　コピーライトに記載するタイトル名のみ『累ーかさねー』で統一。")</f>
        <v>「亜人」のC表記→1巻の素材使用時も桜井画門のみでOK
「ALL OUT!!」の主人公の名前（名字）について
書誌では「祗園」となっておりますが「祇園」（氏の下に線が入らない）が正しい表記。
画像などに入れる際は「祇園」を使ってください。
テキストで使用する際は「祗園」で大丈夫だそうです。
「アルスラーン戦記」
©荒川弘・田中芳樹/講談社
「GIANT KILLING」
GIANT KILLING ／講談社
※©はつけない
※画像に作者名を入れる際は、下記の表記でお願いします。
ツジトモ
原案／綱本将也
※「ツジトモ」は大きめに、「原案／綱本将也」は小さめに。
「放課後カルテ」
拒食症の話 【1巻の3話目（77～108ページ）】は外部出稿やサイト内バナー（コマ画像含む）での使用を禁止
「赤松健」「青井聖」作品全て
©赤松 健/講談社
©青井 聖/講談社
※姓名の間に半角スペース
「累」
『累ーかさねー』(C)Daruma Matsuura/講談社
※タイトル名/コンテンツ名は『累』が正。
　コピーライトに記載するタイトル名のみ『累ーかさねー』で統一。</v>
      </c>
      <c r="J242" s="65" t="str">
        <f>IFERROR(__xludf.DUMMYFUNCTION("""COMPUTED_VALUE"""),"○")</f>
        <v>○</v>
      </c>
      <c r="K242" s="16"/>
      <c r="L242" s="17"/>
      <c r="M242" s="17"/>
      <c r="N242" s="17"/>
      <c r="O242" s="17"/>
      <c r="P242" s="17"/>
      <c r="Q242" s="17"/>
      <c r="R242" s="17"/>
      <c r="S242" s="17"/>
      <c r="T242" s="17"/>
      <c r="U242" s="17"/>
      <c r="V242" s="17"/>
    </row>
    <row r="243">
      <c r="A243" s="9" t="str">
        <f>IFERROR(__xludf.DUMMYFUNCTION("""COMPUTED_VALUE"""),"彩図社")</f>
        <v>彩図社</v>
      </c>
      <c r="B243" s="10"/>
      <c r="C243" s="28" t="str">
        <f>IFERROR(__xludf.DUMMYFUNCTION("""COMPUTED_VALUE"""),"必要")</f>
        <v>必要</v>
      </c>
      <c r="D243" s="116"/>
      <c r="E243" s="116"/>
      <c r="F243" s="12" t="str">
        <f>IFERROR(__xludf.DUMMYFUNCTION("""COMPUTED_VALUE"""),"必要")</f>
        <v>必要</v>
      </c>
      <c r="G243" s="18" t="str">
        <f>IFERROR(__xludf.DUMMYFUNCTION("""COMPUTED_VALUE"""),"©著者名/彩図社
・書影まま使用した場合はコピーライト不要")</f>
        <v>©著者名/彩図社
・書影まま使用した場合はコピーライト不要</v>
      </c>
      <c r="H243" s="10"/>
      <c r="I243" s="14"/>
      <c r="J243" s="15"/>
      <c r="K243" s="16"/>
      <c r="L243" s="17"/>
      <c r="M243" s="17"/>
      <c r="N243" s="17"/>
      <c r="O243" s="17"/>
      <c r="P243" s="17"/>
      <c r="Q243" s="17"/>
      <c r="R243" s="17"/>
      <c r="S243" s="17"/>
      <c r="T243" s="17"/>
      <c r="U243" s="17"/>
      <c r="V243" s="17"/>
    </row>
    <row r="244">
      <c r="A244" s="9" t="str">
        <f>IFERROR(__xludf.DUMMYFUNCTION("""COMPUTED_VALUE"""),"山と溪谷社")</f>
        <v>山と溪谷社</v>
      </c>
      <c r="B244" s="10"/>
      <c r="C244" s="28" t="str">
        <f>IFERROR(__xludf.DUMMYFUNCTION("""COMPUTED_VALUE"""),"必要")</f>
        <v>必要</v>
      </c>
      <c r="D244" s="116"/>
      <c r="E244" s="116"/>
      <c r="F244" s="12" t="str">
        <f>IFERROR(__xludf.DUMMYFUNCTION("""COMPUTED_VALUE"""),"必要")</f>
        <v>必要</v>
      </c>
      <c r="G244" s="13" t="str">
        <f>IFERROR(__xludf.DUMMYFUNCTION("""COMPUTED_VALUE"""),"©著者名/出版社名")</f>
        <v>©著者名/出版社名</v>
      </c>
      <c r="H244" s="10"/>
      <c r="I244" s="14"/>
      <c r="J244" s="15"/>
      <c r="K244" s="16"/>
      <c r="L244" s="17"/>
      <c r="M244" s="17"/>
      <c r="N244" s="17"/>
      <c r="O244" s="17"/>
      <c r="P244" s="17"/>
      <c r="Q244" s="17"/>
      <c r="R244" s="17"/>
      <c r="S244" s="17"/>
      <c r="T244" s="17"/>
      <c r="U244" s="17"/>
      <c r="V244" s="17"/>
    </row>
    <row r="245">
      <c r="A245" s="9" t="str">
        <f>IFERROR(__xludf.DUMMYFUNCTION("""COMPUTED_VALUE"""),"実業之日本社")</f>
        <v>実業之日本社</v>
      </c>
      <c r="B245" s="10"/>
      <c r="C245" s="28" t="str">
        <f>IFERROR(__xludf.DUMMYFUNCTION("""COMPUTED_VALUE"""),"必要")</f>
        <v>必要</v>
      </c>
      <c r="D245" s="116"/>
      <c r="E245" s="116"/>
      <c r="F245" s="12" t="str">
        <f>IFERROR(__xludf.DUMMYFUNCTION("""COMPUTED_VALUE"""),"必要")</f>
        <v>必要</v>
      </c>
      <c r="G245" s="13" t="str">
        <f>IFERROR(__xludf.DUMMYFUNCTION("""COMPUTED_VALUE"""),"©作者名/実業之日本社")</f>
        <v>©作者名/実業之日本社</v>
      </c>
      <c r="H245" s="10"/>
      <c r="I245" s="14"/>
      <c r="J245" s="15"/>
      <c r="K245" s="16"/>
      <c r="L245" s="17"/>
      <c r="M245" s="17"/>
      <c r="N245" s="17"/>
      <c r="O245" s="17"/>
      <c r="P245" s="17"/>
      <c r="Q245" s="17"/>
      <c r="R245" s="17"/>
      <c r="S245" s="17"/>
      <c r="T245" s="17"/>
      <c r="U245" s="17"/>
      <c r="V245" s="17"/>
    </row>
    <row r="246">
      <c r="A246" s="9" t="str">
        <f>IFERROR(__xludf.DUMMYFUNCTION("""COMPUTED_VALUE"""),"若生出版")</f>
        <v>若生出版</v>
      </c>
      <c r="B246" s="10"/>
      <c r="C246" s="28" t="str">
        <f>IFERROR(__xludf.DUMMYFUNCTION("""COMPUTED_VALUE"""),"必要")</f>
        <v>必要</v>
      </c>
      <c r="D246" s="116"/>
      <c r="E246" s="116"/>
      <c r="F246" s="12" t="str">
        <f>IFERROR(__xludf.DUMMYFUNCTION("""COMPUTED_VALUE"""),"必要")</f>
        <v>必要</v>
      </c>
      <c r="G246" s="18" t="str">
        <f>IFERROR(__xludf.DUMMYFUNCTION("""COMPUTED_VALUE"""),"©著者名/若生出版
・書影まま使用した場合はコピーライト不要")</f>
        <v>©著者名/若生出版
・書影まま使用した場合はコピーライト不要</v>
      </c>
      <c r="H246" s="10"/>
      <c r="I246" s="14"/>
      <c r="J246" s="15"/>
      <c r="K246" s="16"/>
      <c r="L246" s="17"/>
      <c r="M246" s="17"/>
      <c r="N246" s="17"/>
      <c r="O246" s="17"/>
      <c r="P246" s="17"/>
      <c r="Q246" s="17"/>
      <c r="R246" s="17"/>
      <c r="S246" s="17"/>
      <c r="T246" s="17"/>
      <c r="U246" s="17"/>
      <c r="V246" s="17"/>
    </row>
    <row r="247">
      <c r="A247" s="9" t="str">
        <f>IFERROR(__xludf.DUMMYFUNCTION("""COMPUTED_VALUE"""),"主婦と生活社")</f>
        <v>主婦と生活社</v>
      </c>
      <c r="B247" s="10"/>
      <c r="C247" s="28" t="str">
        <f>IFERROR(__xludf.DUMMYFUNCTION("""COMPUTED_VALUE"""),"必要")</f>
        <v>必要</v>
      </c>
      <c r="D247" s="116"/>
      <c r="E247" s="116"/>
      <c r="F247" s="12" t="str">
        <f>IFERROR(__xludf.DUMMYFUNCTION("""COMPUTED_VALUE"""),"必要")</f>
        <v>必要</v>
      </c>
      <c r="G247" s="13" t="str">
        <f>IFERROR(__xludf.DUMMYFUNCTION("""COMPUTED_VALUE"""),"©著者名/出版社名")</f>
        <v>©著者名/出版社名</v>
      </c>
      <c r="H247" s="10"/>
      <c r="I247" s="14"/>
      <c r="J247" s="15"/>
      <c r="K247" s="16"/>
      <c r="L247" s="17"/>
      <c r="M247" s="17"/>
      <c r="N247" s="17"/>
      <c r="O247" s="17"/>
      <c r="P247" s="17"/>
      <c r="Q247" s="17"/>
      <c r="R247" s="17"/>
      <c r="S247" s="17"/>
      <c r="T247" s="17"/>
      <c r="U247" s="17"/>
      <c r="V247" s="17"/>
    </row>
    <row r="248">
      <c r="A248" s="9" t="str">
        <f>IFERROR(__xludf.DUMMYFUNCTION("""COMPUTED_VALUE"""),"手塚プロダクション")</f>
        <v>手塚プロダクション</v>
      </c>
      <c r="B248" s="10"/>
      <c r="C248" s="28" t="str">
        <f>IFERROR(__xludf.DUMMYFUNCTION("""COMPUTED_VALUE"""),"必要")</f>
        <v>必要</v>
      </c>
      <c r="D248" s="116"/>
      <c r="E248" s="116"/>
      <c r="F248" s="12" t="str">
        <f>IFERROR(__xludf.DUMMYFUNCTION("""COMPUTED_VALUE"""),"必要")</f>
        <v>必要</v>
      </c>
      <c r="G248" s="18" t="str">
        <f>IFERROR(__xludf.DUMMYFUNCTION("""COMPUTED_VALUE"""),"©Tezuka Productions
・書影まま使用した場合はコピーライト不要")</f>
        <v>©Tezuka Productions
・書影まま使用した場合はコピーライト不要</v>
      </c>
      <c r="H248" s="10" t="str">
        <f>IFERROR(__xludf.DUMMYFUNCTION("""COMPUTED_VALUE"""),"原則、事前確認")</f>
        <v>原則、事前確認</v>
      </c>
      <c r="I248" s="14"/>
      <c r="J248" s="15"/>
      <c r="K248" s="16"/>
      <c r="L248" s="17"/>
      <c r="M248" s="17"/>
      <c r="N248" s="17"/>
      <c r="O248" s="17"/>
      <c r="P248" s="17"/>
      <c r="Q248" s="17"/>
      <c r="R248" s="17"/>
      <c r="S248" s="17"/>
      <c r="T248" s="17"/>
      <c r="U248" s="17"/>
      <c r="V248" s="17"/>
    </row>
    <row r="249" ht="82.5" customHeight="1">
      <c r="A249" s="79" t="str">
        <f>IFERROR(__xludf.DUMMYFUNCTION("""COMPUTED_VALUE"""),"秋水社
※「使用画像テキスト」要")</f>
        <v>秋水社
※「使用画像テキスト」要</v>
      </c>
      <c r="B249" s="10" t="str">
        <f>IFERROR(__xludf.DUMMYFUNCTION("""COMPUTED_VALUE"""),"秋水社")</f>
        <v>秋水社</v>
      </c>
      <c r="C249" s="43" t="str">
        <f>IFERROR(__xludf.DUMMYFUNCTION("""COMPUTED_VALUE"""),"必要")</f>
        <v>必要</v>
      </c>
      <c r="D249" s="44" t="str">
        <f>IFERROR(__xludf.DUMMYFUNCTION("""COMPUTED_VALUE"""),"使用画像テキスト")</f>
        <v>使用画像テキスト</v>
      </c>
      <c r="E249" s="12"/>
      <c r="F249" s="12" t="str">
        <f>IFERROR(__xludf.DUMMYFUNCTION("""COMPUTED_VALUE"""),"必要")</f>
        <v>必要</v>
      </c>
      <c r="G249" s="20" t="str">
        <f>IFERROR(__xludf.DUMMYFUNCTION("""COMPUTED_VALUE"""),"「作品名」©作者名/秋水社
・著者間は「・」区切り
・作品名必須（レギュレーション対策の場合は省略可）
・タイトルによって違う場合があるので確認が必要
・大都社と秋水社、2社併記の場合も有り")</f>
        <v>「作品名」©作者名/秋水社
・著者間は「・」区切り
・作品名必須（レギュレーション対策の場合は省略可）
・タイトルによって違う場合があるので確認が必要
・大都社と秋水社、2社併記の場合も有り</v>
      </c>
      <c r="H249" s="10" t="str">
        <f>IFERROR(__xludf.DUMMYFUNCTION("""COMPUTED_VALUE"""),"秋水社の雑誌(BL宣言など)のタイトルの中に、CPが双葉社のタイトルがあるので注意
")</f>
        <v>秋水社の雑誌(BL宣言など)のタイトルの中に、CPが双葉社のタイトルがあるので注意
</v>
      </c>
      <c r="I249" s="129" t="str">
        <f>IFERROR(__xludf.DUMMYFUNCTION("""COMPUTED_VALUE"""),"｢恋愛天使の時」はＣ表記｢©作者/大都社」")</f>
        <v>｢恋愛天使の時」はＣ表記｢©作者/大都社」</v>
      </c>
      <c r="J249" s="15"/>
      <c r="K249" s="16"/>
      <c r="L249" s="17"/>
      <c r="M249" s="17"/>
      <c r="N249" s="17"/>
      <c r="O249" s="17"/>
      <c r="P249" s="17"/>
      <c r="Q249" s="17"/>
      <c r="R249" s="17"/>
      <c r="S249" s="17"/>
      <c r="T249" s="17"/>
      <c r="U249" s="17"/>
      <c r="V249" s="17"/>
    </row>
    <row r="250" ht="76.5" customHeight="1">
      <c r="A250" s="51"/>
      <c r="B250" s="10" t="str">
        <f>IFERROR(__xludf.DUMMYFUNCTION("""COMPUTED_VALUE"""),"秋水社ORIGINAL")</f>
        <v>秋水社ORIGINAL</v>
      </c>
      <c r="C250" s="51"/>
      <c r="D250" s="51"/>
      <c r="E250" s="12"/>
      <c r="F250" s="12" t="str">
        <f>IFERROR(__xludf.DUMMYFUNCTION("""COMPUTED_VALUE"""),"必要")</f>
        <v>必要</v>
      </c>
      <c r="G250" s="20" t="str">
        <f>IFERROR(__xludf.DUMMYFUNCTION("""COMPUTED_VALUE"""),"「作品名」©作家名/秋水社ORIGINAL
・著者間は「・」区切り
・作品名必須（レギュレーション対策の場合は省略可）
・タイトルによって違う場合があるので確認が必要")</f>
        <v>「作品名」©作家名/秋水社ORIGINAL
・著者間は「・」区切り
・作品名必須（レギュレーション対策の場合は省略可）
・タイトルによって違う場合があるので確認が必要</v>
      </c>
      <c r="H250" s="10"/>
      <c r="I250" s="14"/>
      <c r="J250" s="15"/>
      <c r="K250" s="16"/>
      <c r="L250" s="17"/>
      <c r="M250" s="17"/>
      <c r="N250" s="17"/>
      <c r="O250" s="17"/>
      <c r="P250" s="17"/>
      <c r="Q250" s="17"/>
      <c r="R250" s="17"/>
      <c r="S250" s="17"/>
      <c r="T250" s="17"/>
      <c r="U250" s="17"/>
      <c r="V250" s="17"/>
    </row>
    <row r="251" ht="73.5" customHeight="1">
      <c r="A251" s="9" t="str">
        <f>IFERROR(__xludf.DUMMYFUNCTION("""COMPUTED_VALUE"""),"秋水社MAHK")</f>
        <v>秋水社MAHK</v>
      </c>
      <c r="B251" s="10"/>
      <c r="C251" s="11" t="str">
        <f>IFERROR(__xludf.DUMMYFUNCTION("""COMPUTED_VALUE"""),"不要")</f>
        <v>不要</v>
      </c>
      <c r="D251" s="116"/>
      <c r="E251" s="116"/>
      <c r="F251" s="12" t="str">
        <f>IFERROR(__xludf.DUMMYFUNCTION("""COMPUTED_VALUE"""),"必要")</f>
        <v>必要</v>
      </c>
      <c r="G251" s="18" t="str">
        <f>IFERROR(__xludf.DUMMYFUNCTION("""COMPUTED_VALUE"""),"©秋水社/MAHK
※作家名の記載につきましてはあった方が望ましいですが、必須ではございません。
基本は出版社名を記載頂ければと思います。")</f>
        <v>©秋水社/MAHK
※作家名の記載につきましてはあった方が望ましいですが、必須ではございません。
基本は出版社名を記載頂ければと思います。</v>
      </c>
      <c r="H251" s="10"/>
      <c r="I251" s="14"/>
      <c r="J251" s="15"/>
      <c r="K251" s="16"/>
      <c r="L251" s="17"/>
      <c r="M251" s="17"/>
      <c r="N251" s="17"/>
      <c r="O251" s="17"/>
      <c r="P251" s="17"/>
      <c r="Q251" s="17"/>
      <c r="R251" s="17"/>
      <c r="S251" s="17"/>
      <c r="T251" s="17"/>
      <c r="U251" s="17"/>
      <c r="V251" s="17"/>
    </row>
    <row r="252">
      <c r="A252" s="9" t="str">
        <f>IFERROR(__xludf.DUMMYFUNCTION("""COMPUTED_VALUE"""),"秋田書店")</f>
        <v>秋田書店</v>
      </c>
      <c r="B252" s="10"/>
      <c r="C252" s="28" t="str">
        <f>IFERROR(__xludf.DUMMYFUNCTION("""COMPUTED_VALUE"""),"必要")</f>
        <v>必要</v>
      </c>
      <c r="D252" s="12"/>
      <c r="E252" s="12"/>
      <c r="F252" s="12" t="str">
        <f>IFERROR(__xludf.DUMMYFUNCTION("""COMPUTED_VALUE"""),"必要")</f>
        <v>必要</v>
      </c>
      <c r="G252" s="20" t="str">
        <f>IFERROR(__xludf.DUMMYFUNCTION("""COMPUTED_VALUE"""),"「タイトル名」©著者名（秋田書店）
・著者間の区切りは「・」
（※ただし(例)アメカワ・リーチなど)著者名に「・」がある場合は、「/」区切りになる場合もあり）
・作家表記は通常、原作者、漫画家の順番
・タイトル表記、『』の使用ＮＧ
・黒バックの場合のみフチなし白抜き文字で表記必須。
・【電子単行本】【分冊版】(話売り)といった記載は、コピーライト上の作品名では削除。")</f>
        <v>「タイトル名」©著者名（秋田書店）
・著者間の区切りは「・」
（※ただし(例)アメカワ・リーチなど)著者名に「・」がある場合は、「/」区切りになる場合もあり）
・作家表記は通常、原作者、漫画家の順番
・タイトル表記、『』の使用ＮＧ
・黒バックの場合のみフチなし白抜き文字で表記必須。
・【電子単行本】【分冊版】(話売り)といった記載は、コピーライト上の作品名では削除。</v>
      </c>
      <c r="H252" s="10" t="str">
        <f>IFERROR(__xludf.DUMMYFUNCTION("""COMPUTED_VALUE"""),"色付け不可
作品ロゴの改変はNG
※下記の環境依存文字を使用している先生の名前ですが、バナーなど画像の場合は正しい方の字で表記お願いします。書誌などは略字で構いません。
・手塚治虫の｢塚｣は｢塚｣で正しい
・高橋ヒロシの｢高｣は｢髙｣で正しい
今のところ指摘を受けたことがあるのはこの2人ですが、他にもいるかもしれません。
・「榊原宗々」先生の「榊」は、正しくは「木」に「神」となります。 
")</f>
        <v>色付け不可
作品ロゴの改変はNG
※下記の環境依存文字を使用している先生の名前ですが、バナーなど画像の場合は正しい方の字で表記お願いします。書誌などは略字で構いません。
・手塚治虫の｢塚｣は｢塚｣で正しい
・高橋ヒロシの｢高｣は｢髙｣で正しい
今のところ指摘を受けたことがあるのはこの2人ですが、他にもいるかもしれません。
・「榊原宗々」先生の「榊」は、正しくは「木」に「神」となります。 
</v>
      </c>
      <c r="I252" s="40"/>
      <c r="J252" s="15"/>
      <c r="K252" s="16"/>
      <c r="L252" s="17"/>
      <c r="M252" s="17"/>
      <c r="N252" s="17"/>
      <c r="O252" s="17"/>
      <c r="P252" s="17"/>
      <c r="Q252" s="17"/>
      <c r="R252" s="17"/>
      <c r="S252" s="17"/>
      <c r="T252" s="17"/>
      <c r="U252" s="17"/>
      <c r="V252" s="17"/>
    </row>
    <row r="253" ht="126.75" customHeight="1">
      <c r="A253" s="79" t="str">
        <f>IFERROR(__xludf.DUMMYFUNCTION("""COMPUTED_VALUE"""),"集英社
※「使用画像テキスト」要")</f>
        <v>集英社
※「使用画像テキスト」要</v>
      </c>
      <c r="B253" s="10"/>
      <c r="C253" s="43" t="str">
        <f>IFERROR(__xludf.DUMMYFUNCTION("""COMPUTED_VALUE"""),"必要")</f>
        <v>必要</v>
      </c>
      <c r="D253" s="130" t="str">
        <f>IFERROR(__xludf.DUMMYFUNCTION("""COMPUTED_VALUE"""),"使用画像テキスト
Metaアカウント
セリフ移動をしたら下記テキスト格納必須
【テンプレート】セリフ移動箇所.txt
コマを入れ替えた場合は下記テキスト格納必須
【テンプレ】コマ入れ替え箇所.txt")</f>
        <v>使用画像テキスト
Metaアカウント
セリフ移動をしたら下記テキスト格納必須
【テンプレート】セリフ移動箇所.txt
コマを入れ替えた場合は下記テキスト格納必須
【テンプレ】コマ入れ替え箇所.txt</v>
      </c>
      <c r="E253" s="131" t="str">
        <f>IFERROR(__xludf.DUMMYFUNCTION("""COMPUTED_VALUE"""),"▼下記NG
・画の描き足し
・台詞の改変
・作家の創作性を害する改変
・漫画の一部のように見えるト書きの追加
▼事前相談必須
・タテヨミ作品のセリフ移動
・目の瞬き効果、手を動かすなどのアニメーション付加")</f>
        <v>▼下記NG
・画の描き足し
・台詞の改変
・作家の創作性を害する改変
・漫画の一部のように見えるト書きの追加
▼事前相談必須
・タテヨミ作品のセリフ移動
・目の瞬き効果、手を動かすなどのアニメーション付加</v>
      </c>
      <c r="F253" s="12" t="str">
        <f>IFERROR(__xludf.DUMMYFUNCTION("""COMPUTED_VALUE"""),"必要")</f>
        <v>必要</v>
      </c>
      <c r="G253" s="25" t="str">
        <f>IFERROR(__xludf.DUMMYFUNCTION("""COMPUTED_VALUE"""),"©著者名／集英社")</f>
        <v>©著者名／集英社</v>
      </c>
      <c r="H253" s="26" t="str">
        <f>IFERROR(__xludf.DUMMYFUNCTION("""COMPUTED_VALUE"""),"・色づけ不可
・書影使用の際、背オビトリミングはNG
※ラノベの書影使用の場合→コピーライト必要
※セリフ移動について→どこを移動したのかわかるようテキストに記載お願いします。")</f>
        <v>・色づけ不可
・書影使用の際、背オビトリミングはNG
※ラノベの書影使用の場合→コピーライト必要
※セリフ移動について→どこを移動したのかわかるようテキストに記載お願いします。</v>
      </c>
      <c r="I253" s="132"/>
      <c r="J253" s="65" t="str">
        <f>IFERROR(__xludf.DUMMYFUNCTION("""COMPUTED_VALUE"""),"×")</f>
        <v>×</v>
      </c>
      <c r="K253" s="133" t="str">
        <f>IFERROR(__xludf.DUMMYFUNCTION("""COMPUTED_VALUE"""),"単行本時に加筆修正が入る為、コマ絵が変更している場合がありバナー転用できない。
※『198789　ハレルヤベイビー』についてのみ、【分冊版の素材使用OK】です（逆に分冊版へ単行本素材使用は未確認のため×です）")</f>
        <v>単行本時に加筆修正が入る為、コマ絵が変更している場合がありバナー転用できない。
※『198789　ハレルヤベイビー』についてのみ、【分冊版の素材使用OK】です（逆に分冊版へ単行本素材使用は未確認のため×です）</v>
      </c>
      <c r="L253" s="17"/>
      <c r="M253" s="17"/>
      <c r="N253" s="17"/>
      <c r="O253" s="17"/>
      <c r="P253" s="17"/>
      <c r="Q253" s="17"/>
      <c r="R253" s="17"/>
      <c r="S253" s="17"/>
      <c r="T253" s="17"/>
      <c r="U253" s="17"/>
      <c r="V253" s="17"/>
    </row>
    <row r="254" ht="84.75" customHeight="1">
      <c r="A254" s="50"/>
      <c r="B254" s="10" t="str">
        <f>IFERROR(__xludf.DUMMYFUNCTION("""COMPUTED_VALUE"""),"ブリンク、Bloom ドットブルーム")</f>
        <v>ブリンク、Bloom ドットブルーム</v>
      </c>
      <c r="C254" s="50"/>
      <c r="D254" s="50"/>
      <c r="E254" s="50"/>
      <c r="F254" s="12" t="str">
        <f>IFERROR(__xludf.DUMMYFUNCTION("""COMPUTED_VALUE"""),"必要")</f>
        <v>必要</v>
      </c>
      <c r="G254" s="25" t="str">
        <f>IFERROR(__xludf.DUMMYFUNCTION("""COMPUTED_VALUE"""),"©作者名／ホーム社 ")</f>
        <v>©作者名／ホーム社 </v>
      </c>
      <c r="H254" s="10" t="str">
        <f>IFERROR(__xludf.DUMMYFUNCTION("""COMPUTED_VALUE"""),"・色づけ不可
・書影使用の際、背オビトリミングはNG
・バナーのどこかにタイトル名を入れる(タイトルロゴ、テキスト記載、©の前など)
※コマ画像は©の前に｢作品名｣(カッコも含める)が必須。")</f>
        <v>・色づけ不可
・書影使用の際、背オビトリミングはNG
・バナーのどこかにタイトル名を入れる(タイトルロゴ、テキスト記載、©の前など)
※コマ画像は©の前に｢作品名｣(カッコも含める)が必須。</v>
      </c>
      <c r="I254" s="50"/>
      <c r="J254" s="65" t="str">
        <f>IFERROR(__xludf.DUMMYFUNCTION("""COMPUTED_VALUE"""),"×")</f>
        <v>×</v>
      </c>
      <c r="K254" s="133" t="str">
        <f>IFERROR(__xludf.DUMMYFUNCTION("""COMPUTED_VALUE"""),"単行本時に加筆修正が入る為、コマ絵が変更している場合がありバナー転用できない。
※『198789　ハレルヤベイビー』についてのみ、【分冊版の素材使用OK】です（逆に分冊版へ単行本素材使用は未確認のため×です）")</f>
        <v>単行本時に加筆修正が入る為、コマ絵が変更している場合がありバナー転用できない。
※『198789　ハレルヤベイビー』についてのみ、【分冊版の素材使用OK】です（逆に分冊版へ単行本素材使用は未確認のため×です）</v>
      </c>
      <c r="L254" s="17"/>
      <c r="M254" s="17"/>
      <c r="N254" s="17"/>
      <c r="O254" s="17"/>
      <c r="P254" s="17"/>
      <c r="Q254" s="17"/>
      <c r="R254" s="17"/>
      <c r="S254" s="17"/>
      <c r="T254" s="17"/>
      <c r="U254" s="17"/>
      <c r="V254" s="17"/>
    </row>
    <row r="255" ht="99.75" customHeight="1">
      <c r="A255" s="51"/>
      <c r="B255" s="10" t="str">
        <f>IFERROR(__xludf.DUMMYFUNCTION("""COMPUTED_VALUE"""),"office YOU")</f>
        <v>office YOU</v>
      </c>
      <c r="C255" s="51"/>
      <c r="D255" s="51"/>
      <c r="E255" s="51"/>
      <c r="F255" s="12" t="str">
        <f>IFERROR(__xludf.DUMMYFUNCTION("""COMPUTED_VALUE"""),"必要")</f>
        <v>必要</v>
      </c>
      <c r="G255" s="25" t="str">
        <f>IFERROR(__xludf.DUMMYFUNCTION("""COMPUTED_VALUE"""),"©著者名／集英社クリエイティブ")</f>
        <v>©著者名／集英社クリエイティブ</v>
      </c>
      <c r="H255" s="26" t="str">
        <f>IFERROR(__xludf.DUMMYFUNCTION("""COMPUTED_VALUE"""),"・色づけ不可
・書影使用の際、背オビトリミングはNG
・バナーのどこかにタイトル名を入れる(タイトルロゴ、テキスト記載、©の前など)
※コマ画像は©の前に｢作品名｣(カッコも含める)が必須。")</f>
        <v>・色づけ不可
・書影使用の際、背オビトリミングはNG
・バナーのどこかにタイトル名を入れる(タイトルロゴ、テキスト記載、©の前など)
※コマ画像は©の前に｢作品名｣(カッコも含める)が必須。</v>
      </c>
      <c r="I255" s="51"/>
      <c r="J255" s="65" t="str">
        <f>IFERROR(__xludf.DUMMYFUNCTION("""COMPUTED_VALUE"""),"×")</f>
        <v>×</v>
      </c>
      <c r="K255" s="133" t="str">
        <f>IFERROR(__xludf.DUMMYFUNCTION("""COMPUTED_VALUE"""),"単行本時に加筆修正が入る為、コマ絵が変更している場合がありバナー転用できない。
※『198789　ハレルヤベイビー』についてのみ、【分冊版の素材使用OK】です（逆に分冊版へ単行本素材使用は未確認のため×です）")</f>
        <v>単行本時に加筆修正が入る為、コマ絵が変更している場合がありバナー転用できない。
※『198789　ハレルヤベイビー』についてのみ、【分冊版の素材使用OK】です（逆に分冊版へ単行本素材使用は未確認のため×です）</v>
      </c>
      <c r="L255" s="17"/>
      <c r="M255" s="17"/>
      <c r="N255" s="17"/>
      <c r="O255" s="17"/>
      <c r="P255" s="17"/>
      <c r="Q255" s="17"/>
      <c r="R255" s="17"/>
      <c r="S255" s="17"/>
      <c r="T255" s="17"/>
      <c r="U255" s="17"/>
      <c r="V255" s="17"/>
    </row>
    <row r="256">
      <c r="A256" s="30" t="str">
        <f>IFERROR(__xludf.DUMMYFUNCTION("""COMPUTED_VALUE"""),"小学館
※「使用画像テキスト」要")</f>
        <v>小学館
※「使用画像テキスト」要</v>
      </c>
      <c r="B256" s="10"/>
      <c r="C256" s="28" t="str">
        <f>IFERROR(__xludf.DUMMYFUNCTION("""COMPUTED_VALUE"""),"必要")</f>
        <v>必要</v>
      </c>
      <c r="D256" s="134" t="str">
        <f>IFERROR(__xludf.DUMMYFUNCTION("""COMPUTED_VALUE"""),"使用画像テキスト")</f>
        <v>使用画像テキスト</v>
      </c>
      <c r="E256" s="135" t="str">
        <f>IFERROR(__xludf.DUMMYFUNCTION("""COMPUTED_VALUE"""),"資料要参照")</f>
        <v>資料要参照</v>
      </c>
      <c r="F256" s="12" t="str">
        <f>IFERROR(__xludf.DUMMYFUNCTION("""COMPUTED_VALUE"""),"必要")</f>
        <v>必要</v>
      </c>
      <c r="G256" s="20" t="str">
        <f>IFERROR(__xludf.DUMMYFUNCTION("""COMPUTED_VALUE"""),"「タイトル名」©作者名 / 小学館 
・タイトル名必須
⇒正式名称ですべて記載（マイクロ、分冊版等も含む）
・サイコミ作品は基本的に「Cygames, Inc.」が必要
ⓒ半角スペースCygames,半角スペースInc.
「タイトル名」ⓒ Cygames, Inc.・作者名 / 小学館
※タイトル名がレギュレーションに引っかかる場合省略可（backlogにその旨記載必須）")</f>
        <v>「タイトル名」©作者名 / 小学館 
・タイトル名必須
⇒正式名称ですべて記載（マイクロ、分冊版等も含む）
・サイコミ作品は基本的に「Cygames, Inc.」が必要
ⓒ半角スペースCygames,半角スペースInc.
「タイトル名」ⓒ Cygames, Inc.・作者名 / 小学館
※タイトル名がレギュレーションに引っかかる場合省略可（backlogにその旨記載必須）</v>
      </c>
      <c r="H256" s="26" t="str">
        <f>IFERROR(__xludf.DUMMYFUNCTION("""COMPUTED_VALUE"""),"≪外部掲載バナーについて≫
表紙画像の場合ⓒ不要
≪動画クリエイティブについて≫
基本アニメーション加工不可
カルーセル広告を動画にするのはOK
程度によってはOK出る場合もあるので事前に相談してください
アダルト媒体への出稿は『メルト』のみ可。
その場合、バナーにはコピーライトを入れず、LPにコピーライトを入れてください。
")</f>
        <v>≪外部掲載バナーについて≫
表紙画像の場合ⓒ不要
≪動画クリエイティブについて≫
基本アニメーション加工不可
カルーセル広告を動画にするのはOK
程度によってはOK出る場合もあるので事前に相談してください
アダルト媒体への出稿は『メルト』のみ可。
その場合、バナーにはコピーライトを入れず、LPにコピーライトを入れてください。
</v>
      </c>
      <c r="I256" s="14"/>
      <c r="J256" s="65" t="str">
        <f>IFERROR(__xludf.DUMMYFUNCTION("""COMPUTED_VALUE"""),"○※")</f>
        <v>○※</v>
      </c>
      <c r="K256" s="66" t="str">
        <f>IFERROR(__xludf.DUMMYFUNCTION("""COMPUTED_VALUE"""),"■分冊版バナーを単行本版着地に変更する場合は【マイクロ】【単話】をC表記から削除（代理店責了）
■コピーライトの位置や大きさを変更等した場合はソルへの再確認必要")</f>
        <v>■分冊版バナーを単行本版着地に変更する場合は【マイクロ】【単話】をC表記から削除（代理店責了）
■コピーライトの位置や大きさを変更等した場合はソルへの再確認必要</v>
      </c>
      <c r="L256" s="17"/>
      <c r="M256" s="17"/>
      <c r="N256" s="17"/>
      <c r="O256" s="17"/>
      <c r="P256" s="17"/>
      <c r="Q256" s="17"/>
      <c r="R256" s="17"/>
      <c r="S256" s="17"/>
      <c r="T256" s="17"/>
      <c r="U256" s="17"/>
      <c r="V256" s="17"/>
    </row>
    <row r="257" ht="72.0" customHeight="1">
      <c r="A257" s="42" t="str">
        <f>IFERROR(__xludf.DUMMYFUNCTION("""COMPUTED_VALUE"""),"小学館クリエイティブ")</f>
        <v>小学館クリエイティブ</v>
      </c>
      <c r="B257" s="77" t="str">
        <f>IFERROR(__xludf.DUMMYFUNCTION("""COMPUTED_VALUE"""),"小学館クリエイティブ
※「使用画像テキスト」要")</f>
        <v>小学館クリエイティブ
※「使用画像テキスト」要</v>
      </c>
      <c r="C257" s="28" t="str">
        <f>IFERROR(__xludf.DUMMYFUNCTION("""COMPUTED_VALUE"""),"必要")</f>
        <v>必要</v>
      </c>
      <c r="D257" s="12" t="str">
        <f>IFERROR(__xludf.DUMMYFUNCTION("""COMPUTED_VALUE"""),"使用画像テキスト")</f>
        <v>使用画像テキスト</v>
      </c>
      <c r="E257" s="116"/>
      <c r="F257" s="12" t="str">
        <f>IFERROR(__xludf.DUMMYFUNCTION("""COMPUTED_VALUE"""),"必要")</f>
        <v>必要</v>
      </c>
      <c r="G257" s="13" t="str">
        <f>IFERROR(__xludf.DUMMYFUNCTION("""COMPUTED_VALUE"""),"©作者名/小学館クリエイティブ")</f>
        <v>©作者名/小学館クリエイティブ</v>
      </c>
      <c r="H257" s="10"/>
      <c r="I257" s="14"/>
      <c r="J257" s="15"/>
      <c r="K257" s="16"/>
      <c r="L257" s="17"/>
      <c r="M257" s="17"/>
      <c r="N257" s="17"/>
      <c r="O257" s="17"/>
      <c r="P257" s="17"/>
      <c r="Q257" s="17"/>
      <c r="R257" s="17"/>
      <c r="S257" s="17"/>
      <c r="T257" s="17"/>
      <c r="U257" s="17"/>
      <c r="V257" s="17"/>
    </row>
    <row r="258">
      <c r="A258" s="50"/>
      <c r="B258" s="10" t="str">
        <f>IFERROR(__xludf.DUMMYFUNCTION("""COMPUTED_VALUE"""),"アイプロダクション")</f>
        <v>アイプロダクション</v>
      </c>
      <c r="C258" s="11" t="str">
        <f>IFERROR(__xludf.DUMMYFUNCTION("""COMPUTED_VALUE"""),"不要")</f>
        <v>不要</v>
      </c>
      <c r="D258" s="28"/>
      <c r="E258" s="29" t="str">
        <f>IFERROR(__xludf.DUMMYFUNCTION("""COMPUTED_VALUE"""),"加工については備考欄参照")</f>
        <v>加工については備考欄参照</v>
      </c>
      <c r="F258" s="12" t="str">
        <f>IFERROR(__xludf.DUMMYFUNCTION("""COMPUTED_VALUE"""),"必要")</f>
        <v>必要</v>
      </c>
      <c r="G258" s="13" t="str">
        <f>IFERROR(__xludf.DUMMYFUNCTION("""COMPUTED_VALUE"""),"©作家名・漫画家名/アイプロダクション")</f>
        <v>©作家名・漫画家名/アイプロダクション</v>
      </c>
      <c r="H258" s="26" t="str">
        <f>IFERROR(__xludf.DUMMYFUNCTION("""COMPUTED_VALUE"""),"色づけＯＫ　確認必要なし
動画広告の場合は許諾確認必要
少しでも加工があった場合許諾確認必要
作者名の「chirico」はブランド名のようなものなので
今後はコピーライト対象外としてください。")</f>
        <v>色づけＯＫ　確認必要なし
動画広告の場合は許諾確認必要
少しでも加工があった場合許諾確認必要
作者名の「chirico」はブランド名のようなものなので
今後はコピーライト対象外としてください。</v>
      </c>
      <c r="I258" s="14"/>
      <c r="J258" s="15"/>
      <c r="K258" s="16"/>
      <c r="L258" s="17"/>
      <c r="M258" s="17"/>
      <c r="N258" s="17"/>
      <c r="O258" s="17"/>
      <c r="P258" s="17"/>
      <c r="Q258" s="17"/>
      <c r="R258" s="17"/>
      <c r="S258" s="17"/>
      <c r="T258" s="17"/>
      <c r="U258" s="17"/>
      <c r="V258" s="17"/>
    </row>
    <row r="259">
      <c r="A259" s="51"/>
      <c r="B259" s="10" t="str">
        <f>IFERROR(__xludf.DUMMYFUNCTION("""COMPUTED_VALUE"""),"肌恋")</f>
        <v>肌恋</v>
      </c>
      <c r="C259" s="11" t="str">
        <f>IFERROR(__xludf.DUMMYFUNCTION("""COMPUTED_VALUE"""),"不要")</f>
        <v>不要</v>
      </c>
      <c r="D259" s="116"/>
      <c r="E259" s="116"/>
      <c r="F259" s="12" t="str">
        <f>IFERROR(__xludf.DUMMYFUNCTION("""COMPUTED_VALUE"""),"必要")</f>
        <v>必要</v>
      </c>
      <c r="G259" s="18" t="str">
        <f>IFERROR(__xludf.DUMMYFUNCTION("""COMPUTED_VALUE"""),"©作家名・漫画家名/アイプロダクション・NTTソルマーレ
・出稿先が｢アダルト｣の場合は　©作者名")</f>
        <v>©作家名・漫画家名/アイプロダクション・NTTソルマーレ
・出稿先が｢アダルト｣の場合は　©作者名</v>
      </c>
      <c r="H259" s="10" t="str">
        <f>IFERROR(__xludf.DUMMYFUNCTION("""COMPUTED_VALUE"""),"色づけＯＫ　確認必要なし")</f>
        <v>色づけＯＫ　確認必要なし</v>
      </c>
      <c r="I259" s="14"/>
      <c r="J259" s="15"/>
      <c r="K259" s="16"/>
      <c r="L259" s="17"/>
      <c r="M259" s="17"/>
      <c r="N259" s="17"/>
      <c r="O259" s="17"/>
      <c r="P259" s="17"/>
      <c r="Q259" s="17"/>
      <c r="R259" s="17"/>
      <c r="S259" s="17"/>
      <c r="T259" s="17"/>
      <c r="U259" s="17"/>
      <c r="V259" s="17"/>
    </row>
    <row r="260">
      <c r="A260" s="9" t="str">
        <f>IFERROR(__xludf.DUMMYFUNCTION("""COMPUTED_VALUE"""),"少年画報社")</f>
        <v>少年画報社</v>
      </c>
      <c r="B260" s="10"/>
      <c r="C260" s="28" t="str">
        <f>IFERROR(__xludf.DUMMYFUNCTION("""COMPUTED_VALUE"""),"必要")</f>
        <v>必要</v>
      </c>
      <c r="D260" s="116"/>
      <c r="E260" s="116"/>
      <c r="F260" s="12" t="str">
        <f>IFERROR(__xludf.DUMMYFUNCTION("""COMPUTED_VALUE"""),"必要")</f>
        <v>必要</v>
      </c>
      <c r="G260" s="13" t="str">
        <f>IFERROR(__xludf.DUMMYFUNCTION("""COMPUTED_VALUE"""),"©作者名/少年画報社")</f>
        <v>©作者名/少年画報社</v>
      </c>
      <c r="H260" s="10"/>
      <c r="I260" s="14"/>
      <c r="J260" s="15"/>
      <c r="K260" s="16"/>
      <c r="L260" s="17"/>
      <c r="M260" s="17"/>
      <c r="N260" s="17"/>
      <c r="O260" s="17"/>
      <c r="P260" s="17"/>
      <c r="Q260" s="17"/>
      <c r="R260" s="17"/>
      <c r="S260" s="17"/>
      <c r="T260" s="17"/>
      <c r="U260" s="17"/>
      <c r="V260" s="17"/>
    </row>
    <row r="261">
      <c r="A261" s="79" t="str">
        <f>IFERROR(__xludf.DUMMYFUNCTION("""COMPUTED_VALUE"""),"祥伝社
※「使用画像テキスト」要")</f>
        <v>祥伝社
※「使用画像テキスト」要</v>
      </c>
      <c r="B261" s="10" t="str">
        <f>IFERROR(__xludf.DUMMYFUNCTION("""COMPUTED_VALUE"""),"祥伝社")</f>
        <v>祥伝社</v>
      </c>
      <c r="C261" s="43" t="str">
        <f>IFERROR(__xludf.DUMMYFUNCTION("""COMPUTED_VALUE"""),"必要")</f>
        <v>必要</v>
      </c>
      <c r="D261" s="44" t="str">
        <f>IFERROR(__xludf.DUMMYFUNCTION("""COMPUTED_VALUE"""),"使用画像テキスト")</f>
        <v>使用画像テキスト</v>
      </c>
      <c r="E261" s="12"/>
      <c r="F261" s="12" t="str">
        <f>IFERROR(__xludf.DUMMYFUNCTION("""COMPUTED_VALUE"""),"必要")</f>
        <v>必要</v>
      </c>
      <c r="G261" s="20" t="str">
        <f>IFERROR(__xludf.DUMMYFUNCTION("""COMPUTED_VALUE"""),"「タイトル名」©著者名/祥伝社
・スペースが厳しい場合タイトルは省略可ですが原則入れてください。
＜例外＞
　■矢沢あい作品のイラストやコマ画像を使用している場合
　　　©矢沢漫画制作所/祥伝社
　■安野モヨコ作品のイラストやコマ画像を使用している場合
　　　©安野モヨコ/Cork
")</f>
        <v>「タイトル名」©著者名/祥伝社
・スペースが厳しい場合タイトルは省略可ですが原則入れてください。
＜例外＞
　■矢沢あい作品のイラストやコマ画像を使用している場合
　　　©矢沢漫画制作所/祥伝社
　■安野モヨコ作品のイラストやコマ画像を使用している場合
　　　©安野モヨコ/Cork
</v>
      </c>
      <c r="H261" s="46" t="str">
        <f>IFERROR(__xludf.DUMMYFUNCTION("""COMPUTED_VALUE"""),"・クレジットの数が多い場合は、作者をまとめて「・」で区切ってもOK
例：©●●・▲▲・■■/祥伝社
・色づけは不可
クレジットは｢イラストの邪魔をしない、見やすい位置｣に入れてください。
「omBLUE」は雑誌名。
雑誌としてのキャンペーン・特集ではなく、「omBLUE comics」作品括りの場合は、
必ず「on BLUE comics」と表記する。
「on BLUE comics」のロゴはないので手打ちでOK
■GIF・動画納品時
バナーに使用した静止画像のフォルダを作成し、
どの画像がどのバ"&amp;"ナーのものかわかるように
「バナーの名前1」のように後ろに数字をつけて静止画の名前にして納品お願いします。
フォルダ名は「バナー用画像(静止画)」で格納してください。")</f>
        <v>・クレジットの数が多い場合は、作者をまとめて「・」で区切ってもOK
例：©●●・▲▲・■■/祥伝社
・色づけは不可
クレジットは｢イラストの邪魔をしない、見やすい位置｣に入れてください。
「omBLUE」は雑誌名。
雑誌としてのキャンペーン・特集ではなく、「omBLUE comics」作品括りの場合は、
必ず「on BLUE comics」と表記する。
「on BLUE comics」のロゴはないので手打ちでOK
■GIF・動画納品時
バナーに使用した静止画像のフォルダを作成し、
どの画像がどのバナーのものかわかるように
「バナーの名前1」のように後ろに数字をつけて静止画の名前にして納品お願いします。
フォルダ名は「バナー用画像(静止画)」で格納してください。</v>
      </c>
      <c r="I261" s="136" t="str">
        <f>IFERROR(__xludf.DUMMYFUNCTION("""COMPUTED_VALUE"""),"『comic 楽園のうた』『もういちど、なんどでも。／阿仁谷ユイジ』について注意あり（祥伝社の注意シート参照）")</f>
        <v>『comic 楽園のうた』『もういちど、なんどでも。／阿仁谷ユイジ』について注意あり（祥伝社の注意シート参照）</v>
      </c>
      <c r="J261" s="15"/>
      <c r="K261" s="16"/>
      <c r="L261" s="17"/>
      <c r="M261" s="17"/>
      <c r="N261" s="17"/>
      <c r="O261" s="17"/>
      <c r="P261" s="17"/>
      <c r="Q261" s="17"/>
      <c r="R261" s="17"/>
      <c r="S261" s="17"/>
      <c r="T261" s="17"/>
      <c r="U261" s="17"/>
      <c r="V261" s="17"/>
    </row>
    <row r="262" ht="80.25" customHeight="1">
      <c r="A262" s="50"/>
      <c r="B262" s="10" t="str">
        <f>IFERROR(__xludf.DUMMYFUNCTION("""COMPUTED_VALUE"""),"on BLUE comics")</f>
        <v>on BLUE comics</v>
      </c>
      <c r="C262" s="50"/>
      <c r="D262" s="50"/>
      <c r="E262" s="12"/>
      <c r="F262" s="12" t="str">
        <f>IFERROR(__xludf.DUMMYFUNCTION("""COMPUTED_VALUE"""),"必要")</f>
        <v>必要</v>
      </c>
      <c r="G262" s="20" t="str">
        <f>IFERROR(__xludf.DUMMYFUNCTION("""COMPUTED_VALUE"""),"「タイトル名」©著者名/祥伝社 on BLUE COMICS
・スペースが厳しい場合タイトルは省略可ですが原則入れてください。")</f>
        <v>「タイトル名」©著者名/祥伝社 on BLUE COMICS
・スペースが厳しい場合タイトルは省略可ですが原則入れてください。</v>
      </c>
      <c r="H262" s="50"/>
      <c r="I262" s="50"/>
      <c r="J262" s="15"/>
      <c r="K262" s="16"/>
      <c r="L262" s="17"/>
      <c r="M262" s="17"/>
      <c r="N262" s="17"/>
      <c r="O262" s="17"/>
      <c r="P262" s="17"/>
      <c r="Q262" s="17"/>
      <c r="R262" s="17"/>
      <c r="S262" s="17"/>
      <c r="T262" s="17"/>
      <c r="U262" s="17"/>
      <c r="V262" s="17"/>
    </row>
    <row r="263" ht="90.75" customHeight="1">
      <c r="A263" s="51"/>
      <c r="B263" s="77" t="str">
        <f>IFERROR(__xludf.DUMMYFUNCTION("""COMPUTED_VALUE"""),"フィールコミックス
フィールヤング")</f>
        <v>フィールコミックス
フィールヤング</v>
      </c>
      <c r="C263" s="51"/>
      <c r="D263" s="51"/>
      <c r="E263" s="12"/>
      <c r="F263" s="12" t="str">
        <f>IFERROR(__xludf.DUMMYFUNCTION("""COMPUTED_VALUE"""),"必要")</f>
        <v>必要</v>
      </c>
      <c r="G263" s="20" t="str">
        <f>IFERROR(__xludf.DUMMYFUNCTION("""COMPUTED_VALUE"""),"「タイトル名」©著者名/祥伝社 FEEL COMICS
・スペースが厳しい場合タイトルは省略可ですが原則入れてください。")</f>
        <v>「タイトル名」©著者名/祥伝社 FEEL COMICS
・スペースが厳しい場合タイトルは省略可ですが原則入れてください。</v>
      </c>
      <c r="H263" s="51"/>
      <c r="I263" s="51"/>
      <c r="J263" s="15"/>
      <c r="K263" s="16"/>
      <c r="L263" s="17"/>
      <c r="M263" s="17"/>
      <c r="N263" s="17"/>
      <c r="O263" s="17"/>
      <c r="P263" s="17"/>
      <c r="Q263" s="17"/>
      <c r="R263" s="17"/>
      <c r="S263" s="17"/>
      <c r="T263" s="17"/>
      <c r="U263" s="17"/>
      <c r="V263" s="17"/>
    </row>
    <row r="264">
      <c r="A264" s="41" t="str">
        <f>IFERROR(__xludf.DUMMYFUNCTION("""COMPUTED_VALUE"""),"心交社")</f>
        <v>心交社</v>
      </c>
      <c r="B264" s="10"/>
      <c r="C264" s="28" t="str">
        <f>IFERROR(__xludf.DUMMYFUNCTION("""COMPUTED_VALUE"""),"必要")</f>
        <v>必要</v>
      </c>
      <c r="D264" s="116"/>
      <c r="E264" s="116"/>
      <c r="F264" s="12" t="str">
        <f>IFERROR(__xludf.DUMMYFUNCTION("""COMPUTED_VALUE"""),"必要")</f>
        <v>必要</v>
      </c>
      <c r="G264" s="18" t="str">
        <f>IFERROR(__xludf.DUMMYFUNCTION("""COMPUTED_VALUE"""),"©著者名/心交社
・書影まま使用した場合はコピーライト不要")</f>
        <v>©著者名/心交社
・書影まま使用した場合はコピーライト不要</v>
      </c>
      <c r="H264" s="10"/>
      <c r="I264" s="14"/>
      <c r="J264" s="15"/>
      <c r="K264" s="16"/>
      <c r="L264" s="17"/>
      <c r="M264" s="17"/>
      <c r="N264" s="17"/>
      <c r="O264" s="17"/>
      <c r="P264" s="17"/>
      <c r="Q264" s="17"/>
      <c r="R264" s="17"/>
      <c r="S264" s="17"/>
      <c r="T264" s="17"/>
      <c r="U264" s="17"/>
      <c r="V264" s="17"/>
    </row>
    <row r="265">
      <c r="A265" s="9" t="str">
        <f>IFERROR(__xludf.DUMMYFUNCTION("""COMPUTED_VALUE"""),"新紀元社")</f>
        <v>新紀元社</v>
      </c>
      <c r="B265" s="10"/>
      <c r="C265" s="28" t="str">
        <f>IFERROR(__xludf.DUMMYFUNCTION("""COMPUTED_VALUE"""),"必要")</f>
        <v>必要</v>
      </c>
      <c r="D265" s="116"/>
      <c r="E265" s="116"/>
      <c r="F265" s="12" t="str">
        <f>IFERROR(__xludf.DUMMYFUNCTION("""COMPUTED_VALUE"""),"必要")</f>
        <v>必要</v>
      </c>
      <c r="G265" s="18" t="str">
        <f>IFERROR(__xludf.DUMMYFUNCTION("""COMPUTED_VALUE"""),"©著者名/新紀元社
・書影のみの場合もコピーライト要")</f>
        <v>©著者名/新紀元社
・書影のみの場合もコピーライト要</v>
      </c>
      <c r="H265" s="10"/>
      <c r="I265" s="14"/>
      <c r="J265" s="15"/>
      <c r="K265" s="16"/>
      <c r="L265" s="17"/>
      <c r="M265" s="17"/>
      <c r="N265" s="17"/>
      <c r="O265" s="17"/>
      <c r="P265" s="17"/>
      <c r="Q265" s="17"/>
      <c r="R265" s="17"/>
      <c r="S265" s="17"/>
      <c r="T265" s="17"/>
      <c r="U265" s="17"/>
      <c r="V265" s="17"/>
    </row>
    <row r="266">
      <c r="A266" s="137" t="str">
        <f>IFERROR(__xludf.DUMMYFUNCTION("""COMPUTED_VALUE"""),"新書館
※「使用画像テキスト」要")</f>
        <v>新書館
※「使用画像テキスト」要</v>
      </c>
      <c r="B266" s="10"/>
      <c r="C266" s="28" t="str">
        <f>IFERROR(__xludf.DUMMYFUNCTION("""COMPUTED_VALUE"""),"必要")</f>
        <v>必要</v>
      </c>
      <c r="D266" s="12" t="str">
        <f>IFERROR(__xludf.DUMMYFUNCTION("""COMPUTED_VALUE"""),"使用画像テキスト")</f>
        <v>使用画像テキスト</v>
      </c>
      <c r="E266" s="12"/>
      <c r="F266" s="12" t="str">
        <f>IFERROR(__xludf.DUMMYFUNCTION("""COMPUTED_VALUE"""),"必要")</f>
        <v>必要</v>
      </c>
      <c r="G266" s="20" t="str">
        <f>IFERROR(__xludf.DUMMYFUNCTION("""COMPUTED_VALUE"""),"｢タイトル名｣©作者名／新書館
・書影まま使用した場合はコピーライト不要
・スラッシュは全角")</f>
        <v>｢タイトル名｣©作者名／新書館
・書影まま使用した場合はコピーライト不要
・スラッシュは全角</v>
      </c>
      <c r="H266" s="10" t="str">
        <f>IFERROR(__xludf.DUMMYFUNCTION("""COMPUTED_VALUE"""),"バナー制作の注意
元からそのページのコマ割りであったかのようなトリミングの組み合わせでバナー制作はNG。")</f>
        <v>バナー制作の注意
元からそのページのコマ割りであったかのようなトリミングの組み合わせでバナー制作はNG。</v>
      </c>
      <c r="I266" s="14"/>
      <c r="J266" s="15"/>
      <c r="K266" s="16"/>
      <c r="L266" s="17"/>
      <c r="M266" s="17"/>
      <c r="N266" s="17"/>
      <c r="O266" s="17"/>
      <c r="P266" s="17"/>
      <c r="Q266" s="17"/>
      <c r="R266" s="17"/>
      <c r="S266" s="17"/>
      <c r="T266" s="17"/>
      <c r="U266" s="17"/>
      <c r="V266" s="17"/>
    </row>
    <row r="267">
      <c r="A267" s="9" t="str">
        <f>IFERROR(__xludf.DUMMYFUNCTION("""COMPUTED_VALUE"""),"新潮社")</f>
        <v>新潮社</v>
      </c>
      <c r="B267" s="10"/>
      <c r="C267" s="28" t="str">
        <f>IFERROR(__xludf.DUMMYFUNCTION("""COMPUTED_VALUE"""),"必要")</f>
        <v>必要</v>
      </c>
      <c r="D267" s="12"/>
      <c r="E267" s="12"/>
      <c r="F267" s="12" t="str">
        <f>IFERROR(__xludf.DUMMYFUNCTION("""COMPUTED_VALUE"""),"必要")</f>
        <v>必要</v>
      </c>
      <c r="G267" s="20" t="str">
        <f>IFERROR(__xludf.DUMMYFUNCTION("""COMPUTED_VALUE"""),"©作家名／新潮社
・スラッシュは全角
・著者間は「（半角スペース）」区切り
・書影まま使用した場合はコピーライト不要")</f>
        <v>©作家名／新潮社
・スラッシュは全角
・著者間は「（半角スペース）」区切り
・書影まま使用した場合はコピーライト不要</v>
      </c>
      <c r="H267" s="77" t="str">
        <f>IFERROR(__xludf.DUMMYFUNCTION("""COMPUTED_VALUE"""),"・新潮社のみの複数作品でバナー制作の場合のコピーライト表記は連名でOK（例：○○／○○／○○／新潮社）")</f>
        <v>・新潮社のみの複数作品でバナー制作の場合のコピーライト表記は連名でOK（例：○○／○○／○○／新潮社）</v>
      </c>
      <c r="I267" s="40"/>
      <c r="J267" s="15"/>
      <c r="K267" s="66" t="str">
        <f>IFERROR(__xludf.DUMMYFUNCTION("""COMPUTED_VALUE"""),"※下記2タイトルのみ【単話版←→単行本転用OK】確認済
『271440　魔王城の料理番 ～コワモテ魔族ばかりだけど、ホワイトな職場です～』
『268643　【単話版】魔王城の料理番 ～コワモテ魔族ばかりだけど、ホワイトな職場です～』")</f>
        <v>※下記2タイトルのみ【単話版←→単行本転用OK】確認済
『271440　魔王城の料理番 ～コワモテ魔族ばかりだけど、ホワイトな職場です～』
『268643　【単話版】魔王城の料理番 ～コワモテ魔族ばかりだけど、ホワイトな職場です～』</v>
      </c>
      <c r="L267" s="17"/>
      <c r="M267" s="17"/>
      <c r="N267" s="17"/>
      <c r="O267" s="17"/>
      <c r="P267" s="17"/>
      <c r="Q267" s="17"/>
      <c r="R267" s="17"/>
      <c r="S267" s="17"/>
      <c r="T267" s="17"/>
      <c r="U267" s="17"/>
      <c r="V267" s="17"/>
    </row>
    <row r="268">
      <c r="A268" s="9" t="str">
        <f>IFERROR(__xludf.DUMMYFUNCTION("""COMPUTED_VALUE"""),"新條まゆ")</f>
        <v>新條まゆ</v>
      </c>
      <c r="B268" s="10"/>
      <c r="C268" s="11" t="str">
        <f>IFERROR(__xludf.DUMMYFUNCTION("""COMPUTED_VALUE"""),"不要")</f>
        <v>不要</v>
      </c>
      <c r="D268" s="116"/>
      <c r="E268" s="116"/>
      <c r="F268" s="12" t="str">
        <f>IFERROR(__xludf.DUMMYFUNCTION("""COMPUTED_VALUE"""),"必要")</f>
        <v>必要</v>
      </c>
      <c r="G268" s="13" t="str">
        <f>IFERROR(__xludf.DUMMYFUNCTION("""COMPUTED_VALUE"""),"©作者名")</f>
        <v>©作者名</v>
      </c>
      <c r="H268" s="10"/>
      <c r="I268" s="14"/>
      <c r="J268" s="15"/>
      <c r="K268" s="16"/>
      <c r="L268" s="17"/>
      <c r="M268" s="17"/>
      <c r="N268" s="17"/>
      <c r="O268" s="17"/>
      <c r="P268" s="17"/>
      <c r="Q268" s="17"/>
      <c r="R268" s="17"/>
      <c r="S268" s="17"/>
      <c r="T268" s="17"/>
      <c r="U268" s="17"/>
      <c r="V268" s="17"/>
    </row>
    <row r="269">
      <c r="A269" s="9" t="str">
        <f>IFERROR(__xludf.DUMMYFUNCTION("""COMPUTED_VALUE"""),"西東社")</f>
        <v>西東社</v>
      </c>
      <c r="B269" s="10"/>
      <c r="C269" s="28" t="str">
        <f>IFERROR(__xludf.DUMMYFUNCTION("""COMPUTED_VALUE"""),"必要")</f>
        <v>必要</v>
      </c>
      <c r="D269" s="116"/>
      <c r="E269" s="116"/>
      <c r="F269" s="12" t="str">
        <f>IFERROR(__xludf.DUMMYFUNCTION("""COMPUTED_VALUE"""),"必要")</f>
        <v>必要</v>
      </c>
      <c r="G269" s="13" t="str">
        <f>IFERROR(__xludf.DUMMYFUNCTION("""COMPUTED_VALUE"""),"©著者名/西東社")</f>
        <v>©著者名/西東社</v>
      </c>
      <c r="H269" s="10"/>
      <c r="I269" s="14"/>
      <c r="J269" s="15"/>
      <c r="K269" s="16"/>
      <c r="L269" s="17"/>
      <c r="M269" s="17"/>
      <c r="N269" s="17"/>
      <c r="O269" s="17"/>
      <c r="P269" s="17"/>
      <c r="Q269" s="17"/>
      <c r="R269" s="17"/>
      <c r="S269" s="17"/>
      <c r="T269" s="17"/>
      <c r="U269" s="17"/>
      <c r="V269" s="17"/>
    </row>
    <row r="270">
      <c r="A270" s="9" t="str">
        <f>IFERROR(__xludf.DUMMYFUNCTION("""COMPUTED_VALUE"""),"青林堂")</f>
        <v>青林堂</v>
      </c>
      <c r="B270" s="10"/>
      <c r="C270" s="28" t="str">
        <f>IFERROR(__xludf.DUMMYFUNCTION("""COMPUTED_VALUE"""),"必要")</f>
        <v>必要</v>
      </c>
      <c r="D270" s="116"/>
      <c r="E270" s="116"/>
      <c r="F270" s="12" t="str">
        <f>IFERROR(__xludf.DUMMYFUNCTION("""COMPUTED_VALUE"""),"必要")</f>
        <v>必要</v>
      </c>
      <c r="G270" s="18" t="str">
        <f>IFERROR(__xludf.DUMMYFUNCTION("""COMPUTED_VALUE"""),"©作者名/青林堂
・タイトルによって違う場合があるので確認が必要")</f>
        <v>©作者名/青林堂
・タイトルによって違う場合があるので確認が必要</v>
      </c>
      <c r="H270" s="10"/>
      <c r="I270" s="14"/>
      <c r="J270" s="15"/>
      <c r="K270" s="16"/>
      <c r="L270" s="17"/>
      <c r="M270" s="17"/>
      <c r="N270" s="17"/>
      <c r="O270" s="17"/>
      <c r="P270" s="17"/>
      <c r="Q270" s="17"/>
      <c r="R270" s="17"/>
      <c r="S270" s="17"/>
      <c r="T270" s="17"/>
      <c r="U270" s="17"/>
      <c r="V270" s="17"/>
    </row>
    <row r="271">
      <c r="A271" s="9" t="str">
        <f>IFERROR(__xludf.DUMMYFUNCTION("""COMPUTED_VALUE"""),"創美出版")</f>
        <v>創美出版</v>
      </c>
      <c r="B271" s="10"/>
      <c r="C271" s="28" t="str">
        <f>IFERROR(__xludf.DUMMYFUNCTION("""COMPUTED_VALUE"""),"必要")</f>
        <v>必要</v>
      </c>
      <c r="D271" s="116"/>
      <c r="E271" s="116"/>
      <c r="F271" s="12" t="str">
        <f>IFERROR(__xludf.DUMMYFUNCTION("""COMPUTED_VALUE"""),"必要")</f>
        <v>必要</v>
      </c>
      <c r="G271" s="13" t="str">
        <f>IFERROR(__xludf.DUMMYFUNCTION("""COMPUTED_VALUE"""),"©著者名/出版社名")</f>
        <v>©著者名/出版社名</v>
      </c>
      <c r="H271" s="10"/>
      <c r="I271" s="14"/>
      <c r="J271" s="15"/>
      <c r="K271" s="16"/>
      <c r="L271" s="17"/>
      <c r="M271" s="17"/>
      <c r="N271" s="17"/>
      <c r="O271" s="17"/>
      <c r="P271" s="17"/>
      <c r="Q271" s="17"/>
      <c r="R271" s="17"/>
      <c r="S271" s="17"/>
      <c r="T271" s="17"/>
      <c r="U271" s="17"/>
      <c r="V271" s="17"/>
    </row>
    <row r="272" ht="54.0" customHeight="1">
      <c r="A272" s="42" t="str">
        <f>IFERROR(__xludf.DUMMYFUNCTION("""COMPUTED_VALUE"""),"双葉社")</f>
        <v>双葉社</v>
      </c>
      <c r="B272" s="10"/>
      <c r="C272" s="43" t="str">
        <f>IFERROR(__xludf.DUMMYFUNCTION("""COMPUTED_VALUE"""),"必要")</f>
        <v>必要</v>
      </c>
      <c r="D272" s="116"/>
      <c r="E272" s="116"/>
      <c r="F272" s="12" t="str">
        <f>IFERROR(__xludf.DUMMYFUNCTION("""COMPUTED_VALUE"""),"必要")</f>
        <v>必要</v>
      </c>
      <c r="G272" s="45" t="str">
        <f>IFERROR(__xludf.DUMMYFUNCTION("""COMPUTED_VALUE"""),"©作者名/双葉社
・２名以上作家がいる場合、作家は中点でつなぎ、順番はあいうえお順にて記載
例）©あ行・か行・さ行/双葉社
・レーベルが「エンジェルコミックス」の場合、コピーライトの社名部分を
「エンジェル出版」に変更する。 　©作者名/エンジェル出版")</f>
        <v>©作者名/双葉社
・２名以上作家がいる場合、作家は中点でつなぎ、順番はあいうえお順にて記載
例）©あ行・か行・さ行/双葉社
・レーベルが「エンジェルコミックス」の場合、コピーライトの社名部分を
「エンジェル出版」に変更する。 　©作者名/エンジェル出版</v>
      </c>
      <c r="H272" s="10" t="str">
        <f>IFERROR(__xludf.DUMMYFUNCTION("""COMPUTED_VALUE"""),"色づけＯＫだが、確認は必要")</f>
        <v>色づけＯＫだが、確認は必要</v>
      </c>
      <c r="I272" s="14"/>
      <c r="J272" s="15"/>
      <c r="K272" s="16"/>
      <c r="L272" s="17"/>
      <c r="M272" s="17"/>
      <c r="N272" s="17"/>
      <c r="O272" s="17"/>
      <c r="P272" s="17"/>
      <c r="Q272" s="17"/>
      <c r="R272" s="17"/>
      <c r="S272" s="17"/>
      <c r="T272" s="17"/>
      <c r="U272" s="17"/>
      <c r="V272" s="17"/>
    </row>
    <row r="273" ht="63.75" customHeight="1">
      <c r="A273" s="51"/>
      <c r="B273" s="10" t="str">
        <f>IFERROR(__xludf.DUMMYFUNCTION("""COMPUTED_VALUE"""),"双葉社/秋水社")</f>
        <v>双葉社/秋水社</v>
      </c>
      <c r="C273" s="51"/>
      <c r="D273" s="116"/>
      <c r="E273" s="116"/>
      <c r="F273" s="12" t="str">
        <f>IFERROR(__xludf.DUMMYFUNCTION("""COMPUTED_VALUE"""),"必要")</f>
        <v>必要</v>
      </c>
      <c r="G273" s="51"/>
      <c r="H273" s="10"/>
      <c r="I273" s="14"/>
      <c r="J273" s="15"/>
      <c r="K273" s="16"/>
      <c r="L273" s="17"/>
      <c r="M273" s="17"/>
      <c r="N273" s="17"/>
      <c r="O273" s="17"/>
      <c r="P273" s="17"/>
      <c r="Q273" s="17"/>
      <c r="R273" s="17"/>
      <c r="S273" s="17"/>
      <c r="T273" s="17"/>
      <c r="U273" s="17"/>
      <c r="V273" s="17"/>
    </row>
    <row r="274">
      <c r="A274" s="9" t="str">
        <f>IFERROR(__xludf.DUMMYFUNCTION("""COMPUTED_VALUE"""),"早川書房")</f>
        <v>早川書房</v>
      </c>
      <c r="B274" s="10"/>
      <c r="C274" s="28" t="str">
        <f>IFERROR(__xludf.DUMMYFUNCTION("""COMPUTED_VALUE"""),"必要")</f>
        <v>必要</v>
      </c>
      <c r="D274" s="116"/>
      <c r="E274" s="116"/>
      <c r="F274" s="12" t="str">
        <f>IFERROR(__xludf.DUMMYFUNCTION("""COMPUTED_VALUE"""),"必要")</f>
        <v>必要</v>
      </c>
      <c r="G274" s="18" t="str">
        <f>IFERROR(__xludf.DUMMYFUNCTION("""COMPUTED_VALUE"""),"©作家名／早川書房
・著者間は「/」区切り
・書影まま使用した場合はコピーライト不要")</f>
        <v>©作家名／早川書房
・著者間は「/」区切り
・書影まま使用した場合はコピーライト不要</v>
      </c>
      <c r="H274" s="10"/>
      <c r="I274" s="14"/>
      <c r="J274" s="15"/>
      <c r="K274" s="16"/>
      <c r="L274" s="17"/>
      <c r="M274" s="17"/>
      <c r="N274" s="17"/>
      <c r="O274" s="17"/>
      <c r="P274" s="17"/>
      <c r="Q274" s="17"/>
      <c r="R274" s="17"/>
      <c r="S274" s="17"/>
      <c r="T274" s="17"/>
      <c r="U274" s="17"/>
      <c r="V274" s="17"/>
    </row>
    <row r="275">
      <c r="A275" s="9" t="str">
        <f>IFERROR(__xludf.DUMMYFUNCTION("""COMPUTED_VALUE"""),"太田出版")</f>
        <v>太田出版</v>
      </c>
      <c r="B275" s="10"/>
      <c r="C275" s="28" t="str">
        <f>IFERROR(__xludf.DUMMYFUNCTION("""COMPUTED_VALUE"""),"必要")</f>
        <v>必要</v>
      </c>
      <c r="D275" s="116"/>
      <c r="E275" s="116"/>
      <c r="F275" s="12" t="str">
        <f>IFERROR(__xludf.DUMMYFUNCTION("""COMPUTED_VALUE"""),"必要")</f>
        <v>必要</v>
      </c>
      <c r="G275" s="20" t="str">
        <f>IFERROR(__xludf.DUMMYFUNCTION("""COMPUTED_VALUE"""),"©作者名/太田出版
・書影まま使用した場合はコピーライト不要")</f>
        <v>©作者名/太田出版
・書影まま使用した場合はコピーライト不要</v>
      </c>
      <c r="H275" s="10" t="str">
        <f>IFERROR(__xludf.DUMMYFUNCTION("""COMPUTED_VALUE"""),"コマの順番を入れ替え編集したら許諾に時間がかかる
入れ替え内のコマ使用はOK
どうしても許諾が必要な場合は著者に確認をとるのですが、
作家により時間がかかってしまいます
コマ入れ替えのない画像であれば、出版社が許諾を出せるようです。")</f>
        <v>コマの順番を入れ替え編集したら許諾に時間がかかる
入れ替え内のコマ使用はOK
どうしても許諾が必要な場合は著者に確認をとるのですが、
作家により時間がかかってしまいます
コマ入れ替えのない画像であれば、出版社が許諾を出せるようです。</v>
      </c>
      <c r="I275" s="14"/>
      <c r="J275" s="15"/>
      <c r="K275" s="16"/>
      <c r="L275" s="17"/>
      <c r="M275" s="17"/>
      <c r="N275" s="17"/>
      <c r="O275" s="17"/>
      <c r="P275" s="17"/>
      <c r="Q275" s="17"/>
      <c r="R275" s="17"/>
      <c r="S275" s="17"/>
      <c r="T275" s="17"/>
      <c r="U275" s="17"/>
      <c r="V275" s="17"/>
    </row>
    <row r="276">
      <c r="A276" s="41" t="str">
        <f>IFERROR(__xludf.DUMMYFUNCTION("""COMPUTED_VALUE"""),"大誠社
※「使用画像テキスト」要")</f>
        <v>大誠社
※「使用画像テキスト」要</v>
      </c>
      <c r="B276" s="10"/>
      <c r="C276" s="28" t="str">
        <f>IFERROR(__xludf.DUMMYFUNCTION("""COMPUTED_VALUE"""),"必要")</f>
        <v>必要</v>
      </c>
      <c r="D276" s="12" t="str">
        <f>IFERROR(__xludf.DUMMYFUNCTION("""COMPUTED_VALUE"""),"使用画像テキスト")</f>
        <v>使用画像テキスト</v>
      </c>
      <c r="E276" s="116"/>
      <c r="F276" s="12" t="str">
        <f>IFERROR(__xludf.DUMMYFUNCTION("""COMPUTED_VALUE"""),"必要")</f>
        <v>必要</v>
      </c>
      <c r="G276" s="18" t="str">
        <f>IFERROR(__xludf.DUMMYFUNCTION("""COMPUTED_VALUE"""),"①書誌にコピーライトがある場合は使用する。
※西暦はぬいても可
②①の指定が無い場合
・©クレジット名
・©著者名/クレジット名
・©レーベル名
・©著者名/レーベル名
以上のいずれかの表記を必要とする。
また、いずれでも可。
アンソロジーの場合著者名不要。")</f>
        <v>①書誌にコピーライトがある場合は使用する。
※西暦はぬいても可
②①の指定が無い場合
・©クレジット名
・©著者名/クレジット名
・©レーベル名
・©著者名/レーベル名
以上のいずれかの表記を必要とする。
また、いずれでも可。
アンソロジーの場合著者名不要。</v>
      </c>
      <c r="H276" s="77" t="str">
        <f>IFERROR(__xludf.DUMMYFUNCTION("""COMPUTED_VALUE"""),"■雑誌｢ラブコフレ｣
・バナーや使用画像にはロゴマークもしくはC表記を必須明記すること。
・C表記については｢©ラブコフレ｣が必須・入れば作家名も。 
******************************************************
著者名を入れる場合　：©作家名/ラブコフレ　
著者名を入れない場合：©ラブコフレ
ただし、作品単体販促用の場合は
下記になります。
著者名を入れる場合　：©作家名/大誠社
著者名を入れない場合：©大誠社
********************"&amp;"***********************************")</f>
        <v>■雑誌｢ラブコフレ｣
・バナーや使用画像にはロゴマークもしくはC表記を必須明記すること。
・C表記については｢©ラブコフレ｣が必須・入れば作家名も。 
******************************************************
著者名を入れる場合　：©作家名/ラブコフレ　
著者名を入れない場合：©ラブコフレ
ただし、作品単体販促用の場合は
下記になります。
著者名を入れる場合　：©作家名/大誠社
著者名を入れない場合：©大誠社
*******************************************************</v>
      </c>
      <c r="I276" s="90" t="str">
        <f>IFERROR(__xludf.DUMMYFUNCTION("""COMPUTED_VALUE"""),"ラブコフレ 漫画家とヤクザ
http://www.cmoa.jp/title/105366/
→雑誌扱いでOKです。　")</f>
        <v>ラブコフレ 漫画家とヤクザ
http://www.cmoa.jp/title/105366/
→雑誌扱いでOKです。　</v>
      </c>
      <c r="J276" s="15"/>
      <c r="K276" s="16"/>
      <c r="L276" s="17"/>
      <c r="M276" s="17"/>
      <c r="N276" s="17"/>
      <c r="O276" s="17"/>
      <c r="P276" s="17"/>
      <c r="Q276" s="17"/>
      <c r="R276" s="17"/>
      <c r="S276" s="17"/>
      <c r="T276" s="17"/>
      <c r="U276" s="17"/>
      <c r="V276" s="17"/>
    </row>
    <row r="277">
      <c r="A277" s="41" t="str">
        <f>IFERROR(__xludf.DUMMYFUNCTION("""COMPUTED_VALUE"""),"大都社／秋水社
※「使用画像テキスト」要")</f>
        <v>大都社／秋水社
※「使用画像テキスト」要</v>
      </c>
      <c r="B277" s="10"/>
      <c r="C277" s="28" t="str">
        <f>IFERROR(__xludf.DUMMYFUNCTION("""COMPUTED_VALUE"""),"必要")</f>
        <v>必要</v>
      </c>
      <c r="D277" s="12" t="str">
        <f>IFERROR(__xludf.DUMMYFUNCTION("""COMPUTED_VALUE"""),"使用画像テキスト")</f>
        <v>使用画像テキスト</v>
      </c>
      <c r="E277" s="12"/>
      <c r="F277" s="12" t="str">
        <f>IFERROR(__xludf.DUMMYFUNCTION("""COMPUTED_VALUE"""),"必要")</f>
        <v>必要</v>
      </c>
      <c r="G277" s="25" t="str">
        <f>IFERROR(__xludf.DUMMYFUNCTION("""COMPUTED_VALUE"""),"「作品名」©作者名／大都社／秋水社
・著者間は「・」区切り
・作品名必須（レギュレーション対策の場合は省略可）")</f>
        <v>「作品名」©作者名／大都社／秋水社
・著者間は「・」区切り
・作品名必須（レギュレーション対策の場合は省略可）</v>
      </c>
      <c r="H277" s="10"/>
      <c r="I277" s="14"/>
      <c r="J277" s="15"/>
      <c r="K277" s="16"/>
      <c r="L277" s="17"/>
      <c r="M277" s="17"/>
      <c r="N277" s="17"/>
      <c r="O277" s="17"/>
      <c r="P277" s="17"/>
      <c r="Q277" s="17"/>
      <c r="R277" s="17"/>
      <c r="S277" s="17"/>
      <c r="T277" s="17"/>
      <c r="U277" s="17"/>
      <c r="V277" s="17"/>
    </row>
    <row r="278">
      <c r="A278" s="9" t="str">
        <f>IFERROR(__xludf.DUMMYFUNCTION("""COMPUTED_VALUE"""),"大都社/少年画報社")</f>
        <v>大都社/少年画報社</v>
      </c>
      <c r="B278" s="10"/>
      <c r="C278" s="28" t="str">
        <f>IFERROR(__xludf.DUMMYFUNCTION("""COMPUTED_VALUE"""),"必要")</f>
        <v>必要</v>
      </c>
      <c r="D278" s="116"/>
      <c r="E278" s="116"/>
      <c r="F278" s="12" t="str">
        <f>IFERROR(__xludf.DUMMYFUNCTION("""COMPUTED_VALUE"""),"必要")</f>
        <v>必要</v>
      </c>
      <c r="G278" s="13" t="str">
        <f>IFERROR(__xludf.DUMMYFUNCTION("""COMPUTED_VALUE"""),"©作者名/少年画報社")</f>
        <v>©作者名/少年画報社</v>
      </c>
      <c r="H278" s="10"/>
      <c r="I278" s="14"/>
      <c r="J278" s="15"/>
      <c r="K278" s="16"/>
      <c r="L278" s="17"/>
      <c r="M278" s="17"/>
      <c r="N278" s="17"/>
      <c r="O278" s="17"/>
      <c r="P278" s="17"/>
      <c r="Q278" s="17"/>
      <c r="R278" s="17"/>
      <c r="S278" s="17"/>
      <c r="T278" s="17"/>
      <c r="U278" s="17"/>
      <c r="V278" s="17"/>
    </row>
    <row r="279" ht="33.75" customHeight="1">
      <c r="A279" s="9" t="str">
        <f>IFERROR(__xludf.DUMMYFUNCTION("""COMPUTED_VALUE"""),"大島プロダクション")</f>
        <v>大島プロダクション</v>
      </c>
      <c r="B279" s="10"/>
      <c r="C279" s="11" t="str">
        <f>IFERROR(__xludf.DUMMYFUNCTION("""COMPUTED_VALUE"""),"不要")</f>
        <v>不要</v>
      </c>
      <c r="D279" s="116"/>
      <c r="E279" s="116"/>
      <c r="F279" s="12" t="str">
        <f>IFERROR(__xludf.DUMMYFUNCTION("""COMPUTED_VALUE"""),"必要")</f>
        <v>必要</v>
      </c>
      <c r="G279" s="13" t="str">
        <f>IFERROR(__xludf.DUMMYFUNCTION("""COMPUTED_VALUE"""),"©川島れいこ/大島プロダクション
©大島やすいち/大島プロダクション")</f>
        <v>©川島れいこ/大島プロダクション
©大島やすいち/大島プロダクション</v>
      </c>
      <c r="H279" s="10"/>
      <c r="I279" s="14"/>
      <c r="J279" s="138"/>
      <c r="K279" s="139"/>
      <c r="L279" s="17"/>
      <c r="M279" s="17"/>
      <c r="N279" s="17"/>
      <c r="O279" s="17"/>
      <c r="P279" s="17"/>
      <c r="Q279" s="17"/>
      <c r="R279" s="17"/>
      <c r="S279" s="17"/>
      <c r="T279" s="17"/>
      <c r="U279" s="17"/>
      <c r="V279" s="17"/>
    </row>
    <row r="280">
      <c r="A280" s="42" t="str">
        <f>IFERROR(__xludf.DUMMYFUNCTION("""COMPUTED_VALUE"""),"大洋図書")</f>
        <v>大洋図書</v>
      </c>
      <c r="B280" s="10" t="str">
        <f>IFERROR(__xludf.DUMMYFUNCTION("""COMPUTED_VALUE"""),"大洋図書")</f>
        <v>大洋図書</v>
      </c>
      <c r="C280" s="28" t="str">
        <f>IFERROR(__xludf.DUMMYFUNCTION("""COMPUTED_VALUE"""),"必要")</f>
        <v>必要</v>
      </c>
      <c r="D280" s="12"/>
      <c r="E280" s="12"/>
      <c r="F280" s="12" t="str">
        <f>IFERROR(__xludf.DUMMYFUNCTION("""COMPUTED_VALUE"""),"必要")</f>
        <v>必要</v>
      </c>
      <c r="G280" s="25" t="str">
        <f>IFERROR(__xludf.DUMMYFUNCTION("""COMPUTED_VALUE"""),"©作者名/大洋図書
・原作者がいる場合は　©原作者・作画者/大洋図書
・原案者がいる場合は　©作画者・原案者/大洋図書")</f>
        <v>©作者名/大洋図書
・原作者がいる場合は　©原作者・作画者/大洋図書
・原案者がいる場合は　©作画者・原案者/大洋図書</v>
      </c>
      <c r="H280" s="10" t="str">
        <f>IFERROR(__xludf.DUMMYFUNCTION("""COMPUTED_VALUE"""),"色づけの場合は確認が必要、©はスペースが無ければ作家名だけでも可
※加工なしの書影であっても権利表記必須
◆著者の氏名どちらかが1文字の場合、氏名の間に半角あける。
　例：金井 桂、月村 奎、樹 要、橘 紅緒
※里つばめ先生、四宮和先生、飴シロ先生については半角トル
◆原作者がいる作品の著者名を表記する際は先頭に原作者の名前がくるようにする。
◆新刊配信記念CPは新刊作品のバナー及び特集ページでの掲載必須
◆著者の名前を表記する際は""先生""をつける
◆イラスト素材をトリミング等なしでそのまま使用"&amp;"するのはＮＧ")</f>
        <v>色づけの場合は確認が必要、©はスペースが無ければ作家名だけでも可
※加工なしの書影であっても権利表記必須
◆著者の氏名どちらかが1文字の場合、氏名の間に半角あける。
　例：金井 桂、月村 奎、樹 要、橘 紅緒
※里つばめ先生、四宮和先生、飴シロ先生については半角トル
◆原作者がいる作品の著者名を表記する際は先頭に原作者の名前がくるようにする。
◆新刊配信記念CPは新刊作品のバナー及び特集ページでの掲載必須
◆著者の名前を表記する際は"先生"をつける
◆イラスト素材をトリミング等なしでそのまま使用するのはＮＧ</v>
      </c>
      <c r="I280" s="140"/>
      <c r="J280" s="141" t="str">
        <f>IFERROR(__xludf.DUMMYFUNCTION("""COMPUTED_VALUE"""),"○")</f>
        <v>○</v>
      </c>
      <c r="K280" s="141"/>
      <c r="L280" s="142"/>
      <c r="M280" s="17"/>
      <c r="N280" s="17"/>
      <c r="O280" s="17"/>
      <c r="P280" s="17"/>
      <c r="Q280" s="17"/>
      <c r="R280" s="17"/>
      <c r="S280" s="17"/>
      <c r="T280" s="17"/>
      <c r="U280" s="17"/>
      <c r="V280" s="17"/>
    </row>
    <row r="281">
      <c r="A281" s="50"/>
      <c r="B281" s="10" t="str">
        <f>IFERROR(__xludf.DUMMYFUNCTION("""COMPUTED_VALUE"""),"MAX")</f>
        <v>MAX</v>
      </c>
      <c r="C281" s="28" t="str">
        <f>IFERROR(__xludf.DUMMYFUNCTION("""COMPUTED_VALUE"""),"必要")</f>
        <v>必要</v>
      </c>
      <c r="D281" s="116"/>
      <c r="E281" s="116"/>
      <c r="F281" s="12" t="str">
        <f>IFERROR(__xludf.DUMMYFUNCTION("""COMPUTED_VALUE"""),"必要")</f>
        <v>必要</v>
      </c>
      <c r="G281" s="13" t="str">
        <f>IFERROR(__xludf.DUMMYFUNCTION("""COMPUTED_VALUE"""),"©作家名/ＭＡＸ ")</f>
        <v>©作家名/ＭＡＸ </v>
      </c>
      <c r="H281" s="10"/>
      <c r="I281" s="140"/>
      <c r="J281" s="141" t="str">
        <f>IFERROR(__xludf.DUMMYFUNCTION("""COMPUTED_VALUE"""),"○")</f>
        <v>○</v>
      </c>
      <c r="K281" s="141"/>
      <c r="L281" s="142"/>
      <c r="M281" s="17"/>
      <c r="N281" s="17"/>
      <c r="O281" s="17"/>
      <c r="P281" s="17"/>
      <c r="Q281" s="17"/>
      <c r="R281" s="17"/>
      <c r="S281" s="17"/>
      <c r="T281" s="17"/>
      <c r="U281" s="17"/>
      <c r="V281" s="17"/>
    </row>
    <row r="282">
      <c r="A282" s="50"/>
      <c r="B282" s="10" t="str">
        <f>IFERROR(__xludf.DUMMYFUNCTION("""COMPUTED_VALUE"""),"POP大洋図書")</f>
        <v>POP大洋図書</v>
      </c>
      <c r="C282" s="28" t="str">
        <f>IFERROR(__xludf.DUMMYFUNCTION("""COMPUTED_VALUE"""),"必要")</f>
        <v>必要</v>
      </c>
      <c r="D282" s="116"/>
      <c r="E282" s="116"/>
      <c r="F282" s="12" t="str">
        <f>IFERROR(__xludf.DUMMYFUNCTION("""COMPUTED_VALUE"""),"必要")</f>
        <v>必要</v>
      </c>
      <c r="G282" s="13" t="str">
        <f>IFERROR(__xludf.DUMMYFUNCTION("""COMPUTED_VALUE"""),"©作者名/POP大洋図書")</f>
        <v>©作者名/POP大洋図書</v>
      </c>
      <c r="H282" s="10"/>
      <c r="I282" s="140"/>
      <c r="J282" s="141" t="str">
        <f>IFERROR(__xludf.DUMMYFUNCTION("""COMPUTED_VALUE"""),"○")</f>
        <v>○</v>
      </c>
      <c r="K282" s="141"/>
      <c r="L282" s="142"/>
      <c r="M282" s="17"/>
      <c r="N282" s="17"/>
      <c r="O282" s="17"/>
      <c r="P282" s="17"/>
      <c r="Q282" s="17"/>
      <c r="R282" s="17"/>
      <c r="S282" s="17"/>
      <c r="T282" s="17"/>
      <c r="U282" s="17"/>
      <c r="V282" s="17"/>
    </row>
    <row r="283">
      <c r="A283" s="50"/>
      <c r="B283" s="10" t="str">
        <f>IFERROR(__xludf.DUMMYFUNCTION("""COMPUTED_VALUE"""),"SHINE Partners（タテヨミ）")</f>
        <v>SHINE Partners（タテヨミ）</v>
      </c>
      <c r="C283" s="28" t="str">
        <f>IFERROR(__xludf.DUMMYFUNCTION("""COMPUTED_VALUE"""),"必要")</f>
        <v>必要</v>
      </c>
      <c r="D283" s="116"/>
      <c r="E283" s="116"/>
      <c r="F283" s="12" t="str">
        <f>IFERROR(__xludf.DUMMYFUNCTION("""COMPUTED_VALUE"""),"必要")</f>
        <v>必要</v>
      </c>
      <c r="G283" s="13" t="str">
        <f>IFERROR(__xludf.DUMMYFUNCTION("""COMPUTED_VALUE"""),"©著者名/SHINE Partners")</f>
        <v>©著者名/SHINE Partners</v>
      </c>
      <c r="H283" s="10"/>
      <c r="I283" s="140"/>
      <c r="J283" s="141" t="str">
        <f>IFERROR(__xludf.DUMMYFUNCTION("""COMPUTED_VALUE"""),"○")</f>
        <v>○</v>
      </c>
      <c r="K283" s="141"/>
      <c r="L283" s="142"/>
      <c r="M283" s="17"/>
      <c r="N283" s="17"/>
      <c r="O283" s="17"/>
      <c r="P283" s="17"/>
      <c r="Q283" s="17"/>
      <c r="R283" s="17"/>
      <c r="S283" s="17"/>
      <c r="T283" s="17"/>
      <c r="U283" s="17"/>
      <c r="V283" s="17"/>
    </row>
    <row r="284">
      <c r="A284" s="50"/>
      <c r="B284" s="10" t="str">
        <f>IFERROR(__xludf.DUMMYFUNCTION("""COMPUTED_VALUE"""),"クロエ出版")</f>
        <v>クロエ出版</v>
      </c>
      <c r="C284" s="28" t="str">
        <f>IFERROR(__xludf.DUMMYFUNCTION("""COMPUTED_VALUE"""),"必要")</f>
        <v>必要</v>
      </c>
      <c r="D284" s="116"/>
      <c r="E284" s="116"/>
      <c r="F284" s="12" t="str">
        <f>IFERROR(__xludf.DUMMYFUNCTION("""COMPUTED_VALUE"""),"必要")</f>
        <v>必要</v>
      </c>
      <c r="G284" s="13" t="str">
        <f>IFERROR(__xludf.DUMMYFUNCTION("""COMPUTED_VALUE"""),"©著者名／クロエ出版")</f>
        <v>©著者名／クロエ出版</v>
      </c>
      <c r="H284" s="10"/>
      <c r="I284" s="140"/>
      <c r="J284" s="141" t="str">
        <f>IFERROR(__xludf.DUMMYFUNCTION("""COMPUTED_VALUE"""),"○")</f>
        <v>○</v>
      </c>
      <c r="K284" s="141"/>
      <c r="L284" s="142"/>
      <c r="M284" s="17"/>
      <c r="N284" s="17"/>
      <c r="O284" s="17"/>
      <c r="P284" s="17"/>
      <c r="Q284" s="17"/>
      <c r="R284" s="17"/>
      <c r="S284" s="17"/>
      <c r="T284" s="17"/>
      <c r="U284" s="17"/>
      <c r="V284" s="17"/>
    </row>
    <row r="285">
      <c r="A285" s="50"/>
      <c r="B285" s="10" t="str">
        <f>IFERROR(__xludf.DUMMYFUNCTION("""COMPUTED_VALUE"""),"ミリオン出版")</f>
        <v>ミリオン出版</v>
      </c>
      <c r="C285" s="28" t="str">
        <f>IFERROR(__xludf.DUMMYFUNCTION("""COMPUTED_VALUE"""),"必要")</f>
        <v>必要</v>
      </c>
      <c r="D285" s="12"/>
      <c r="E285" s="12"/>
      <c r="F285" s="12" t="str">
        <f>IFERROR(__xludf.DUMMYFUNCTION("""COMPUTED_VALUE"""),"必要")</f>
        <v>必要</v>
      </c>
      <c r="G285" s="25" t="str">
        <f>IFERROR(__xludf.DUMMYFUNCTION("""COMPUTED_VALUE"""),"たた")</f>
        <v>たた</v>
      </c>
      <c r="H285" s="10"/>
      <c r="I285" s="140"/>
      <c r="J285" s="141" t="str">
        <f>IFERROR(__xludf.DUMMYFUNCTION("""COMPUTED_VALUE"""),"○")</f>
        <v>○</v>
      </c>
      <c r="K285" s="141"/>
      <c r="L285" s="142"/>
      <c r="M285" s="17"/>
      <c r="N285" s="17"/>
      <c r="O285" s="17"/>
      <c r="P285" s="17"/>
      <c r="Q285" s="17"/>
      <c r="R285" s="17"/>
      <c r="S285" s="17"/>
      <c r="T285" s="17"/>
      <c r="U285" s="17"/>
      <c r="V285" s="17"/>
    </row>
    <row r="286">
      <c r="A286" s="50"/>
      <c r="B286" s="26" t="str">
        <f>IFERROR(__xludf.DUMMYFUNCTION("""COMPUTED_VALUE"""),"恋＊COMACHI")</f>
        <v>恋＊COMACHI</v>
      </c>
      <c r="C286" s="28" t="str">
        <f>IFERROR(__xludf.DUMMYFUNCTION("""COMPUTED_VALUE"""),"必要")</f>
        <v>必要</v>
      </c>
      <c r="D286" s="84"/>
      <c r="E286" s="84"/>
      <c r="F286" s="12"/>
      <c r="G286" s="25"/>
      <c r="H286" s="10"/>
      <c r="I286" s="140"/>
      <c r="J286" s="141" t="str">
        <f>IFERROR(__xludf.DUMMYFUNCTION("""COMPUTED_VALUE"""),"○")</f>
        <v>○</v>
      </c>
      <c r="K286" s="141"/>
      <c r="L286" s="142"/>
      <c r="M286" s="17"/>
      <c r="N286" s="17"/>
      <c r="O286" s="17"/>
      <c r="P286" s="17"/>
      <c r="Q286" s="17"/>
      <c r="R286" s="17"/>
      <c r="S286" s="17"/>
      <c r="T286" s="17"/>
      <c r="U286" s="17"/>
      <c r="V286" s="17"/>
    </row>
    <row r="287">
      <c r="A287" s="51"/>
      <c r="B287" s="26" t="str">
        <f>IFERROR(__xludf.DUMMYFUNCTION("""COMPUTED_VALUE"""),"HertZ&amp;CRAFT / iHertZ")</f>
        <v>HertZ&amp;CRAFT / iHertZ</v>
      </c>
      <c r="C287" s="28" t="str">
        <f>IFERROR(__xludf.DUMMYFUNCTION("""COMPUTED_VALUE"""),"必要")</f>
        <v>必要</v>
      </c>
      <c r="D287" s="84"/>
      <c r="E287" s="84"/>
      <c r="F287" s="12" t="str">
        <f>IFERROR(__xludf.DUMMYFUNCTION("""COMPUTED_VALUE"""),"必要")</f>
        <v>必要</v>
      </c>
      <c r="G287" s="25" t="str">
        <f>IFERROR(__xludf.DUMMYFUNCTION("""COMPUTED_VALUE"""),"(C)作者名/大洋図書")</f>
        <v>(C)作者名/大洋図書</v>
      </c>
      <c r="H287" s="10"/>
      <c r="I287" s="140"/>
      <c r="J287" s="141" t="str">
        <f>IFERROR(__xludf.DUMMYFUNCTION("""COMPUTED_VALUE"""),"○")</f>
        <v>○</v>
      </c>
      <c r="K287" s="141"/>
      <c r="L287" s="142"/>
      <c r="M287" s="17"/>
      <c r="N287" s="17"/>
      <c r="O287" s="17"/>
      <c r="P287" s="17"/>
      <c r="Q287" s="17"/>
      <c r="R287" s="17"/>
      <c r="S287" s="17"/>
      <c r="T287" s="17"/>
      <c r="U287" s="17"/>
      <c r="V287" s="17"/>
    </row>
    <row r="288">
      <c r="A288" s="9" t="str">
        <f>IFERROR(__xludf.DUMMYFUNCTION("""COMPUTED_VALUE"""),"辰巳出版")</f>
        <v>辰巳出版</v>
      </c>
      <c r="B288" s="10"/>
      <c r="C288" s="11" t="str">
        <f>IFERROR(__xludf.DUMMYFUNCTION("""COMPUTED_VALUE"""),"不要")</f>
        <v>不要</v>
      </c>
      <c r="D288" s="116"/>
      <c r="E288" s="116"/>
      <c r="F288" s="12" t="str">
        <f>IFERROR(__xludf.DUMMYFUNCTION("""COMPUTED_VALUE"""),"必要")</f>
        <v>必要</v>
      </c>
      <c r="G288" s="13" t="str">
        <f>IFERROR(__xludf.DUMMYFUNCTION("""COMPUTED_VALUE"""),"©著者名/辰巳出版")</f>
        <v>©著者名/辰巳出版</v>
      </c>
      <c r="H288" s="10"/>
      <c r="I288" s="14"/>
      <c r="J288" s="143"/>
      <c r="K288" s="144"/>
      <c r="L288" s="17"/>
      <c r="M288" s="17"/>
      <c r="N288" s="17"/>
      <c r="O288" s="17"/>
      <c r="P288" s="17"/>
      <c r="Q288" s="17"/>
      <c r="R288" s="17"/>
      <c r="S288" s="17"/>
      <c r="T288" s="17"/>
      <c r="U288" s="17"/>
      <c r="V288" s="17"/>
    </row>
    <row r="289">
      <c r="A289" s="9" t="str">
        <f>IFERROR(__xludf.DUMMYFUNCTION("""COMPUTED_VALUE"""),"竹書房")</f>
        <v>竹書房</v>
      </c>
      <c r="B289" s="10"/>
      <c r="C289" s="11" t="str">
        <f>IFERROR(__xludf.DUMMYFUNCTION("""COMPUTED_VALUE"""),"不要")</f>
        <v>不要</v>
      </c>
      <c r="D289" s="116"/>
      <c r="E289" s="12" t="str">
        <f>IFERROR(__xludf.DUMMYFUNCTION("""COMPUTED_VALUE"""),"不要")</f>
        <v>不要</v>
      </c>
      <c r="F289" s="12" t="str">
        <f>IFERROR(__xludf.DUMMYFUNCTION("""COMPUTED_VALUE"""),"必要")</f>
        <v>必要</v>
      </c>
      <c r="G289" s="20" t="str">
        <f>IFERROR(__xludf.DUMMYFUNCTION("""COMPUTED_VALUE"""),"©作者名/竹書房
・書影まま使用した場合はコピーライト不要
（ただし「ラヴァーズ文庫」は、書影であってもC表記必須）
・著者名が3文字の場合は姓名の間に半角スペースが必要")</f>
        <v>©作者名/竹書房
・書影まま使用した場合はコピーライト不要
（ただし「ラヴァーズ文庫」は、書影であってもC表記必須）
・著者名が3文字の場合は姓名の間に半角スペースが必要</v>
      </c>
      <c r="H289" s="26" t="str">
        <f>IFERROR(__xludf.DUMMYFUNCTION("""COMPUTED_VALUE"""),"着色NG")</f>
        <v>着色NG</v>
      </c>
      <c r="I289" s="14"/>
      <c r="J289" s="15"/>
      <c r="K289" s="16"/>
      <c r="L289" s="17"/>
      <c r="M289" s="17"/>
      <c r="N289" s="17"/>
      <c r="O289" s="17"/>
      <c r="P289" s="17"/>
      <c r="Q289" s="17"/>
      <c r="R289" s="17"/>
      <c r="S289" s="17"/>
      <c r="T289" s="17"/>
      <c r="U289" s="17"/>
      <c r="V289" s="17"/>
    </row>
    <row r="290">
      <c r="A290" s="9" t="str">
        <f>IFERROR(__xludf.DUMMYFUNCTION("""COMPUTED_VALUE"""),"宙出版")</f>
        <v>宙出版</v>
      </c>
      <c r="B290" s="10" t="str">
        <f>IFERROR(__xludf.DUMMYFUNCTION("""COMPUTED_VALUE"""),"宙出版")</f>
        <v>宙出版</v>
      </c>
      <c r="C290" s="28" t="str">
        <f>IFERROR(__xludf.DUMMYFUNCTION("""COMPUTED_VALUE"""),"必要")</f>
        <v>必要</v>
      </c>
      <c r="D290" s="116"/>
      <c r="E290" s="116"/>
      <c r="F290" s="12" t="str">
        <f>IFERROR(__xludf.DUMMYFUNCTION("""COMPUTED_VALUE"""),"必要")</f>
        <v>必要</v>
      </c>
      <c r="G290" s="20" t="str">
        <f>IFERROR(__xludf.DUMMYFUNCTION("""COMPUTED_VALUE"""),"『タイトル名』©作者名/宙出版
・タイトル名必須
（ロゴ・テキスト等でバナー内に作品名が記載されている場合、コピーライト表記に作品名を記載しなくてもOK）
・タイトル名は原則『』二重カギカッコ
・タイトルの中に【単話売】がある場合はトル
※タイトル名がレギュレーションに引っかかる場合省略可（backlogにその旨記載必須）")</f>
        <v>『タイトル名』©作者名/宙出版
・タイトル名必須
（ロゴ・テキスト等でバナー内に作品名が記載されている場合、コピーライト表記に作品名を記載しなくてもOK）
・タイトル名は原則『』二重カギカッコ
・タイトルの中に【単話売】がある場合はトル
※タイトル名がレギュレーションに引っかかる場合省略可（backlogにその旨記載必須）</v>
      </c>
      <c r="H290" s="77" t="str">
        <f>IFERROR(__xludf.DUMMYFUNCTION("""COMPUTED_VALUE"""),"■「ハーモニィコミックス」のレーベルとしてのブランド強化を図るため、バナー内にできればロゴの挿入を希望
どうしてもロゴが挿入できない場合には、「ハーモニィコミックス」という文言のみでも可")</f>
        <v>■「ハーモニィコミックス」のレーベルとしてのブランド強化を図るため、バナー内にできればロゴの挿入を希望
どうしてもロゴが挿入できない場合には、「ハーモニィコミックス」という文言のみでも可</v>
      </c>
      <c r="I290" s="14"/>
      <c r="J290" s="15"/>
      <c r="K290" s="16"/>
      <c r="L290" s="17"/>
      <c r="M290" s="17"/>
      <c r="N290" s="17"/>
      <c r="O290" s="17"/>
      <c r="P290" s="17"/>
      <c r="Q290" s="17"/>
      <c r="R290" s="17"/>
      <c r="S290" s="17"/>
      <c r="T290" s="17"/>
      <c r="U290" s="17"/>
      <c r="V290" s="17"/>
    </row>
    <row r="291">
      <c r="A291" s="9" t="str">
        <f>IFERROR(__xludf.DUMMYFUNCTION("""COMPUTED_VALUE"""),"朝日新聞出版")</f>
        <v>朝日新聞出版</v>
      </c>
      <c r="B291" s="10"/>
      <c r="C291" s="28" t="str">
        <f>IFERROR(__xludf.DUMMYFUNCTION("""COMPUTED_VALUE"""),"必要")</f>
        <v>必要</v>
      </c>
      <c r="D291" s="116"/>
      <c r="E291" s="116"/>
      <c r="F291" s="12" t="str">
        <f>IFERROR(__xludf.DUMMYFUNCTION("""COMPUTED_VALUE"""),"必要")</f>
        <v>必要</v>
      </c>
      <c r="G291" s="18"/>
      <c r="H291" s="10"/>
      <c r="I291" s="14"/>
      <c r="J291" s="15"/>
      <c r="K291" s="16"/>
      <c r="L291" s="17"/>
      <c r="M291" s="17"/>
      <c r="N291" s="17"/>
      <c r="O291" s="17"/>
      <c r="P291" s="17"/>
      <c r="Q291" s="17"/>
      <c r="R291" s="17"/>
      <c r="S291" s="17"/>
      <c r="T291" s="17"/>
      <c r="U291" s="17"/>
      <c r="V291" s="17"/>
    </row>
    <row r="292">
      <c r="A292" s="9" t="str">
        <f>IFERROR(__xludf.DUMMYFUNCTION("""COMPUTED_VALUE"""),"鉄砂糖")</f>
        <v>鉄砂糖</v>
      </c>
      <c r="B292" s="10"/>
      <c r="C292" s="11" t="str">
        <f>IFERROR(__xludf.DUMMYFUNCTION("""COMPUTED_VALUE"""),"不要")</f>
        <v>不要</v>
      </c>
      <c r="D292" s="145"/>
      <c r="E292" s="145"/>
      <c r="F292" s="12" t="str">
        <f>IFERROR(__xludf.DUMMYFUNCTION("""COMPUTED_VALUE"""),"必要")</f>
        <v>必要</v>
      </c>
      <c r="G292" s="27"/>
      <c r="H292" s="10"/>
      <c r="I292" s="14"/>
      <c r="J292" s="15"/>
      <c r="K292" s="16"/>
      <c r="L292" s="17"/>
      <c r="M292" s="17"/>
      <c r="N292" s="17"/>
      <c r="O292" s="17"/>
      <c r="P292" s="17"/>
      <c r="Q292" s="17"/>
      <c r="R292" s="17"/>
      <c r="S292" s="17"/>
      <c r="T292" s="17"/>
      <c r="U292" s="17"/>
      <c r="V292" s="17"/>
    </row>
    <row r="293">
      <c r="A293" s="9" t="str">
        <f>IFERROR(__xludf.DUMMYFUNCTION("""COMPUTED_VALUE"""),"天海社")</f>
        <v>天海社</v>
      </c>
      <c r="B293" s="10"/>
      <c r="C293" s="28" t="str">
        <f>IFERROR(__xludf.DUMMYFUNCTION("""COMPUTED_VALUE"""),"必要")</f>
        <v>必要</v>
      </c>
      <c r="D293" s="116"/>
      <c r="E293" s="116"/>
      <c r="F293" s="12" t="str">
        <f>IFERROR(__xludf.DUMMYFUNCTION("""COMPUTED_VALUE"""),"必要")</f>
        <v>必要</v>
      </c>
      <c r="G293" s="13" t="str">
        <f>IFERROR(__xludf.DUMMYFUNCTION("""COMPUTED_VALUE"""),"©著者名")</f>
        <v>©著者名</v>
      </c>
      <c r="H293" s="10"/>
      <c r="I293" s="14"/>
      <c r="J293" s="15"/>
      <c r="K293" s="16"/>
      <c r="L293" s="17"/>
      <c r="M293" s="17"/>
      <c r="N293" s="17"/>
      <c r="O293" s="17"/>
      <c r="P293" s="17"/>
      <c r="Q293" s="17"/>
      <c r="R293" s="17"/>
      <c r="S293" s="17"/>
      <c r="T293" s="17"/>
      <c r="U293" s="17"/>
      <c r="V293" s="17"/>
    </row>
    <row r="294">
      <c r="A294" s="9" t="str">
        <f>IFERROR(__xludf.DUMMYFUNCTION("""COMPUTED_VALUE"""),"東京漫画社")</f>
        <v>東京漫画社</v>
      </c>
      <c r="B294" s="10"/>
      <c r="C294" s="28" t="str">
        <f>IFERROR(__xludf.DUMMYFUNCTION("""COMPUTED_VALUE"""),"必要")</f>
        <v>必要</v>
      </c>
      <c r="D294" s="116"/>
      <c r="E294" s="116"/>
      <c r="F294" s="12" t="str">
        <f>IFERROR(__xludf.DUMMYFUNCTION("""COMPUTED_VALUE"""),"必要")</f>
        <v>必要</v>
      </c>
      <c r="G294" s="13" t="str">
        <f>IFERROR(__xludf.DUMMYFUNCTION("""COMPUTED_VALUE"""),"©作者名/東京漫画社")</f>
        <v>©作者名/東京漫画社</v>
      </c>
      <c r="H294" s="10" t="str">
        <f>IFERROR(__xludf.DUMMYFUNCTION("""COMPUTED_VALUE"""),"作品タイトルをどこかに入れてほしい")</f>
        <v>作品タイトルをどこかに入れてほしい</v>
      </c>
      <c r="I294" s="14"/>
      <c r="J294" s="15"/>
      <c r="K294" s="16"/>
      <c r="L294" s="17"/>
      <c r="M294" s="17"/>
      <c r="N294" s="17"/>
      <c r="O294" s="17"/>
      <c r="P294" s="17"/>
      <c r="Q294" s="17"/>
      <c r="R294" s="17"/>
      <c r="S294" s="17"/>
      <c r="T294" s="17"/>
      <c r="U294" s="17"/>
      <c r="V294" s="17"/>
    </row>
    <row r="295">
      <c r="A295" s="9" t="str">
        <f>IFERROR(__xludf.DUMMYFUNCTION("""COMPUTED_VALUE"""),"東洋経済新報社")</f>
        <v>東洋経済新報社</v>
      </c>
      <c r="B295" s="10"/>
      <c r="C295" s="28" t="str">
        <f>IFERROR(__xludf.DUMMYFUNCTION("""COMPUTED_VALUE"""),"必要")</f>
        <v>必要</v>
      </c>
      <c r="D295" s="116"/>
      <c r="E295" s="116"/>
      <c r="F295" s="12" t="str">
        <f>IFERROR(__xludf.DUMMYFUNCTION("""COMPUTED_VALUE"""),"必要")</f>
        <v>必要</v>
      </c>
      <c r="G295" s="13" t="str">
        <f>IFERROR(__xludf.DUMMYFUNCTION("""COMPUTED_VALUE"""),"©著者名/東洋経済新報社")</f>
        <v>©著者名/東洋経済新報社</v>
      </c>
      <c r="H295" s="10"/>
      <c r="I295" s="14"/>
      <c r="J295" s="15"/>
      <c r="K295" s="16"/>
      <c r="L295" s="17"/>
      <c r="M295" s="17"/>
      <c r="N295" s="17"/>
      <c r="O295" s="17"/>
      <c r="P295" s="17"/>
      <c r="Q295" s="17"/>
      <c r="R295" s="17"/>
      <c r="S295" s="17"/>
      <c r="T295" s="17"/>
      <c r="U295" s="17"/>
      <c r="V295" s="17"/>
    </row>
    <row r="296">
      <c r="A296" s="9" t="str">
        <f>IFERROR(__xludf.DUMMYFUNCTION("""COMPUTED_VALUE"""),"道玄坂書房")</f>
        <v>道玄坂書房</v>
      </c>
      <c r="B296" s="10"/>
      <c r="C296" s="28" t="str">
        <f>IFERROR(__xludf.DUMMYFUNCTION("""COMPUTED_VALUE"""),"必要")</f>
        <v>必要</v>
      </c>
      <c r="D296" s="116"/>
      <c r="E296" s="116"/>
      <c r="F296" s="12" t="str">
        <f>IFERROR(__xludf.DUMMYFUNCTION("""COMPUTED_VALUE"""),"必要")</f>
        <v>必要</v>
      </c>
      <c r="G296" s="18" t="str">
        <f>IFERROR(__xludf.DUMMYFUNCTION("""COMPUTED_VALUE"""),"©道玄坂書房
・書影まま使用した場合はコピーライト不要")</f>
        <v>©道玄坂書房
・書影まま使用した場合はコピーライト不要</v>
      </c>
      <c r="H296" s="10"/>
      <c r="I296" s="14"/>
      <c r="J296" s="15"/>
      <c r="K296" s="16"/>
      <c r="L296" s="17"/>
      <c r="M296" s="17"/>
      <c r="N296" s="17"/>
      <c r="O296" s="17"/>
      <c r="P296" s="17"/>
      <c r="Q296" s="17"/>
      <c r="R296" s="17"/>
      <c r="S296" s="17"/>
      <c r="T296" s="17"/>
      <c r="U296" s="17"/>
      <c r="V296" s="17"/>
    </row>
    <row r="297">
      <c r="A297" s="41" t="str">
        <f>IFERROR(__xludf.DUMMYFUNCTION("""COMPUTED_VALUE"""),"徳間書店
※「使用画像テキスト」要")</f>
        <v>徳間書店
※「使用画像テキスト」要</v>
      </c>
      <c r="B297" s="10"/>
      <c r="C297" s="28" t="str">
        <f>IFERROR(__xludf.DUMMYFUNCTION("""COMPUTED_VALUE"""),"必要")</f>
        <v>必要</v>
      </c>
      <c r="D297" s="12" t="str">
        <f>IFERROR(__xludf.DUMMYFUNCTION("""COMPUTED_VALUE"""),"使用画像テキスト")</f>
        <v>使用画像テキスト</v>
      </c>
      <c r="E297" s="116"/>
      <c r="F297" s="12" t="str">
        <f>IFERROR(__xludf.DUMMYFUNCTION("""COMPUTED_VALUE"""),"必要")</f>
        <v>必要</v>
      </c>
      <c r="G297" s="20" t="str">
        <f>IFERROR(__xludf.DUMMYFUNCTION("""COMPUTED_VALUE"""),"©著者名/徳間書店
・著者間は「・」区切り ")</f>
        <v>©著者名/徳間書店
・著者間は「・」区切り </v>
      </c>
      <c r="H297" s="77" t="str">
        <f>IFERROR(__xludf.DUMMYFUNCTION("""COMPUTED_VALUE"""),"複数の著者名をつなげる場合は｢・｣でつなげる。
例)©ふみふみこ・平尾アウリ／徳間書店
（手動の作家表示の場合）
[著者]or[著]⇒文庫の著者
[画]or[イラスト]⇒文庫のイラストレーター
[原作]⇒コミックスの原作者
[作画]⇒コミックスの作画 
例)｢幻惑の鼓動｣ 
[原作]吉原理恵子／[作画]禾田みちる 
")</f>
        <v>複数の著者名をつなげる場合は｢・｣でつなげる。
例)©ふみふみこ・平尾アウリ／徳間書店
（手動の作家表示の場合）
[著者]or[著]⇒文庫の著者
[画]or[イラスト]⇒文庫のイラストレーター
[原作]⇒コミックスの原作者
[作画]⇒コミックスの作画 
例)｢幻惑の鼓動｣ 
[原作]吉原理恵子／[作画]禾田みちる 
</v>
      </c>
      <c r="I297" s="14"/>
      <c r="J297" s="65" t="str">
        <f>IFERROR(__xludf.DUMMYFUNCTION("""COMPUTED_VALUE"""),"○")</f>
        <v>○</v>
      </c>
      <c r="K297" s="16"/>
      <c r="L297" s="17"/>
      <c r="M297" s="17"/>
      <c r="N297" s="17"/>
      <c r="O297" s="17"/>
      <c r="P297" s="17"/>
      <c r="Q297" s="17"/>
      <c r="R297" s="17"/>
      <c r="S297" s="17"/>
      <c r="T297" s="17"/>
      <c r="U297" s="17"/>
      <c r="V297" s="17"/>
    </row>
    <row r="298" ht="149.25" customHeight="1">
      <c r="A298" s="146" t="str">
        <f>IFERROR(__xludf.DUMMYFUNCTION("""COMPUTED_VALUE"""),"二見書房")</f>
        <v>二見書房</v>
      </c>
      <c r="B298" s="10"/>
      <c r="C298" s="28" t="str">
        <f>IFERROR(__xludf.DUMMYFUNCTION("""COMPUTED_VALUE"""),"必要")</f>
        <v>必要</v>
      </c>
      <c r="D298" s="82"/>
      <c r="E298" s="82"/>
      <c r="F298" s="12" t="str">
        <f>IFERROR(__xludf.DUMMYFUNCTION("""COMPUTED_VALUE"""),"必要")</f>
        <v>必要</v>
      </c>
      <c r="G298" s="67" t="str">
        <f>IFERROR(__xludf.DUMMYFUNCTION("""COMPUTED_VALUE"""),"©著者名/二見書房 
・著者間は「・」区切り
・コミカライズ等で著者名がお二人の場合
 　©漫画・原作/二見書房 
・バナー内にタイトル表記がない場合、入れるのが望ましい。
　※バナーサイズの都合で省略可
■書影のみの場合、コピーライト不要")</f>
        <v>©著者名/二見書房 
・著者間は「・」区切り
・コミカライズ等で著者名がお二人の場合
 　©漫画・原作/二見書房 
・バナー内にタイトル表記がない場合、入れるのが望ましい。
　※バナーサイズの都合で省略可
■書影のみの場合、コピーライト不要</v>
      </c>
      <c r="H298" s="10"/>
      <c r="I298" s="14"/>
      <c r="J298" s="15"/>
      <c r="K298" s="16"/>
      <c r="L298" s="17"/>
      <c r="M298" s="17"/>
      <c r="N298" s="17"/>
      <c r="O298" s="17"/>
      <c r="P298" s="17"/>
      <c r="Q298" s="17"/>
      <c r="R298" s="17"/>
      <c r="S298" s="17"/>
      <c r="T298" s="17"/>
      <c r="U298" s="17"/>
      <c r="V298" s="17"/>
    </row>
    <row r="299">
      <c r="A299" s="9" t="str">
        <f>IFERROR(__xludf.DUMMYFUNCTION("""COMPUTED_VALUE"""),"日経BP")</f>
        <v>日経BP</v>
      </c>
      <c r="B299" s="10"/>
      <c r="C299" s="28" t="str">
        <f>IFERROR(__xludf.DUMMYFUNCTION("""COMPUTED_VALUE"""),"必要")</f>
        <v>必要</v>
      </c>
      <c r="D299" s="145"/>
      <c r="E299" s="145"/>
      <c r="F299" s="12" t="str">
        <f>IFERROR(__xludf.DUMMYFUNCTION("""COMPUTED_VALUE"""),"必要")</f>
        <v>必要</v>
      </c>
      <c r="G299" s="27" t="str">
        <f>IFERROR(__xludf.DUMMYFUNCTION("""COMPUTED_VALUE"""),"書影のみの場合は以下どちらか
・ｸﾚｼﾞｯﾄ無し
・©日経BP社")</f>
        <v>書影のみの場合は以下どちらか
・ｸﾚｼﾞｯﾄ無し
・©日経BP社</v>
      </c>
      <c r="H299" s="10"/>
      <c r="I299" s="14"/>
      <c r="J299" s="15"/>
      <c r="K299" s="16"/>
      <c r="L299" s="17"/>
      <c r="M299" s="17"/>
      <c r="N299" s="17"/>
      <c r="O299" s="17"/>
      <c r="P299" s="17"/>
      <c r="Q299" s="17"/>
      <c r="R299" s="17"/>
      <c r="S299" s="17"/>
      <c r="T299" s="17"/>
      <c r="U299" s="17"/>
      <c r="V299" s="17"/>
    </row>
    <row r="300">
      <c r="A300" s="9" t="str">
        <f>IFERROR(__xludf.DUMMYFUNCTION("""COMPUTED_VALUE"""),"日本能率協会マネジメントセンター")</f>
        <v>日本能率協会マネジメントセンター</v>
      </c>
      <c r="B300" s="10"/>
      <c r="C300" s="11" t="str">
        <f>IFERROR(__xludf.DUMMYFUNCTION("""COMPUTED_VALUE"""),"不要")</f>
        <v>不要</v>
      </c>
      <c r="D300" s="116"/>
      <c r="E300" s="116"/>
      <c r="F300" s="12" t="str">
        <f>IFERROR(__xludf.DUMMYFUNCTION("""COMPUTED_VALUE"""),"必要")</f>
        <v>必要</v>
      </c>
      <c r="G300" s="13" t="str">
        <f>IFERROR(__xludf.DUMMYFUNCTION("""COMPUTED_VALUE"""),"©著者名/日本能率協会マネジメントセンター")</f>
        <v>©著者名/日本能率協会マネジメントセンター</v>
      </c>
      <c r="H300" s="10"/>
      <c r="I300" s="14"/>
      <c r="J300" s="15"/>
      <c r="K300" s="16"/>
      <c r="L300" s="17"/>
      <c r="M300" s="17"/>
      <c r="N300" s="17"/>
      <c r="O300" s="17"/>
      <c r="P300" s="17"/>
      <c r="Q300" s="17"/>
      <c r="R300" s="17"/>
      <c r="S300" s="17"/>
      <c r="T300" s="17"/>
      <c r="U300" s="17"/>
      <c r="V300" s="17"/>
    </row>
    <row r="301">
      <c r="A301" s="42" t="str">
        <f>IFERROR(__xludf.DUMMYFUNCTION("""COMPUTED_VALUE"""),"日本文芸社")</f>
        <v>日本文芸社</v>
      </c>
      <c r="B301" s="10" t="str">
        <f>IFERROR(__xludf.DUMMYFUNCTION("""COMPUTED_VALUE"""),"日本文芸社")</f>
        <v>日本文芸社</v>
      </c>
      <c r="C301" s="43" t="str">
        <f>IFERROR(__xludf.DUMMYFUNCTION("""COMPUTED_VALUE"""),"必要")</f>
        <v>必要</v>
      </c>
      <c r="D301" s="116"/>
      <c r="E301" s="116"/>
      <c r="F301" s="12" t="str">
        <f>IFERROR(__xludf.DUMMYFUNCTION("""COMPUTED_VALUE"""),"必要")</f>
        <v>必要</v>
      </c>
      <c r="G301" s="80" t="str">
        <f>IFERROR(__xludf.DUMMYFUNCTION("""COMPUTED_VALUE"""),"©作家名/出版社名
■権利表記前のタイトル名について
バナー内にタイトル名の記載がない場合は権利表記前にタイトル名の記載必須。
レギュレーション上、記載が難しい場合は省略可だが省略する場合は省略の理由が必要
施策名もしくはロゴ使用などでバナー内にタイトルの記載があった場合は記載しない")</f>
        <v>©作家名/出版社名
■権利表記前のタイトル名について
バナー内にタイトル名の記載がない場合は権利表記前にタイトル名の記載必須。
レギュレーション上、記載が難しい場合は省略可だが省略する場合は省略の理由が必要
施策名もしくはロゴ使用などでバナー内にタイトルの記載があった場合は記載しない</v>
      </c>
      <c r="H301" s="10"/>
      <c r="I301" s="14"/>
      <c r="J301" s="15"/>
      <c r="K301" s="16"/>
      <c r="L301" s="17"/>
      <c r="M301" s="17"/>
      <c r="N301" s="17"/>
      <c r="O301" s="17"/>
      <c r="P301" s="17"/>
      <c r="Q301" s="17"/>
      <c r="R301" s="17"/>
      <c r="S301" s="17"/>
      <c r="T301" s="17"/>
      <c r="U301" s="17"/>
      <c r="V301" s="17"/>
    </row>
    <row r="302">
      <c r="A302" s="50"/>
      <c r="B302" s="10" t="str">
        <f>IFERROR(__xludf.DUMMYFUNCTION("""COMPUTED_VALUE"""),"comicフレーバーズ")</f>
        <v>comicフレーバーズ</v>
      </c>
      <c r="C302" s="50"/>
      <c r="D302" s="116"/>
      <c r="E302" s="116"/>
      <c r="F302" s="12" t="str">
        <f>IFERROR(__xludf.DUMMYFUNCTION("""COMPUTED_VALUE"""),"必要")</f>
        <v>必要</v>
      </c>
      <c r="G302" s="50"/>
      <c r="H302" s="10"/>
      <c r="I302" s="14"/>
      <c r="J302" s="15"/>
      <c r="K302" s="16"/>
      <c r="L302" s="17"/>
      <c r="M302" s="17"/>
      <c r="N302" s="17"/>
      <c r="O302" s="17"/>
      <c r="P302" s="17"/>
      <c r="Q302" s="17"/>
      <c r="R302" s="17"/>
      <c r="S302" s="17"/>
      <c r="T302" s="17"/>
      <c r="U302" s="17"/>
      <c r="V302" s="17"/>
    </row>
    <row r="303">
      <c r="A303" s="50"/>
      <c r="B303" s="10" t="str">
        <f>IFERROR(__xludf.DUMMYFUNCTION("""COMPUTED_VALUE"""),"MANGAPOLO ZERO")</f>
        <v>MANGAPOLO ZERO</v>
      </c>
      <c r="C303" s="50"/>
      <c r="D303" s="116"/>
      <c r="E303" s="116"/>
      <c r="F303" s="12" t="str">
        <f>IFERROR(__xludf.DUMMYFUNCTION("""COMPUTED_VALUE"""),"必要")</f>
        <v>必要</v>
      </c>
      <c r="G303" s="50"/>
      <c r="H303" s="10"/>
      <c r="I303" s="14"/>
      <c r="J303" s="15"/>
      <c r="K303" s="16"/>
      <c r="L303" s="17"/>
      <c r="M303" s="17"/>
      <c r="N303" s="17"/>
      <c r="O303" s="17"/>
      <c r="P303" s="17"/>
      <c r="Q303" s="17"/>
      <c r="R303" s="17"/>
      <c r="S303" s="17"/>
      <c r="T303" s="17"/>
      <c r="U303" s="17"/>
      <c r="V303" s="17"/>
    </row>
    <row r="304">
      <c r="A304" s="50"/>
      <c r="B304" s="10" t="str">
        <f>IFERROR(__xludf.DUMMYFUNCTION("""COMPUTED_VALUE"""),"Melty Bullet")</f>
        <v>Melty Bullet</v>
      </c>
      <c r="C304" s="50"/>
      <c r="D304" s="116"/>
      <c r="E304" s="116"/>
      <c r="F304" s="12" t="str">
        <f>IFERROR(__xludf.DUMMYFUNCTION("""COMPUTED_VALUE"""),"必要")</f>
        <v>必要</v>
      </c>
      <c r="G304" s="50"/>
      <c r="H304" s="10"/>
      <c r="I304" s="14"/>
      <c r="J304" s="15"/>
      <c r="K304" s="16"/>
      <c r="L304" s="17"/>
      <c r="M304" s="17"/>
      <c r="N304" s="17"/>
      <c r="O304" s="17"/>
      <c r="P304" s="17"/>
      <c r="Q304" s="17"/>
      <c r="R304" s="17"/>
      <c r="S304" s="17"/>
      <c r="T304" s="17"/>
      <c r="U304" s="17"/>
      <c r="V304" s="17"/>
    </row>
    <row r="305">
      <c r="A305" s="50"/>
      <c r="B305" s="10" t="str">
        <f>IFERROR(__xludf.DUMMYFUNCTION("""COMPUTED_VALUE"""),"miniラブ")</f>
        <v>miniラブ</v>
      </c>
      <c r="C305" s="50"/>
      <c r="D305" s="116"/>
      <c r="E305" s="116"/>
      <c r="F305" s="12" t="str">
        <f>IFERROR(__xludf.DUMMYFUNCTION("""COMPUTED_VALUE"""),"必要")</f>
        <v>必要</v>
      </c>
      <c r="G305" s="50"/>
      <c r="H305" s="10"/>
      <c r="I305" s="14"/>
      <c r="J305" s="15"/>
      <c r="K305" s="16"/>
      <c r="L305" s="17"/>
      <c r="M305" s="17"/>
      <c r="N305" s="17"/>
      <c r="O305" s="17"/>
      <c r="P305" s="17"/>
      <c r="Q305" s="17"/>
      <c r="R305" s="17"/>
      <c r="S305" s="17"/>
      <c r="T305" s="17"/>
      <c r="U305" s="17"/>
      <c r="V305" s="17"/>
    </row>
    <row r="306">
      <c r="A306" s="50"/>
      <c r="B306" s="10" t="str">
        <f>IFERROR(__xludf.DUMMYFUNCTION("""COMPUTED_VALUE"""),"Webコミックヘヴン")</f>
        <v>Webコミックヘヴン</v>
      </c>
      <c r="C306" s="50"/>
      <c r="D306" s="116"/>
      <c r="E306" s="116"/>
      <c r="F306" s="12" t="str">
        <f>IFERROR(__xludf.DUMMYFUNCTION("""COMPUTED_VALUE"""),"必要")</f>
        <v>必要</v>
      </c>
      <c r="G306" s="50"/>
      <c r="H306" s="10"/>
      <c r="I306" s="14"/>
      <c r="J306" s="15"/>
      <c r="K306" s="16"/>
      <c r="L306" s="17"/>
      <c r="M306" s="17"/>
      <c r="N306" s="17"/>
      <c r="O306" s="17"/>
      <c r="P306" s="17"/>
      <c r="Q306" s="17"/>
      <c r="R306" s="17"/>
      <c r="S306" s="17"/>
      <c r="T306" s="17"/>
      <c r="U306" s="17"/>
      <c r="V306" s="17"/>
    </row>
    <row r="307">
      <c r="A307" s="50"/>
      <c r="B307" s="10" t="str">
        <f>IFERROR(__xludf.DUMMYFUNCTION("""COMPUTED_VALUE"""),"Web花恋")</f>
        <v>Web花恋</v>
      </c>
      <c r="C307" s="50"/>
      <c r="D307" s="116"/>
      <c r="E307" s="116"/>
      <c r="F307" s="12" t="str">
        <f>IFERROR(__xludf.DUMMYFUNCTION("""COMPUTED_VALUE"""),"必要")</f>
        <v>必要</v>
      </c>
      <c r="G307" s="50"/>
      <c r="H307" s="10"/>
      <c r="I307" s="14"/>
      <c r="J307" s="15"/>
      <c r="K307" s="16"/>
      <c r="L307" s="17"/>
      <c r="M307" s="17"/>
      <c r="N307" s="17"/>
      <c r="O307" s="17"/>
      <c r="P307" s="17"/>
      <c r="Q307" s="17"/>
      <c r="R307" s="17"/>
      <c r="S307" s="17"/>
      <c r="T307" s="17"/>
      <c r="U307" s="17"/>
      <c r="V307" s="17"/>
    </row>
    <row r="308">
      <c r="A308" s="50"/>
      <c r="B308" s="10" t="str">
        <f>IFERROR(__xludf.DUMMYFUNCTION("""COMPUTED_VALUE"""),"ギリもば")</f>
        <v>ギリもば</v>
      </c>
      <c r="C308" s="50"/>
      <c r="D308" s="116"/>
      <c r="E308" s="116"/>
      <c r="F308" s="12" t="str">
        <f>IFERROR(__xludf.DUMMYFUNCTION("""COMPUTED_VALUE"""),"必要")</f>
        <v>必要</v>
      </c>
      <c r="G308" s="50"/>
      <c r="H308" s="10"/>
      <c r="I308" s="14"/>
      <c r="J308" s="15"/>
      <c r="K308" s="16"/>
      <c r="L308" s="17"/>
      <c r="M308" s="17"/>
      <c r="N308" s="17"/>
      <c r="O308" s="17"/>
      <c r="P308" s="17"/>
      <c r="Q308" s="17"/>
      <c r="R308" s="17"/>
      <c r="S308" s="17"/>
      <c r="T308" s="17"/>
      <c r="U308" s="17"/>
      <c r="V308" s="17"/>
    </row>
    <row r="309">
      <c r="A309" s="50"/>
      <c r="B309" s="10" t="str">
        <f>IFERROR(__xludf.DUMMYFUNCTION("""COMPUTED_VALUE"""),"コミックブレイク")</f>
        <v>コミックブレイク</v>
      </c>
      <c r="C309" s="50"/>
      <c r="D309" s="116"/>
      <c r="E309" s="116"/>
      <c r="F309" s="12" t="str">
        <f>IFERROR(__xludf.DUMMYFUNCTION("""COMPUTED_VALUE"""),"必要")</f>
        <v>必要</v>
      </c>
      <c r="G309" s="50"/>
      <c r="H309" s="10"/>
      <c r="I309" s="14"/>
      <c r="J309" s="15"/>
      <c r="K309" s="16"/>
      <c r="L309" s="17"/>
      <c r="M309" s="17"/>
      <c r="N309" s="17"/>
      <c r="O309" s="17"/>
      <c r="P309" s="17"/>
      <c r="Q309" s="17"/>
      <c r="R309" s="17"/>
      <c r="S309" s="17"/>
      <c r="T309" s="17"/>
      <c r="U309" s="17"/>
      <c r="V309" s="17"/>
    </row>
    <row r="310">
      <c r="A310" s="50"/>
      <c r="B310" s="10" t="str">
        <f>IFERROR(__xludf.DUMMYFUNCTION("""COMPUTED_VALUE"""),"コミックヘヴン")</f>
        <v>コミックヘヴン</v>
      </c>
      <c r="C310" s="50"/>
      <c r="D310" s="116"/>
      <c r="E310" s="116"/>
      <c r="F310" s="12" t="str">
        <f>IFERROR(__xludf.DUMMYFUNCTION("""COMPUTED_VALUE"""),"必要")</f>
        <v>必要</v>
      </c>
      <c r="G310" s="50"/>
      <c r="H310" s="10"/>
      <c r="I310" s="14"/>
      <c r="J310" s="15"/>
      <c r="K310" s="16"/>
      <c r="L310" s="17"/>
      <c r="M310" s="17"/>
      <c r="N310" s="17"/>
      <c r="O310" s="17"/>
      <c r="P310" s="17"/>
      <c r="Q310" s="17"/>
      <c r="R310" s="17"/>
      <c r="S310" s="17"/>
      <c r="T310" s="17"/>
      <c r="U310" s="17"/>
      <c r="V310" s="17"/>
    </row>
    <row r="311">
      <c r="A311" s="50"/>
      <c r="B311" s="10" t="str">
        <f>IFERROR(__xludf.DUMMYFUNCTION("""COMPUTED_VALUE"""),"ゴラクエッグ")</f>
        <v>ゴラクエッグ</v>
      </c>
      <c r="C311" s="50"/>
      <c r="D311" s="116"/>
      <c r="E311" s="116"/>
      <c r="F311" s="12" t="str">
        <f>IFERROR(__xludf.DUMMYFUNCTION("""COMPUTED_VALUE"""),"必要")</f>
        <v>必要</v>
      </c>
      <c r="G311" s="50"/>
      <c r="H311" s="10"/>
      <c r="I311" s="14"/>
      <c r="J311" s="15"/>
      <c r="K311" s="16"/>
      <c r="L311" s="17"/>
      <c r="M311" s="17"/>
      <c r="N311" s="17"/>
      <c r="O311" s="17"/>
      <c r="P311" s="17"/>
      <c r="Q311" s="17"/>
      <c r="R311" s="17"/>
      <c r="S311" s="17"/>
      <c r="T311" s="17"/>
      <c r="U311" s="17"/>
      <c r="V311" s="17"/>
    </row>
    <row r="312">
      <c r="A312" s="50"/>
      <c r="B312" s="10" t="str">
        <f>IFERROR(__xludf.DUMMYFUNCTION("""COMPUTED_VALUE"""),"ゴラクスペシャル")</f>
        <v>ゴラクスペシャル</v>
      </c>
      <c r="C312" s="50"/>
      <c r="D312" s="116"/>
      <c r="E312" s="116"/>
      <c r="F312" s="12" t="str">
        <f>IFERROR(__xludf.DUMMYFUNCTION("""COMPUTED_VALUE"""),"必要")</f>
        <v>必要</v>
      </c>
      <c r="G312" s="50"/>
      <c r="H312" s="10"/>
      <c r="I312" s="14"/>
      <c r="J312" s="15"/>
      <c r="K312" s="16"/>
      <c r="L312" s="17"/>
      <c r="M312" s="17"/>
      <c r="N312" s="17"/>
      <c r="O312" s="17"/>
      <c r="P312" s="17"/>
      <c r="Q312" s="17"/>
      <c r="R312" s="17"/>
      <c r="S312" s="17"/>
      <c r="T312" s="17"/>
      <c r="U312" s="17"/>
      <c r="V312" s="17"/>
    </row>
    <row r="313">
      <c r="A313" s="50"/>
      <c r="B313" s="10" t="str">
        <f>IFERROR(__xludf.DUMMYFUNCTION("""COMPUTED_VALUE"""),"ゴルフレッスンコミック")</f>
        <v>ゴルフレッスンコミック</v>
      </c>
      <c r="C313" s="50"/>
      <c r="D313" s="116"/>
      <c r="E313" s="116"/>
      <c r="F313" s="12" t="str">
        <f>IFERROR(__xludf.DUMMYFUNCTION("""COMPUTED_VALUE"""),"必要")</f>
        <v>必要</v>
      </c>
      <c r="G313" s="50"/>
      <c r="H313" s="10"/>
      <c r="I313" s="14"/>
      <c r="J313" s="15"/>
      <c r="K313" s="16"/>
      <c r="L313" s="17"/>
      <c r="M313" s="17"/>
      <c r="N313" s="17"/>
      <c r="O313" s="17"/>
      <c r="P313" s="17"/>
      <c r="Q313" s="17"/>
      <c r="R313" s="17"/>
      <c r="S313" s="17"/>
      <c r="T313" s="17"/>
      <c r="U313" s="17"/>
      <c r="V313" s="17"/>
    </row>
    <row r="314">
      <c r="A314" s="50"/>
      <c r="B314" s="10" t="str">
        <f>IFERROR(__xludf.DUMMYFUNCTION("""COMPUTED_VALUE"""),"さくらハーツ")</f>
        <v>さくらハーツ</v>
      </c>
      <c r="C314" s="50"/>
      <c r="D314" s="116"/>
      <c r="E314" s="116"/>
      <c r="F314" s="12" t="str">
        <f>IFERROR(__xludf.DUMMYFUNCTION("""COMPUTED_VALUE"""),"必要")</f>
        <v>必要</v>
      </c>
      <c r="G314" s="50"/>
      <c r="H314" s="10"/>
      <c r="I314" s="14"/>
      <c r="J314" s="15"/>
      <c r="K314" s="16"/>
      <c r="L314" s="17"/>
      <c r="M314" s="17"/>
      <c r="N314" s="17"/>
      <c r="O314" s="17"/>
      <c r="P314" s="17"/>
      <c r="Q314" s="17"/>
      <c r="R314" s="17"/>
      <c r="S314" s="17"/>
      <c r="T314" s="17"/>
      <c r="U314" s="17"/>
      <c r="V314" s="17"/>
    </row>
    <row r="315">
      <c r="A315" s="50"/>
      <c r="B315" s="10" t="str">
        <f>IFERROR(__xludf.DUMMYFUNCTION("""COMPUTED_VALUE"""),"つりコミック")</f>
        <v>つりコミック</v>
      </c>
      <c r="C315" s="50"/>
      <c r="D315" s="116"/>
      <c r="E315" s="116"/>
      <c r="F315" s="12" t="str">
        <f>IFERROR(__xludf.DUMMYFUNCTION("""COMPUTED_VALUE"""),"必要")</f>
        <v>必要</v>
      </c>
      <c r="G315" s="50"/>
      <c r="H315" s="10"/>
      <c r="I315" s="14"/>
      <c r="J315" s="15"/>
      <c r="K315" s="16"/>
      <c r="L315" s="17"/>
      <c r="M315" s="17"/>
      <c r="N315" s="17"/>
      <c r="O315" s="17"/>
      <c r="P315" s="17"/>
      <c r="Q315" s="17"/>
      <c r="R315" s="17"/>
      <c r="S315" s="17"/>
      <c r="T315" s="17"/>
      <c r="U315" s="17"/>
      <c r="V315" s="17"/>
    </row>
    <row r="316">
      <c r="A316" s="50"/>
      <c r="B316" s="10" t="str">
        <f>IFERROR(__xludf.DUMMYFUNCTION("""COMPUTED_VALUE"""),"ニチブンコミック")</f>
        <v>ニチブンコミック</v>
      </c>
      <c r="C316" s="50"/>
      <c r="D316" s="116"/>
      <c r="E316" s="116"/>
      <c r="F316" s="12" t="str">
        <f>IFERROR(__xludf.DUMMYFUNCTION("""COMPUTED_VALUE"""),"必要")</f>
        <v>必要</v>
      </c>
      <c r="G316" s="50"/>
      <c r="H316" s="10"/>
      <c r="I316" s="14"/>
      <c r="J316" s="15"/>
      <c r="K316" s="16"/>
      <c r="L316" s="17"/>
      <c r="M316" s="17"/>
      <c r="N316" s="17"/>
      <c r="O316" s="17"/>
      <c r="P316" s="17"/>
      <c r="Q316" s="17"/>
      <c r="R316" s="17"/>
      <c r="S316" s="17"/>
      <c r="T316" s="17"/>
      <c r="U316" s="17"/>
      <c r="V316" s="17"/>
    </row>
    <row r="317">
      <c r="A317" s="50"/>
      <c r="B317" s="10" t="str">
        <f>IFERROR(__xludf.DUMMYFUNCTION("""COMPUTED_VALUE"""),"ユーラブ")</f>
        <v>ユーラブ</v>
      </c>
      <c r="C317" s="50"/>
      <c r="D317" s="116"/>
      <c r="E317" s="116"/>
      <c r="F317" s="12" t="str">
        <f>IFERROR(__xludf.DUMMYFUNCTION("""COMPUTED_VALUE"""),"必要")</f>
        <v>必要</v>
      </c>
      <c r="G317" s="50"/>
      <c r="H317" s="10"/>
      <c r="I317" s="14"/>
      <c r="J317" s="15"/>
      <c r="K317" s="16"/>
      <c r="L317" s="17"/>
      <c r="M317" s="17"/>
      <c r="N317" s="17"/>
      <c r="O317" s="17"/>
      <c r="P317" s="17"/>
      <c r="Q317" s="17"/>
      <c r="R317" s="17"/>
      <c r="S317" s="17"/>
      <c r="T317" s="17"/>
      <c r="U317" s="17"/>
      <c r="V317" s="17"/>
    </row>
    <row r="318">
      <c r="A318" s="50"/>
      <c r="B318" s="10" t="str">
        <f>IFERROR(__xludf.DUMMYFUNCTION("""COMPUTED_VALUE"""),"花恋")</f>
        <v>花恋</v>
      </c>
      <c r="C318" s="50"/>
      <c r="D318" s="116"/>
      <c r="E318" s="116"/>
      <c r="F318" s="12" t="str">
        <f>IFERROR(__xludf.DUMMYFUNCTION("""COMPUTED_VALUE"""),"必要")</f>
        <v>必要</v>
      </c>
      <c r="G318" s="50"/>
      <c r="H318" s="10"/>
      <c r="I318" s="14"/>
      <c r="J318" s="15"/>
      <c r="K318" s="16"/>
      <c r="L318" s="17"/>
      <c r="M318" s="17"/>
      <c r="N318" s="17"/>
      <c r="O318" s="17"/>
      <c r="P318" s="17"/>
      <c r="Q318" s="17"/>
      <c r="R318" s="17"/>
      <c r="S318" s="17"/>
      <c r="T318" s="17"/>
      <c r="U318" s="17"/>
      <c r="V318" s="17"/>
    </row>
    <row r="319">
      <c r="A319" s="50"/>
      <c r="B319" s="10" t="str">
        <f>IFERROR(__xludf.DUMMYFUNCTION("""COMPUTED_VALUE"""),"酒楽")</f>
        <v>酒楽</v>
      </c>
      <c r="C319" s="50"/>
      <c r="D319" s="116"/>
      <c r="E319" s="116"/>
      <c r="F319" s="12" t="str">
        <f>IFERROR(__xludf.DUMMYFUNCTION("""COMPUTED_VALUE"""),"必要")</f>
        <v>必要</v>
      </c>
      <c r="G319" s="50"/>
      <c r="H319" s="10"/>
      <c r="I319" s="14"/>
      <c r="J319" s="15"/>
      <c r="K319" s="16"/>
      <c r="L319" s="17"/>
      <c r="M319" s="17"/>
      <c r="N319" s="17"/>
      <c r="O319" s="17"/>
      <c r="P319" s="17"/>
      <c r="Q319" s="17"/>
      <c r="R319" s="17"/>
      <c r="S319" s="17"/>
      <c r="T319" s="17"/>
      <c r="U319" s="17"/>
      <c r="V319" s="17"/>
    </row>
    <row r="320">
      <c r="A320" s="50"/>
      <c r="B320" s="10" t="str">
        <f>IFERROR(__xludf.DUMMYFUNCTION("""COMPUTED_VALUE"""),"食漫")</f>
        <v>食漫</v>
      </c>
      <c r="C320" s="50"/>
      <c r="D320" s="116"/>
      <c r="E320" s="116"/>
      <c r="F320" s="12" t="str">
        <f>IFERROR(__xludf.DUMMYFUNCTION("""COMPUTED_VALUE"""),"必要")</f>
        <v>必要</v>
      </c>
      <c r="G320" s="50"/>
      <c r="H320" s="10"/>
      <c r="I320" s="14"/>
      <c r="J320" s="15"/>
      <c r="K320" s="16"/>
      <c r="L320" s="17"/>
      <c r="M320" s="17"/>
      <c r="N320" s="17"/>
      <c r="O320" s="17"/>
      <c r="P320" s="17"/>
      <c r="Q320" s="17"/>
      <c r="R320" s="17"/>
      <c r="S320" s="17"/>
      <c r="T320" s="17"/>
      <c r="U320" s="17"/>
      <c r="V320" s="17"/>
    </row>
    <row r="321">
      <c r="A321" s="50"/>
      <c r="B321" s="10" t="str">
        <f>IFERROR(__xludf.DUMMYFUNCTION("""COMPUTED_VALUE"""),"別冊漫画ゴラク")</f>
        <v>別冊漫画ゴラク</v>
      </c>
      <c r="C321" s="50"/>
      <c r="D321" s="116"/>
      <c r="E321" s="116"/>
      <c r="F321" s="12" t="str">
        <f>IFERROR(__xludf.DUMMYFUNCTION("""COMPUTED_VALUE"""),"必要")</f>
        <v>必要</v>
      </c>
      <c r="G321" s="50"/>
      <c r="H321" s="10"/>
      <c r="I321" s="14"/>
      <c r="J321" s="15"/>
      <c r="K321" s="16"/>
      <c r="L321" s="17"/>
      <c r="M321" s="17"/>
      <c r="N321" s="17"/>
      <c r="O321" s="17"/>
      <c r="P321" s="17"/>
      <c r="Q321" s="17"/>
      <c r="R321" s="17"/>
      <c r="S321" s="17"/>
      <c r="T321" s="17"/>
      <c r="U321" s="17"/>
      <c r="V321" s="17"/>
    </row>
    <row r="322">
      <c r="A322" s="50"/>
      <c r="B322" s="10" t="str">
        <f>IFERROR(__xludf.DUMMYFUNCTION("""COMPUTED_VALUE"""),"漫画ゴラク")</f>
        <v>漫画ゴラク</v>
      </c>
      <c r="C322" s="50"/>
      <c r="D322" s="116"/>
      <c r="E322" s="116"/>
      <c r="F322" s="12" t="str">
        <f>IFERROR(__xludf.DUMMYFUNCTION("""COMPUTED_VALUE"""),"必要")</f>
        <v>必要</v>
      </c>
      <c r="G322" s="50"/>
      <c r="H322" s="10"/>
      <c r="I322" s="14"/>
      <c r="J322" s="15"/>
      <c r="K322" s="16"/>
      <c r="L322" s="17"/>
      <c r="M322" s="17"/>
      <c r="N322" s="17"/>
      <c r="O322" s="17"/>
      <c r="P322" s="17"/>
      <c r="Q322" s="17"/>
      <c r="R322" s="17"/>
      <c r="S322" s="17"/>
      <c r="T322" s="17"/>
      <c r="U322" s="17"/>
      <c r="V322" s="17"/>
    </row>
    <row r="323">
      <c r="A323" s="51"/>
      <c r="B323" s="10" t="str">
        <f>IFERROR(__xludf.DUMMYFUNCTION("""COMPUTED_VALUE"""),"漫画ゴラクスペシャル")</f>
        <v>漫画ゴラクスペシャル</v>
      </c>
      <c r="C323" s="51"/>
      <c r="D323" s="116"/>
      <c r="E323" s="116"/>
      <c r="F323" s="12" t="str">
        <f>IFERROR(__xludf.DUMMYFUNCTION("""COMPUTED_VALUE"""),"必要")</f>
        <v>必要</v>
      </c>
      <c r="G323" s="51"/>
      <c r="H323" s="10"/>
      <c r="I323" s="14"/>
      <c r="J323" s="15"/>
      <c r="K323" s="16"/>
      <c r="L323" s="17"/>
      <c r="M323" s="17"/>
      <c r="N323" s="17"/>
      <c r="O323" s="17"/>
      <c r="P323" s="17"/>
      <c r="Q323" s="17"/>
      <c r="R323" s="17"/>
      <c r="S323" s="17"/>
      <c r="T323" s="17"/>
      <c r="U323" s="17"/>
      <c r="V323" s="17"/>
    </row>
    <row r="324">
      <c r="A324" s="30" t="str">
        <f>IFERROR(__xludf.DUMMYFUNCTION("""COMPUTED_VALUE"""),"白泉社
※「使用画像テキスト」要")</f>
        <v>白泉社
※「使用画像テキスト」要</v>
      </c>
      <c r="B324" s="10"/>
      <c r="C324" s="28" t="str">
        <f>IFERROR(__xludf.DUMMYFUNCTION("""COMPUTED_VALUE"""),"必要")</f>
        <v>必要</v>
      </c>
      <c r="D324" s="12" t="str">
        <f>IFERROR(__xludf.DUMMYFUNCTION("""COMPUTED_VALUE"""),"使用画像テキスト")</f>
        <v>使用画像テキスト</v>
      </c>
      <c r="E324" s="116"/>
      <c r="F324" s="12" t="str">
        <f>IFERROR(__xludf.DUMMYFUNCTION("""COMPUTED_VALUE"""),"必要")</f>
        <v>必要</v>
      </c>
      <c r="G324" s="20" t="str">
        <f>IFERROR(__xludf.DUMMYFUNCTION("""COMPUTED_VALUE"""),"©作者名/白泉社
・ヤングアニマルのタイトルの場合　©作者名/白泉社(ヤングアニマル) もしくは©作者名/白泉社
・花丸文庫（ノベル系） の場合　©作家名･作画者名/白泉社 
※作者名が2名いる場合の扱いについて
・小説(イラスト付き)の場合　©著者・イラストレーター/白泉社
・小説共著者(イラスト付き)の場合 　©著者A/著者B・イラストレーター/白泉社
・花丸漫画・花丸コミックスで作家が2名(原作・作画)いる場合　©作画者/原作者/白泉社 ")</f>
        <v>©作者名/白泉社
・ヤングアニマルのタイトルの場合　©作者名/白泉社(ヤングアニマル) もしくは©作者名/白泉社
・花丸文庫（ノベル系） の場合　©作家名･作画者名/白泉社 
※作者名が2名いる場合の扱いについて
・小説(イラスト付き)の場合　©著者・イラストレーター/白泉社
・小説共著者(イラスト付き)の場合 　©著者A/著者B・イラストレーター/白泉社
・花丸漫画・花丸コミックスで作家が2名(原作・作画)いる場合　©作画者/原作者/白泉社 </v>
      </c>
      <c r="H324" s="10" t="str">
        <f>IFERROR(__xludf.DUMMYFUNCTION("""COMPUTED_VALUE"""),"・イラストの傾けは過度でなければOK（90度とかイラストの意図が変わってしまうものはNG）
※プロモ用※
水谷京子先生の作品はコマのコラージュはNG。ページそのまま使用する事。
※ LoveJossie ・　LoveSilkyのロゴ
→自由に着色(色変更)可
※花とゆめロゴ
2019年5月2日号よりロゴが一新されます
着色については、イメージから逸脱せず、単色カラーなら着色OKとのこと。
「樹なつみ」のクレジット以下で統一
©ITSUKI NATSUMI ART.Inc. /白泉社")</f>
        <v>・イラストの傾けは過度でなければOK（90度とかイラストの意図が変わってしまうものはNG）
※プロモ用※
水谷京子先生の作品はコマのコラージュはNG。ページそのまま使用する事。
※ LoveJossie ・　LoveSilkyのロゴ
→自由に着色(色変更)可
※花とゆめロゴ
2019年5月2日号よりロゴが一新されます
着色については、イメージから逸脱せず、単色カラーなら着色OKとのこと。
「樹なつみ」のクレジット以下で統一
©ITSUKI NATSUMI ART.Inc. /白泉社</v>
      </c>
      <c r="I324" s="54" t="str">
        <f>IFERROR(__xludf.DUMMYFUNCTION("""COMPUTED_VALUE"""),"「ハチミツとクローバー」
→タイトルロゴを使う場合は白泉社制作のものを使ってください。
　コンテンツ内のロゴは集英社(旧出版社)のものなので使用厳禁でお願いします。
「パタリロ!」
→文庫版コミックス（タイトルID：9429）の表紙素材は使用しないようにお願いします。
　（魔夜峰央先生のイ ラストではなく、魔夜峰央氏のイラストを元に人形作家さんが作ったレリーフ状の作品の為）
「3月のライオン」「ベルセルク」
→コマサム『作品内のコマをいくつか抜き出して切り張りする』はＮＧ（外部出向も同様）
　今後は、"&amp;"ページの一部をそのまま切り抜きして制作
「フルーツバスケット」
→2019年アニメ化について
　「再アニメ化」という言い回しはNG。「アニメ化」または「全編アニメ化」と記載すること。
「エンジェルヒート」
©西野花/鵺/DUO BRAND./白泉社
「金色のコルダ」
©呉由姫/白泉社/TECMO KOEI GAMES CO.,LTD. 
「ラブ・ミー・ぽんぽこ！」
ロゴの色変更や組み換えせずにママで使用
「しゃべれども　しゃべれども」
① 作画：勝田文　原作：佐藤多佳子『しゃべれども　しゃべれど"&amp;"も』(新潮文庫刊) 
②　© 2007 Bun Katsuta/Hakusensha © 1997 Takako Sato/ Shinchosha
③　© 2007 勝田文／白泉社　©1997 佐藤多佳子／新潮社
｢陰陽師｣
©岡野玲子/原作 夢枕獏/白泉社
「図書館戦争 LOVE＆WAR｣
©弓きいろ/有川浩/白泉社 
※必ず作者名の区切りは「/｣
※タイトル名を表記する際、「LOVE＆WAR｣まで正式名称ですので、略さないでください
「アイドリッシュセブン　流星に祈る」「アイドリッシュセブン　T"&amp;"RIGGER-before The  Radiant Glory-」
©Arina Tanemura/Bunta Tsushimi/BANDAI NAMCO Online Inc. 2016/白泉社©アイドリッシュセブン
  「虐殺ハッピーエンド」
©宮月新/向浦宏和/白泉社
※作家様意向によりC表記の順番を上記に統一")</f>
        <v>「ハチミツとクローバー」
→タイトルロゴを使う場合は白泉社制作のものを使ってください。
　コンテンツ内のロゴは集英社(旧出版社)のものなので使用厳禁でお願いします。
「パタリロ!」
→文庫版コミックス（タイトルID：9429）の表紙素材は使用しないようにお願いします。
　（魔夜峰央先生のイ ラストではなく、魔夜峰央氏のイラストを元に人形作家さんが作ったレリーフ状の作品の為）
「3月のライオン」「ベルセルク」
→コマサム『作品内のコマをいくつか抜き出して切り張りする』はＮＧ（外部出向も同様）
　今後は、ページの一部をそのまま切り抜きして制作
「フルーツバスケット」
→2019年アニメ化について
　「再アニメ化」という言い回しはNG。「アニメ化」または「全編アニメ化」と記載すること。
「エンジェルヒート」
©西野花/鵺/DUO BRAND./白泉社
「金色のコルダ」
©呉由姫/白泉社/TECMO KOEI GAMES CO.,LTD. 
「ラブ・ミー・ぽんぽこ！」
ロゴの色変更や組み換えせずにママで使用
「しゃべれども　しゃべれども」
① 作画：勝田文　原作：佐藤多佳子『しゃべれども　しゃべれども』(新潮文庫刊) 
②　© 2007 Bun Katsuta/Hakusensha © 1997 Takako Sato/ Shinchosha
③　© 2007 勝田文／白泉社　©1997 佐藤多佳子／新潮社
｢陰陽師｣
©岡野玲子/原作 夢枕獏/白泉社
「図書館戦争 LOVE＆WAR｣
©弓きいろ/有川浩/白泉社 
※必ず作者名の区切りは「/｣
※タイトル名を表記する際、「LOVE＆WAR｣まで正式名称ですので、略さないでください
「アイドリッシュセブン　流星に祈る」「アイドリッシュセブン　TRIGGER-before The  Radiant Glory-」
©Arina Tanemura/Bunta Tsushimi/BANDAI NAMCO Online Inc. 2016/白泉社©アイドリッシュセブン
  「虐殺ハッピーエンド」
©宮月新/向浦宏和/白泉社
※作家様意向によりC表記の順番を上記に統一</v>
      </c>
      <c r="J324" s="65" t="str">
        <f>IFERROR(__xludf.DUMMYFUNCTION("""COMPUTED_VALUE"""),"○※")</f>
        <v>○※</v>
      </c>
      <c r="K324" s="66" t="str">
        <f>IFERROR(__xludf.DUMMYFUNCTION("""COMPUTED_VALUE"""),"事前報告（転用許諾）が必要。　※転用NGになる場合もある
報告の宛先： ライツ営業担当
【バナー制作時に転用が決まっている場合】
CPの監修依頼時メール本文に「単行本着地とする場合がある」と記載し、バナー監修と一緒に報告する。")</f>
        <v>事前報告（転用許諾）が必要。　※転用NGになる場合もある
報告の宛先： ライツ営業担当
【バナー制作時に転用が決まっている場合】
CPの監修依頼時メール本文に「単行本着地とする場合がある」と記載し、バナー監修と一緒に報告する。</v>
      </c>
      <c r="L324" s="17"/>
      <c r="M324" s="17"/>
      <c r="N324" s="17"/>
      <c r="O324" s="17"/>
      <c r="P324" s="17"/>
      <c r="Q324" s="17"/>
      <c r="R324" s="17"/>
      <c r="S324" s="17"/>
      <c r="T324" s="17"/>
      <c r="U324" s="17"/>
      <c r="V324" s="17"/>
    </row>
    <row r="325">
      <c r="A325" s="9" t="str">
        <f>IFERROR(__xludf.DUMMYFUNCTION("""COMPUTED_VALUE"""),"飛鳥新社")</f>
        <v>飛鳥新社</v>
      </c>
      <c r="B325" s="10"/>
      <c r="C325" s="28" t="str">
        <f>IFERROR(__xludf.DUMMYFUNCTION("""COMPUTED_VALUE"""),"必要")</f>
        <v>必要</v>
      </c>
      <c r="D325" s="116"/>
      <c r="E325" s="116"/>
      <c r="F325" s="12" t="str">
        <f>IFERROR(__xludf.DUMMYFUNCTION("""COMPUTED_VALUE"""),"必要")</f>
        <v>必要</v>
      </c>
      <c r="G325" s="20" t="str">
        <f>IFERROR(__xludf.DUMMYFUNCTION("""COMPUTED_VALUE"""),"©著者/飛鳥新社
・書影まま使用した場合はコピーライト不要")</f>
        <v>©著者/飛鳥新社
・書影まま使用した場合はコピーライト不要</v>
      </c>
      <c r="H325" s="10"/>
      <c r="I325" s="14"/>
      <c r="J325" s="15"/>
      <c r="K325" s="16"/>
      <c r="L325" s="17"/>
      <c r="M325" s="17"/>
      <c r="N325" s="17"/>
      <c r="O325" s="17"/>
      <c r="P325" s="17"/>
      <c r="Q325" s="17"/>
      <c r="R325" s="17"/>
      <c r="S325" s="17"/>
      <c r="T325" s="17"/>
      <c r="U325" s="17"/>
      <c r="V325" s="17"/>
    </row>
    <row r="326">
      <c r="A326" s="9" t="str">
        <f>IFERROR(__xludf.DUMMYFUNCTION("""COMPUTED_VALUE"""),"富士美出版")</f>
        <v>富士美出版</v>
      </c>
      <c r="B326" s="10"/>
      <c r="C326" s="11" t="str">
        <f>IFERROR(__xludf.DUMMYFUNCTION("""COMPUTED_VALUE"""),"不要")</f>
        <v>不要</v>
      </c>
      <c r="D326" s="116"/>
      <c r="E326" s="116"/>
      <c r="F326" s="12" t="str">
        <f>IFERROR(__xludf.DUMMYFUNCTION("""COMPUTED_VALUE"""),"必要")</f>
        <v>必要</v>
      </c>
      <c r="G326" s="18" t="str">
        <f>IFERROR(__xludf.DUMMYFUNCTION("""COMPUTED_VALUE"""),"©著者名/富士美出版
雑誌の場合は著者名を入れず、雑誌名と何月号をいれる　©WEBバズーカ○月号/富士美出版")</f>
        <v>©著者名/富士美出版
雑誌の場合は著者名を入れず、雑誌名と何月号をいれる　©WEBバズーカ○月号/富士美出版</v>
      </c>
      <c r="H326" s="10"/>
      <c r="I326" s="14"/>
      <c r="J326" s="15"/>
      <c r="K326" s="16"/>
      <c r="L326" s="17"/>
      <c r="M326" s="17"/>
      <c r="N326" s="17"/>
      <c r="O326" s="17"/>
      <c r="P326" s="17"/>
      <c r="Q326" s="17"/>
      <c r="R326" s="17"/>
      <c r="S326" s="17"/>
      <c r="T326" s="17"/>
      <c r="U326" s="17"/>
      <c r="V326" s="17"/>
    </row>
    <row r="327" ht="19.5" customHeight="1">
      <c r="A327" s="9" t="str">
        <f>IFERROR(__xludf.DUMMYFUNCTION("""COMPUTED_VALUE"""),"扶桑社")</f>
        <v>扶桑社</v>
      </c>
      <c r="B327" s="10"/>
      <c r="C327" s="28" t="str">
        <f>IFERROR(__xludf.DUMMYFUNCTION("""COMPUTED_VALUE"""),"必要")</f>
        <v>必要</v>
      </c>
      <c r="D327" s="116"/>
      <c r="E327" s="116"/>
      <c r="F327" s="12" t="str">
        <f>IFERROR(__xludf.DUMMYFUNCTION("""COMPUTED_VALUE"""),"必要")</f>
        <v>必要</v>
      </c>
      <c r="G327" s="13" t="str">
        <f>IFERROR(__xludf.DUMMYFUNCTION("""COMPUTED_VALUE"""),"©著者名／扶桑社")</f>
        <v>©著者名／扶桑社</v>
      </c>
      <c r="H327" s="10"/>
      <c r="I327" s="14"/>
      <c r="J327" s="15"/>
      <c r="K327" s="16"/>
      <c r="L327" s="17"/>
      <c r="M327" s="17"/>
      <c r="N327" s="17"/>
      <c r="O327" s="17"/>
      <c r="P327" s="17"/>
      <c r="Q327" s="17"/>
      <c r="R327" s="17"/>
      <c r="S327" s="17"/>
      <c r="T327" s="17"/>
      <c r="U327" s="17"/>
      <c r="V327" s="17"/>
    </row>
    <row r="328">
      <c r="A328" s="9" t="str">
        <f>IFERROR(__xludf.DUMMYFUNCTION("""COMPUTED_VALUE"""),"文苑堂")</f>
        <v>文苑堂</v>
      </c>
      <c r="B328" s="10"/>
      <c r="C328" s="28" t="str">
        <f>IFERROR(__xludf.DUMMYFUNCTION("""COMPUTED_VALUE"""),"必要")</f>
        <v>必要</v>
      </c>
      <c r="D328" s="116"/>
      <c r="E328" s="116"/>
      <c r="F328" s="12" t="str">
        <f>IFERROR(__xludf.DUMMYFUNCTION("""COMPUTED_VALUE"""),"必要")</f>
        <v>必要</v>
      </c>
      <c r="G328" s="20" t="str">
        <f>IFERROR(__xludf.DUMMYFUNCTION("""COMPUTED_VALUE"""),"「タイトル名」©著者名/出版社名
・タイトル名原則必須（あまりに長い場合は省略可）")</f>
        <v>「タイトル名」©著者名/出版社名
・タイトル名原則必須（あまりに長い場合は省略可）</v>
      </c>
      <c r="H328" s="10"/>
      <c r="I328" s="14"/>
      <c r="J328" s="15"/>
      <c r="K328" s="16"/>
      <c r="L328" s="17"/>
      <c r="M328" s="17"/>
      <c r="N328" s="17"/>
      <c r="O328" s="17"/>
      <c r="P328" s="17"/>
      <c r="Q328" s="17"/>
      <c r="R328" s="17"/>
      <c r="S328" s="17"/>
      <c r="T328" s="17"/>
      <c r="U328" s="17"/>
      <c r="V328" s="17"/>
    </row>
    <row r="329">
      <c r="A329" s="9" t="str">
        <f>IFERROR(__xludf.DUMMYFUNCTION("""COMPUTED_VALUE"""),"文響社")</f>
        <v>文響社</v>
      </c>
      <c r="B329" s="10"/>
      <c r="C329" s="28" t="str">
        <f>IFERROR(__xludf.DUMMYFUNCTION("""COMPUTED_VALUE"""),"必要")</f>
        <v>必要</v>
      </c>
      <c r="D329" s="116"/>
      <c r="E329" s="116"/>
      <c r="F329" s="12" t="str">
        <f>IFERROR(__xludf.DUMMYFUNCTION("""COMPUTED_VALUE"""),"必要")</f>
        <v>必要</v>
      </c>
      <c r="G329" s="18" t="str">
        <f>IFERROR(__xludf.DUMMYFUNCTION("""COMPUTED_VALUE"""),"©著者名/文響社
・書影のみを使用する場合もC表記要")</f>
        <v>©著者名/文響社
・書影のみを使用する場合もC表記要</v>
      </c>
      <c r="H329" s="10"/>
      <c r="I329" s="14"/>
      <c r="J329" s="15"/>
      <c r="K329" s="16"/>
      <c r="L329" s="17"/>
      <c r="M329" s="17"/>
      <c r="N329" s="17"/>
      <c r="O329" s="17"/>
      <c r="P329" s="17"/>
      <c r="Q329" s="17"/>
      <c r="R329" s="17"/>
      <c r="S329" s="17"/>
      <c r="T329" s="17"/>
      <c r="U329" s="17"/>
      <c r="V329" s="17"/>
    </row>
    <row r="330">
      <c r="A330" s="9" t="str">
        <f>IFERROR(__xludf.DUMMYFUNCTION("""COMPUTED_VALUE"""),"文藝春秋")</f>
        <v>文藝春秋</v>
      </c>
      <c r="B330" s="10"/>
      <c r="C330" s="28" t="str">
        <f>IFERROR(__xludf.DUMMYFUNCTION("""COMPUTED_VALUE"""),"必要")</f>
        <v>必要</v>
      </c>
      <c r="D330" s="116"/>
      <c r="E330" s="116"/>
      <c r="F330" s="12" t="str">
        <f>IFERROR(__xludf.DUMMYFUNCTION("""COMPUTED_VALUE"""),"必要")</f>
        <v>必要</v>
      </c>
      <c r="G330" s="20" t="str">
        <f>IFERROR(__xludf.DUMMYFUNCTION("""COMPUTED_VALUE"""),"©文藝春秋
©文藝春秋/作家名
・コミックの場合のコピーライトは　©著者名/文藝春秋
・書影まま使用した場合はコピーライト不要")</f>
        <v>©文藝春秋
©文藝春秋/作家名
・コミックの場合のコピーライトは　©著者名/文藝春秋
・書影まま使用した場合はコピーライト不要</v>
      </c>
      <c r="H330" s="147"/>
      <c r="I330" s="14"/>
      <c r="J330" s="15"/>
      <c r="K330" s="16"/>
      <c r="L330" s="17"/>
      <c r="M330" s="17"/>
      <c r="N330" s="17"/>
      <c r="O330" s="17"/>
      <c r="P330" s="17"/>
      <c r="Q330" s="17"/>
      <c r="R330" s="17"/>
      <c r="S330" s="17"/>
      <c r="T330" s="17"/>
      <c r="U330" s="17"/>
      <c r="V330" s="17"/>
    </row>
    <row r="331">
      <c r="A331" s="9" t="str">
        <f>IFERROR(__xludf.DUMMYFUNCTION("""COMPUTED_VALUE"""),"芳文社")</f>
        <v>芳文社</v>
      </c>
      <c r="B331" s="10"/>
      <c r="C331" s="28" t="str">
        <f>IFERROR(__xludf.DUMMYFUNCTION("""COMPUTED_VALUE"""),"必要")</f>
        <v>必要</v>
      </c>
      <c r="D331" s="116"/>
      <c r="E331" s="116"/>
      <c r="F331" s="12" t="str">
        <f>IFERROR(__xludf.DUMMYFUNCTION("""COMPUTED_VALUE"""),"必要")</f>
        <v>必要</v>
      </c>
      <c r="G331" s="20" t="str">
        <f>IFERROR(__xludf.DUMMYFUNCTION("""COMPUTED_VALUE"""),"©作者名/芳文社
・著者間は「・」区切り
・きららファンタジア系施策でバナー用のイラスト納品有りの場合　©芳文社／きららファンタジア製作委員会
※タイトル名がレギュレーションに引っかかる場合省略可（backlogにその旨記載必須）")</f>
        <v>©作者名/芳文社
・著者間は「・」区切り
・きららファンタジア系施策でバナー用のイラスト納品有りの場合　©芳文社／きららファンタジア製作委員会
※タイトル名がレギュレーションに引っかかる場合省略可（backlogにその旨記載必須）</v>
      </c>
      <c r="H331" s="96" t="str">
        <f>IFERROR(__xludf.DUMMYFUNCTION("""COMPUTED_VALUE"""),"※「花音（雑誌）の書影」をバナーに利用する場合について
書影同士、またはそのほかの画像と重なっている場合などはコピーライト必要。
　→©芳文社 
書影をそのまま使う場合は不要
バナー制作の注意(※プロモ)
元からそのページのコマ割りであったかのようなトリミングの組み合わせでバナー制作はNG。
※画像自体の直接加工(キャラクター切り抜き等)は禁止。
書影のトリミングのみで対応をお願いいたします。
※あるものを消して使用するのは基本的に不可としております。
トリミング、文字載せのみで対応お願いいたします。"&amp;"
画像の使用に関しましては｢芳文社の注意｣シートにて確認ください。
※ふきだし内の文字の大きさの変更は不可。
※まんがタイムKRコミックスの口絵を含むカラーページは、全てコミックス用描き下ろしイラストなので、バナー等での使用NG。素材は依頼すればもらえるかも。書影の使用は可。
※書影の色味の変更・加工はNG
｢がっこうぐらし！｣については、芳文社から提供された素材以外は使用不可(書影は可)
※魔法少女まどか☆マギカ関連作品：注意あり
※「きららファンタジア」ロゴについて
ロゴ背面に効果をかける場合"&amp;"、フチをつけるような加工はNG。
フチにならないように白発光処理は可。")</f>
        <v>※「花音（雑誌）の書影」をバナーに利用する場合について
書影同士、またはそのほかの画像と重なっている場合などはコピーライト必要。
　→©芳文社 
書影をそのまま使う場合は不要
バナー制作の注意(※プロモ)
元からそのページのコマ割りであったかのようなトリミングの組み合わせでバナー制作はNG。
※画像自体の直接加工(キャラクター切り抜き等)は禁止。
書影のトリミングのみで対応をお願いいたします。
※あるものを消して使用するのは基本的に不可としております。
トリミング、文字載せのみで対応お願いいたします。
画像の使用に関しましては｢芳文社の注意｣シートにて確認ください。
※ふきだし内の文字の大きさの変更は不可。
※まんがタイムKRコミックスの口絵を含むカラーページは、全てコミックス用描き下ろしイラストなので、バナー等での使用NG。素材は依頼すればもらえるかも。書影の使用は可。
※書影の色味の変更・加工はNG
｢がっこうぐらし！｣については、芳文社から提供された素材以外は使用不可(書影は可)
※魔法少女まどか☆マギカ関連作品：注意あり
※「きららファンタジア」ロゴについて
ロゴ背面に効果をかける場合、フチをつけるような加工はNG。
フチにならないように白発光処理は可。</v>
      </c>
      <c r="I331" s="54" t="str">
        <f>IFERROR(__xludf.DUMMYFUNCTION("""COMPUTED_VALUE"""),"「アルドノアゼロ」
©Olympus Knights/Aniplex･Project AZ
短縮表記　→　©OK/A･PAZ
「がっこうぐらし！」
©Nitroplus／海法紀光・千葉サドル・芳文社
※スラッシュが全角
「ふわっとまどか」
【①巻のコピー】
©Magica Quartet／Aniplex・Madoka Partners・MBS
【②巻のコピー】
©Magica Quartet／Aniplex・Madoka Movie Project Rebellion")</f>
        <v>「アルドノアゼロ」
©Olympus Knights/Aniplex･Project AZ
短縮表記　→　©OK/A･PAZ
「がっこうぐらし！」
©Nitroplus／海法紀光・千葉サドル・芳文社
※スラッシュが全角
「ふわっとまどか」
【①巻のコピー】
©Magica Quartet／Aniplex・Madoka Partners・MBS
【②巻のコピー】
©Magica Quartet／Aniplex・Madoka Movie Project Rebellion</v>
      </c>
      <c r="J331" s="15"/>
      <c r="K331" s="66" t="str">
        <f>IFERROR(__xludf.DUMMYFUNCTION("""COMPUTED_VALUE"""),"※下記タイトルのみ個別確認済
『239060　めぐる未来 』→【単話版の素材使用OK】
（逆に単話版へ単行本版の素材使用は未確認のため、×）")</f>
        <v>※下記タイトルのみ個別確認済
『239060　めぐる未来 』→【単話版の素材使用OK】
（逆に単話版へ単行本版の素材使用は未確認のため、×）</v>
      </c>
      <c r="L331" s="17"/>
      <c r="M331" s="17"/>
      <c r="N331" s="17"/>
      <c r="O331" s="17"/>
      <c r="P331" s="17"/>
      <c r="Q331" s="17"/>
      <c r="R331" s="17"/>
      <c r="S331" s="17"/>
      <c r="T331" s="17"/>
      <c r="U331" s="17"/>
      <c r="V331" s="17"/>
    </row>
    <row r="332">
      <c r="A332" s="9" t="str">
        <f>IFERROR(__xludf.DUMMYFUNCTION("""COMPUTED_VALUE"""),"北國新聞社")</f>
        <v>北國新聞社</v>
      </c>
      <c r="B332" s="10"/>
      <c r="C332" s="28" t="str">
        <f>IFERROR(__xludf.DUMMYFUNCTION("""COMPUTED_VALUE"""),"必要")</f>
        <v>必要</v>
      </c>
      <c r="D332" s="116"/>
      <c r="E332" s="116"/>
      <c r="F332" s="12" t="str">
        <f>IFERROR(__xludf.DUMMYFUNCTION("""COMPUTED_VALUE"""),"必要")</f>
        <v>必要</v>
      </c>
      <c r="G332" s="13" t="str">
        <f>IFERROR(__xludf.DUMMYFUNCTION("""COMPUTED_VALUE"""),"©著者名/北國新聞社")</f>
        <v>©著者名/北國新聞社</v>
      </c>
      <c r="H332" s="10"/>
      <c r="I332" s="14"/>
      <c r="J332" s="15"/>
      <c r="K332" s="16"/>
      <c r="L332" s="17"/>
      <c r="M332" s="17"/>
      <c r="N332" s="17"/>
      <c r="O332" s="17"/>
      <c r="P332" s="17"/>
      <c r="Q332" s="17"/>
      <c r="R332" s="17"/>
      <c r="S332" s="17"/>
      <c r="T332" s="17"/>
      <c r="U332" s="17"/>
      <c r="V332" s="17"/>
    </row>
    <row r="333">
      <c r="A333" s="9" t="str">
        <f>IFERROR(__xludf.DUMMYFUNCTION("""COMPUTED_VALUE"""),"夢中文庫")</f>
        <v>夢中文庫</v>
      </c>
      <c r="B333" s="10"/>
      <c r="C333" s="28" t="str">
        <f>IFERROR(__xludf.DUMMYFUNCTION("""COMPUTED_VALUE"""),"必要")</f>
        <v>必要</v>
      </c>
      <c r="D333" s="116"/>
      <c r="E333" s="116"/>
      <c r="F333" s="12" t="str">
        <f>IFERROR(__xludf.DUMMYFUNCTION("""COMPUTED_VALUE"""),"必要")</f>
        <v>必要</v>
      </c>
      <c r="G333" s="18" t="str">
        <f>IFERROR(__xludf.DUMMYFUNCTION("""COMPUTED_VALUE"""),"©著者名/夢ちゅうこみっくす
©著者名/夢中文庫
・著者間は「/」区切り
・ラノベの場合　©著者名/出版社名　イラスト：イラストレーター名 ")</f>
        <v>©著者名/夢ちゅうこみっくす
©著者名/夢中文庫
・著者間は「/」区切り
・ラノベの場合　©著者名/出版社名　イラスト：イラストレーター名 </v>
      </c>
      <c r="H333" s="10" t="str">
        <f>IFERROR(__xludf.DUMMYFUNCTION("""COMPUTED_VALUE"""),"書誌に記載のあるコピーライトに準ずる。スペースの都合上おさまらない場合は作家名のみで可")</f>
        <v>書誌に記載のあるコピーライトに準ずる。スペースの都合上おさまらない場合は作家名のみで可</v>
      </c>
      <c r="I333" s="14"/>
      <c r="J333" s="15"/>
      <c r="K333" s="16"/>
      <c r="L333" s="17"/>
      <c r="M333" s="17"/>
      <c r="N333" s="17"/>
      <c r="O333" s="17"/>
      <c r="P333" s="17"/>
      <c r="Q333" s="17"/>
      <c r="R333" s="17"/>
      <c r="S333" s="17"/>
      <c r="T333" s="17"/>
      <c r="U333" s="17"/>
      <c r="V333" s="17"/>
    </row>
    <row r="334">
      <c r="A334" s="9" t="str">
        <f>IFERROR(__xludf.DUMMYFUNCTION("""COMPUTED_VALUE"""),"悶々堂")</f>
        <v>悶々堂</v>
      </c>
      <c r="B334" s="10"/>
      <c r="C334" s="11" t="str">
        <f>IFERROR(__xludf.DUMMYFUNCTION("""COMPUTED_VALUE"""),"不要")</f>
        <v>不要</v>
      </c>
      <c r="D334" s="116"/>
      <c r="E334" s="116"/>
      <c r="F334" s="12" t="str">
        <f>IFERROR(__xludf.DUMMYFUNCTION("""COMPUTED_VALUE"""),"必要")</f>
        <v>必要</v>
      </c>
      <c r="G334" s="13" t="str">
        <f>IFERROR(__xludf.DUMMYFUNCTION("""COMPUTED_VALUE"""),"©悶々堂")</f>
        <v>©悶々堂</v>
      </c>
      <c r="H334" s="10"/>
      <c r="I334" s="14"/>
      <c r="J334" s="15"/>
      <c r="K334" s="16"/>
      <c r="L334" s="17"/>
      <c r="M334" s="17"/>
      <c r="N334" s="17"/>
      <c r="O334" s="17"/>
      <c r="P334" s="17"/>
      <c r="Q334" s="17"/>
      <c r="R334" s="17"/>
      <c r="S334" s="17"/>
      <c r="T334" s="17"/>
      <c r="U334" s="17"/>
      <c r="V334" s="17"/>
    </row>
    <row r="335">
      <c r="A335" s="9" t="str">
        <f>IFERROR(__xludf.DUMMYFUNCTION("""COMPUTED_VALUE"""),"誘惑Ｓ革命")</f>
        <v>誘惑Ｓ革命</v>
      </c>
      <c r="B335" s="10"/>
      <c r="C335" s="11" t="str">
        <f>IFERROR(__xludf.DUMMYFUNCTION("""COMPUTED_VALUE"""),"不要")</f>
        <v>不要</v>
      </c>
      <c r="D335" s="116"/>
      <c r="E335" s="116"/>
      <c r="F335" s="12" t="str">
        <f>IFERROR(__xludf.DUMMYFUNCTION("""COMPUTED_VALUE"""),"必要")</f>
        <v>必要</v>
      </c>
      <c r="G335" s="13" t="str">
        <f>IFERROR(__xludf.DUMMYFUNCTION("""COMPUTED_VALUE"""),"©著者名/誘惑S革命")</f>
        <v>©著者名/誘惑S革命</v>
      </c>
      <c r="H335" s="10"/>
      <c r="I335" s="14"/>
      <c r="J335" s="15"/>
      <c r="K335" s="16"/>
      <c r="L335" s="17"/>
      <c r="M335" s="17"/>
      <c r="N335" s="17"/>
      <c r="O335" s="17"/>
      <c r="P335" s="17"/>
      <c r="Q335" s="17"/>
      <c r="R335" s="17"/>
      <c r="S335" s="17"/>
      <c r="T335" s="17"/>
      <c r="U335" s="17"/>
      <c r="V335" s="17"/>
    </row>
    <row r="336">
      <c r="A336" s="148" t="str">
        <f>IFERROR(__xludf.DUMMYFUNCTION("""COMPUTED_VALUE"""),"くるみ舎")</f>
        <v>くるみ舎</v>
      </c>
      <c r="B336" s="149"/>
      <c r="C336" s="92" t="str">
        <f>IFERROR(__xludf.DUMMYFUNCTION("""COMPUTED_VALUE"""),"必要")</f>
        <v>必要</v>
      </c>
      <c r="D336" s="62"/>
      <c r="E336" s="62"/>
      <c r="F336" s="12" t="str">
        <f>IFERROR(__xludf.DUMMYFUNCTION("""COMPUTED_VALUE"""),"必要")</f>
        <v>必要</v>
      </c>
      <c r="G336" s="67" t="str">
        <f>IFERROR(__xludf.DUMMYFUNCTION("""COMPUTED_VALUE"""),"▼コミック
©著者名／出版社名
共著の区切りはナカグロ
スラッシュは全角半角どちらでも可 
▼書籍
©著者名・イラストレーター名／出版社名
共著の区切りはナカグロ
スラッシュは全角半角どちらでも可")</f>
        <v>▼コミック
©著者名／出版社名
共著の区切りはナカグロ
スラッシュは全角半角どちらでも可 
▼書籍
©著者名・イラストレーター名／出版社名
共著の区切りはナカグロ
スラッシュは全角半角どちらでも可</v>
      </c>
      <c r="H336" s="10"/>
      <c r="I336" s="14"/>
      <c r="J336" s="15"/>
      <c r="K336" s="16"/>
      <c r="L336" s="17"/>
      <c r="M336" s="17"/>
      <c r="N336" s="17"/>
      <c r="O336" s="17"/>
      <c r="P336" s="17"/>
      <c r="Q336" s="17"/>
      <c r="R336" s="17"/>
      <c r="S336" s="17"/>
      <c r="T336" s="17"/>
      <c r="U336" s="17"/>
      <c r="V336" s="17"/>
    </row>
    <row r="337">
      <c r="A337" s="148" t="str">
        <f>IFERROR(__xludf.DUMMYFUNCTION("""COMPUTED_VALUE"""),"リブリオン")</f>
        <v>リブリオン</v>
      </c>
      <c r="B337" s="149"/>
      <c r="C337" s="92" t="str">
        <f>IFERROR(__xludf.DUMMYFUNCTION("""COMPUTED_VALUE"""),"必要")</f>
        <v>必要</v>
      </c>
      <c r="D337" s="62"/>
      <c r="E337" s="62"/>
      <c r="F337" s="12" t="str">
        <f>IFERROR(__xludf.DUMMYFUNCTION("""COMPUTED_VALUE"""),"必要")</f>
        <v>必要</v>
      </c>
      <c r="G337" s="69" t="str">
        <f>IFERROR(__xludf.DUMMYFUNCTION("""COMPUTED_VALUE"""),"©著者名／ライトリーズン")</f>
        <v>©著者名／ライトリーズン</v>
      </c>
      <c r="H337" s="10"/>
      <c r="I337" s="14"/>
      <c r="J337" s="15"/>
      <c r="K337" s="16"/>
      <c r="L337" s="17"/>
      <c r="M337" s="17"/>
      <c r="N337" s="17"/>
      <c r="O337" s="17"/>
      <c r="P337" s="17"/>
      <c r="Q337" s="17"/>
      <c r="R337" s="17"/>
      <c r="S337" s="17"/>
      <c r="T337" s="17"/>
      <c r="U337" s="17"/>
      <c r="V337" s="17"/>
    </row>
    <row r="338">
      <c r="A338" s="148" t="str">
        <f>IFERROR(__xludf.DUMMYFUNCTION("""COMPUTED_VALUE"""),"GANMA!")</f>
        <v>GANMA!</v>
      </c>
      <c r="B338" s="149"/>
      <c r="C338" s="92" t="str">
        <f>IFERROR(__xludf.DUMMYFUNCTION("""COMPUTED_VALUE"""),"必要")</f>
        <v>必要</v>
      </c>
      <c r="D338" s="150"/>
      <c r="E338" s="150"/>
      <c r="F338" s="12" t="str">
        <f>IFERROR(__xludf.DUMMYFUNCTION("""COMPUTED_VALUE"""),"必要")</f>
        <v>必要</v>
      </c>
      <c r="G338" s="151" t="str">
        <f>IFERROR(__xludf.DUMMYFUNCTION("""COMPUTED_VALUE"""),"『タイトル』 ©著者名／COMISMA INC.
※タイトル表記可能な限り記載")</f>
        <v>『タイトル』 ©著者名／COMISMA INC.
※タイトル表記可能な限り記載</v>
      </c>
      <c r="H338" s="100" t="str">
        <f>IFERROR(__xludf.DUMMYFUNCTION("""COMPUTED_VALUE"""),"・アダルト媒体での出稿はNG。
・制作不可タイトルあり（下記シートに記載以外の作品は制作OKになりました。）
　⇒外部出稿NGタイトルシート参照")</f>
        <v>・アダルト媒体での出稿はNG。
・制作不可タイトルあり（下記シートに記載以外の作品は制作OKになりました。）
　⇒外部出稿NGタイトルシート参照</v>
      </c>
      <c r="I338" s="14"/>
      <c r="J338" s="15"/>
      <c r="K338" s="16"/>
      <c r="L338" s="17"/>
      <c r="M338" s="17"/>
      <c r="N338" s="17"/>
      <c r="O338" s="17"/>
      <c r="P338" s="17"/>
      <c r="Q338" s="17"/>
      <c r="R338" s="17"/>
      <c r="S338" s="17"/>
      <c r="T338" s="17"/>
      <c r="U338" s="17"/>
      <c r="V338" s="17"/>
    </row>
    <row r="339">
      <c r="A339" s="148" t="str">
        <f>IFERROR(__xludf.DUMMYFUNCTION("""COMPUTED_VALUE"""),"Reader Store / コミックマズル")</f>
        <v>Reader Store / コミックマズル</v>
      </c>
      <c r="B339" s="149"/>
      <c r="C339" s="92" t="str">
        <f>IFERROR(__xludf.DUMMYFUNCTION("""COMPUTED_VALUE"""),"必要")</f>
        <v>必要</v>
      </c>
      <c r="D339" s="150"/>
      <c r="E339" s="150"/>
      <c r="F339" s="12" t="str">
        <f>IFERROR(__xludf.DUMMYFUNCTION("""COMPUTED_VALUE"""),"必要")</f>
        <v>必要</v>
      </c>
      <c r="G339" s="151" t="str">
        <f>IFERROR(__xludf.DUMMYFUNCTION("""COMPUTED_VALUE"""),"▼単独著者の場合 
©著者名 / コミックマズル
▼複数著者の場合 　
©著者名、著者名 / コミックマズル")</f>
        <v>▼単独著者の場合 
©著者名 / コミックマズル
▼複数著者の場合 　
©著者名、著者名 / コミックマズル</v>
      </c>
      <c r="H339" s="10"/>
      <c r="I339" s="14"/>
      <c r="J339" s="15"/>
      <c r="K339" s="16"/>
      <c r="L339" s="17"/>
      <c r="M339" s="17"/>
      <c r="N339" s="17"/>
      <c r="O339" s="17"/>
      <c r="P339" s="17"/>
      <c r="Q339" s="17"/>
      <c r="R339" s="17"/>
      <c r="S339" s="17"/>
      <c r="T339" s="17"/>
      <c r="U339" s="17"/>
      <c r="V339" s="17"/>
    </row>
    <row r="340">
      <c r="A340" s="148" t="str">
        <f>IFERROR(__xludf.DUMMYFUNCTION("""COMPUTED_VALUE"""),"コンパス")</f>
        <v>コンパス</v>
      </c>
      <c r="B340" s="149"/>
      <c r="C340" s="92" t="str">
        <f>IFERROR(__xludf.DUMMYFUNCTION("""COMPUTED_VALUE"""),"必要")</f>
        <v>必要</v>
      </c>
      <c r="D340" s="152"/>
      <c r="E340" s="152"/>
      <c r="F340" s="12" t="str">
        <f>IFERROR(__xludf.DUMMYFUNCTION("""COMPUTED_VALUE"""),"必要")</f>
        <v>必要</v>
      </c>
      <c r="G340" s="151" t="str">
        <f>IFERROR(__xludf.DUMMYFUNCTION("""COMPUTED_VALUE"""),"©著者名/コンパス
▼著者名が複数の場合は下記の順
©漫画家 ・原作者／コンパス
・書影のみの場合は©表記不要")</f>
        <v>©著者名/コンパス
▼著者名が複数の場合は下記の順
©漫画家 ・原作者／コンパス
・書影のみの場合は©表記不要</v>
      </c>
      <c r="H340" s="153" t="str">
        <f>IFERROR(__xludf.DUMMYFUNCTION("""COMPUTED_VALUE"""),"・事前の確認は不要とさせていただきましたが、
　掲載自体のお知らせは事前にいただけますと大変ありがたく存じます。")</f>
        <v>・事前の確認は不要とさせていただきましたが、
　掲載自体のお知らせは事前にいただけますと大変ありがたく存じます。</v>
      </c>
      <c r="I340" s="14"/>
      <c r="J340" s="15"/>
      <c r="K340" s="16"/>
      <c r="L340" s="17"/>
      <c r="M340" s="17"/>
      <c r="N340" s="17"/>
      <c r="O340" s="17"/>
      <c r="P340" s="17"/>
      <c r="Q340" s="17"/>
      <c r="R340" s="17"/>
      <c r="S340" s="17"/>
      <c r="T340" s="17"/>
      <c r="U340" s="17"/>
      <c r="V340" s="17"/>
    </row>
    <row r="341">
      <c r="A341" s="148" t="str">
        <f>IFERROR(__xludf.DUMMYFUNCTION("""COMPUTED_VALUE"""),"SNP")</f>
        <v>SNP</v>
      </c>
      <c r="B341" s="149"/>
      <c r="C341" s="84" t="str">
        <f>IFERROR(__xludf.DUMMYFUNCTION("""COMPUTED_VALUE"""),"必要")</f>
        <v>必要</v>
      </c>
      <c r="D341" s="152"/>
      <c r="E341" s="152"/>
      <c r="F341" s="12" t="str">
        <f>IFERROR(__xludf.DUMMYFUNCTION("""COMPUTED_VALUE"""),"必要")</f>
        <v>必要</v>
      </c>
      <c r="G341" s="151" t="str">
        <f>IFERROR(__xludf.DUMMYFUNCTION("""COMPUTED_VALUE"""),"■C表記形式：
©作画・構成（作品によって脚色）・原作/ecomix
※書誌の著作者の順番通り。
※複数の著作者の場合は中黒で分けてください。
※名字と名前が有る場合は間を半角空けてください。
■書影のみのC表記要否：必要")</f>
        <v>■C表記形式：
©作画・構成（作品によって脚色）・原作/ecomix
※書誌の著作者の順番通り。
※複数の著作者の場合は中黒で分けてください。
※名字と名前が有る場合は間を半角空けてください。
■書影のみのC表記要否：必要</v>
      </c>
      <c r="H341" s="26" t="str">
        <f>IFERROR(__xludf.DUMMYFUNCTION("""COMPUTED_VALUE"""),"（例）
作品名：破滅予定の年下主人公がワタシに夢中
書誌の著作者表記　Haring┴DIAN┴YounDal
の場合の著作権表記は
(C)Haring・DIAN・Youn Dal/ecomix")</f>
        <v>（例）
作品名：破滅予定の年下主人公がワタシに夢中
書誌の著作者表記　Haring┴DIAN┴YounDal
の場合の著作権表記は
(C)Haring・DIAN・Youn Dal/ecomix</v>
      </c>
      <c r="I341" s="14"/>
      <c r="J341" s="15"/>
      <c r="K341" s="16"/>
      <c r="L341" s="17"/>
      <c r="M341" s="17"/>
      <c r="N341" s="17"/>
      <c r="O341" s="17"/>
      <c r="P341" s="17"/>
      <c r="Q341" s="17"/>
      <c r="R341" s="17"/>
      <c r="S341" s="17"/>
      <c r="T341" s="17"/>
      <c r="U341" s="17"/>
      <c r="V341" s="17"/>
    </row>
    <row r="342">
      <c r="A342" s="148" t="str">
        <f>IFERROR(__xludf.DUMMYFUNCTION("""COMPUTED_VALUE"""),"ボルテージ")</f>
        <v>ボルテージ</v>
      </c>
      <c r="B342" s="149"/>
      <c r="C342" s="150" t="str">
        <f>IFERROR(__xludf.DUMMYFUNCTION("""COMPUTED_VALUE"""),"不要")</f>
        <v>不要</v>
      </c>
      <c r="D342" s="152"/>
      <c r="E342" s="152"/>
      <c r="F342" s="150" t="str">
        <f>IFERROR(__xludf.DUMMYFUNCTION("""COMPUTED_VALUE"""),"必要")</f>
        <v>必要</v>
      </c>
      <c r="G342" s="154" t="str">
        <f>IFERROR(__xludf.DUMMYFUNCTION("""COMPUTED_VALUE"""),"©著作者名／ボルテージ ")</f>
        <v>©著作者名／ボルテージ </v>
      </c>
      <c r="H342" s="26" t="str">
        <f>IFERROR(__xludf.DUMMYFUNCTION("""COMPUTED_VALUE"""),"【事例】
©イウキ・高碕ありす／ボルテージ 
©はなあらた・水辺チカ／ボルテージ")</f>
        <v>【事例】
©イウキ・高碕ありす／ボルテージ 
©はなあらた・水辺チカ／ボルテージ</v>
      </c>
      <c r="I342" s="14"/>
      <c r="J342" s="15"/>
      <c r="K342" s="16"/>
      <c r="L342" s="17"/>
      <c r="M342" s="17"/>
      <c r="N342" s="17"/>
      <c r="O342" s="17"/>
      <c r="P342" s="17"/>
      <c r="Q342" s="17"/>
      <c r="R342" s="17"/>
      <c r="S342" s="17"/>
      <c r="T342" s="17"/>
      <c r="U342" s="17"/>
      <c r="V342" s="17"/>
    </row>
    <row r="343">
      <c r="A343" s="148" t="str">
        <f>IFERROR(__xludf.DUMMYFUNCTION("""COMPUTED_VALUE"""),"プレステージ")</f>
        <v>プレステージ</v>
      </c>
      <c r="B343" s="149"/>
      <c r="C343" s="84" t="str">
        <f>IFERROR(__xludf.DUMMYFUNCTION("""COMPUTED_VALUE"""),"必要")</f>
        <v>必要</v>
      </c>
      <c r="D343" s="152"/>
      <c r="E343" s="152"/>
      <c r="F343" s="150" t="str">
        <f>IFERROR(__xludf.DUMMYFUNCTION("""COMPUTED_VALUE"""),"必要")</f>
        <v>必要</v>
      </c>
      <c r="G343" s="151" t="str">
        <f>IFERROR(__xludf.DUMMYFUNCTION("""COMPUTED_VALUE"""),"■C表記形式：
©著者名/プレステージ出版  
■書影のみのC表記要否：必要")</f>
        <v>■C表記形式：
©著者名/プレステージ出版  
■書影のみのC表記要否：必要</v>
      </c>
      <c r="H343" s="10"/>
      <c r="I343" s="14"/>
      <c r="J343" s="15"/>
      <c r="K343" s="16"/>
      <c r="L343" s="17"/>
      <c r="M343" s="17"/>
      <c r="N343" s="17"/>
      <c r="O343" s="17"/>
      <c r="P343" s="17"/>
      <c r="Q343" s="17"/>
      <c r="R343" s="17"/>
      <c r="S343" s="17"/>
      <c r="T343" s="17"/>
      <c r="U343" s="17"/>
      <c r="V343" s="17"/>
    </row>
    <row r="344">
      <c r="A344" s="148" t="str">
        <f>IFERROR(__xludf.DUMMYFUNCTION("""COMPUTED_VALUE"""),"フリーハンド")</f>
        <v>フリーハンド</v>
      </c>
      <c r="B344" s="149"/>
      <c r="C344" s="84" t="str">
        <f>IFERROR(__xludf.DUMMYFUNCTION("""COMPUTED_VALUE"""),"必要")</f>
        <v>必要</v>
      </c>
      <c r="D344" s="152"/>
      <c r="E344" s="152"/>
      <c r="F344" s="150" t="str">
        <f>IFERROR(__xludf.DUMMYFUNCTION("""COMPUTED_VALUE"""),"必要")</f>
        <v>必要</v>
      </c>
      <c r="G344" s="154" t="str">
        <f>IFERROR(__xludf.DUMMYFUNCTION("""COMPUTED_VALUE"""),"©著者名／出版社名 
※著者名複数の場合は著者間を「・」区切り")</f>
        <v>©著者名／出版社名 
※著者名複数の場合は著者間を「・」区切り</v>
      </c>
      <c r="H344" s="26"/>
      <c r="I344" s="14"/>
      <c r="J344" s="15"/>
      <c r="K344" s="16"/>
      <c r="L344" s="17"/>
      <c r="M344" s="17"/>
      <c r="N344" s="17"/>
      <c r="O344" s="17"/>
      <c r="P344" s="17"/>
      <c r="Q344" s="17"/>
      <c r="R344" s="17"/>
      <c r="S344" s="17"/>
      <c r="T344" s="17"/>
      <c r="U344" s="17"/>
      <c r="V344" s="17"/>
    </row>
    <row r="345">
      <c r="A345" s="148" t="str">
        <f>IFERROR(__xludf.DUMMYFUNCTION("""COMPUTED_VALUE"""),"ひかりＴＶブック")</f>
        <v>ひかりＴＶブック</v>
      </c>
      <c r="B345" s="149"/>
      <c r="C345" s="84" t="str">
        <f>IFERROR(__xludf.DUMMYFUNCTION("""COMPUTED_VALUE"""),"必要")</f>
        <v>必要</v>
      </c>
      <c r="D345" s="152"/>
      <c r="E345" s="152"/>
      <c r="F345" s="150" t="str">
        <f>IFERROR(__xludf.DUMMYFUNCTION("""COMPUTED_VALUE"""),"必要")</f>
        <v>必要</v>
      </c>
      <c r="G345" s="154" t="str">
        <f>IFERROR(__xludf.DUMMYFUNCTION("""COMPUTED_VALUE"""),"『タイトル』©著者名／ひかりＴＶブック
 ※「ひかりＴＶブック」の「ＴＶ」は全角
 ※著者が複数いる作品は「・」（ナカグロ）で区切ってください")</f>
        <v>『タイトル』©著者名／ひかりＴＶブック
 ※「ひかりＴＶブック」の「ＴＶ」は全角
 ※著者が複数いる作品は「・」（ナカグロ）で区切ってください</v>
      </c>
      <c r="H345" s="26" t="str">
        <f>IFERROR(__xludf.DUMMYFUNCTION("""COMPUTED_VALUE"""),"・画像トリミング可
・着色はNG")</f>
        <v>・画像トリミング可
・着色はNG</v>
      </c>
      <c r="I345" s="14"/>
      <c r="J345" s="15"/>
      <c r="K345" s="16"/>
      <c r="L345" s="17"/>
      <c r="M345" s="17"/>
      <c r="N345" s="17"/>
      <c r="O345" s="17"/>
      <c r="P345" s="17"/>
      <c r="Q345" s="17"/>
      <c r="R345" s="17"/>
      <c r="S345" s="17"/>
      <c r="T345" s="17"/>
      <c r="U345" s="17"/>
      <c r="V345" s="17"/>
    </row>
    <row r="346">
      <c r="A346" s="148" t="str">
        <f>IFERROR(__xludf.DUMMYFUNCTION("""COMPUTED_VALUE"""),"PsycheLoss")</f>
        <v>PsycheLoss</v>
      </c>
      <c r="B346" s="149"/>
      <c r="C346" s="84" t="str">
        <f>IFERROR(__xludf.DUMMYFUNCTION("""COMPUTED_VALUE"""),"必要")</f>
        <v>必要</v>
      </c>
      <c r="D346" s="152"/>
      <c r="E346" s="152"/>
      <c r="F346" s="150" t="str">
        <f>IFERROR(__xludf.DUMMYFUNCTION("""COMPUTED_VALUE"""),"必要")</f>
        <v>必要</v>
      </c>
      <c r="G346" s="151" t="str">
        <f>IFERROR(__xludf.DUMMYFUNCTION("""COMPUTED_VALUE"""),"©著者名/PsycheLoss 　
※著者が2名以上いる場合、イラストレーターがいる場合はサイト側のフローに合わせても構いません。
「©著者名・著者名2/PsycheLoss」、「©著者名/著者名2/PsycheLoss」どちらでも可")</f>
        <v>©著者名/PsycheLoss 　
※著者が2名以上いる場合、イラストレーターがいる場合はサイト側のフローに合わせても構いません。
「©著者名・著者名2/PsycheLoss」、「©著者名/著者名2/PsycheLoss」どちらでも可</v>
      </c>
      <c r="H346" s="10"/>
      <c r="I346" s="14"/>
      <c r="J346" s="15"/>
      <c r="K346" s="16"/>
      <c r="L346" s="17"/>
      <c r="M346" s="17"/>
      <c r="N346" s="17"/>
      <c r="O346" s="17"/>
      <c r="P346" s="17"/>
      <c r="Q346" s="17"/>
      <c r="R346" s="17"/>
      <c r="S346" s="17"/>
      <c r="T346" s="17"/>
      <c r="U346" s="17"/>
      <c r="V346" s="17"/>
    </row>
    <row r="347">
      <c r="A347" s="148" t="str">
        <f>IFERROR(__xludf.DUMMYFUNCTION("""COMPUTED_VALUE"""),"taskey")</f>
        <v>taskey</v>
      </c>
      <c r="B347" s="149"/>
      <c r="C347" s="84" t="str">
        <f>IFERROR(__xludf.DUMMYFUNCTION("""COMPUTED_VALUE"""),"必要")</f>
        <v>必要</v>
      </c>
      <c r="D347" s="152"/>
      <c r="E347" s="152"/>
      <c r="F347" s="150" t="str">
        <f>IFERROR(__xludf.DUMMYFUNCTION("""COMPUTED_VALUE"""),"必要")</f>
        <v>必要</v>
      </c>
      <c r="G347" s="154" t="str">
        <f>IFERROR(__xludf.DUMMYFUNCTION("""COMPUTED_VALUE"""),"©作家名/taskey
※Webtoon（縦カラー作品）については「©︎taskey」")</f>
        <v>©作家名/taskey
※Webtoon（縦カラー作品）については「©︎taskey」</v>
      </c>
      <c r="H347" s="155" t="str">
        <f>IFERROR(__xludf.DUMMYFUNCTION("""COMPUTED_VALUE"""),"AI音声が入った動画納品の場合、何の音声ツールを使っているか申告する必要あり。
もしこういった納品があった場合は、以下の対応が必須。
ーーーーーー
①backlogでAI音声ツールの内容を申告（構成案・動画両方）
例）以下作品に関しては「使用AI音声ツール.txt」も同時に格納しております。
mmdd納品バナー（SP：一般_AIナレーション_提案・構成案）　○○○○○（作品名）
②「使用AI音声ツール.txt」を納品時に格納
例）使用AI音声ツール.txtの内容
▼使用ツール
●●
https://ww"&amp;"w...")</f>
        <v>AI音声が入った動画納品の場合、何の音声ツールを使っているか申告する必要あり。
もしこういった納品があった場合は、以下の対応が必須。
ーーーーーー
①backlogでAI音声ツールの内容を申告（構成案・動画両方）
例）以下作品に関しては「使用AI音声ツール.txt」も同時に格納しております。
mmdd納品バナー（SP：一般_AIナレーション_提案・構成案）　○○○○○（作品名）
②「使用AI音声ツール.txt」を納品時に格納
例）使用AI音声ツール.txtの内容
▼使用ツール
●●
https://www...</v>
      </c>
      <c r="I347" s="14"/>
      <c r="J347" s="15"/>
      <c r="K347" s="16"/>
      <c r="L347" s="17"/>
      <c r="M347" s="17"/>
      <c r="N347" s="17"/>
      <c r="O347" s="17"/>
      <c r="P347" s="17"/>
      <c r="Q347" s="17"/>
      <c r="R347" s="17"/>
      <c r="S347" s="17"/>
      <c r="T347" s="17"/>
      <c r="U347" s="17"/>
      <c r="V347" s="17"/>
    </row>
    <row r="348">
      <c r="A348" s="148" t="str">
        <f>IFERROR(__xludf.DUMMYFUNCTION("""COMPUTED_VALUE"""),"渋谷六花舎")</f>
        <v>渋谷六花舎</v>
      </c>
      <c r="B348" s="149"/>
      <c r="C348" s="84" t="str">
        <f>IFERROR(__xludf.DUMMYFUNCTION("""COMPUTED_VALUE"""),"必要")</f>
        <v>必要</v>
      </c>
      <c r="D348" s="152"/>
      <c r="E348" s="152"/>
      <c r="F348" s="150" t="str">
        <f>IFERROR(__xludf.DUMMYFUNCTION("""COMPUTED_VALUE"""),"必要")</f>
        <v>必要</v>
      </c>
      <c r="G348" s="151" t="str">
        <f>IFERROR(__xludf.DUMMYFUNCTION("""COMPUTED_VALUE"""),"©著者名/レーベル名 
※スラッシュは半角 ※著者が複数いる場合、著者間の区切りは半角スラッシュ 
（例：（C）著者名①/著者名②/レーベル名）")</f>
        <v>©著者名/レーベル名 
※スラッシュは半角 ※著者が複数いる場合、著者間の区切りは半角スラッシュ 
（例：（C）著者名①/著者名②/レーベル名）</v>
      </c>
      <c r="H348" s="10"/>
      <c r="I348" s="14"/>
      <c r="J348" s="15"/>
      <c r="K348" s="16"/>
      <c r="L348" s="17"/>
      <c r="M348" s="17"/>
      <c r="N348" s="17"/>
      <c r="O348" s="17"/>
      <c r="P348" s="17"/>
      <c r="Q348" s="17"/>
      <c r="R348" s="17"/>
      <c r="S348" s="17"/>
      <c r="T348" s="17"/>
      <c r="U348" s="17"/>
      <c r="V348" s="17"/>
    </row>
    <row r="349">
      <c r="A349" s="148" t="str">
        <f>IFERROR(__xludf.DUMMYFUNCTION("""COMPUTED_VALUE"""),"SORAJIMA
（旧SORAJIMA Studio）        ")</f>
        <v>SORAJIMA
（旧SORAJIMA Studio）        </v>
      </c>
      <c r="B349" s="149"/>
      <c r="C349" s="150" t="str">
        <f>IFERROR(__xludf.DUMMYFUNCTION("""COMPUTED_VALUE"""),"不要")</f>
        <v>不要</v>
      </c>
      <c r="D349" s="28"/>
      <c r="E349" s="28" t="str">
        <f>IFERROR(__xludf.DUMMYFUNCTION("""COMPUTED_VALUE"""),"必要")</f>
        <v>必要</v>
      </c>
      <c r="F349" s="150" t="str">
        <f>IFERROR(__xludf.DUMMYFUNCTION("""COMPUTED_VALUE"""),"必要")</f>
        <v>必要</v>
      </c>
      <c r="G349" s="154" t="str">
        <f>IFERROR(__xludf.DUMMYFUNCTION("""COMPUTED_VALUE"""),"©SORAJIMA")</f>
        <v>©SORAJIMA</v>
      </c>
      <c r="H349" s="10"/>
      <c r="I349" s="14"/>
      <c r="J349" s="15"/>
      <c r="K349" s="16"/>
      <c r="L349" s="17"/>
      <c r="M349" s="17"/>
      <c r="N349" s="17"/>
      <c r="O349" s="17"/>
      <c r="P349" s="17"/>
      <c r="Q349" s="17"/>
      <c r="R349" s="17"/>
      <c r="S349" s="17"/>
      <c r="T349" s="17"/>
      <c r="U349" s="17"/>
      <c r="V349" s="17"/>
    </row>
    <row r="350">
      <c r="A350" s="148" t="str">
        <f>IFERROR(__xludf.DUMMYFUNCTION("""COMPUTED_VALUE"""),"COMIC stella")</f>
        <v>COMIC stella</v>
      </c>
      <c r="B350" s="149"/>
      <c r="C350" s="84" t="str">
        <f>IFERROR(__xludf.DUMMYFUNCTION("""COMPUTED_VALUE"""),"必要")</f>
        <v>必要</v>
      </c>
      <c r="D350" s="152"/>
      <c r="E350" s="152"/>
      <c r="F350" s="150" t="str">
        <f>IFERROR(__xludf.DUMMYFUNCTION("""COMPUTED_VALUE"""),"必要")</f>
        <v>必要</v>
      </c>
      <c r="G350" s="151" t="str">
        <f>IFERROR(__xludf.DUMMYFUNCTION("""COMPUTED_VALUE"""),"©著者名／COMIC stella
 ※著者名複数の場合は「・」で区切ってください。
 ©著者名①・著者名②／COMIC stella")</f>
        <v>©著者名／COMIC stella
 ※著者名複数の場合は「・」で区切ってください。
 ©著者名①・著者名②／COMIC stella</v>
      </c>
      <c r="H350" s="10"/>
      <c r="I350" s="14"/>
      <c r="J350" s="15"/>
      <c r="K350" s="16"/>
      <c r="L350" s="17"/>
      <c r="M350" s="17"/>
      <c r="N350" s="17"/>
      <c r="O350" s="17"/>
      <c r="P350" s="17"/>
      <c r="Q350" s="17"/>
      <c r="R350" s="17"/>
      <c r="S350" s="17"/>
      <c r="T350" s="17"/>
      <c r="U350" s="17"/>
      <c r="V350" s="17"/>
    </row>
    <row r="351" ht="32.25" customHeight="1">
      <c r="A351" s="148" t="str">
        <f>IFERROR(__xludf.DUMMYFUNCTION("""COMPUTED_VALUE"""),"ART NEXT")</f>
        <v>ART NEXT</v>
      </c>
      <c r="B351" s="149"/>
      <c r="C351" s="84" t="str">
        <f>IFERROR(__xludf.DUMMYFUNCTION("""COMPUTED_VALUE"""),"必要")</f>
        <v>必要</v>
      </c>
      <c r="D351" s="152"/>
      <c r="E351" s="152"/>
      <c r="F351" s="150" t="str">
        <f>IFERROR(__xludf.DUMMYFUNCTION("""COMPUTED_VALUE"""),"必要")</f>
        <v>必要</v>
      </c>
      <c r="G351" s="151" t="str">
        <f>IFERROR(__xludf.DUMMYFUNCTION("""COMPUTED_VALUE"""),"©著者名/ART NEXT 
書影のみのC表記要否：不要
")</f>
        <v>©著者名/ART NEXT 
書影のみのC表記要否：不要
</v>
      </c>
      <c r="H351" s="26"/>
      <c r="I351" s="14"/>
      <c r="J351" s="15"/>
      <c r="K351" s="16"/>
      <c r="L351" s="17"/>
      <c r="M351" s="17"/>
      <c r="N351" s="17"/>
      <c r="O351" s="17"/>
      <c r="P351" s="17"/>
      <c r="Q351" s="17"/>
      <c r="R351" s="17"/>
      <c r="S351" s="17"/>
      <c r="T351" s="17"/>
      <c r="U351" s="17"/>
      <c r="V351" s="17"/>
    </row>
    <row r="352">
      <c r="A352" s="148" t="str">
        <f>IFERROR(__xludf.DUMMYFUNCTION("""COMPUTED_VALUE"""),"主婦の友社（タテヨミ）")</f>
        <v>主婦の友社（タテヨミ）</v>
      </c>
      <c r="B352" s="149"/>
      <c r="C352" s="84" t="str">
        <f>IFERROR(__xludf.DUMMYFUNCTION("""COMPUTED_VALUE"""),"必要")</f>
        <v>必要</v>
      </c>
      <c r="D352" s="152"/>
      <c r="E352" s="152"/>
      <c r="F352" s="150" t="str">
        <f>IFERROR(__xludf.DUMMYFUNCTION("""COMPUTED_VALUE"""),"必要")</f>
        <v>必要</v>
      </c>
      <c r="G352" s="151" t="str">
        <f>IFERROR(__xludf.DUMMYFUNCTION("""COMPUTED_VALUE"""),"©主婦の友社／制作会社＋原作者名
■書影のみのC表記要否：要
・タイトル名は正式名称ですべて記載（【タテヨミ】【分冊版】などを含む）")</f>
        <v>©主婦の友社／制作会社＋原作者名
■書影のみのC表記要否：要
・タイトル名は正式名称ですべて記載（【タテヨミ】【分冊版】などを含む）</v>
      </c>
      <c r="H352" s="10"/>
      <c r="I352" s="14"/>
      <c r="J352" s="15"/>
      <c r="K352" s="16"/>
      <c r="L352" s="17"/>
      <c r="M352" s="17"/>
      <c r="N352" s="17"/>
      <c r="O352" s="17"/>
      <c r="P352" s="17"/>
      <c r="Q352" s="17"/>
      <c r="R352" s="17"/>
      <c r="S352" s="17"/>
      <c r="T352" s="17"/>
      <c r="U352" s="17"/>
      <c r="V352" s="17"/>
    </row>
    <row r="353">
      <c r="A353" s="148" t="str">
        <f>IFERROR(__xludf.DUMMYFUNCTION("""COMPUTED_VALUE"""),"主婦の友社")</f>
        <v>主婦の友社</v>
      </c>
      <c r="B353" s="149"/>
      <c r="C353" s="84" t="str">
        <f>IFERROR(__xludf.DUMMYFUNCTION("""COMPUTED_VALUE"""),"必要")</f>
        <v>必要</v>
      </c>
      <c r="D353" s="152"/>
      <c r="E353" s="152"/>
      <c r="F353" s="150" t="str">
        <f>IFERROR(__xludf.DUMMYFUNCTION("""COMPUTED_VALUE"""),"必要")</f>
        <v>必要</v>
      </c>
      <c r="G353" s="151" t="str">
        <f>IFERROR(__xludf.DUMMYFUNCTION("""COMPUTED_VALUE"""),"©著者・原作者（・その他）／主婦の友社（もしくは発行元社名）
■書影のみのC表記要否：要
・タイトル名は正式名称ですべて記載（【タテヨミ】【分冊版】などを含む）")</f>
        <v>©著者・原作者（・その他）／主婦の友社（もしくは発行元社名）
■書影のみのC表記要否：要
・タイトル名は正式名称ですべて記載（【タテヨミ】【分冊版】などを含む）</v>
      </c>
      <c r="H353" s="10"/>
      <c r="I353" s="14"/>
      <c r="J353" s="15"/>
      <c r="K353" s="16"/>
      <c r="L353" s="17"/>
      <c r="M353" s="17"/>
      <c r="N353" s="17"/>
      <c r="O353" s="17"/>
      <c r="P353" s="17"/>
      <c r="Q353" s="17"/>
      <c r="R353" s="17"/>
      <c r="S353" s="17"/>
      <c r="T353" s="17"/>
      <c r="U353" s="17"/>
      <c r="V353" s="17"/>
    </row>
    <row r="354">
      <c r="A354" s="148" t="str">
        <f>IFERROR(__xludf.DUMMYFUNCTION("""COMPUTED_VALUE"""),"快感ドラッグ")</f>
        <v>快感ドラッグ</v>
      </c>
      <c r="B354" s="149"/>
      <c r="C354" s="84" t="str">
        <f>IFERROR(__xludf.DUMMYFUNCTION("""COMPUTED_VALUE"""),"必要")</f>
        <v>必要</v>
      </c>
      <c r="D354" s="152"/>
      <c r="E354" s="152"/>
      <c r="F354" s="150" t="str">
        <f>IFERROR(__xludf.DUMMYFUNCTION("""COMPUTED_VALUE"""),"必要")</f>
        <v>必要</v>
      </c>
      <c r="G354" s="151" t="str">
        <f>IFERROR(__xludf.DUMMYFUNCTION("""COMPUTED_VALUE"""),"©著者名/レーベル名  
・バナー内タイトル表記　→不要。入れても大丈夫です。  ※書影のみの場合、C表記不要")</f>
        <v>©著者名/レーベル名  
・バナー内タイトル表記　→不要。入れても大丈夫です。  ※書影のみの場合、C表記不要</v>
      </c>
      <c r="H354" s="10"/>
      <c r="I354" s="14"/>
      <c r="J354" s="15"/>
      <c r="K354" s="16"/>
      <c r="L354" s="17"/>
      <c r="M354" s="17"/>
      <c r="N354" s="17"/>
      <c r="O354" s="17"/>
      <c r="P354" s="17"/>
      <c r="Q354" s="17"/>
      <c r="R354" s="17"/>
      <c r="S354" s="17"/>
      <c r="T354" s="17"/>
      <c r="U354" s="17"/>
      <c r="V354" s="17"/>
    </row>
    <row r="355">
      <c r="A355" s="148" t="str">
        <f>IFERROR(__xludf.DUMMYFUNCTION("""COMPUTED_VALUE"""),"デジタルカタパルト")</f>
        <v>デジタルカタパルト</v>
      </c>
      <c r="B355" s="149"/>
      <c r="C355" s="150" t="str">
        <f>IFERROR(__xludf.DUMMYFUNCTION("""COMPUTED_VALUE"""),"不要")</f>
        <v>不要</v>
      </c>
      <c r="D355" s="150"/>
      <c r="E355" s="150" t="str">
        <f>IFERROR(__xludf.DUMMYFUNCTION("""COMPUTED_VALUE"""),"不要")</f>
        <v>不要</v>
      </c>
      <c r="F355" s="150" t="str">
        <f>IFERROR(__xludf.DUMMYFUNCTION("""COMPUTED_VALUE"""),"必要")</f>
        <v>必要</v>
      </c>
      <c r="G355" s="154" t="str">
        <f>IFERROR(__xludf.DUMMYFUNCTION("""COMPUTED_VALUE"""),"©作者名/デジカタ編集部")</f>
        <v>©作者名/デジカタ編集部</v>
      </c>
      <c r="H355" s="10"/>
      <c r="I355" s="14"/>
      <c r="J355" s="15"/>
      <c r="K355" s="16"/>
      <c r="L355" s="17"/>
      <c r="M355" s="17"/>
      <c r="N355" s="17"/>
      <c r="O355" s="17"/>
      <c r="P355" s="17"/>
      <c r="Q355" s="17"/>
      <c r="R355" s="17"/>
      <c r="S355" s="17"/>
      <c r="T355" s="17"/>
      <c r="U355" s="17"/>
      <c r="V355" s="17"/>
    </row>
    <row r="356">
      <c r="A356" s="148" t="str">
        <f>IFERROR(__xludf.DUMMYFUNCTION("""COMPUTED_VALUE"""),"幻冬舎コミックス（サイコロブックス）")</f>
        <v>幻冬舎コミックス（サイコロブックス）</v>
      </c>
      <c r="B356" s="149"/>
      <c r="C356" s="84" t="str">
        <f>IFERROR(__xludf.DUMMYFUNCTION("""COMPUTED_VALUE"""),"必要")</f>
        <v>必要</v>
      </c>
      <c r="D356" s="152"/>
      <c r="E356" s="152"/>
      <c r="F356" s="150" t="str">
        <f>IFERROR(__xludf.DUMMYFUNCTION("""COMPUTED_VALUE"""),"必要")</f>
        <v>必要</v>
      </c>
      <c r="G356" s="151" t="str">
        <f>IFERROR(__xludf.DUMMYFUNCTION("""COMPUTED_VALUE"""),"©作者名/サイコロブックス")</f>
        <v>©作者名/サイコロブックス</v>
      </c>
      <c r="H356" s="10"/>
      <c r="I356" s="14"/>
      <c r="J356" s="15"/>
      <c r="K356" s="16"/>
      <c r="L356" s="17"/>
      <c r="M356" s="17"/>
      <c r="N356" s="17"/>
      <c r="O356" s="17"/>
      <c r="P356" s="17"/>
      <c r="Q356" s="17"/>
      <c r="R356" s="17"/>
      <c r="S356" s="17"/>
      <c r="T356" s="17"/>
      <c r="U356" s="17"/>
      <c r="V356" s="17"/>
    </row>
    <row r="357">
      <c r="A357" s="148" t="str">
        <f>IFERROR(__xludf.DUMMYFUNCTION("""COMPUTED_VALUE"""),"EVOパブリッシング")</f>
        <v>EVOパブリッシング</v>
      </c>
      <c r="B357" s="149"/>
      <c r="C357" s="150" t="str">
        <f>IFERROR(__xludf.DUMMYFUNCTION("""COMPUTED_VALUE"""),"不要")</f>
        <v>不要</v>
      </c>
      <c r="D357" s="152"/>
      <c r="E357" s="152"/>
      <c r="F357" s="150" t="str">
        <f>IFERROR(__xludf.DUMMYFUNCTION("""COMPUTED_VALUE"""),"必要")</f>
        <v>必要</v>
      </c>
      <c r="G357" s="151" t="str">
        <f>IFERROR(__xludf.DUMMYFUNCTION("""COMPUTED_VALUE"""),"©作者名/EVOパブリッシング")</f>
        <v>©作者名/EVOパブリッシング</v>
      </c>
      <c r="H357" s="10"/>
      <c r="I357" s="14"/>
      <c r="J357" s="15"/>
      <c r="K357" s="16"/>
      <c r="L357" s="17"/>
      <c r="M357" s="17"/>
      <c r="N357" s="17"/>
      <c r="O357" s="17"/>
      <c r="P357" s="17"/>
      <c r="Q357" s="17"/>
      <c r="R357" s="17"/>
      <c r="S357" s="17"/>
      <c r="T357" s="17"/>
      <c r="U357" s="17"/>
      <c r="V357" s="17"/>
    </row>
    <row r="358">
      <c r="A358" s="148" t="str">
        <f>IFERROR(__xludf.DUMMYFUNCTION("""COMPUTED_VALUE"""),"NCOMIC")</f>
        <v>NCOMIC</v>
      </c>
      <c r="B358" s="149"/>
      <c r="C358" s="150" t="str">
        <f>IFERROR(__xludf.DUMMYFUNCTION("""COMPUTED_VALUE"""),"不要")</f>
        <v>不要</v>
      </c>
      <c r="D358" s="152"/>
      <c r="E358" s="152"/>
      <c r="F358" s="150" t="str">
        <f>IFERROR(__xludf.DUMMYFUNCTION("""COMPUTED_VALUE"""),"必要")</f>
        <v>必要</v>
      </c>
      <c r="G358" s="151" t="str">
        <f>IFERROR(__xludf.DUMMYFUNCTION("""COMPUTED_VALUE"""),"©TENCENT Animation&amp;Comics / NCOMIC")</f>
        <v>©TENCENT Animation&amp;Comics / NCOMIC</v>
      </c>
      <c r="H358" s="10"/>
      <c r="I358" s="14"/>
      <c r="J358" s="15"/>
      <c r="K358" s="16"/>
      <c r="L358" s="17"/>
      <c r="M358" s="17"/>
      <c r="N358" s="17"/>
      <c r="O358" s="17"/>
      <c r="P358" s="17"/>
      <c r="Q358" s="17"/>
      <c r="R358" s="17"/>
      <c r="S358" s="17"/>
      <c r="T358" s="17"/>
      <c r="U358" s="17"/>
      <c r="V358" s="17"/>
    </row>
    <row r="359">
      <c r="A359" s="148" t="str">
        <f>IFERROR(__xludf.DUMMYFUNCTION("""COMPUTED_VALUE"""),"ゲネシス")</f>
        <v>ゲネシス</v>
      </c>
      <c r="B359" s="149"/>
      <c r="C359" s="84" t="str">
        <f>IFERROR(__xludf.DUMMYFUNCTION("""COMPUTED_VALUE"""),"必要")</f>
        <v>必要</v>
      </c>
      <c r="D359" s="152"/>
      <c r="E359" s="152"/>
      <c r="F359" s="150" t="str">
        <f>IFERROR(__xludf.DUMMYFUNCTION("""COMPUTED_VALUE"""),"必要")</f>
        <v>必要</v>
      </c>
      <c r="G359" s="151" t="str">
        <f>IFERROR(__xludf.DUMMYFUNCTION("""COMPUTED_VALUE"""),"©ゲネシス/作者名")</f>
        <v>©ゲネシス/作者名</v>
      </c>
      <c r="H359" s="10"/>
      <c r="I359" s="14"/>
      <c r="J359" s="15"/>
      <c r="K359" s="16"/>
      <c r="L359" s="17"/>
      <c r="M359" s="17"/>
      <c r="N359" s="17"/>
      <c r="O359" s="17"/>
      <c r="P359" s="17"/>
      <c r="Q359" s="17"/>
      <c r="R359" s="17"/>
      <c r="S359" s="17"/>
      <c r="T359" s="17"/>
      <c r="U359" s="17"/>
      <c r="V359" s="17"/>
    </row>
    <row r="360">
      <c r="A360" s="148" t="str">
        <f>IFERROR(__xludf.DUMMYFUNCTION("""COMPUTED_VALUE"""),"Tugikuru Corp.")</f>
        <v>Tugikuru Corp.</v>
      </c>
      <c r="B360" s="149"/>
      <c r="C360" s="84" t="str">
        <f>IFERROR(__xludf.DUMMYFUNCTION("""COMPUTED_VALUE"""),"必要")</f>
        <v>必要</v>
      </c>
      <c r="D360" s="152"/>
      <c r="E360" s="152"/>
      <c r="F360" s="150" t="str">
        <f>IFERROR(__xludf.DUMMYFUNCTION("""COMPUTED_VALUE"""),"必要")</f>
        <v>必要</v>
      </c>
      <c r="G360" s="151" t="str">
        <f>IFERROR(__xludf.DUMMYFUNCTION("""COMPUTED_VALUE"""),"『タイトル名』＠作家名／Tugikuru Corp.")</f>
        <v>『タイトル名』＠作家名／Tugikuru Corp.</v>
      </c>
      <c r="H360" s="10"/>
      <c r="I360" s="14"/>
      <c r="J360" s="15"/>
      <c r="K360" s="16"/>
      <c r="L360" s="17"/>
      <c r="M360" s="17"/>
      <c r="N360" s="17"/>
      <c r="O360" s="17"/>
      <c r="P360" s="17"/>
      <c r="Q360" s="17"/>
      <c r="R360" s="17"/>
      <c r="S360" s="17"/>
      <c r="T360" s="17"/>
      <c r="U360" s="17"/>
      <c r="V360" s="17"/>
    </row>
    <row r="361">
      <c r="A361" s="148" t="str">
        <f>IFERROR(__xludf.DUMMYFUNCTION("""COMPUTED_VALUE"""),"HykeComic")</f>
        <v>HykeComic</v>
      </c>
      <c r="B361" s="149"/>
      <c r="C361" s="84" t="str">
        <f>IFERROR(__xludf.DUMMYFUNCTION("""COMPUTED_VALUE"""),"必要")</f>
        <v>必要</v>
      </c>
      <c r="D361" s="152"/>
      <c r="E361" s="152"/>
      <c r="F361" s="150" t="str">
        <f>IFERROR(__xludf.DUMMYFUNCTION("""COMPUTED_VALUE"""),"必要")</f>
        <v>必要</v>
      </c>
      <c r="G361" s="151" t="str">
        <f>IFERROR(__xludf.DUMMYFUNCTION("""COMPUTED_VALUE"""),"©HykeComic 
・タイトル名は記載、【タテヨミ】の表記は省略可")</f>
        <v>©HykeComic 
・タイトル名は記載、【タテヨミ】の表記は省略可</v>
      </c>
      <c r="H361" s="10"/>
      <c r="I361" s="14"/>
      <c r="J361" s="15"/>
      <c r="K361" s="16"/>
      <c r="L361" s="17"/>
      <c r="M361" s="17"/>
      <c r="N361" s="17"/>
      <c r="O361" s="17"/>
      <c r="P361" s="17"/>
      <c r="Q361" s="17"/>
      <c r="R361" s="17"/>
      <c r="S361" s="17"/>
      <c r="T361" s="17"/>
      <c r="U361" s="17"/>
      <c r="V361" s="17"/>
    </row>
    <row r="362">
      <c r="A362" s="148" t="str">
        <f>IFERROR(__xludf.DUMMYFUNCTION("""COMPUTED_VALUE"""),"eternal")</f>
        <v>eternal</v>
      </c>
      <c r="B362" s="149"/>
      <c r="C362" s="150" t="str">
        <f>IFERROR(__xludf.DUMMYFUNCTION("""COMPUTED_VALUE"""),"不要")</f>
        <v>不要</v>
      </c>
      <c r="D362" s="152"/>
      <c r="E362" s="152"/>
      <c r="F362" s="150" t="str">
        <f>IFERROR(__xludf.DUMMYFUNCTION("""COMPUTED_VALUE"""),"必要")</f>
        <v>必要</v>
      </c>
      <c r="G362" s="151" t="str">
        <f>IFERROR(__xludf.DUMMYFUNCTION("""COMPUTED_VALUE"""),"©雑誌名")</f>
        <v>©雑誌名</v>
      </c>
      <c r="H362" s="10"/>
      <c r="I362" s="14"/>
      <c r="J362" s="15"/>
      <c r="K362" s="16"/>
      <c r="L362" s="17"/>
      <c r="M362" s="17"/>
      <c r="N362" s="17"/>
      <c r="O362" s="17"/>
      <c r="P362" s="17"/>
      <c r="Q362" s="17"/>
      <c r="R362" s="17"/>
      <c r="S362" s="17"/>
      <c r="T362" s="17"/>
      <c r="U362" s="17"/>
      <c r="V362" s="17"/>
    </row>
    <row r="363">
      <c r="A363" s="148" t="str">
        <f>IFERROR(__xludf.DUMMYFUNCTION("""COMPUTED_VALUE"""),"DPNプラス")</f>
        <v>DPNプラス</v>
      </c>
      <c r="B363" s="149"/>
      <c r="C363" s="92" t="str">
        <f>IFERROR(__xludf.DUMMYFUNCTION("""COMPUTED_VALUE"""),"必要")</f>
        <v>必要</v>
      </c>
      <c r="D363" s="152"/>
      <c r="E363" s="152"/>
      <c r="F363" s="150" t="str">
        <f>IFERROR(__xludf.DUMMYFUNCTION("""COMPUTED_VALUE"""),"必要")</f>
        <v>必要</v>
      </c>
      <c r="G363" s="151" t="str">
        <f>IFERROR(__xludf.DUMMYFUNCTION("""COMPUTED_VALUE"""),"『作品名』(C)著作者／DPNプラス  ※DPNは半角大文字 　
※作品ロゴを使用する場合は、『タイトル』は省略可 　
※複数人の場合は、中黒（全角）で区切って下さい 　例）(C)著作名1・著作名2／DPNプラス イラストレーターの記載は「可」  
■書影のみのC表記要否：不要")</f>
        <v>『作品名』(C)著作者／DPNプラス  ※DPNは半角大文字 　
※作品ロゴを使用する場合は、『タイトル』は省略可 　
※複数人の場合は、中黒（全角）で区切って下さい 　例）(C)著作名1・著作名2／DPNプラス イラストレーターの記載は「可」  
■書影のみのC表記要否：不要</v>
      </c>
      <c r="H363" s="10"/>
      <c r="I363" s="14"/>
      <c r="J363" s="15"/>
      <c r="K363" s="16"/>
      <c r="L363" s="17"/>
      <c r="M363" s="17"/>
      <c r="N363" s="17"/>
      <c r="O363" s="17"/>
      <c r="P363" s="17"/>
      <c r="Q363" s="17"/>
      <c r="R363" s="17"/>
      <c r="S363" s="17"/>
      <c r="T363" s="17"/>
      <c r="U363" s="17"/>
      <c r="V363" s="17"/>
    </row>
    <row r="364">
      <c r="A364" s="148" t="str">
        <f>IFERROR(__xludf.DUMMYFUNCTION("""COMPUTED_VALUE"""),"Piccomics")</f>
        <v>Piccomics</v>
      </c>
      <c r="B364" s="149"/>
      <c r="C364" s="92" t="str">
        <f>IFERROR(__xludf.DUMMYFUNCTION("""COMPUTED_VALUE"""),"必要")</f>
        <v>必要</v>
      </c>
      <c r="D364" s="152"/>
      <c r="E364" s="152"/>
      <c r="F364" s="150" t="str">
        <f>IFERROR(__xludf.DUMMYFUNCTION("""COMPUTED_VALUE"""),"必要")</f>
        <v>必要</v>
      </c>
      <c r="G364" s="151" t="str">
        <f>IFERROR(__xludf.DUMMYFUNCTION("""COMPUTED_VALUE"""),"©作者名/Piccomics")</f>
        <v>©作者名/Piccomics</v>
      </c>
      <c r="H364" s="10"/>
      <c r="I364" s="14"/>
      <c r="J364" s="15"/>
      <c r="K364" s="16"/>
      <c r="L364" s="17"/>
      <c r="M364" s="17"/>
      <c r="N364" s="17"/>
      <c r="O364" s="17"/>
      <c r="P364" s="17"/>
      <c r="Q364" s="17"/>
      <c r="R364" s="17"/>
      <c r="S364" s="17"/>
      <c r="T364" s="17"/>
      <c r="U364" s="17"/>
      <c r="V364" s="17"/>
    </row>
    <row r="365" ht="91.5" customHeight="1">
      <c r="A365" s="148" t="str">
        <f>IFERROR(__xludf.DUMMYFUNCTION("""COMPUTED_VALUE"""),"U-NEXT")</f>
        <v>U-NEXT</v>
      </c>
      <c r="B365" s="149"/>
      <c r="C365" s="92" t="str">
        <f>IFERROR(__xludf.DUMMYFUNCTION("""COMPUTED_VALUE"""),"必要")</f>
        <v>必要</v>
      </c>
      <c r="D365" s="152"/>
      <c r="E365" s="152"/>
      <c r="F365" s="150" t="str">
        <f>IFERROR(__xludf.DUMMYFUNCTION("""COMPUTED_VALUE"""),"必要")</f>
        <v>必要</v>
      </c>
      <c r="G365" s="151" t="str">
        <f>IFERROR(__xludf.DUMMYFUNCTION("""COMPUTED_VALUE"""),"「タイトル名」©著者名/U-NEXT 
（ただし、作品によって原作者部分に（プラットフォーム名）が入る場合があります） 
※タイトル名に【タテヨミ】表記がある場合は削除
※複数著者間区切りは「・」 
※タイトル名は省略可 
※「／」は全角・半角問いません")</f>
        <v>「タイトル名」©著者名/U-NEXT 
（ただし、作品によって原作者部分に（プラットフォーム名）が入る場合があります） 
※タイトル名に【タテヨミ】表記がある場合は削除
※複数著者間区切りは「・」 
※タイトル名は省略可 
※「／」は全角・半角問いません</v>
      </c>
      <c r="H365" s="156"/>
      <c r="I365" s="14"/>
      <c r="J365" s="15"/>
      <c r="K365" s="16"/>
      <c r="L365" s="17"/>
      <c r="M365" s="17"/>
      <c r="N365" s="17"/>
      <c r="O365" s="17"/>
      <c r="P365" s="17"/>
      <c r="Q365" s="17"/>
      <c r="R365" s="17"/>
      <c r="S365" s="17"/>
      <c r="T365" s="17"/>
      <c r="U365" s="17"/>
      <c r="V365" s="17"/>
    </row>
    <row r="366">
      <c r="A366" s="148" t="str">
        <f>IFERROR(__xludf.DUMMYFUNCTION("""COMPUTED_VALUE"""),"DLE")</f>
        <v>DLE</v>
      </c>
      <c r="B366" s="149"/>
      <c r="C366" s="92" t="str">
        <f>IFERROR(__xludf.DUMMYFUNCTION("""COMPUTED_VALUE"""),"必要")</f>
        <v>必要</v>
      </c>
      <c r="D366" s="150"/>
      <c r="E366" s="150"/>
      <c r="F366" s="150" t="str">
        <f>IFERROR(__xludf.DUMMYFUNCTION("""COMPUTED_VALUE"""),"必要")</f>
        <v>必要</v>
      </c>
      <c r="G366" s="157"/>
      <c r="H366" s="10"/>
      <c r="I366" s="14"/>
      <c r="J366" s="15"/>
      <c r="K366" s="16"/>
      <c r="L366" s="17"/>
      <c r="M366" s="17"/>
      <c r="N366" s="17"/>
      <c r="O366" s="17"/>
      <c r="P366" s="17"/>
      <c r="Q366" s="17"/>
      <c r="R366" s="17"/>
      <c r="S366" s="17"/>
      <c r="T366" s="17"/>
      <c r="U366" s="17"/>
      <c r="V366" s="17"/>
    </row>
    <row r="367">
      <c r="A367" s="148" t="str">
        <f>IFERROR(__xludf.DUMMYFUNCTION("""COMPUTED_VALUE"""),"TOPCO JAPAN")</f>
        <v>TOPCO JAPAN</v>
      </c>
      <c r="B367" s="149"/>
      <c r="C367" s="92" t="str">
        <f>IFERROR(__xludf.DUMMYFUNCTION("""COMPUTED_VALUE"""),"必要")</f>
        <v>必要</v>
      </c>
      <c r="D367" s="152"/>
      <c r="E367" s="152"/>
      <c r="F367" s="150" t="str">
        <f>IFERROR(__xludf.DUMMYFUNCTION("""COMPUTED_VALUE"""),"必要")</f>
        <v>必要</v>
      </c>
      <c r="G367" s="158" t="str">
        <f>IFERROR(__xludf.DUMMYFUNCTION("""COMPUTED_VALUE"""),"(C)作家名/TOPTOON")</f>
        <v>(C)作家名/TOPTOON</v>
      </c>
      <c r="H367" s="10"/>
      <c r="I367" s="14"/>
      <c r="J367" s="15"/>
      <c r="K367" s="16"/>
      <c r="L367" s="17"/>
      <c r="M367" s="17"/>
      <c r="N367" s="17"/>
      <c r="O367" s="17"/>
      <c r="P367" s="17"/>
      <c r="Q367" s="17"/>
      <c r="R367" s="17"/>
      <c r="S367" s="17"/>
      <c r="T367" s="17"/>
      <c r="U367" s="17"/>
      <c r="V367" s="17"/>
    </row>
    <row r="368">
      <c r="A368" s="148" t="str">
        <f>IFERROR(__xludf.DUMMYFUNCTION("""COMPUTED_VALUE"""),"YUZU comics")</f>
        <v>YUZU comics</v>
      </c>
      <c r="B368" s="149"/>
      <c r="C368" s="92" t="str">
        <f>IFERROR(__xludf.DUMMYFUNCTION("""COMPUTED_VALUE"""),"必要")</f>
        <v>必要</v>
      </c>
      <c r="D368" s="152"/>
      <c r="E368" s="152"/>
      <c r="F368" s="150" t="str">
        <f>IFERROR(__xludf.DUMMYFUNCTION("""COMPUTED_VALUE"""),"必要")</f>
        <v>必要</v>
      </c>
      <c r="G368" s="154" t="str">
        <f>IFERROR(__xludf.DUMMYFUNCTION("""COMPUTED_VALUE"""),"@作者名/YUZU comics
※連名時などのルールは決まっていないとのことなのでその際は都度確認")</f>
        <v>@作者名/YUZU comics
※連名時などのルールは決まっていないとのことなのでその際は都度確認</v>
      </c>
      <c r="H368" s="10"/>
      <c r="I368" s="14"/>
      <c r="J368" s="15"/>
      <c r="K368" s="16"/>
      <c r="L368" s="17"/>
      <c r="M368" s="17"/>
      <c r="N368" s="17"/>
      <c r="O368" s="17"/>
      <c r="P368" s="17"/>
      <c r="Q368" s="17"/>
      <c r="R368" s="17"/>
      <c r="S368" s="17"/>
      <c r="T368" s="17"/>
      <c r="U368" s="17"/>
      <c r="V368" s="17"/>
    </row>
    <row r="369">
      <c r="A369" s="148" t="str">
        <f>IFERROR(__xludf.DUMMYFUNCTION("""COMPUTED_VALUE"""),".ink works")</f>
        <v>.ink works</v>
      </c>
      <c r="B369" s="149"/>
      <c r="C369" s="92" t="str">
        <f>IFERROR(__xludf.DUMMYFUNCTION("""COMPUTED_VALUE"""),"必要")</f>
        <v>必要</v>
      </c>
      <c r="D369" s="150"/>
      <c r="E369" s="150"/>
      <c r="F369" s="150" t="str">
        <f>IFERROR(__xludf.DUMMYFUNCTION("""COMPUTED_VALUE"""),"必要")</f>
        <v>必要</v>
      </c>
      <c r="G369" s="151" t="str">
        <f>IFERROR(__xludf.DUMMYFUNCTION("""COMPUTED_VALUE"""),"・C表記形式　→(C)著者名/レーベル名 
・バナー内タイトル表記　→不要。入れても大丈夫です。  ※書影のみの場合、C表記不要")</f>
        <v>・C表記形式　→(C)著者名/レーベル名 
・バナー内タイトル表記　→不要。入れても大丈夫です。  ※書影のみの場合、C表記不要</v>
      </c>
      <c r="H369" s="10"/>
      <c r="I369" s="14"/>
      <c r="J369" s="15"/>
      <c r="K369" s="16"/>
      <c r="L369" s="17"/>
      <c r="M369" s="17"/>
      <c r="N369" s="17"/>
      <c r="O369" s="17"/>
      <c r="P369" s="17"/>
      <c r="Q369" s="17"/>
      <c r="R369" s="17"/>
      <c r="S369" s="17"/>
      <c r="T369" s="17"/>
      <c r="U369" s="17"/>
      <c r="V369" s="17"/>
    </row>
    <row r="370">
      <c r="A370" s="148" t="str">
        <f>IFERROR(__xludf.DUMMYFUNCTION("""COMPUTED_VALUE"""),"ComiJoy")</f>
        <v>ComiJoy</v>
      </c>
      <c r="B370" s="149"/>
      <c r="C370" s="92" t="str">
        <f>IFERROR(__xludf.DUMMYFUNCTION("""COMPUTED_VALUE"""),"必要")</f>
        <v>必要</v>
      </c>
      <c r="D370" s="152"/>
      <c r="E370" s="152"/>
      <c r="F370" s="150" t="str">
        <f>IFERROR(__xludf.DUMMYFUNCTION("""COMPUTED_VALUE"""),"必要")</f>
        <v>必要</v>
      </c>
      <c r="G370" s="154" t="str">
        <f>IFERROR(__xludf.DUMMYFUNCTION("""COMPUTED_VALUE"""),"©著者様名/ComiJoy
※【別れ路に知るは愛】以外の作品はすべて上記の形でお願いします。
作品例：雨の日に拾ったのは野良猫系女剣士！？ ©CHINA LITERATURE /ComiJoy ")</f>
        <v>©著者様名/ComiJoy
※【別れ路に知るは愛】以外の作品はすべて上記の形でお願いします。
作品例：雨の日に拾ったのは野良猫系女剣士！？ ©CHINA LITERATURE /ComiJoy </v>
      </c>
      <c r="H370" s="10"/>
      <c r="I370" s="21" t="str">
        <f>IFERROR(__xludf.DUMMYFUNCTION("""COMPUTED_VALUE"""),"【別れ路に知るは愛】は ©著者様名 のみの表示
©BILIBILI COMICS / Aunt Robin / Danbao / Crazy Rind")</f>
        <v>【別れ路に知るは愛】は ©著者様名 のみの表示
©BILIBILI COMICS / Aunt Robin / Danbao / Crazy Rind</v>
      </c>
      <c r="J370" s="15"/>
      <c r="K370" s="16"/>
      <c r="L370" s="17"/>
      <c r="M370" s="17"/>
      <c r="N370" s="17"/>
      <c r="O370" s="17"/>
      <c r="P370" s="17"/>
      <c r="Q370" s="17"/>
      <c r="R370" s="17"/>
      <c r="S370" s="17"/>
      <c r="T370" s="17"/>
      <c r="U370" s="17"/>
      <c r="V370" s="17"/>
    </row>
    <row r="371">
      <c r="A371" s="148" t="str">
        <f>IFERROR(__xludf.DUMMYFUNCTION("""COMPUTED_VALUE"""),"ＦＯＤ")</f>
        <v>ＦＯＤ</v>
      </c>
      <c r="B371" s="149"/>
      <c r="C371" s="92" t="str">
        <f>IFERROR(__xludf.DUMMYFUNCTION("""COMPUTED_VALUE"""),"必要")</f>
        <v>必要</v>
      </c>
      <c r="D371" s="152"/>
      <c r="E371" s="152"/>
      <c r="F371" s="150" t="str">
        <f>IFERROR(__xludf.DUMMYFUNCTION("""COMPUTED_VALUE"""),"必要")</f>
        <v>必要</v>
      </c>
      <c r="G371" s="151" t="str">
        <f>IFERROR(__xludf.DUMMYFUNCTION("""COMPUTED_VALUE"""),"©作者名/FOD 
※著者がお二人いる場合　©作画者・原案者/FOD 
（例）『スイート リベンジ』©柏屋コッコ・澤田賢一/FOD  ")</f>
        <v>©作者名/FOD 
※著者がお二人いる場合　©作画者・原案者/FOD 
（例）『スイート リベンジ』©柏屋コッコ・澤田賢一/FOD  </v>
      </c>
      <c r="H371" s="26" t="str">
        <f>IFERROR(__xludf.DUMMYFUNCTION("""COMPUTED_VALUE"""),"©表記に関して作品によって異なる場合がありますので
事前にお問い合わせください。")</f>
        <v>©表記に関して作品によって異なる場合がありますので
事前にお問い合わせください。</v>
      </c>
      <c r="I371" s="21" t="str">
        <f>IFERROR(__xludf.DUMMYFUNCTION("""COMPUTED_VALUE"""),"【各作品のコピーライト表記】 
■『会社をやめて馬主やります！―アキコノユメヲ―』 (C)信田朋嗣・若槻咲美・栗元健太郎/FOD  
■『Children’s Project-チルドレンズプロジェクト-』 (C)株式会社　ねこの手／神田沙也加")</f>
        <v>【各作品のコピーライト表記】 
■『会社をやめて馬主やります！―アキコノユメヲ―』 (C)信田朋嗣・若槻咲美・栗元健太郎/FOD  
■『Children’s Project-チルドレンズプロジェクト-』 (C)株式会社　ねこの手／神田沙也加</v>
      </c>
      <c r="J371" s="15"/>
      <c r="K371" s="16"/>
      <c r="L371" s="17"/>
      <c r="M371" s="17"/>
      <c r="N371" s="17"/>
      <c r="O371" s="17"/>
      <c r="P371" s="17"/>
      <c r="Q371" s="17"/>
      <c r="R371" s="17"/>
      <c r="S371" s="17"/>
      <c r="T371" s="17"/>
      <c r="U371" s="17"/>
      <c r="V371" s="17"/>
    </row>
    <row r="372">
      <c r="A372" s="148" t="str">
        <f>IFERROR(__xludf.DUMMYFUNCTION("""COMPUTED_VALUE"""),"RIVERSE（リバース）")</f>
        <v>RIVERSE（リバース）</v>
      </c>
      <c r="B372" s="149"/>
      <c r="C372" s="92" t="str">
        <f>IFERROR(__xludf.DUMMYFUNCTION("""COMPUTED_VALUE"""),"必要")</f>
        <v>必要</v>
      </c>
      <c r="D372" s="152"/>
      <c r="E372" s="152"/>
      <c r="F372" s="150" t="str">
        <f>IFERROR(__xludf.DUMMYFUNCTION("""COMPUTED_VALUE"""),"必要")</f>
        <v>必要</v>
      </c>
      <c r="G372" s="154" t="str">
        <f>IFERROR(__xludf.DUMMYFUNCTION("""COMPUTED_VALUE"""),"書誌記載のコピーライトを参照
※韓国、中国等様々な出版社作品を取り扱っている出版社のため
作品ごとにコピーライトが異なりますので、都度書誌記載内容等確認が必要
・作品名表記必須:『』(二重カッコ)に全作品統一
")</f>
        <v>書誌記載のコピーライトを参照
※韓国、中国等様々な出版社作品を取り扱っている出版社のため
作品ごとにコピーライトが異なりますので、都度書誌記載内容等確認が必要
・作品名表記必須:『』(二重カッコ)に全作品統一
</v>
      </c>
      <c r="H372" s="159" t="str">
        <f>IFERROR(__xludf.DUMMYFUNCTION("""COMPUTED_VALUE"""),"「【】」や「©」前後の文字間隔の判定が大変厳しいため、フォントの選定にご注意ください。
（実際には空白スペースを入れていなくても、文字の間隔があいていると修正になりますので文字詰めしてください）")</f>
        <v>「【】」や「©」前後の文字間隔の判定が大変厳しいため、フォントの選定にご注意ください。
（実際には空白スペースを入れていなくても、文字の間隔があいていると修正になりますので文字詰めしてください）</v>
      </c>
      <c r="I372" s="14"/>
      <c r="J372" s="15"/>
      <c r="K372" s="16"/>
      <c r="L372" s="17"/>
      <c r="M372" s="17"/>
      <c r="N372" s="17"/>
      <c r="O372" s="17"/>
      <c r="P372" s="17"/>
      <c r="Q372" s="17"/>
      <c r="R372" s="17"/>
      <c r="S372" s="17"/>
      <c r="T372" s="17"/>
      <c r="U372" s="17"/>
      <c r="V372" s="17"/>
    </row>
    <row r="373">
      <c r="A373" s="148" t="str">
        <f>IFERROR(__xludf.DUMMYFUNCTION("""COMPUTED_VALUE"""),"コミックルーム")</f>
        <v>コミックルーム</v>
      </c>
      <c r="B373" s="149"/>
      <c r="C373" s="92" t="str">
        <f>IFERROR(__xludf.DUMMYFUNCTION("""COMPUTED_VALUE"""),"必要")</f>
        <v>必要</v>
      </c>
      <c r="D373" s="152"/>
      <c r="E373" s="152"/>
      <c r="F373" s="150" t="str">
        <f>IFERROR(__xludf.DUMMYFUNCTION("""COMPUTED_VALUE"""),"必要")</f>
        <v>必要</v>
      </c>
      <c r="G373" s="154" t="str">
        <f>IFERROR(__xludf.DUMMYFUNCTION("""COMPUTED_VALUE"""),"(C)作家名/出版社名")</f>
        <v>(C)作家名/出版社名</v>
      </c>
      <c r="H373" s="10"/>
      <c r="I373" s="14"/>
      <c r="J373" s="15"/>
      <c r="K373" s="16"/>
      <c r="L373" s="17"/>
      <c r="M373" s="17"/>
      <c r="N373" s="17"/>
      <c r="O373" s="17"/>
      <c r="P373" s="17"/>
      <c r="Q373" s="17"/>
      <c r="R373" s="17"/>
      <c r="S373" s="17"/>
      <c r="T373" s="17"/>
      <c r="U373" s="17"/>
      <c r="V373" s="17"/>
    </row>
    <row r="374">
      <c r="A374" s="148" t="str">
        <f>IFERROR(__xludf.DUMMYFUNCTION("""COMPUTED_VALUE"""),"RIDI Corporation（RIDI）")</f>
        <v>RIDI Corporation（RIDI）</v>
      </c>
      <c r="B374" s="149"/>
      <c r="C374" s="92" t="str">
        <f>IFERROR(__xludf.DUMMYFUNCTION("""COMPUTED_VALUE"""),"必要")</f>
        <v>必要</v>
      </c>
      <c r="D374" s="152"/>
      <c r="E374" s="152"/>
      <c r="F374" s="150" t="str">
        <f>IFERROR(__xludf.DUMMYFUNCTION("""COMPUTED_VALUE"""),"必要")</f>
        <v>必要</v>
      </c>
      <c r="G374" s="151" t="str">
        <f>IFERROR(__xludf.DUMMYFUNCTION("""COMPUTED_VALUE"""),"(C)作家名/RIDI　書誌情報に基づく")</f>
        <v>(C)作家名/RIDI　書誌情報に基づく</v>
      </c>
      <c r="H374" s="10"/>
      <c r="I374" s="14"/>
      <c r="J374" s="15"/>
      <c r="K374" s="16"/>
      <c r="L374" s="17"/>
      <c r="M374" s="17"/>
      <c r="N374" s="17"/>
      <c r="O374" s="17"/>
      <c r="P374" s="17"/>
      <c r="Q374" s="17"/>
      <c r="R374" s="17"/>
      <c r="S374" s="17"/>
      <c r="T374" s="17"/>
      <c r="U374" s="17"/>
      <c r="V374" s="17"/>
    </row>
    <row r="375">
      <c r="A375" s="148" t="str">
        <f>IFERROR(__xludf.DUMMYFUNCTION("""COMPUTED_VALUE"""),"どろっぷす！")</f>
        <v>どろっぷす！</v>
      </c>
      <c r="B375" s="149"/>
      <c r="C375" s="150" t="str">
        <f>IFERROR(__xludf.DUMMYFUNCTION("""COMPUTED_VALUE"""),"不要")</f>
        <v>不要</v>
      </c>
      <c r="D375" s="152"/>
      <c r="E375" s="152"/>
      <c r="F375" s="150" t="str">
        <f>IFERROR(__xludf.DUMMYFUNCTION("""COMPUTED_VALUE"""),"必要")</f>
        <v>必要</v>
      </c>
      <c r="G375" s="154" t="str">
        <f>IFERROR(__xludf.DUMMYFUNCTION("""COMPUTED_VALUE"""),"(C)どろっぷす！ ※著者名、イラストレーター名のC表記は不要でございます。")</f>
        <v>(C)どろっぷす！ ※著者名、イラストレーター名のC表記は不要でございます。</v>
      </c>
      <c r="H375" s="10"/>
      <c r="I375" s="14"/>
      <c r="J375" s="15"/>
      <c r="K375" s="16"/>
      <c r="L375" s="17"/>
      <c r="M375" s="17"/>
      <c r="N375" s="17"/>
      <c r="O375" s="17"/>
      <c r="P375" s="17"/>
      <c r="Q375" s="17"/>
      <c r="R375" s="17"/>
      <c r="S375" s="17"/>
      <c r="T375" s="17"/>
      <c r="U375" s="17"/>
      <c r="V375" s="17"/>
    </row>
    <row r="376" ht="33.0" customHeight="1">
      <c r="A376" s="148" t="str">
        <f>IFERROR(__xludf.DUMMYFUNCTION("""COMPUTED_VALUE"""),"Full Color Comics")</f>
        <v>Full Color Comics</v>
      </c>
      <c r="B376" s="149"/>
      <c r="C376" s="92" t="str">
        <f>IFERROR(__xludf.DUMMYFUNCTION("""COMPUTED_VALUE"""),"必要")</f>
        <v>必要</v>
      </c>
      <c r="D376" s="152"/>
      <c r="E376" s="152"/>
      <c r="F376" s="150" t="str">
        <f>IFERROR(__xludf.DUMMYFUNCTION("""COMPUTED_VALUE"""),"必要")</f>
        <v>必要</v>
      </c>
      <c r="G376" s="160" t="str">
        <f>IFERROR(__xludf.DUMMYFUNCTION("""COMPUTED_VALUE"""),"C表記形式はタイトル毎に異なる為都度確認が必要 
※書影のみのC表記要否：不要")</f>
        <v>C表記形式はタイトル毎に異なる為都度確認が必要 
※書影のみのC表記要否：不要</v>
      </c>
      <c r="H376" s="10"/>
      <c r="I376" s="14"/>
      <c r="J376" s="15"/>
      <c r="K376" s="16"/>
      <c r="L376" s="17"/>
      <c r="M376" s="17"/>
      <c r="N376" s="17"/>
      <c r="O376" s="17"/>
      <c r="P376" s="17"/>
      <c r="Q376" s="17"/>
      <c r="R376" s="17"/>
      <c r="S376" s="17"/>
      <c r="T376" s="17"/>
      <c r="U376" s="17"/>
      <c r="V376" s="17"/>
    </row>
    <row r="377">
      <c r="A377" s="148" t="str">
        <f>IFERROR(__xludf.DUMMYFUNCTION("""COMPUTED_VALUE"""),"ガールスカウトコミックス")</f>
        <v>ガールスカウトコミックス</v>
      </c>
      <c r="B377" s="149"/>
      <c r="C377" s="92" t="str">
        <f>IFERROR(__xludf.DUMMYFUNCTION("""COMPUTED_VALUE"""),"必要")</f>
        <v>必要</v>
      </c>
      <c r="D377" s="152"/>
      <c r="E377" s="152"/>
      <c r="F377" s="150" t="str">
        <f>IFERROR(__xludf.DUMMYFUNCTION("""COMPUTED_VALUE"""),"必要")</f>
        <v>必要</v>
      </c>
      <c r="G377" s="158" t="str">
        <f>IFERROR(__xludf.DUMMYFUNCTION("""COMPUTED_VALUE"""),"(C)作家名/出版社名")</f>
        <v>(C)作家名/出版社名</v>
      </c>
      <c r="H377" s="10"/>
      <c r="I377" s="14"/>
      <c r="J377" s="15"/>
      <c r="K377" s="16"/>
      <c r="L377" s="17"/>
      <c r="M377" s="17"/>
      <c r="N377" s="17"/>
      <c r="O377" s="17"/>
      <c r="P377" s="17"/>
      <c r="Q377" s="17"/>
      <c r="R377" s="17"/>
      <c r="S377" s="17"/>
      <c r="T377" s="17"/>
      <c r="U377" s="17"/>
      <c r="V377" s="17"/>
    </row>
    <row r="378">
      <c r="A378" s="148" t="str">
        <f>IFERROR(__xludf.DUMMYFUNCTION("""COMPUTED_VALUE"""),"アーク・プレス")</f>
        <v>アーク・プレス</v>
      </c>
      <c r="B378" s="149"/>
      <c r="C378" s="92" t="str">
        <f>IFERROR(__xludf.DUMMYFUNCTION("""COMPUTED_VALUE"""),"必要")</f>
        <v>必要</v>
      </c>
      <c r="D378" s="152"/>
      <c r="E378" s="152"/>
      <c r="F378" s="150" t="str">
        <f>IFERROR(__xludf.DUMMYFUNCTION("""COMPUTED_VALUE"""),"必要")</f>
        <v>必要</v>
      </c>
      <c r="G378" s="151" t="str">
        <f>IFERROR(__xludf.DUMMYFUNCTION("""COMPUTED_VALUE"""),"(C)著者名／アーク・プレス ※書影のみのC表記も必要")</f>
        <v>(C)著者名／アーク・プレス ※書影のみのC表記も必要</v>
      </c>
      <c r="H378" s="10"/>
      <c r="I378" s="14"/>
      <c r="J378" s="15"/>
      <c r="K378" s="16"/>
      <c r="L378" s="17"/>
      <c r="M378" s="17"/>
      <c r="N378" s="17"/>
      <c r="O378" s="17"/>
      <c r="P378" s="17"/>
      <c r="Q378" s="17"/>
      <c r="R378" s="17"/>
      <c r="S378" s="17"/>
      <c r="T378" s="17"/>
      <c r="U378" s="17"/>
      <c r="V378" s="17"/>
    </row>
    <row r="379">
      <c r="A379" s="148" t="str">
        <f>IFERROR(__xludf.DUMMYFUNCTION("""COMPUTED_VALUE"""),"Amazia")</f>
        <v>Amazia</v>
      </c>
      <c r="B379" s="149"/>
      <c r="C379" s="92" t="str">
        <f>IFERROR(__xludf.DUMMYFUNCTION("""COMPUTED_VALUE"""),"必要")</f>
        <v>必要</v>
      </c>
      <c r="D379" s="152"/>
      <c r="E379" s="152"/>
      <c r="F379" s="150" t="str">
        <f>IFERROR(__xludf.DUMMYFUNCTION("""COMPUTED_VALUE"""),"必要")</f>
        <v>必要</v>
      </c>
      <c r="G379" s="151" t="str">
        <f>IFERROR(__xludf.DUMMYFUNCTION("""COMPUTED_VALUE"""),"■C表記形式はタイトル毎に異なる為、都度確認
■書影のみのC表記要否：不要")</f>
        <v>■C表記形式はタイトル毎に異なる為、都度確認
■書影のみのC表記要否：不要</v>
      </c>
      <c r="H379" s="10"/>
      <c r="I379" s="14"/>
      <c r="J379" s="15"/>
      <c r="K379" s="16"/>
      <c r="L379" s="17"/>
      <c r="M379" s="17"/>
      <c r="N379" s="17"/>
      <c r="O379" s="17"/>
      <c r="P379" s="17"/>
      <c r="Q379" s="17"/>
      <c r="R379" s="17"/>
      <c r="S379" s="17"/>
      <c r="T379" s="17"/>
      <c r="U379" s="17"/>
      <c r="V379" s="17"/>
    </row>
    <row r="380">
      <c r="A380" s="148" t="str">
        <f>IFERROR(__xludf.DUMMYFUNCTION("""COMPUTED_VALUE"""),"ICE")</f>
        <v>ICE</v>
      </c>
      <c r="B380" s="149"/>
      <c r="C380" s="92" t="str">
        <f>IFERROR(__xludf.DUMMYFUNCTION("""COMPUTED_VALUE"""),"必要")</f>
        <v>必要</v>
      </c>
      <c r="D380" s="152"/>
      <c r="E380" s="152"/>
      <c r="F380" s="150" t="str">
        <f>IFERROR(__xludf.DUMMYFUNCTION("""COMPUTED_VALUE"""),"必要")</f>
        <v>必要</v>
      </c>
      <c r="G380" s="151" t="str">
        <f>IFERROR(__xludf.DUMMYFUNCTION("""COMPUTED_VALUE"""),"■C表記形式はタイトル毎に異なる為、都度確認
■書影のみのC表記要否：不要")</f>
        <v>■C表記形式はタイトル毎に異なる為、都度確認
■書影のみのC表記要否：不要</v>
      </c>
      <c r="H380" s="10"/>
      <c r="I380" s="14"/>
      <c r="J380" s="15"/>
      <c r="K380" s="16"/>
      <c r="L380" s="17"/>
      <c r="M380" s="17"/>
      <c r="N380" s="17"/>
      <c r="O380" s="17"/>
      <c r="P380" s="17"/>
      <c r="Q380" s="17"/>
      <c r="R380" s="17"/>
      <c r="S380" s="17"/>
      <c r="T380" s="17"/>
      <c r="U380" s="17"/>
      <c r="V380" s="17"/>
    </row>
    <row r="381">
      <c r="A381" s="148" t="str">
        <f>IFERROR(__xludf.DUMMYFUNCTION("""COMPUTED_VALUE"""),"booklistaSTUDIO/SBCr")</f>
        <v>booklistaSTUDIO/SBCr</v>
      </c>
      <c r="B381" s="149"/>
      <c r="C381" s="92" t="str">
        <f>IFERROR(__xludf.DUMMYFUNCTION("""COMPUTED_VALUE"""),"必要")</f>
        <v>必要</v>
      </c>
      <c r="D381" s="152"/>
      <c r="E381" s="152"/>
      <c r="F381" s="150" t="str">
        <f>IFERROR(__xludf.DUMMYFUNCTION("""COMPUTED_VALUE"""),"必要")</f>
        <v>必要</v>
      </c>
      <c r="G381" s="154" t="str">
        <f>IFERROR(__xludf.DUMMYFUNCTION("""COMPUTED_VALUE"""),"©Minto studio ©booklistaSTUDIO")</f>
        <v>©Minto studio ©booklistaSTUDIO</v>
      </c>
      <c r="H381" s="10"/>
      <c r="I381" s="14"/>
      <c r="J381" s="15"/>
      <c r="K381" s="16"/>
      <c r="L381" s="17"/>
      <c r="M381" s="17"/>
      <c r="N381" s="17"/>
      <c r="O381" s="17"/>
      <c r="P381" s="17"/>
      <c r="Q381" s="17"/>
      <c r="R381" s="17"/>
      <c r="S381" s="17"/>
      <c r="T381" s="17"/>
      <c r="U381" s="17"/>
      <c r="V381" s="17"/>
    </row>
    <row r="382">
      <c r="A382" s="148" t="str">
        <f>IFERROR(__xludf.DUMMYFUNCTION("""COMPUTED_VALUE"""),"Love Factory")</f>
        <v>Love Factory</v>
      </c>
      <c r="B382" s="149"/>
      <c r="C382" s="92" t="str">
        <f>IFERROR(__xludf.DUMMYFUNCTION("""COMPUTED_VALUE"""),"必要")</f>
        <v>必要</v>
      </c>
      <c r="D382" s="152"/>
      <c r="E382" s="152"/>
      <c r="F382" s="150" t="str">
        <f>IFERROR(__xludf.DUMMYFUNCTION("""COMPUTED_VALUE"""),"必要")</f>
        <v>必要</v>
      </c>
      <c r="G382" s="151" t="str">
        <f>IFERROR(__xludf.DUMMYFUNCTION("""COMPUTED_VALUE"""),"■C表記形式はタイトル毎に異なる為、都度確認
■書影のみのC表記要否：不要")</f>
        <v>■C表記形式はタイトル毎に異なる為、都度確認
■書影のみのC表記要否：不要</v>
      </c>
      <c r="H382" s="10"/>
      <c r="I382" s="14"/>
      <c r="J382" s="15"/>
      <c r="K382" s="16"/>
      <c r="L382" s="17"/>
      <c r="M382" s="17"/>
      <c r="N382" s="17"/>
      <c r="O382" s="17"/>
      <c r="P382" s="17"/>
      <c r="Q382" s="17"/>
      <c r="R382" s="17"/>
      <c r="S382" s="17"/>
      <c r="T382" s="17"/>
      <c r="U382" s="17"/>
      <c r="V382" s="17"/>
    </row>
    <row r="383">
      <c r="A383" s="148" t="str">
        <f>IFERROR(__xludf.DUMMYFUNCTION("""COMPUTED_VALUE"""),"PEANUTOON（PEANUTOON）")</f>
        <v>PEANUTOON（PEANUTOON）</v>
      </c>
      <c r="B383" s="149"/>
      <c r="C383" s="92" t="str">
        <f>IFERROR(__xludf.DUMMYFUNCTION("""COMPUTED_VALUE"""),"必要")</f>
        <v>必要</v>
      </c>
      <c r="D383" s="152"/>
      <c r="E383" s="152"/>
      <c r="F383" s="150" t="str">
        <f>IFERROR(__xludf.DUMMYFUNCTION("""COMPUTED_VALUE"""),"必要")</f>
        <v>必要</v>
      </c>
      <c r="G383" s="154" t="str">
        <f>IFERROR(__xludf.DUMMYFUNCTION("""COMPUTED_VALUE"""),"Ⓒ作家名/peanutoon ")</f>
        <v>Ⓒ作家名/peanutoon </v>
      </c>
      <c r="H383" s="10"/>
      <c r="I383" s="14"/>
      <c r="J383" s="15"/>
      <c r="K383" s="16"/>
      <c r="L383" s="17"/>
      <c r="M383" s="17"/>
      <c r="N383" s="17"/>
      <c r="O383" s="17"/>
      <c r="P383" s="17"/>
      <c r="Q383" s="17"/>
      <c r="R383" s="17"/>
      <c r="S383" s="17"/>
      <c r="T383" s="17"/>
      <c r="U383" s="17"/>
      <c r="V383" s="17"/>
    </row>
    <row r="384">
      <c r="A384" s="148" t="str">
        <f>IFERROR(__xludf.DUMMYFUNCTION("""COMPUTED_VALUE"""),"フリードゲート")</f>
        <v>フリードゲート</v>
      </c>
      <c r="B384" s="149"/>
      <c r="C384" s="150" t="str">
        <f>IFERROR(__xludf.DUMMYFUNCTION("""COMPUTED_VALUE"""),"不要")</f>
        <v>不要</v>
      </c>
      <c r="D384" s="152"/>
      <c r="E384" s="152"/>
      <c r="F384" s="150" t="str">
        <f>IFERROR(__xludf.DUMMYFUNCTION("""COMPUTED_VALUE"""),"必要")</f>
        <v>必要</v>
      </c>
      <c r="G384" s="151" t="str">
        <f>IFERROR(__xludf.DUMMYFUNCTION("""COMPUTED_VALUE"""),"漫画家名・原作者名／FREED-GATED  
(原作者がない場合は漫画家名のみ)  
例1) 原作者ありの場合 澤村鞠子・日車メレ／FREED-GATED  例2) 原作者なしの場合 七ツ園／FREED-GATED
■書影のみのC表記要否：不要")</f>
        <v>漫画家名・原作者名／FREED-GATED  
(原作者がない場合は漫画家名のみ)  
例1) 原作者ありの場合 澤村鞠子・日車メレ／FREED-GATED  例2) 原作者なしの場合 七ツ園／FREED-GATED
■書影のみのC表記要否：不要</v>
      </c>
      <c r="H384" s="10"/>
      <c r="I384" s="14"/>
      <c r="J384" s="15"/>
      <c r="K384" s="16"/>
      <c r="L384" s="17"/>
      <c r="M384" s="17"/>
      <c r="N384" s="17"/>
      <c r="O384" s="17"/>
      <c r="P384" s="17"/>
      <c r="Q384" s="17"/>
      <c r="R384" s="17"/>
      <c r="S384" s="17"/>
      <c r="T384" s="17"/>
      <c r="U384" s="17"/>
      <c r="V384" s="17"/>
    </row>
    <row r="385">
      <c r="A385" s="148" t="str">
        <f>IFERROR(__xludf.DUMMYFUNCTION("""COMPUTED_VALUE"""),"Studio reBorn")</f>
        <v>Studio reBorn</v>
      </c>
      <c r="B385" s="149"/>
      <c r="C385" s="92" t="str">
        <f>IFERROR(__xludf.DUMMYFUNCTION("""COMPUTED_VALUE"""),"必要")</f>
        <v>必要</v>
      </c>
      <c r="D385" s="152"/>
      <c r="E385" s="152"/>
      <c r="F385" s="150" t="str">
        <f>IFERROR(__xludf.DUMMYFUNCTION("""COMPUTED_VALUE"""),"必要")</f>
        <v>必要</v>
      </c>
      <c r="G385" s="154" t="str">
        <f>IFERROR(__xludf.DUMMYFUNCTION("""COMPUTED_VALUE"""),"(C)作家名 / (C)Studio reBorn")</f>
        <v>(C)作家名 / (C)Studio reBorn</v>
      </c>
      <c r="H385" s="10"/>
      <c r="I385" s="14"/>
      <c r="J385" s="15"/>
      <c r="K385" s="16"/>
      <c r="L385" s="17"/>
      <c r="M385" s="17"/>
      <c r="N385" s="17"/>
      <c r="O385" s="17"/>
      <c r="P385" s="17"/>
      <c r="Q385" s="17"/>
      <c r="R385" s="17"/>
      <c r="S385" s="17"/>
      <c r="T385" s="17"/>
      <c r="U385" s="17"/>
      <c r="V385" s="17"/>
    </row>
    <row r="386" ht="13.5" customHeight="1">
      <c r="A386" s="148" t="str">
        <f>IFERROR(__xludf.DUMMYFUNCTION("""COMPUTED_VALUE"""),"Toyou's Dream")</f>
        <v>Toyou's Dream</v>
      </c>
      <c r="B386" s="149"/>
      <c r="C386" s="92" t="str">
        <f>IFERROR(__xludf.DUMMYFUNCTION("""COMPUTED_VALUE"""),"必要")</f>
        <v>必要</v>
      </c>
      <c r="D386" s="152"/>
      <c r="E386" s="152"/>
      <c r="F386" s="150" t="str">
        <f>IFERROR(__xludf.DUMMYFUNCTION("""COMPUTED_VALUE"""),"必要")</f>
        <v>必要</v>
      </c>
      <c r="G386" s="151" t="str">
        <f>IFERROR(__xludf.DUMMYFUNCTION("""COMPUTED_VALUE"""),"■C表記形式はタイトル毎に異なる為、都度確認")</f>
        <v>■C表記形式はタイトル毎に異なる為、都度確認</v>
      </c>
      <c r="H386" s="10"/>
      <c r="I386" s="14"/>
      <c r="J386" s="15"/>
      <c r="K386" s="16"/>
      <c r="L386" s="17"/>
      <c r="M386" s="17"/>
      <c r="N386" s="17"/>
      <c r="O386" s="17"/>
      <c r="P386" s="17"/>
      <c r="Q386" s="17"/>
      <c r="R386" s="17"/>
      <c r="S386" s="17"/>
      <c r="T386" s="17"/>
      <c r="U386" s="17"/>
      <c r="V386" s="17"/>
    </row>
    <row r="387">
      <c r="A387" s="148" t="str">
        <f>IFERROR(__xludf.DUMMYFUNCTION("""COMPUTED_VALUE"""),"BookLive（BookLive Link）")</f>
        <v>BookLive（BookLive Link）</v>
      </c>
      <c r="B387" s="149"/>
      <c r="C387" s="92" t="str">
        <f>IFERROR(__xludf.DUMMYFUNCTION("""COMPUTED_VALUE"""),"必要")</f>
        <v>必要</v>
      </c>
      <c r="D387" s="152"/>
      <c r="E387" s="152"/>
      <c r="F387" s="150" t="str">
        <f>IFERROR(__xludf.DUMMYFUNCTION("""COMPUTED_VALUE"""),"必要")</f>
        <v>必要</v>
      </c>
      <c r="G387" s="151" t="str">
        <f>IFERROR(__xludf.DUMMYFUNCTION("""COMPUTED_VALUE"""),"(C)作家名")</f>
        <v>(C)作家名</v>
      </c>
      <c r="H387" s="10"/>
      <c r="I387" s="14"/>
      <c r="J387" s="15"/>
      <c r="K387" s="16"/>
      <c r="L387" s="17"/>
      <c r="M387" s="17"/>
      <c r="N387" s="17"/>
      <c r="O387" s="17"/>
      <c r="P387" s="17"/>
      <c r="Q387" s="17"/>
      <c r="R387" s="17"/>
      <c r="S387" s="17"/>
      <c r="T387" s="17"/>
      <c r="U387" s="17"/>
      <c r="V387" s="17"/>
    </row>
    <row r="388">
      <c r="A388" s="148" t="str">
        <f>IFERROR(__xludf.DUMMYFUNCTION("""COMPUTED_VALUE"""),"Seasons")</f>
        <v>Seasons</v>
      </c>
      <c r="B388" s="149"/>
      <c r="C388" s="92" t="str">
        <f>IFERROR(__xludf.DUMMYFUNCTION("""COMPUTED_VALUE"""),"必要")</f>
        <v>必要</v>
      </c>
      <c r="D388" s="152"/>
      <c r="E388" s="152"/>
      <c r="F388" s="150" t="str">
        <f>IFERROR(__xludf.DUMMYFUNCTION("""COMPUTED_VALUE"""),"必要")</f>
        <v>必要</v>
      </c>
      <c r="G388" s="151" t="str">
        <f>IFERROR(__xludf.DUMMYFUNCTION("""COMPUTED_VALUE"""),"■C表記形式はタイトル毎に異なる為、都度確認  ■書影のみのC表記要否：不要")</f>
        <v>■C表記形式はタイトル毎に異なる為、都度確認  ■書影のみのC表記要否：不要</v>
      </c>
      <c r="H388" s="10"/>
      <c r="I388" s="14"/>
      <c r="J388" s="15"/>
      <c r="K388" s="16"/>
      <c r="L388" s="17"/>
      <c r="M388" s="17"/>
      <c r="N388" s="17"/>
      <c r="O388" s="17"/>
      <c r="P388" s="17"/>
      <c r="Q388" s="17"/>
      <c r="R388" s="17"/>
      <c r="S388" s="17"/>
      <c r="T388" s="17"/>
      <c r="U388" s="17"/>
      <c r="V388" s="17"/>
    </row>
    <row r="389">
      <c r="A389" s="148" t="str">
        <f>IFERROR(__xludf.DUMMYFUNCTION("""COMPUTED_VALUE"""),"アーク・プレス")</f>
        <v>アーク・プレス</v>
      </c>
      <c r="B389" s="149"/>
      <c r="C389" s="92" t="str">
        <f>IFERROR(__xludf.DUMMYFUNCTION("""COMPUTED_VALUE"""),"必要")</f>
        <v>必要</v>
      </c>
      <c r="D389" s="152"/>
      <c r="E389" s="152"/>
      <c r="F389" s="150" t="str">
        <f>IFERROR(__xludf.DUMMYFUNCTION("""COMPUTED_VALUE"""),"必要")</f>
        <v>必要</v>
      </c>
      <c r="G389" s="151" t="str">
        <f>IFERROR(__xludf.DUMMYFUNCTION("""COMPUTED_VALUE"""),"(C)著者名／アーク・プレス 
※書影のみのC表記も必要")</f>
        <v>(C)著者名／アーク・プレス 
※書影のみのC表記も必要</v>
      </c>
      <c r="H389" s="10"/>
      <c r="I389" s="14"/>
      <c r="J389" s="15"/>
      <c r="K389" s="16"/>
      <c r="L389" s="17"/>
      <c r="M389" s="17"/>
      <c r="N389" s="17"/>
      <c r="O389" s="17"/>
      <c r="P389" s="17"/>
      <c r="Q389" s="17"/>
      <c r="R389" s="17"/>
      <c r="S389" s="17"/>
      <c r="T389" s="17"/>
      <c r="U389" s="17"/>
      <c r="V389" s="17"/>
    </row>
    <row r="390">
      <c r="A390" s="148" t="str">
        <f>IFERROR(__xludf.DUMMYFUNCTION("""COMPUTED_VALUE"""),"楽天グループ（RCC）
（Rakuten Content Central）（タテヨミ）")</f>
        <v>楽天グループ（RCC）
（Rakuten Content Central）（タテヨミ）</v>
      </c>
      <c r="B390" s="149"/>
      <c r="C390" s="92" t="str">
        <f>IFERROR(__xludf.DUMMYFUNCTION("""COMPUTED_VALUE"""),"必要")</f>
        <v>必要</v>
      </c>
      <c r="D390" s="152"/>
      <c r="E390" s="152"/>
      <c r="F390" s="150" t="str">
        <f>IFERROR(__xludf.DUMMYFUNCTION("""COMPUTED_VALUE"""),"必要")</f>
        <v>必要</v>
      </c>
      <c r="G390" s="151" t="str">
        <f>IFERROR(__xludf.DUMMYFUNCTION("""COMPUTED_VALUE"""),"基本的には「©作者名/レーベル名」ですが、作品によって異なる場合があるため確認が必要
")</f>
        <v>基本的には「©作者名/レーベル名」ですが、作品によって異なる場合があるため確認が必要
</v>
      </c>
      <c r="H390" s="10"/>
      <c r="I390" s="14"/>
      <c r="J390" s="15"/>
      <c r="K390" s="16"/>
      <c r="L390" s="17"/>
      <c r="M390" s="17"/>
      <c r="N390" s="17"/>
      <c r="O390" s="17"/>
      <c r="P390" s="17"/>
      <c r="Q390" s="17"/>
      <c r="R390" s="17"/>
      <c r="S390" s="17"/>
      <c r="T390" s="17"/>
      <c r="U390" s="17"/>
      <c r="V390" s="17"/>
    </row>
    <row r="391">
      <c r="A391" s="148" t="str">
        <f>IFERROR(__xludf.DUMMYFUNCTION("""COMPUTED_VALUE"""),"リベルタ")</f>
        <v>リベルタ</v>
      </c>
      <c r="B391" s="149"/>
      <c r="C391" s="92" t="str">
        <f>IFERROR(__xludf.DUMMYFUNCTION("""COMPUTED_VALUE"""),"必要")</f>
        <v>必要</v>
      </c>
      <c r="D391" s="152"/>
      <c r="E391" s="152"/>
      <c r="F391" s="150" t="str">
        <f>IFERROR(__xludf.DUMMYFUNCTION("""COMPUTED_VALUE"""),"必要")</f>
        <v>必要</v>
      </c>
      <c r="G391" s="151" t="str">
        <f>IFERROR(__xludf.DUMMYFUNCTION("""COMPUTED_VALUE"""),"■C表記形式はタイトル毎に異なる為、都度確認 
■書影のみのC表記要否：不要")</f>
        <v>■C表記形式はタイトル毎に異なる為、都度確認 
■書影のみのC表記要否：不要</v>
      </c>
      <c r="H391" s="10"/>
      <c r="I391" s="14"/>
      <c r="J391" s="15"/>
      <c r="K391" s="16"/>
      <c r="L391" s="17"/>
      <c r="M391" s="17"/>
      <c r="N391" s="17"/>
      <c r="O391" s="17"/>
      <c r="P391" s="17"/>
      <c r="Q391" s="17"/>
      <c r="R391" s="17"/>
      <c r="S391" s="17"/>
      <c r="T391" s="17"/>
      <c r="U391" s="17"/>
      <c r="V391" s="17"/>
    </row>
    <row r="392">
      <c r="A392" s="148" t="str">
        <f>IFERROR(__xludf.DUMMYFUNCTION("""COMPUTED_VALUE"""),"パルプライド")</f>
        <v>パルプライド</v>
      </c>
      <c r="B392" s="149"/>
      <c r="C392" s="92" t="str">
        <f>IFERROR(__xludf.DUMMYFUNCTION("""COMPUTED_VALUE"""),"必要")</f>
        <v>必要</v>
      </c>
      <c r="D392" s="152"/>
      <c r="E392" s="152"/>
      <c r="F392" s="150" t="str">
        <f>IFERROR(__xludf.DUMMYFUNCTION("""COMPUTED_VALUE"""),"必要")</f>
        <v>必要</v>
      </c>
      <c r="G392" s="151" t="str">
        <f>IFERROR(__xludf.DUMMYFUNCTION("""COMPUTED_VALUE"""),"■書影のみのC表記要否：必要 
■C表記形式：書誌通り　
例・(C)ななひ/三沢ケイ/水埜なつ/パルプライド ※著者名様区切りは 「/」で統一でお願いいたします。")</f>
        <v>■書影のみのC表記要否：必要 
■C表記形式：書誌通り　
例・(C)ななひ/三沢ケイ/水埜なつ/パルプライド ※著者名様区切りは 「/」で統一でお願いいたします。</v>
      </c>
      <c r="H392" s="10"/>
      <c r="I392" s="14"/>
      <c r="J392" s="15"/>
      <c r="K392" s="16"/>
      <c r="L392" s="17"/>
      <c r="M392" s="17"/>
      <c r="N392" s="17"/>
      <c r="O392" s="17"/>
      <c r="P392" s="17"/>
      <c r="Q392" s="17"/>
      <c r="R392" s="17"/>
      <c r="S392" s="17"/>
      <c r="T392" s="17"/>
      <c r="U392" s="17"/>
      <c r="V392" s="17"/>
    </row>
    <row r="393">
      <c r="A393" s="148" t="str">
        <f>IFERROR(__xludf.DUMMYFUNCTION("""COMPUTED_VALUE"""),"Studio Moon6")</f>
        <v>Studio Moon6</v>
      </c>
      <c r="B393" s="149"/>
      <c r="C393" s="92" t="str">
        <f>IFERROR(__xludf.DUMMYFUNCTION("""COMPUTED_VALUE"""),"必要")</f>
        <v>必要</v>
      </c>
      <c r="D393" s="152"/>
      <c r="E393" s="152"/>
      <c r="F393" s="150" t="str">
        <f>IFERROR(__xludf.DUMMYFUNCTION("""COMPUTED_VALUE"""),"必要")</f>
        <v>必要</v>
      </c>
      <c r="G393" s="154" t="str">
        <f>IFERROR(__xludf.DUMMYFUNCTION("""COMPUTED_VALUE"""),"© 漫画家, 原作者 / 会社名")</f>
        <v>© 漫画家, 原作者 / 会社名</v>
      </c>
      <c r="H393" s="10"/>
      <c r="I393" s="14"/>
      <c r="J393" s="15"/>
      <c r="K393" s="16"/>
      <c r="L393" s="17"/>
      <c r="M393" s="17"/>
      <c r="N393" s="17"/>
      <c r="O393" s="17"/>
      <c r="P393" s="17"/>
      <c r="Q393" s="17"/>
      <c r="R393" s="17"/>
      <c r="S393" s="17"/>
      <c r="T393" s="17"/>
      <c r="U393" s="17"/>
      <c r="V393" s="17"/>
    </row>
    <row r="394">
      <c r="A394" s="148" t="str">
        <f>IFERROR(__xludf.DUMMYFUNCTION("""COMPUTED_VALUE"""),"Studio Moon6（GOLEM FACTORY）（タテヨミ）")</f>
        <v>Studio Moon6（GOLEM FACTORY）（タテヨミ）</v>
      </c>
      <c r="B394" s="149"/>
      <c r="C394" s="92" t="str">
        <f>IFERROR(__xludf.DUMMYFUNCTION("""COMPUTED_VALUE"""),"必要")</f>
        <v>必要</v>
      </c>
      <c r="D394" s="152"/>
      <c r="E394" s="152"/>
      <c r="F394" s="150" t="str">
        <f>IFERROR(__xludf.DUMMYFUNCTION("""COMPUTED_VALUE"""),"必要")</f>
        <v>必要</v>
      </c>
      <c r="G394" s="154" t="str">
        <f>IFERROR(__xludf.DUMMYFUNCTION("""COMPUTED_VALUE"""),"© 漫画家, 原作者 / 会社名")</f>
        <v>© 漫画家, 原作者 / 会社名</v>
      </c>
      <c r="H394" s="10"/>
      <c r="I394" s="14"/>
      <c r="J394" s="15"/>
      <c r="K394" s="16"/>
      <c r="L394" s="17"/>
      <c r="M394" s="17"/>
      <c r="N394" s="17"/>
      <c r="O394" s="17"/>
      <c r="P394" s="17"/>
      <c r="Q394" s="17"/>
      <c r="R394" s="17"/>
      <c r="S394" s="17"/>
      <c r="T394" s="17"/>
      <c r="U394" s="17"/>
      <c r="V394" s="17"/>
    </row>
    <row r="395">
      <c r="A395" s="148" t="str">
        <f>IFERROR(__xludf.DUMMYFUNCTION("""COMPUTED_VALUE"""),"ドリコム")</f>
        <v>ドリコム</v>
      </c>
      <c r="B395" s="149"/>
      <c r="C395" s="92" t="str">
        <f>IFERROR(__xludf.DUMMYFUNCTION("""COMPUTED_VALUE"""),"必要")</f>
        <v>必要</v>
      </c>
      <c r="D395" s="152"/>
      <c r="E395" s="152"/>
      <c r="F395" s="150" t="str">
        <f>IFERROR(__xludf.DUMMYFUNCTION("""COMPUTED_VALUE"""),"必要")</f>
        <v>必要</v>
      </c>
      <c r="G395" s="151" t="str">
        <f>IFERROR(__xludf.DUMMYFUNCTION("""COMPUTED_VALUE"""),"■C表記形式はタイトル毎に異なる為、都度確認（SYS2参照）")</f>
        <v>■C表記形式はタイトル毎に異なる為、都度確認（SYS2参照）</v>
      </c>
      <c r="H395" s="10"/>
      <c r="I395" s="14"/>
      <c r="J395" s="15"/>
      <c r="K395" s="16"/>
      <c r="L395" s="17"/>
      <c r="M395" s="17"/>
      <c r="N395" s="17"/>
      <c r="O395" s="17"/>
      <c r="P395" s="17"/>
      <c r="Q395" s="17"/>
      <c r="R395" s="17"/>
      <c r="S395" s="17"/>
      <c r="T395" s="17"/>
      <c r="U395" s="17"/>
      <c r="V395" s="17"/>
    </row>
    <row r="396" ht="14.25" customHeight="1">
      <c r="A396" s="148" t="str">
        <f>IFERROR(__xludf.DUMMYFUNCTION("""COMPUTED_VALUE"""),"トゥーヴァージンズ")</f>
        <v>トゥーヴァージンズ</v>
      </c>
      <c r="B396" s="149"/>
      <c r="C396" s="92" t="str">
        <f>IFERROR(__xludf.DUMMYFUNCTION("""COMPUTED_VALUE"""),"必要")</f>
        <v>必要</v>
      </c>
      <c r="D396" s="152"/>
      <c r="E396" s="152"/>
      <c r="F396" s="150" t="str">
        <f>IFERROR(__xludf.DUMMYFUNCTION("""COMPUTED_VALUE"""),"必要")</f>
        <v>必要</v>
      </c>
      <c r="G396" s="154" t="str">
        <f>IFERROR(__xludf.DUMMYFUNCTION("""COMPUTED_VALUE"""),"（C）作家名/ TWO VIRGINS")</f>
        <v>（C）作家名/ TWO VIRGINS</v>
      </c>
      <c r="H396" s="10"/>
      <c r="I396" s="14"/>
      <c r="J396" s="15"/>
      <c r="K396" s="16"/>
      <c r="L396" s="17"/>
      <c r="M396" s="17"/>
      <c r="N396" s="17"/>
      <c r="O396" s="17"/>
      <c r="P396" s="17"/>
      <c r="Q396" s="17"/>
      <c r="R396" s="17"/>
      <c r="S396" s="17"/>
      <c r="T396" s="17"/>
      <c r="U396" s="17"/>
      <c r="V396" s="17"/>
    </row>
    <row r="397">
      <c r="A397" s="148" t="str">
        <f>IFERROR(__xludf.DUMMYFUNCTION("""COMPUTED_VALUE"""),"ブシロードワークス")</f>
        <v>ブシロードワークス</v>
      </c>
      <c r="B397" s="149"/>
      <c r="C397" s="92" t="str">
        <f>IFERROR(__xludf.DUMMYFUNCTION("""COMPUTED_VALUE"""),"必要")</f>
        <v>必要</v>
      </c>
      <c r="D397" s="152"/>
      <c r="E397" s="152"/>
      <c r="F397" s="150" t="str">
        <f>IFERROR(__xludf.DUMMYFUNCTION("""COMPUTED_VALUE"""),"必要")</f>
        <v>必要</v>
      </c>
      <c r="G397" s="151" t="str">
        <f>IFERROR(__xludf.DUMMYFUNCTION("""COMPUTED_VALUE"""),"■C表記形式はタイトル毎に異なる為、都度確認")</f>
        <v>■C表記形式はタイトル毎に異なる為、都度確認</v>
      </c>
      <c r="H397" s="26" t="str">
        <f>IFERROR(__xludf.DUMMYFUNCTION("""COMPUTED_VALUE"""),"■1つのクリエイティブで1作品の大半が読めてしまうことはNG
（明確な基準はなく監修時の都度判断になってしまいますが短編作品などの場合ご留意ください）")</f>
        <v>■1つのクリエイティブで1作品の大半が読めてしまうことはNG
（明確な基準はなく監修時の都度判断になってしまいますが短編作品などの場合ご留意ください）</v>
      </c>
      <c r="I397" s="14"/>
      <c r="J397" s="15"/>
      <c r="K397" s="16"/>
      <c r="L397" s="17"/>
      <c r="M397" s="17"/>
      <c r="N397" s="17"/>
      <c r="O397" s="17"/>
      <c r="P397" s="17"/>
      <c r="Q397" s="17"/>
      <c r="R397" s="17"/>
      <c r="S397" s="17"/>
      <c r="T397" s="17"/>
      <c r="U397" s="17"/>
      <c r="V397" s="17"/>
    </row>
    <row r="398">
      <c r="A398" s="148" t="str">
        <f>IFERROR(__xludf.DUMMYFUNCTION("""COMPUTED_VALUE"""),"プロテカ")</f>
        <v>プロテカ</v>
      </c>
      <c r="B398" s="149"/>
      <c r="C398" s="92" t="str">
        <f>IFERROR(__xludf.DUMMYFUNCTION("""COMPUTED_VALUE"""),"必要")</f>
        <v>必要</v>
      </c>
      <c r="D398" s="152"/>
      <c r="E398" s="152"/>
      <c r="F398" s="150" t="str">
        <f>IFERROR(__xludf.DUMMYFUNCTION("""COMPUTED_VALUE"""),"必要")</f>
        <v>必要</v>
      </c>
      <c r="G398" s="151" t="str">
        <f>IFERROR(__xludf.DUMMYFUNCTION("""COMPUTED_VALUE"""),"書誌にコピーライトが記載あるのでそちらを参照")</f>
        <v>書誌にコピーライトが記載あるのでそちらを参照</v>
      </c>
      <c r="H398" s="10"/>
      <c r="I398" s="14"/>
      <c r="J398" s="161"/>
      <c r="K398" s="149"/>
      <c r="L398" s="152"/>
      <c r="M398" s="152"/>
      <c r="N398" s="152"/>
      <c r="O398" s="162"/>
      <c r="P398" s="149"/>
      <c r="Q398" s="14"/>
      <c r="R398" s="17"/>
      <c r="S398" s="17"/>
      <c r="T398" s="17"/>
      <c r="U398" s="17"/>
      <c r="V398" s="17"/>
    </row>
    <row r="399">
      <c r="A399" s="148" t="str">
        <f>IFERROR(__xludf.DUMMYFUNCTION("""COMPUTED_VALUE"""),"SBCr")</f>
        <v>SBCr</v>
      </c>
      <c r="B399" s="14"/>
      <c r="C399" s="92" t="str">
        <f>IFERROR(__xludf.DUMMYFUNCTION("""COMPUTED_VALUE"""),"必要")</f>
        <v>必要</v>
      </c>
      <c r="D399" s="152"/>
      <c r="E399" s="152"/>
      <c r="F399" s="150" t="str">
        <f>IFERROR(__xludf.DUMMYFUNCTION("""COMPUTED_VALUE"""),"必要")</f>
        <v>必要</v>
      </c>
      <c r="G399" s="151" t="str">
        <f>IFERROR(__xludf.DUMMYFUNCTION("""COMPUTED_VALUE"""),"■C表記形式はタイトル毎に異なる為、都度確認")</f>
        <v>■C表記形式はタイトル毎に異なる為、都度確認</v>
      </c>
      <c r="H399" s="90"/>
      <c r="I399" s="163"/>
      <c r="J399" s="15"/>
      <c r="K399" s="16"/>
      <c r="L399" s="17"/>
      <c r="M399" s="17"/>
      <c r="N399" s="17"/>
      <c r="O399" s="17"/>
      <c r="P399" s="17"/>
      <c r="Q399" s="17"/>
      <c r="R399" s="17"/>
      <c r="S399" s="17"/>
      <c r="T399" s="17"/>
      <c r="U399" s="17"/>
      <c r="V399" s="17"/>
    </row>
    <row r="400">
      <c r="A400" s="148" t="str">
        <f>IFERROR(__xludf.DUMMYFUNCTION("""COMPUTED_VALUE"""),"weavin")</f>
        <v>weavin</v>
      </c>
      <c r="B400" s="14"/>
      <c r="C400" s="92" t="str">
        <f>IFERROR(__xludf.DUMMYFUNCTION("""COMPUTED_VALUE"""),"必要")</f>
        <v>必要</v>
      </c>
      <c r="D400" s="152"/>
      <c r="E400" s="152"/>
      <c r="F400" s="150" t="str">
        <f>IFERROR(__xludf.DUMMYFUNCTION("""COMPUTED_VALUE"""),"必要")</f>
        <v>必要</v>
      </c>
      <c r="G400" s="164" t="str">
        <f>IFERROR(__xludf.DUMMYFUNCTION("""COMPUTED_VALUE"""),"■書影のみのC表記要否：必要 
■C表記形式： ① 原則　『タイトル』(C)著者名／ひかりＴＶブック  もしくは、
 (C)著者名／ひかりＴＶブック  
※複数作品のイラストを使用される場合 
『タイトル』(C)著者名、『タイトル』(C)著者名、『タイトル』(C)著者名／ひかりＴＶブック 
※タイトル名省略可 
※「ひかりＴＶブック」の「ＴＶ」は全角にてお願いします。  
■その他条件：  ・画像トリミング可、着色はNGです。  
・１タイトルに著者が複数いる作品は「・」（ナカグロ）で区切ってください。 "&amp;"
 ・作品の紹介を伴わずコマ画像単独使用のみの場合はコマ内へ、
＜『タイトル』(C)著者名／ひかりＴＶブック＞表記が原則必須。
")</f>
        <v>■書影のみのC表記要否：必要 
■C表記形式： ① 原則　『タイトル』(C)著者名／ひかりＴＶブック  もしくは、
 (C)著者名／ひかりＴＶブック  
※複数作品のイラストを使用される場合 
『タイトル』(C)著者名、『タイトル』(C)著者名、『タイトル』(C)著者名／ひかりＴＶブック 
※タイトル名省略可 
※「ひかりＴＶブック」の「ＴＶ」は全角にてお願いします。  
■その他条件：  ・画像トリミング可、着色はNGです。  
・１タイトルに著者が複数いる作品は「・」（ナカグロ）で区切ってください。 
 ・作品の紹介を伴わずコマ画像単独使用のみの場合はコマ内へ、
＜『タイトル』(C)著者名／ひかりＴＶブック＞表記が原則必須。
</v>
      </c>
      <c r="H400" s="90"/>
      <c r="I400" s="163"/>
      <c r="J400" s="15"/>
      <c r="K400" s="16"/>
      <c r="L400" s="17"/>
      <c r="M400" s="17"/>
      <c r="N400" s="17"/>
      <c r="O400" s="17"/>
      <c r="P400" s="17"/>
      <c r="Q400" s="17"/>
      <c r="R400" s="17"/>
      <c r="S400" s="17"/>
      <c r="T400" s="17"/>
      <c r="U400" s="17"/>
      <c r="V400" s="17"/>
    </row>
    <row r="401">
      <c r="A401" s="165" t="str">
        <f>IFERROR(__xludf.DUMMYFUNCTION("""COMPUTED_VALUE"""),"兼松グランクス")</f>
        <v>兼松グランクス</v>
      </c>
      <c r="B401" s="21" t="str">
        <f>IFERROR(__xludf.DUMMYFUNCTION("""COMPUTED_VALUE"""),"イマジナリーワークス")</f>
        <v>イマジナリーワークス</v>
      </c>
      <c r="C401" s="92" t="str">
        <f>IFERROR(__xludf.DUMMYFUNCTION("""COMPUTED_VALUE"""),"必要")</f>
        <v>必要</v>
      </c>
      <c r="D401" s="14"/>
      <c r="E401" s="14"/>
      <c r="F401" s="150" t="str">
        <f>IFERROR(__xludf.DUMMYFUNCTION("""COMPUTED_VALUE"""),"必要")</f>
        <v>必要</v>
      </c>
      <c r="G401" s="164" t="str">
        <f>IFERROR(__xludf.DUMMYFUNCTION("""COMPUTED_VALUE"""),"(C)著者名/イマジナリーワークス")</f>
        <v>(C)著者名/イマジナリーワークス</v>
      </c>
      <c r="H401" s="90"/>
      <c r="I401" s="163"/>
      <c r="J401" s="15"/>
      <c r="K401" s="16"/>
      <c r="L401" s="17"/>
      <c r="M401" s="17"/>
      <c r="N401" s="17"/>
      <c r="O401" s="17"/>
      <c r="P401" s="17"/>
      <c r="Q401" s="17"/>
      <c r="R401" s="17"/>
      <c r="S401" s="17"/>
      <c r="T401" s="17"/>
      <c r="U401" s="17"/>
      <c r="V401" s="17"/>
    </row>
    <row r="402" ht="45.75" customHeight="1">
      <c r="A402" s="148" t="str">
        <f>IFERROR(__xludf.DUMMYFUNCTION("""COMPUTED_VALUE"""),"Kmstudio")</f>
        <v>Kmstudio</v>
      </c>
      <c r="B402" s="14"/>
      <c r="C402" s="92" t="str">
        <f>IFERROR(__xludf.DUMMYFUNCTION("""COMPUTED_VALUE"""),"必要")</f>
        <v>必要</v>
      </c>
      <c r="D402" s="14"/>
      <c r="E402" s="14"/>
      <c r="F402" s="150" t="str">
        <f>IFERROR(__xludf.DUMMYFUNCTION("""COMPUTED_VALUE"""),"必要")</f>
        <v>必要</v>
      </c>
      <c r="G402" s="166" t="str">
        <f>IFERROR(__xludf.DUMMYFUNCTION("""COMPUTED_VALUE"""),"■C表記形式はタイトル毎に異なる為、都度確認(SYS2参照)
 ■書影のみのC表記要否：不要")</f>
        <v>■C表記形式はタイトル毎に異なる為、都度確認(SYS2参照)
 ■書影のみのC表記要否：不要</v>
      </c>
      <c r="H402" s="90"/>
      <c r="I402" s="167" t="str">
        <f>IFERROR(__xludf.DUMMYFUNCTION("""COMPUTED_VALUE"""),"必要")</f>
        <v>必要</v>
      </c>
      <c r="J402" s="15"/>
      <c r="K402" s="16"/>
      <c r="L402" s="17"/>
      <c r="M402" s="17"/>
      <c r="N402" s="17"/>
      <c r="O402" s="17"/>
      <c r="P402" s="17"/>
      <c r="Q402" s="17"/>
      <c r="R402" s="17"/>
      <c r="S402" s="17"/>
      <c r="T402" s="17"/>
      <c r="U402" s="17"/>
      <c r="V402" s="17"/>
    </row>
    <row r="403" ht="45.75" customHeight="1">
      <c r="A403" s="148" t="str">
        <f>IFERROR(__xludf.DUMMYFUNCTION("""COMPUTED_VALUE"""),"ガラン")</f>
        <v>ガラン</v>
      </c>
      <c r="B403" s="14"/>
      <c r="C403" s="92" t="str">
        <f>IFERROR(__xludf.DUMMYFUNCTION("""COMPUTED_VALUE"""),"必要")</f>
        <v>必要</v>
      </c>
      <c r="D403" s="14"/>
      <c r="E403" s="14"/>
      <c r="F403" s="150" t="str">
        <f>IFERROR(__xludf.DUMMYFUNCTION("""COMPUTED_VALUE"""),"必要")</f>
        <v>必要</v>
      </c>
      <c r="G403" s="166" t="str">
        <f>IFERROR(__xludf.DUMMYFUNCTION("""COMPUTED_VALUE"""),"■C表記形式はタイトル毎に異なる為、都度確認(SYS2参照)
 ■書影のみのC表記要否：不要")</f>
        <v>■C表記形式はタイトル毎に異なる為、都度確認(SYS2参照)
 ■書影のみのC表記要否：不要</v>
      </c>
      <c r="H403" s="90"/>
      <c r="I403" s="163"/>
      <c r="J403" s="15"/>
      <c r="K403" s="16"/>
      <c r="L403" s="17"/>
      <c r="M403" s="17"/>
      <c r="N403" s="17"/>
      <c r="O403" s="17"/>
      <c r="P403" s="17"/>
      <c r="Q403" s="17"/>
      <c r="R403" s="17"/>
      <c r="S403" s="17"/>
      <c r="T403" s="17"/>
      <c r="U403" s="17"/>
      <c r="V403" s="17"/>
    </row>
    <row r="404" ht="45.75" customHeight="1">
      <c r="A404" s="148" t="str">
        <f>IFERROR(__xludf.DUMMYFUNCTION("""COMPUTED_VALUE"""),"リブリオン ")</f>
        <v>リブリオン </v>
      </c>
      <c r="B404" s="149"/>
      <c r="C404" s="92" t="str">
        <f>IFERROR(__xludf.DUMMYFUNCTION("""COMPUTED_VALUE"""),"必要")</f>
        <v>必要</v>
      </c>
      <c r="D404" s="14"/>
      <c r="E404" s="14"/>
      <c r="F404" s="150" t="str">
        <f>IFERROR(__xludf.DUMMYFUNCTION("""COMPUTED_VALUE"""),"必要")</f>
        <v>必要</v>
      </c>
      <c r="G404" s="151" t="str">
        <f>IFERROR(__xludf.DUMMYFUNCTION("""COMPUTED_VALUE"""),"(C)著者名/リブリオン")</f>
        <v>(C)著者名/リブリオン</v>
      </c>
      <c r="H404" s="10"/>
      <c r="I404" s="14"/>
      <c r="J404" s="15"/>
      <c r="K404" s="16"/>
      <c r="L404" s="17"/>
      <c r="M404" s="17"/>
      <c r="N404" s="17"/>
      <c r="O404" s="17"/>
      <c r="P404" s="17"/>
      <c r="Q404" s="17"/>
      <c r="R404" s="17"/>
      <c r="S404" s="17"/>
      <c r="T404" s="17"/>
      <c r="U404" s="17"/>
      <c r="V404" s="17"/>
    </row>
    <row r="405" ht="45.75" customHeight="1">
      <c r="A405" s="148" t="str">
        <f>IFERROR(__xludf.DUMMYFUNCTION("""COMPUTED_VALUE"""),"ラビットフット")</f>
        <v>ラビットフット</v>
      </c>
      <c r="B405" s="149"/>
      <c r="C405" s="92" t="str">
        <f>IFERROR(__xludf.DUMMYFUNCTION("""COMPUTED_VALUE"""),"必要")</f>
        <v>必要</v>
      </c>
      <c r="D405" s="14"/>
      <c r="E405" s="14"/>
      <c r="F405" s="150" t="str">
        <f>IFERROR(__xludf.DUMMYFUNCTION("""COMPUTED_VALUE"""),"必要")</f>
        <v>必要</v>
      </c>
      <c r="G405" s="154" t="str">
        <f>IFERROR(__xludf.DUMMYFUNCTION("""COMPUTED_VALUE"""),"■C表記形式はタイトル毎に異なる為、SYS2参照  
■書影のみのC表記要否：不要")</f>
        <v>■C表記形式はタイトル毎に異なる為、SYS2参照  
■書影のみのC表記要否：不要</v>
      </c>
      <c r="H405" s="10"/>
      <c r="I405" s="14"/>
      <c r="J405" s="15"/>
      <c r="K405" s="16"/>
      <c r="L405" s="17"/>
      <c r="M405" s="17"/>
      <c r="N405" s="17"/>
      <c r="O405" s="17"/>
      <c r="P405" s="17"/>
      <c r="Q405" s="17"/>
      <c r="R405" s="17"/>
      <c r="S405" s="17"/>
      <c r="T405" s="17"/>
      <c r="U405" s="17"/>
      <c r="V405" s="17"/>
    </row>
    <row r="406" ht="45.75" customHeight="1">
      <c r="A406" s="148" t="str">
        <f>IFERROR(__xludf.DUMMYFUNCTION("""COMPUTED_VALUE"""),"ソニー・ミュージックエンタテインメント")</f>
        <v>ソニー・ミュージックエンタテインメント</v>
      </c>
      <c r="B406" s="149"/>
      <c r="C406" s="92" t="str">
        <f>IFERROR(__xludf.DUMMYFUNCTION("""COMPUTED_VALUE"""),"必要")</f>
        <v>必要</v>
      </c>
      <c r="D406" s="152"/>
      <c r="E406" s="152"/>
      <c r="F406" s="150" t="str">
        <f>IFERROR(__xludf.DUMMYFUNCTION("""COMPUTED_VALUE"""),"必要")</f>
        <v>必要</v>
      </c>
      <c r="G406" s="154" t="str">
        <f>IFERROR(__xludf.DUMMYFUNCTION("""COMPUTED_VALUE"""),"(C)作者名/出版社名
※作画と原作が別の場合は「作画者・原作者/出版社名」")</f>
        <v>(C)作者名/出版社名
※作画と原作が別の場合は「作画者・原作者/出版社名」</v>
      </c>
      <c r="H406" s="10"/>
      <c r="I406" s="14"/>
      <c r="J406" s="15"/>
      <c r="K406" s="16"/>
      <c r="L406" s="17"/>
      <c r="M406" s="17"/>
      <c r="N406" s="17"/>
      <c r="O406" s="17"/>
      <c r="P406" s="17"/>
      <c r="Q406" s="17"/>
      <c r="R406" s="17"/>
      <c r="S406" s="17"/>
      <c r="T406" s="17"/>
      <c r="U406" s="17"/>
      <c r="V406" s="17"/>
    </row>
    <row r="407" ht="45.75" customHeight="1">
      <c r="A407" s="148" t="str">
        <f>IFERROR(__xludf.DUMMYFUNCTION("""COMPUTED_VALUE"""),"テライド出版")</f>
        <v>テライド出版</v>
      </c>
      <c r="B407" s="149"/>
      <c r="C407" s="92" t="str">
        <f>IFERROR(__xludf.DUMMYFUNCTION("""COMPUTED_VALUE"""),"必要")</f>
        <v>必要</v>
      </c>
      <c r="D407" s="152"/>
      <c r="E407" s="152"/>
      <c r="F407" s="150" t="str">
        <f>IFERROR(__xludf.DUMMYFUNCTION("""COMPUTED_VALUE"""),"必要")</f>
        <v>必要</v>
      </c>
      <c r="G407" s="154" t="str">
        <f>IFERROR(__xludf.DUMMYFUNCTION("""COMPUTED_VALUE"""),"(C)作者名/レーベル名")</f>
        <v>(C)作者名/レーベル名</v>
      </c>
      <c r="H407" s="10"/>
      <c r="I407" s="14"/>
      <c r="J407" s="15"/>
      <c r="K407" s="16"/>
      <c r="L407" s="17"/>
      <c r="M407" s="17"/>
      <c r="N407" s="17"/>
      <c r="O407" s="17"/>
      <c r="P407" s="17"/>
      <c r="Q407" s="17"/>
      <c r="R407" s="17"/>
      <c r="S407" s="17"/>
      <c r="T407" s="17"/>
      <c r="U407" s="17"/>
      <c r="V407" s="17"/>
    </row>
    <row r="408" ht="45.75" customHeight="1">
      <c r="A408" s="148" t="str">
        <f>IFERROR(__xludf.DUMMYFUNCTION("""COMPUTED_VALUE"""),"Toyou's Dream")</f>
        <v>Toyou's Dream</v>
      </c>
      <c r="B408" s="149"/>
      <c r="C408" s="92" t="str">
        <f>IFERROR(__xludf.DUMMYFUNCTION("""COMPUTED_VALUE"""),"必要")</f>
        <v>必要</v>
      </c>
      <c r="D408" s="152"/>
      <c r="E408" s="152"/>
      <c r="F408" s="150" t="str">
        <f>IFERROR(__xludf.DUMMYFUNCTION("""COMPUTED_VALUE"""),"必要")</f>
        <v>必要</v>
      </c>
      <c r="G408" s="154" t="str">
        <f>IFERROR(__xludf.DUMMYFUNCTION("""COMPUTED_VALUE"""),"■C表記形式はタイトル毎に異なる為、都度確認")</f>
        <v>■C表記形式はタイトル毎に異なる為、都度確認</v>
      </c>
      <c r="H408" s="10"/>
      <c r="I408" s="14"/>
      <c r="J408" s="15"/>
      <c r="K408" s="16"/>
      <c r="L408" s="17"/>
      <c r="M408" s="17"/>
      <c r="N408" s="17"/>
      <c r="O408" s="17"/>
      <c r="P408" s="17"/>
      <c r="Q408" s="17"/>
      <c r="R408" s="17"/>
      <c r="S408" s="17"/>
      <c r="T408" s="17"/>
      <c r="U408" s="17"/>
      <c r="V408" s="17"/>
    </row>
    <row r="409" ht="45.75" customHeight="1">
      <c r="A409" s="148" t="str">
        <f>IFERROR(__xludf.DUMMYFUNCTION("""COMPUTED_VALUE"""),"ontembaar")</f>
        <v>ontembaar</v>
      </c>
      <c r="B409" s="149"/>
      <c r="C409" s="92" t="str">
        <f>IFERROR(__xludf.DUMMYFUNCTION("""COMPUTED_VALUE"""),"必要")</f>
        <v>必要</v>
      </c>
      <c r="D409" s="152"/>
      <c r="E409" s="152"/>
      <c r="F409" s="150" t="str">
        <f>IFERROR(__xludf.DUMMYFUNCTION("""COMPUTED_VALUE"""),"必要")</f>
        <v>必要</v>
      </c>
      <c r="G409" s="154" t="str">
        <f>IFERROR(__xludf.DUMMYFUNCTION("""COMPUTED_VALUE"""),"■C表記形式はタイトル毎に異なる為、都度確認")</f>
        <v>■C表記形式はタイトル毎に異なる為、都度確認</v>
      </c>
      <c r="H409" s="10"/>
      <c r="I409" s="14"/>
      <c r="J409" s="15"/>
      <c r="K409" s="16"/>
      <c r="L409" s="17"/>
      <c r="M409" s="17"/>
      <c r="N409" s="17"/>
      <c r="O409" s="17"/>
      <c r="P409" s="17"/>
      <c r="Q409" s="17"/>
      <c r="R409" s="17"/>
      <c r="S409" s="17"/>
      <c r="T409" s="17"/>
      <c r="U409" s="17"/>
      <c r="V409" s="17"/>
    </row>
    <row r="410" ht="45.75" customHeight="1">
      <c r="A410" s="148" t="str">
        <f>IFERROR(__xludf.DUMMYFUNCTION("""COMPUTED_VALUE"""),"Mangaflick")</f>
        <v>Mangaflick</v>
      </c>
      <c r="B410" s="149"/>
      <c r="C410" s="92" t="str">
        <f>IFERROR(__xludf.DUMMYFUNCTION("""COMPUTED_VALUE"""),"必要")</f>
        <v>必要</v>
      </c>
      <c r="D410" s="152"/>
      <c r="E410" s="152"/>
      <c r="F410" s="150" t="str">
        <f>IFERROR(__xludf.DUMMYFUNCTION("""COMPUTED_VALUE"""),"必要")</f>
        <v>必要</v>
      </c>
      <c r="G410" s="154" t="str">
        <f>IFERROR(__xludf.DUMMYFUNCTION("""COMPUTED_VALUE"""),"■C表記形式はタイトル毎に異なる為、SYS2参照  
■書影のみのC表記要否：不要")</f>
        <v>■C表記形式はタイトル毎に異なる為、SYS2参照  
■書影のみのC表記要否：不要</v>
      </c>
      <c r="H410" s="10"/>
      <c r="I410" s="14"/>
      <c r="J410" s="15"/>
      <c r="K410" s="16"/>
      <c r="L410" s="17"/>
      <c r="M410" s="17"/>
      <c r="N410" s="17"/>
      <c r="O410" s="17"/>
      <c r="P410" s="17"/>
      <c r="Q410" s="17"/>
      <c r="R410" s="17"/>
      <c r="S410" s="17"/>
      <c r="T410" s="17"/>
      <c r="U410" s="17"/>
      <c r="V410" s="17"/>
    </row>
    <row r="411" ht="45.75" customHeight="1">
      <c r="A411" s="148" t="str">
        <f>IFERROR(__xludf.DUMMYFUNCTION("""COMPUTED_VALUE"""),"SDP")</f>
        <v>SDP</v>
      </c>
      <c r="B411" s="149"/>
      <c r="C411" s="92" t="str">
        <f>IFERROR(__xludf.DUMMYFUNCTION("""COMPUTED_VALUE"""),"必要")</f>
        <v>必要</v>
      </c>
      <c r="D411" s="152"/>
      <c r="E411" s="152"/>
      <c r="F411" s="150" t="str">
        <f>IFERROR(__xludf.DUMMYFUNCTION("""COMPUTED_VALUE"""),"必要")</f>
        <v>必要</v>
      </c>
      <c r="G411" s="154" t="str">
        <f>IFERROR(__xludf.DUMMYFUNCTION("""COMPUTED_VALUE"""),"■C表記形式はタイトル毎に異なる為、SYS2参照  
■書影のみのC表記要否：不要")</f>
        <v>■C表記形式はタイトル毎に異なる為、SYS2参照  
■書影のみのC表記要否：不要</v>
      </c>
      <c r="H411" s="10"/>
      <c r="I411" s="14"/>
      <c r="J411" s="15"/>
      <c r="K411" s="16"/>
      <c r="L411" s="17"/>
      <c r="M411" s="17"/>
      <c r="N411" s="17"/>
      <c r="O411" s="17"/>
      <c r="P411" s="17"/>
      <c r="Q411" s="17"/>
      <c r="R411" s="17"/>
      <c r="S411" s="17"/>
      <c r="T411" s="17"/>
      <c r="U411" s="17"/>
      <c r="V411" s="17"/>
    </row>
    <row r="412" ht="45.75" customHeight="1">
      <c r="A412" s="148" t="str">
        <f>IFERROR(__xludf.DUMMYFUNCTION("""COMPUTED_VALUE"""),"イルダコミックス")</f>
        <v>イルダコミックス</v>
      </c>
      <c r="B412" s="149"/>
      <c r="C412" s="92" t="str">
        <f>IFERROR(__xludf.DUMMYFUNCTION("""COMPUTED_VALUE"""),"必要")</f>
        <v>必要</v>
      </c>
      <c r="D412" s="152"/>
      <c r="E412" s="152"/>
      <c r="F412" s="150" t="str">
        <f>IFERROR(__xludf.DUMMYFUNCTION("""COMPUTED_VALUE"""),"必要")</f>
        <v>必要</v>
      </c>
      <c r="G412" s="154" t="str">
        <f>IFERROR(__xludf.DUMMYFUNCTION("""COMPUTED_VALUE"""),"(C)作家名/出版社名")</f>
        <v>(C)作家名/出版社名</v>
      </c>
      <c r="H412" s="10"/>
      <c r="I412" s="14"/>
      <c r="J412" s="15"/>
      <c r="K412" s="16"/>
      <c r="L412" s="17"/>
      <c r="M412" s="17"/>
      <c r="N412" s="17"/>
      <c r="O412" s="17"/>
      <c r="P412" s="17"/>
      <c r="Q412" s="17"/>
      <c r="R412" s="17"/>
      <c r="S412" s="17"/>
      <c r="T412" s="17"/>
      <c r="U412" s="17"/>
      <c r="V412" s="17"/>
    </row>
    <row r="413" ht="45.75" customHeight="1">
      <c r="A413" s="148" t="str">
        <f>IFERROR(__xludf.DUMMYFUNCTION("""COMPUTED_VALUE"""),"Freedia")</f>
        <v>Freedia</v>
      </c>
      <c r="B413" s="149"/>
      <c r="C413" s="92" t="str">
        <f>IFERROR(__xludf.DUMMYFUNCTION("""COMPUTED_VALUE"""),"必要")</f>
        <v>必要</v>
      </c>
      <c r="D413" s="152"/>
      <c r="E413" s="152"/>
      <c r="F413" s="150" t="str">
        <f>IFERROR(__xludf.DUMMYFUNCTION("""COMPUTED_VALUE"""),"必要")</f>
        <v>必要</v>
      </c>
      <c r="G413" s="154" t="str">
        <f>IFERROR(__xludf.DUMMYFUNCTION("""COMPUTED_VALUE"""),"■C表記形式はタイトル毎に異なる為、都度確認
 ■書影のみのC表記要否：不要")</f>
        <v>■C表記形式はタイトル毎に異なる為、都度確認
 ■書影のみのC表記要否：不要</v>
      </c>
      <c r="H413" s="10"/>
      <c r="I413" s="14"/>
      <c r="J413" s="15"/>
      <c r="K413" s="16"/>
      <c r="L413" s="17"/>
      <c r="M413" s="17"/>
      <c r="N413" s="17"/>
      <c r="O413" s="17"/>
      <c r="P413" s="17"/>
      <c r="Q413" s="17"/>
      <c r="R413" s="17"/>
      <c r="S413" s="17"/>
      <c r="T413" s="17"/>
      <c r="U413" s="17"/>
      <c r="V413" s="17"/>
    </row>
    <row r="414" ht="45.75" customHeight="1">
      <c r="A414" s="148" t="str">
        <f>IFERROR(__xludf.DUMMYFUNCTION("""COMPUTED_VALUE"""),"Evolution（EVOパブリッシング）")</f>
        <v>Evolution（EVOパブリッシング）</v>
      </c>
      <c r="B414" s="149"/>
      <c r="C414" s="150" t="str">
        <f>IFERROR(__xludf.DUMMYFUNCTION("""COMPUTED_VALUE"""),"不要")</f>
        <v>不要</v>
      </c>
      <c r="D414" s="152"/>
      <c r="E414" s="152"/>
      <c r="F414" s="150" t="str">
        <f>IFERROR(__xludf.DUMMYFUNCTION("""COMPUTED_VALUE"""),"必要")</f>
        <v>必要</v>
      </c>
      <c r="G414" s="154" t="str">
        <f>IFERROR(__xludf.DUMMYFUNCTION("""COMPUTED_VALUE"""),"(C)作者名/EVOパブリッシング
")</f>
        <v>(C)作者名/EVOパブリッシング
</v>
      </c>
      <c r="H414" s="10"/>
      <c r="I414" s="14"/>
      <c r="J414" s="15"/>
      <c r="K414" s="16"/>
      <c r="L414" s="17"/>
      <c r="M414" s="17"/>
      <c r="N414" s="17"/>
      <c r="O414" s="17"/>
      <c r="P414" s="17"/>
      <c r="Q414" s="17"/>
      <c r="R414" s="17"/>
      <c r="S414" s="17"/>
      <c r="T414" s="17"/>
      <c r="U414" s="17"/>
      <c r="V414" s="17"/>
    </row>
    <row r="415" ht="45.75" customHeight="1">
      <c r="A415" s="148" t="str">
        <f>IFERROR(__xludf.DUMMYFUNCTION("""COMPUTED_VALUE"""),"LOCKER ROOM")</f>
        <v>LOCKER ROOM</v>
      </c>
      <c r="B415" s="149"/>
      <c r="C415" s="92" t="str">
        <f>IFERROR(__xludf.DUMMYFUNCTION("""COMPUTED_VALUE"""),"必要")</f>
        <v>必要</v>
      </c>
      <c r="D415" s="152"/>
      <c r="E415" s="152"/>
      <c r="F415" s="150" t="str">
        <f>IFERROR(__xludf.DUMMYFUNCTION("""COMPUTED_VALUE"""),"必要")</f>
        <v>必要</v>
      </c>
      <c r="G415" s="154" t="str">
        <f>IFERROR(__xludf.DUMMYFUNCTION("""COMPUTED_VALUE"""),"■C表記形式はタイトル毎に異なる為、都度確認
■書影のみのC表記要否：不要")</f>
        <v>■C表記形式はタイトル毎に異なる為、都度確認
■書影のみのC表記要否：不要</v>
      </c>
      <c r="H415" s="10"/>
      <c r="I415" s="14"/>
      <c r="J415" s="15"/>
      <c r="K415" s="16"/>
      <c r="L415" s="17"/>
      <c r="M415" s="17"/>
      <c r="N415" s="17"/>
      <c r="O415" s="17"/>
      <c r="P415" s="17"/>
      <c r="Q415" s="17"/>
      <c r="R415" s="17"/>
      <c r="S415" s="17"/>
      <c r="T415" s="17"/>
      <c r="U415" s="17"/>
      <c r="V415" s="17"/>
    </row>
    <row r="416" ht="45.75" customHeight="1">
      <c r="A416" s="148" t="str">
        <f>IFERROR(__xludf.DUMMYFUNCTION("""COMPUTED_VALUE"""),"viviON")</f>
        <v>viviON</v>
      </c>
      <c r="B416" s="149"/>
      <c r="C416" s="92" t="str">
        <f>IFERROR(__xludf.DUMMYFUNCTION("""COMPUTED_VALUE"""),"必要")</f>
        <v>必要</v>
      </c>
      <c r="D416" s="152"/>
      <c r="E416" s="152"/>
      <c r="F416" s="150" t="str">
        <f>IFERROR(__xludf.DUMMYFUNCTION("""COMPUTED_VALUE"""),"必要")</f>
        <v>必要</v>
      </c>
      <c r="G416" s="154" t="str">
        <f>IFERROR(__xludf.DUMMYFUNCTION("""COMPUTED_VALUE"""),"■C表記形式はタイトル毎に異なる為、SYS2参照 
■書影のみのC表記要否：不要")</f>
        <v>■C表記形式はタイトル毎に異なる為、SYS2参照 
■書影のみのC表記要否：不要</v>
      </c>
      <c r="H416" s="10"/>
      <c r="I416" s="14"/>
      <c r="J416" s="15"/>
      <c r="K416" s="16"/>
      <c r="L416" s="17"/>
      <c r="M416" s="17"/>
      <c r="N416" s="17"/>
      <c r="O416" s="17"/>
      <c r="P416" s="17"/>
      <c r="Q416" s="17"/>
      <c r="R416" s="17"/>
      <c r="S416" s="17"/>
      <c r="T416" s="17"/>
      <c r="U416" s="17"/>
      <c r="V416" s="17"/>
    </row>
    <row r="417" ht="45.75" customHeight="1">
      <c r="A417" s="148" t="str">
        <f>IFERROR(__xludf.DUMMYFUNCTION("""COMPUTED_VALUE"""),"SMART GATE Inc.")</f>
        <v>SMART GATE Inc.</v>
      </c>
      <c r="B417" s="149"/>
      <c r="C417" s="150" t="str">
        <f>IFERROR(__xludf.DUMMYFUNCTION("""COMPUTED_VALUE"""),"不要")</f>
        <v>不要</v>
      </c>
      <c r="D417" s="152"/>
      <c r="E417" s="152"/>
      <c r="F417" s="150" t="str">
        <f>IFERROR(__xludf.DUMMYFUNCTION("""COMPUTED_VALUE"""),"必要")</f>
        <v>必要</v>
      </c>
      <c r="G417" s="154" t="str">
        <f>IFERROR(__xludf.DUMMYFUNCTION("""COMPUTED_VALUE"""),"全作品「SMART GATE Inc.」のC表記をお願い致します。
 著者名、イラストレーター名のC表記は不要でございます。")</f>
        <v>全作品「SMART GATE Inc.」のC表記をお願い致します。
 著者名、イラストレーター名のC表記は不要でございます。</v>
      </c>
      <c r="H417" s="10"/>
      <c r="I417" s="14"/>
      <c r="J417" s="15"/>
      <c r="K417" s="16"/>
      <c r="L417" s="17"/>
      <c r="M417" s="17"/>
      <c r="N417" s="17"/>
      <c r="O417" s="17"/>
      <c r="P417" s="17"/>
      <c r="Q417" s="17"/>
      <c r="R417" s="17"/>
      <c r="S417" s="17"/>
      <c r="T417" s="17"/>
      <c r="U417" s="17"/>
      <c r="V417" s="17"/>
    </row>
    <row r="418" ht="45.75" customHeight="1">
      <c r="A418" s="148" t="str">
        <f>IFERROR(__xludf.DUMMYFUNCTION("""COMPUTED_VALUE"""),"Kuaikan Comics")</f>
        <v>Kuaikan Comics</v>
      </c>
      <c r="B418" s="149"/>
      <c r="C418" s="92" t="str">
        <f>IFERROR(__xludf.DUMMYFUNCTION("""COMPUTED_VALUE"""),"必要")</f>
        <v>必要</v>
      </c>
      <c r="D418" s="152"/>
      <c r="E418" s="152"/>
      <c r="F418" s="150" t="str">
        <f>IFERROR(__xludf.DUMMYFUNCTION("""COMPUTED_VALUE"""),"必要")</f>
        <v>必要</v>
      </c>
      <c r="G418" s="154" t="str">
        <f>IFERROR(__xludf.DUMMYFUNCTION("""COMPUTED_VALUE"""),"■C表記形式はタイトル毎に異なる為、都度確認
■書影のみのC表記要否：不要")</f>
        <v>■C表記形式はタイトル毎に異なる為、都度確認
■書影のみのC表記要否：不要</v>
      </c>
      <c r="H418" s="10"/>
      <c r="I418" s="14"/>
      <c r="J418" s="15"/>
      <c r="K418" s="16"/>
      <c r="L418" s="17"/>
      <c r="M418" s="17"/>
      <c r="N418" s="17"/>
      <c r="O418" s="17"/>
      <c r="P418" s="17"/>
      <c r="Q418" s="17"/>
      <c r="R418" s="17"/>
      <c r="S418" s="17"/>
      <c r="T418" s="17"/>
      <c r="U418" s="17"/>
      <c r="V418" s="17"/>
    </row>
    <row r="419" ht="45.75" customHeight="1">
      <c r="A419" s="148" t="str">
        <f>IFERROR(__xludf.DUMMYFUNCTION("""COMPUTED_VALUE"""),"NEOKANO")</f>
        <v>NEOKANO</v>
      </c>
      <c r="B419" s="149"/>
      <c r="C419" s="92" t="str">
        <f>IFERROR(__xludf.DUMMYFUNCTION("""COMPUTED_VALUE"""),"必要")</f>
        <v>必要</v>
      </c>
      <c r="D419" s="152"/>
      <c r="E419" s="152"/>
      <c r="F419" s="150" t="str">
        <f>IFERROR(__xludf.DUMMYFUNCTION("""COMPUTED_VALUE"""),"必要")</f>
        <v>必要</v>
      </c>
      <c r="G419" s="154" t="str">
        <f>IFERROR(__xludf.DUMMYFUNCTION("""COMPUTED_VALUE"""),"（C）著者名／出版社名 
※著者名複数の場合は「・」で区切ってください。 （C）著者名①・著者名②／出版社名")</f>
        <v>（C）著者名／出版社名 
※著者名複数の場合は「・」で区切ってください。 （C）著者名①・著者名②／出版社名</v>
      </c>
      <c r="H419" s="10"/>
      <c r="I419" s="14"/>
      <c r="J419" s="15"/>
      <c r="K419" s="16"/>
      <c r="L419" s="17"/>
      <c r="M419" s="17"/>
      <c r="N419" s="17"/>
      <c r="O419" s="17"/>
      <c r="P419" s="17"/>
      <c r="Q419" s="17"/>
      <c r="R419" s="17"/>
      <c r="S419" s="17"/>
      <c r="T419" s="17"/>
      <c r="U419" s="17"/>
      <c r="V419" s="17"/>
    </row>
    <row r="420" ht="45.75" customHeight="1">
      <c r="A420" s="148" t="str">
        <f>IFERROR(__xludf.DUMMYFUNCTION("""COMPUTED_VALUE"""),"PGC")</f>
        <v>PGC</v>
      </c>
      <c r="B420" s="149"/>
      <c r="C420" s="150" t="str">
        <f>IFERROR(__xludf.DUMMYFUNCTION("""COMPUTED_VALUE"""),"不要")</f>
        <v>不要</v>
      </c>
      <c r="D420" s="152"/>
      <c r="E420" s="152"/>
      <c r="F420" s="150" t="str">
        <f>IFERROR(__xludf.DUMMYFUNCTION("""COMPUTED_VALUE"""),"必要")</f>
        <v>必要</v>
      </c>
      <c r="G420" s="154" t="str">
        <f>IFERROR(__xludf.DUMMYFUNCTION("""COMPUTED_VALUE"""),"(C)PGC
")</f>
        <v>(C)PGC
</v>
      </c>
      <c r="H420" s="10"/>
      <c r="I420" s="14"/>
      <c r="J420" s="15"/>
      <c r="K420" s="16"/>
      <c r="L420" s="17"/>
      <c r="M420" s="17"/>
      <c r="N420" s="17"/>
      <c r="O420" s="17"/>
      <c r="P420" s="17"/>
      <c r="Q420" s="17"/>
      <c r="R420" s="17"/>
      <c r="S420" s="17"/>
      <c r="T420" s="17"/>
      <c r="U420" s="17"/>
      <c r="V420" s="17"/>
    </row>
    <row r="421" ht="45.75" customHeight="1">
      <c r="A421" s="148" t="str">
        <f>IFERROR(__xludf.DUMMYFUNCTION("""COMPUTED_VALUE"""),"D&amp;C MEDIA")</f>
        <v>D&amp;C MEDIA</v>
      </c>
      <c r="B421" s="149"/>
      <c r="C421" s="92" t="str">
        <f>IFERROR(__xludf.DUMMYFUNCTION("""COMPUTED_VALUE"""),"必要")</f>
        <v>必要</v>
      </c>
      <c r="D421" s="152"/>
      <c r="E421" s="152"/>
      <c r="F421" s="150" t="str">
        <f>IFERROR(__xludf.DUMMYFUNCTION("""COMPUTED_VALUE"""),"必要")</f>
        <v>必要</v>
      </c>
      <c r="G421" s="154" t="str">
        <f>IFERROR(__xludf.DUMMYFUNCTION("""COMPUTED_VALUE"""),"(C)漫画家,原作者/会社名
■基本のC表記形式は上記だがタイトル毎に異なる為、SYS2参照  ")</f>
        <v>(C)漫画家,原作者/会社名
■基本のC表記形式は上記だがタイトル毎に異なる為、SYS2参照  </v>
      </c>
      <c r="H421" s="10"/>
      <c r="I421" s="14"/>
      <c r="J421" s="15"/>
      <c r="K421" s="16"/>
      <c r="L421" s="17"/>
      <c r="M421" s="17"/>
      <c r="N421" s="17"/>
      <c r="O421" s="17"/>
      <c r="P421" s="17"/>
      <c r="Q421" s="17"/>
      <c r="R421" s="17"/>
      <c r="S421" s="17"/>
      <c r="T421" s="17"/>
      <c r="U421" s="17"/>
      <c r="V421" s="17"/>
    </row>
    <row r="422" ht="45.75" customHeight="1">
      <c r="A422" s="148" t="str">
        <f>IFERROR(__xludf.DUMMYFUNCTION("""COMPUTED_VALUE"""),"1LDK")</f>
        <v>1LDK</v>
      </c>
      <c r="B422" s="149"/>
      <c r="C422" s="92" t="str">
        <f>IFERROR(__xludf.DUMMYFUNCTION("""COMPUTED_VALUE"""),"必要")</f>
        <v>必要</v>
      </c>
      <c r="D422" s="152"/>
      <c r="E422" s="152"/>
      <c r="F422" s="150" t="str">
        <f>IFERROR(__xludf.DUMMYFUNCTION("""COMPUTED_VALUE"""),"必要")</f>
        <v>必要</v>
      </c>
      <c r="G422" s="154" t="str">
        <f>IFERROR(__xludf.DUMMYFUNCTION("""COMPUTED_VALUE"""),"■C表記形式はタイトル毎に異なる為、都度確認
■書影のみのC表記要否：不要")</f>
        <v>■C表記形式はタイトル毎に異なる為、都度確認
■書影のみのC表記要否：不要</v>
      </c>
      <c r="H422" s="10"/>
      <c r="I422" s="14"/>
      <c r="J422" s="15"/>
      <c r="K422" s="16"/>
      <c r="L422" s="17"/>
      <c r="M422" s="17"/>
      <c r="N422" s="17"/>
      <c r="O422" s="17"/>
      <c r="P422" s="17"/>
      <c r="Q422" s="17"/>
      <c r="R422" s="17"/>
      <c r="S422" s="17"/>
      <c r="T422" s="17"/>
      <c r="U422" s="17"/>
      <c r="V422" s="17"/>
    </row>
    <row r="423" ht="45.75" customHeight="1">
      <c r="A423" s="148" t="str">
        <f>IFERROR(__xludf.DUMMYFUNCTION("""COMPUTED_VALUE"""),"TRIUMPH")</f>
        <v>TRIUMPH</v>
      </c>
      <c r="B423" s="149"/>
      <c r="C423" s="92" t="str">
        <f>IFERROR(__xludf.DUMMYFUNCTION("""COMPUTED_VALUE"""),"必要")</f>
        <v>必要</v>
      </c>
      <c r="D423" s="152"/>
      <c r="E423" s="152"/>
      <c r="F423" s="150" t="str">
        <f>IFERROR(__xludf.DUMMYFUNCTION("""COMPUTED_VALUE"""),"必要")</f>
        <v>必要</v>
      </c>
      <c r="G423" s="154" t="str">
        <f>IFERROR(__xludf.DUMMYFUNCTION("""COMPUTED_VALUE"""),"■C表記形式はタイトル毎に異なる為、都度確認
■書影のみのC表記要否：不要")</f>
        <v>■C表記形式はタイトル毎に異なる為、都度確認
■書影のみのC表記要否：不要</v>
      </c>
      <c r="H423" s="10"/>
      <c r="I423" s="14"/>
      <c r="J423" s="15"/>
      <c r="K423" s="16"/>
      <c r="L423" s="17"/>
      <c r="M423" s="17"/>
      <c r="N423" s="17"/>
      <c r="O423" s="17"/>
      <c r="P423" s="17"/>
      <c r="Q423" s="17"/>
      <c r="R423" s="17"/>
      <c r="S423" s="17"/>
      <c r="T423" s="17"/>
      <c r="U423" s="17"/>
      <c r="V423" s="17"/>
    </row>
    <row r="424" ht="45.75" customHeight="1">
      <c r="A424" s="148" t="str">
        <f>IFERROR(__xludf.DUMMYFUNCTION("""COMPUTED_VALUE"""),"STUDIO ZOON")</f>
        <v>STUDIO ZOON</v>
      </c>
      <c r="B424" s="149"/>
      <c r="C424" s="92" t="str">
        <f>IFERROR(__xludf.DUMMYFUNCTION("""COMPUTED_VALUE"""),"必要")</f>
        <v>必要</v>
      </c>
      <c r="D424" s="152"/>
      <c r="E424" s="152"/>
      <c r="F424" s="150" t="str">
        <f>IFERROR(__xludf.DUMMYFUNCTION("""COMPUTED_VALUE"""),"必要")</f>
        <v>必要</v>
      </c>
      <c r="G424" s="154" t="str">
        <f>IFERROR(__xludf.DUMMYFUNCTION("""COMPUTED_VALUE"""),"「作品名」©︎著者名/STUDIO ZOON
")</f>
        <v>「作品名」©︎著者名/STUDIO ZOON
</v>
      </c>
      <c r="H424" s="10"/>
      <c r="I424" s="14"/>
      <c r="J424" s="15"/>
      <c r="K424" s="16"/>
      <c r="L424" s="17"/>
      <c r="M424" s="17"/>
      <c r="N424" s="17"/>
      <c r="O424" s="17"/>
      <c r="P424" s="17"/>
      <c r="Q424" s="17"/>
      <c r="R424" s="17"/>
      <c r="S424" s="17"/>
      <c r="T424" s="17"/>
      <c r="U424" s="17"/>
      <c r="V424" s="17"/>
    </row>
    <row r="425" ht="45.75" customHeight="1">
      <c r="A425" s="148" t="str">
        <f>IFERROR(__xludf.DUMMYFUNCTION("""COMPUTED_VALUE"""),"BBB")</f>
        <v>BBB</v>
      </c>
      <c r="B425" s="149"/>
      <c r="C425" s="92" t="str">
        <f>IFERROR(__xludf.DUMMYFUNCTION("""COMPUTED_VALUE"""),"必要")</f>
        <v>必要</v>
      </c>
      <c r="D425" s="152"/>
      <c r="E425" s="152"/>
      <c r="F425" s="150" t="str">
        <f>IFERROR(__xludf.DUMMYFUNCTION("""COMPUTED_VALUE"""),"必要")</f>
        <v>必要</v>
      </c>
      <c r="G425" s="154" t="str">
        <f>IFERROR(__xludf.DUMMYFUNCTION("""COMPUTED_VALUE"""),"■C表記形式はタイトル毎に異なる為、都度確認 
■書影のみのC表記要否：不要")</f>
        <v>■C表記形式はタイトル毎に異なる為、都度確認 
■書影のみのC表記要否：不要</v>
      </c>
      <c r="H425" s="10"/>
      <c r="I425" s="14"/>
      <c r="J425" s="15"/>
      <c r="K425" s="16"/>
      <c r="L425" s="17"/>
      <c r="M425" s="17"/>
      <c r="N425" s="17"/>
      <c r="O425" s="17"/>
      <c r="P425" s="17"/>
      <c r="Q425" s="17"/>
      <c r="R425" s="17"/>
      <c r="S425" s="17"/>
      <c r="T425" s="17"/>
      <c r="U425" s="17"/>
      <c r="V425" s="17"/>
    </row>
    <row r="426" ht="45.75" customHeight="1">
      <c r="A426" s="148" t="str">
        <f>IFERROR(__xludf.DUMMYFUNCTION("""COMPUTED_VALUE"""),"MATA出版")</f>
        <v>MATA出版</v>
      </c>
      <c r="B426" s="149"/>
      <c r="C426" s="92" t="str">
        <f>IFERROR(__xludf.DUMMYFUNCTION("""COMPUTED_VALUE"""),"必要")</f>
        <v>必要</v>
      </c>
      <c r="D426" s="152"/>
      <c r="E426" s="152"/>
      <c r="F426" s="150" t="str">
        <f>IFERROR(__xludf.DUMMYFUNCTION("""COMPUTED_VALUE"""),"必要")</f>
        <v>必要</v>
      </c>
      <c r="G426" s="154" t="str">
        <f>IFERROR(__xludf.DUMMYFUNCTION("""COMPUTED_VALUE"""),"『タイトル』/©漫画家名/©原作者名/©レーベル名
※ /：半角スラッシュ")</f>
        <v>『タイトル』/©漫画家名/©原作者名/©レーベル名
※ /：半角スラッシュ</v>
      </c>
      <c r="H426" s="10"/>
      <c r="I426" s="14"/>
      <c r="J426" s="15"/>
      <c r="K426" s="16"/>
      <c r="L426" s="17"/>
      <c r="M426" s="17"/>
      <c r="N426" s="17"/>
      <c r="O426" s="17"/>
      <c r="P426" s="17"/>
      <c r="Q426" s="17"/>
      <c r="R426" s="17"/>
      <c r="S426" s="17"/>
      <c r="T426" s="17"/>
      <c r="U426" s="17"/>
      <c r="V426" s="17"/>
    </row>
    <row r="427" ht="45.75" customHeight="1">
      <c r="A427" s="148" t="str">
        <f>IFERROR(__xludf.DUMMYFUNCTION("""COMPUTED_VALUE"""),"Clappers")</f>
        <v>Clappers</v>
      </c>
      <c r="B427" s="149"/>
      <c r="C427" s="92" t="str">
        <f>IFERROR(__xludf.DUMMYFUNCTION("""COMPUTED_VALUE"""),"必要")</f>
        <v>必要</v>
      </c>
      <c r="D427" s="152"/>
      <c r="E427" s="152"/>
      <c r="F427" s="150" t="str">
        <f>IFERROR(__xludf.DUMMYFUNCTION("""COMPUTED_VALUE"""),"必要")</f>
        <v>必要</v>
      </c>
      <c r="G427" s="151" t="str">
        <f>IFERROR(__xludf.DUMMYFUNCTION("""COMPUTED_VALUE"""),"▼基本のコピーライト
「タイトル」©作家名/Clappers
※タイトル名に『』（二重カッコ）は使用しない")</f>
        <v>▼基本のコピーライト
「タイトル」©作家名/Clappers
※タイトル名に『』（二重カッコ）は使用しない</v>
      </c>
      <c r="H427" s="10"/>
      <c r="I427" s="14"/>
      <c r="J427" s="15"/>
      <c r="K427" s="16"/>
      <c r="L427" s="17"/>
      <c r="M427" s="17"/>
      <c r="N427" s="17"/>
      <c r="O427" s="17"/>
      <c r="P427" s="17"/>
      <c r="Q427" s="17"/>
      <c r="R427" s="17"/>
      <c r="S427" s="17"/>
      <c r="T427" s="17"/>
      <c r="U427" s="17"/>
      <c r="V427" s="17"/>
    </row>
    <row r="428">
      <c r="A428" s="148" t="str">
        <f>IFERROR(__xludf.DUMMYFUNCTION("""COMPUTED_VALUE"""),"ステインラボ")</f>
        <v>ステインラボ</v>
      </c>
      <c r="B428" s="149"/>
      <c r="C428" s="92" t="str">
        <f>IFERROR(__xludf.DUMMYFUNCTION("""COMPUTED_VALUE"""),"必要")</f>
        <v>必要</v>
      </c>
      <c r="D428" s="152"/>
      <c r="E428" s="152"/>
      <c r="F428" s="150" t="str">
        <f>IFERROR(__xludf.DUMMYFUNCTION("""COMPUTED_VALUE"""),"必要")</f>
        <v>必要</v>
      </c>
      <c r="G428" s="151" t="str">
        <f>IFERROR(__xludf.DUMMYFUNCTION("""COMPUTED_VALUE""")," (C)作画・原作/stainlab
  複数作品を使用の際は、使用作品順の著者名を「・」で区切って記載、 末尾に「/stainlab」を記載いただけますと幸いです。")</f>
        <v> (C)作画・原作/stainlab
  複数作品を使用の際は、使用作品順の著者名を「・」で区切って記載、 末尾に「/stainlab」を記載いただけますと幸いです。</v>
      </c>
      <c r="H428" s="10"/>
      <c r="I428" s="14"/>
      <c r="J428" s="15"/>
      <c r="K428" s="16"/>
      <c r="L428" s="17"/>
      <c r="M428" s="17"/>
      <c r="N428" s="17"/>
      <c r="O428" s="17"/>
      <c r="P428" s="17"/>
      <c r="Q428" s="17"/>
      <c r="R428" s="17"/>
      <c r="S428" s="17"/>
      <c r="T428" s="17"/>
      <c r="U428" s="17"/>
      <c r="V428" s="17"/>
    </row>
    <row r="429">
      <c r="A429" s="148" t="str">
        <f>IFERROR(__xludf.DUMMYFUNCTION("""COMPUTED_VALUE"""),"RapidBrain")</f>
        <v>RapidBrain</v>
      </c>
      <c r="B429" s="149"/>
      <c r="C429" s="150" t="str">
        <f>IFERROR(__xludf.DUMMYFUNCTION("""COMPUTED_VALUE"""),"不要")</f>
        <v>不要</v>
      </c>
      <c r="D429" s="152"/>
      <c r="E429" s="150" t="str">
        <f>IFERROR(__xludf.DUMMYFUNCTION("""COMPUTED_VALUE"""),"不要
※フキダシ移動含む")</f>
        <v>不要
※フキダシ移動含む</v>
      </c>
      <c r="F429" s="150" t="str">
        <f>IFERROR(__xludf.DUMMYFUNCTION("""COMPUTED_VALUE"""),"必要")</f>
        <v>必要</v>
      </c>
      <c r="G429" s="151" t="str">
        <f>IFERROR(__xludf.DUMMYFUNCTION("""COMPUTED_VALUE"""),"(C)作者名/RapidBrain")</f>
        <v>(C)作者名/RapidBrain</v>
      </c>
      <c r="H429" s="10"/>
      <c r="I429" s="14"/>
      <c r="J429" s="15"/>
      <c r="K429" s="16"/>
      <c r="L429" s="17"/>
      <c r="M429" s="17"/>
      <c r="N429" s="17"/>
      <c r="O429" s="17"/>
      <c r="P429" s="17"/>
      <c r="Q429" s="17"/>
      <c r="R429" s="17"/>
      <c r="S429" s="17"/>
      <c r="T429" s="17"/>
      <c r="U429" s="17"/>
      <c r="V429" s="17"/>
    </row>
    <row r="430">
      <c r="A430" s="148" t="str">
        <f>IFERROR(__xludf.DUMMYFUNCTION("""COMPUTED_VALUE"""),"風濤社（futohsha）")</f>
        <v>風濤社（futohsha）</v>
      </c>
      <c r="B430" s="149"/>
      <c r="C430" s="92" t="str">
        <f>IFERROR(__xludf.DUMMYFUNCTION("""COMPUTED_VALUE"""),"必要")</f>
        <v>必要</v>
      </c>
      <c r="D430" s="152"/>
      <c r="E430" s="152"/>
      <c r="F430" s="150" t="str">
        <f>IFERROR(__xludf.DUMMYFUNCTION("""COMPUTED_VALUE"""),"必要")</f>
        <v>必要</v>
      </c>
      <c r="G430" s="151" t="str">
        <f>IFERROR(__xludf.DUMMYFUNCTION("""COMPUTED_VALUE"""),"■C表記形式はタイトル毎に異なる為、SYS2参照  
■書影のみのC表記要否：不要")</f>
        <v>■C表記形式はタイトル毎に異なる為、SYS2参照  
■書影のみのC表記要否：不要</v>
      </c>
      <c r="H430" s="10"/>
      <c r="I430" s="14"/>
      <c r="J430" s="15"/>
      <c r="K430" s="16"/>
      <c r="L430" s="17"/>
      <c r="M430" s="17"/>
      <c r="N430" s="17"/>
      <c r="O430" s="17"/>
      <c r="P430" s="17"/>
      <c r="Q430" s="17"/>
      <c r="R430" s="17"/>
      <c r="S430" s="17"/>
      <c r="T430" s="17"/>
      <c r="U430" s="17"/>
      <c r="V430" s="17"/>
    </row>
    <row r="431">
      <c r="A431" s="148" t="str">
        <f>IFERROR(__xludf.DUMMYFUNCTION("""COMPUTED_VALUE"""),"幻冬舎")</f>
        <v>幻冬舎</v>
      </c>
      <c r="B431" s="149"/>
      <c r="C431" s="92" t="str">
        <f>IFERROR(__xludf.DUMMYFUNCTION("""COMPUTED_VALUE"""),"必要")</f>
        <v>必要</v>
      </c>
      <c r="D431" s="152"/>
      <c r="E431" s="152"/>
      <c r="F431" s="150" t="str">
        <f>IFERROR(__xludf.DUMMYFUNCTION("""COMPUTED_VALUE"""),"必要")</f>
        <v>必要</v>
      </c>
      <c r="G431" s="151" t="str">
        <f>IFERROR(__xludf.DUMMYFUNCTION("""COMPUTED_VALUE"""),"©著者名/幻冬舎
※１つのバナーに複数書影の場合「©著者名１・著者名２・著者名３/幻冬舎」
※コミックは違うので注意
※書影のみの場合でもC表記が必要")</f>
        <v>©著者名/幻冬舎
※１つのバナーに複数書影の場合「©著者名１・著者名２・著者名３/幻冬舎」
※コミックは違うので注意
※書影のみの場合でもC表記が必要</v>
      </c>
      <c r="H431" s="26" t="str">
        <f>IFERROR(__xludf.DUMMYFUNCTION("""COMPUTED_VALUE"""),"※「幻冬舎」と「幻冬舎コミックス」は別の扱いになります")</f>
        <v>※「幻冬舎」と「幻冬舎コミックス」は別の扱いになります</v>
      </c>
      <c r="I431" s="14"/>
      <c r="J431" s="15"/>
      <c r="K431" s="16"/>
      <c r="L431" s="17"/>
      <c r="M431" s="17"/>
      <c r="N431" s="17"/>
      <c r="O431" s="17"/>
      <c r="P431" s="17"/>
      <c r="Q431" s="17"/>
      <c r="R431" s="17"/>
      <c r="S431" s="17"/>
      <c r="T431" s="17"/>
      <c r="U431" s="17"/>
      <c r="V431" s="17"/>
    </row>
    <row r="432">
      <c r="A432" s="148" t="str">
        <f>IFERROR(__xludf.DUMMYFUNCTION("""COMPUTED_VALUE"""),"Sony Music Entertainment (Japan) Inc.")</f>
        <v>Sony Music Entertainment (Japan) Inc.</v>
      </c>
      <c r="B432" s="149"/>
      <c r="C432" s="92" t="str">
        <f>IFERROR(__xludf.DUMMYFUNCTION("""COMPUTED_VALUE"""),"必要")</f>
        <v>必要</v>
      </c>
      <c r="D432" s="152"/>
      <c r="E432" s="152"/>
      <c r="F432" s="150" t="str">
        <f>IFERROR(__xludf.DUMMYFUNCTION("""COMPUTED_VALUE"""),"必要")</f>
        <v>必要</v>
      </c>
      <c r="G432" s="151" t="str">
        <f>IFERROR(__xludf.DUMMYFUNCTION("""COMPUTED_VALUE"""),"(C)作家名/出版社名")</f>
        <v>(C)作家名/出版社名</v>
      </c>
      <c r="H432" s="10"/>
      <c r="I432" s="14"/>
      <c r="J432" s="15"/>
      <c r="K432" s="16"/>
      <c r="L432" s="17"/>
      <c r="M432" s="17"/>
      <c r="N432" s="17"/>
      <c r="O432" s="17"/>
      <c r="P432" s="17"/>
      <c r="Q432" s="17"/>
      <c r="R432" s="17"/>
      <c r="S432" s="17"/>
      <c r="T432" s="17"/>
      <c r="U432" s="17"/>
      <c r="V432" s="17"/>
    </row>
    <row r="433">
      <c r="A433" s="148" t="str">
        <f>IFERROR(__xludf.DUMMYFUNCTION("""COMPUTED_VALUE"""),"アルピス工房")</f>
        <v>アルピス工房</v>
      </c>
      <c r="B433" s="149"/>
      <c r="C433" s="92" t="str">
        <f>IFERROR(__xludf.DUMMYFUNCTION("""COMPUTED_VALUE"""),"必要")</f>
        <v>必要</v>
      </c>
      <c r="D433" s="152"/>
      <c r="E433" s="152"/>
      <c r="F433" s="150" t="str">
        <f>IFERROR(__xludf.DUMMYFUNCTION("""COMPUTED_VALUE"""),"必要")</f>
        <v>必要</v>
      </c>
      <c r="G433" s="151" t="str">
        <f>IFERROR(__xludf.DUMMYFUNCTION("""COMPUTED_VALUE"""),"(C)著者名/アルピス工房")</f>
        <v>(C)著者名/アルピス工房</v>
      </c>
      <c r="H433" s="10"/>
      <c r="I433" s="14"/>
      <c r="J433" s="15"/>
      <c r="K433" s="16"/>
      <c r="L433" s="17"/>
      <c r="M433" s="17"/>
      <c r="N433" s="17"/>
      <c r="O433" s="17"/>
      <c r="P433" s="17"/>
      <c r="Q433" s="17"/>
      <c r="R433" s="17"/>
      <c r="S433" s="17"/>
      <c r="T433" s="17"/>
      <c r="U433" s="17"/>
      <c r="V433" s="17"/>
    </row>
    <row r="434">
      <c r="A434" s="148" t="str">
        <f>IFERROR(__xludf.DUMMYFUNCTION("""COMPUTED_VALUE"""),"JTBパブリッシング")</f>
        <v>JTBパブリッシング</v>
      </c>
      <c r="B434" s="149"/>
      <c r="C434" s="92" t="str">
        <f>IFERROR(__xludf.DUMMYFUNCTION("""COMPUTED_VALUE"""),"必要")</f>
        <v>必要</v>
      </c>
      <c r="D434" s="152"/>
      <c r="E434" s="152"/>
      <c r="F434" s="152"/>
      <c r="G434" s="151" t="str">
        <f>IFERROR(__xludf.DUMMYFUNCTION("""COMPUTED_VALUE"""),"■「(C)著者名」の形式で、著者が複数名いる場合は「/」で区切る形で記載をお願いします。")</f>
        <v>■「(C)著者名」の形式で、著者が複数名いる場合は「/」で区切る形で記載をお願いします。</v>
      </c>
      <c r="H434" s="10"/>
      <c r="I434" s="14"/>
      <c r="J434" s="15"/>
      <c r="K434" s="16"/>
      <c r="L434" s="17"/>
      <c r="M434" s="17"/>
      <c r="N434" s="17"/>
      <c r="O434" s="17"/>
      <c r="P434" s="17"/>
      <c r="Q434" s="17"/>
      <c r="R434" s="17"/>
      <c r="S434" s="17"/>
      <c r="T434" s="17"/>
      <c r="U434" s="17"/>
      <c r="V434" s="17"/>
    </row>
    <row r="435">
      <c r="A435" s="148" t="str">
        <f>IFERROR(__xludf.DUMMYFUNCTION("""COMPUTED_VALUE"""),"ailoveproject")</f>
        <v>ailoveproject</v>
      </c>
      <c r="B435" s="149"/>
      <c r="C435" s="92" t="str">
        <f>IFERROR(__xludf.DUMMYFUNCTION("""COMPUTED_VALUE"""),"必要")</f>
        <v>必要</v>
      </c>
      <c r="D435" s="152"/>
      <c r="E435" s="152"/>
      <c r="F435" s="152"/>
      <c r="G435" s="151" t="str">
        <f>IFERROR(__xludf.DUMMYFUNCTION("""COMPUTED_VALUE"""),"(C)作家名/出版社名")</f>
        <v>(C)作家名/出版社名</v>
      </c>
      <c r="H435" s="10"/>
      <c r="I435" s="14"/>
      <c r="J435" s="15"/>
      <c r="K435" s="16"/>
      <c r="L435" s="17"/>
      <c r="M435" s="17"/>
      <c r="N435" s="17"/>
      <c r="O435" s="17"/>
      <c r="P435" s="17"/>
      <c r="Q435" s="17"/>
      <c r="R435" s="17"/>
      <c r="S435" s="17"/>
      <c r="T435" s="17"/>
      <c r="U435" s="17"/>
      <c r="V435" s="17"/>
    </row>
    <row r="436">
      <c r="A436" s="148" t="str">
        <f>IFERROR(__xludf.DUMMYFUNCTION("""COMPUTED_VALUE"""),"YLAB STUDIOS")</f>
        <v>YLAB STUDIOS</v>
      </c>
      <c r="B436" s="149"/>
      <c r="C436" s="92" t="str">
        <f>IFERROR(__xludf.DUMMYFUNCTION("""COMPUTED_VALUE"""),"必要")</f>
        <v>必要</v>
      </c>
      <c r="D436" s="152"/>
      <c r="E436" s="152"/>
      <c r="F436" s="152"/>
      <c r="G436" s="151" t="str">
        <f>IFERROR(__xludf.DUMMYFUNCTION("""COMPUTED_VALUE"""),"(C)YLAB,作家名")</f>
        <v>(C)YLAB,作家名</v>
      </c>
      <c r="H436" s="10"/>
      <c r="I436" s="14"/>
      <c r="J436" s="15"/>
      <c r="K436" s="16"/>
      <c r="L436" s="17"/>
      <c r="M436" s="17"/>
      <c r="N436" s="17"/>
      <c r="O436" s="17"/>
      <c r="P436" s="17"/>
      <c r="Q436" s="17"/>
      <c r="R436" s="17"/>
      <c r="S436" s="17"/>
      <c r="T436" s="17"/>
      <c r="U436" s="17"/>
      <c r="V436" s="17"/>
    </row>
    <row r="437">
      <c r="A437" s="148" t="str">
        <f>IFERROR(__xludf.DUMMYFUNCTION("""COMPUTED_VALUE"""),"ツギクル")</f>
        <v>ツギクル</v>
      </c>
      <c r="B437" s="149"/>
      <c r="C437" s="92" t="str">
        <f>IFERROR(__xludf.DUMMYFUNCTION("""COMPUTED_VALUE"""),"必要")</f>
        <v>必要</v>
      </c>
      <c r="D437" s="152"/>
      <c r="E437" s="152"/>
      <c r="F437" s="152"/>
      <c r="G437" s="154" t="str">
        <f>IFERROR(__xludf.DUMMYFUNCTION("""COMPUTED_VALUE"""),"■C表記形式はタイトル毎に異なる為、SYS2参照 
■書影のみのC表記要否：不要
2026/4/1～　SBクリエイティブへ吸収合併
過去分は修正不要、4/1以降はSBクリエイティブにて制作")</f>
        <v>■C表記形式はタイトル毎に異なる為、SYS2参照 
■書影のみのC表記要否：不要
2026/4/1～　SBクリエイティブへ吸収合併
過去分は修正不要、4/1以降はSBクリエイティブにて制作</v>
      </c>
      <c r="H437" s="159"/>
      <c r="I437" s="14"/>
      <c r="J437" s="15"/>
      <c r="K437" s="16"/>
      <c r="L437" s="17"/>
      <c r="M437" s="17"/>
      <c r="N437" s="17"/>
      <c r="O437" s="17"/>
      <c r="P437" s="17"/>
      <c r="Q437" s="17"/>
      <c r="R437" s="17"/>
      <c r="S437" s="17"/>
      <c r="T437" s="17"/>
      <c r="U437" s="17"/>
      <c r="V437" s="17"/>
    </row>
    <row r="438">
      <c r="A438" s="148" t="str">
        <f>IFERROR(__xludf.DUMMYFUNCTION("""COMPUTED_VALUE"""),"アミューズクリエイティブスタジオ")</f>
        <v>アミューズクリエイティブスタジオ</v>
      </c>
      <c r="B438" s="149"/>
      <c r="C438" s="150" t="str">
        <f>IFERROR(__xludf.DUMMYFUNCTION("""COMPUTED_VALUE"""),"不要")</f>
        <v>不要</v>
      </c>
      <c r="D438" s="152"/>
      <c r="E438" s="150" t="str">
        <f>IFERROR(__xludf.DUMMYFUNCTION("""COMPUTED_VALUE"""),"不要")</f>
        <v>不要</v>
      </c>
      <c r="F438" s="152"/>
      <c r="G438" s="151" t="str">
        <f>IFERROR(__xludf.DUMMYFUNCTION("""COMPUTED_VALUE"""),"＜基本形＞
(C)原作者名／AMUSE CREATIVE STUDIO
＜複数の場合＞
(C)原作者名／作画者名／AMUSE CREATIVE STUDIO")</f>
        <v>＜基本形＞
(C)原作者名／AMUSE CREATIVE STUDIO
＜複数の場合＞
(C)原作者名／作画者名／AMUSE CREATIVE STUDIO</v>
      </c>
      <c r="H438" s="26" t="str">
        <f>IFERROR(__xludf.DUMMYFUNCTION("""COMPUTED_VALUE"""),"※書影のみの場合はバナー許諾不要
事後共有要")</f>
        <v>※書影のみの場合はバナー許諾不要
事後共有要</v>
      </c>
      <c r="I438" s="14"/>
      <c r="J438" s="15"/>
      <c r="K438" s="16"/>
      <c r="L438" s="17"/>
      <c r="M438" s="17"/>
      <c r="N438" s="17"/>
      <c r="O438" s="17"/>
      <c r="P438" s="17"/>
      <c r="Q438" s="17"/>
      <c r="R438" s="17"/>
      <c r="S438" s="17"/>
      <c r="T438" s="17"/>
      <c r="U438" s="17"/>
      <c r="V438" s="17"/>
    </row>
    <row r="439">
      <c r="A439" s="148" t="str">
        <f>IFERROR(__xludf.DUMMYFUNCTION("""COMPUTED_VALUE"""),"Studio Number Zero")</f>
        <v>Studio Number Zero</v>
      </c>
      <c r="B439" s="149"/>
      <c r="C439" s="92" t="str">
        <f>IFERROR(__xludf.DUMMYFUNCTION("""COMPUTED_VALUE"""),"必要")</f>
        <v>必要</v>
      </c>
      <c r="D439" s="152"/>
      <c r="E439" s="152"/>
      <c r="F439" s="152"/>
      <c r="G439" s="151" t="str">
        <f>IFERROR(__xludf.DUMMYFUNCTION("""COMPUTED_VALUE"""),"©脚色者名, 作画者名, 原作者名 / STUDIO NUMBER ZERO")</f>
        <v>©脚色者名, 作画者名, 原作者名 / STUDIO NUMBER ZERO</v>
      </c>
      <c r="H439" s="10"/>
      <c r="I439" s="14"/>
      <c r="J439" s="15"/>
      <c r="K439" s="16"/>
      <c r="L439" s="17"/>
      <c r="M439" s="17"/>
      <c r="N439" s="17"/>
      <c r="O439" s="17"/>
      <c r="P439" s="17"/>
      <c r="Q439" s="17"/>
      <c r="R439" s="17"/>
      <c r="S439" s="17"/>
      <c r="T439" s="17"/>
      <c r="U439" s="17"/>
      <c r="V439" s="17"/>
    </row>
    <row r="440">
      <c r="A440" s="148" t="str">
        <f>IFERROR(__xludf.DUMMYFUNCTION("""COMPUTED_VALUE"""),"CREATEIVE HORIZON	")</f>
        <v>CREATEIVE HORIZON	</v>
      </c>
      <c r="B440" s="149"/>
      <c r="C440" s="92" t="str">
        <f>IFERROR(__xludf.DUMMYFUNCTION("""COMPUTED_VALUE"""),"必要")</f>
        <v>必要</v>
      </c>
      <c r="D440" s="152"/>
      <c r="E440" s="152"/>
      <c r="F440" s="152"/>
      <c r="G440" s="151" t="str">
        <f>IFERROR(__xludf.DUMMYFUNCTION("""COMPUTED_VALUE"""),"(C)漫画家,原作者/会社名")</f>
        <v>(C)漫画家,原作者/会社名</v>
      </c>
      <c r="H440" s="10"/>
      <c r="I440" s="14"/>
      <c r="J440" s="15"/>
      <c r="K440" s="16"/>
      <c r="L440" s="17"/>
      <c r="M440" s="17"/>
      <c r="N440" s="17"/>
      <c r="O440" s="17"/>
      <c r="P440" s="17"/>
      <c r="Q440" s="17"/>
      <c r="R440" s="17"/>
      <c r="S440" s="17"/>
      <c r="T440" s="17"/>
      <c r="U440" s="17"/>
      <c r="V440" s="17"/>
    </row>
    <row r="441">
      <c r="A441" s="148" t="str">
        <f>IFERROR(__xludf.DUMMYFUNCTION("""COMPUTED_VALUE"""),"スタンダード（リミナル出版）")</f>
        <v>スタンダード（リミナル出版）</v>
      </c>
      <c r="B441" s="149"/>
      <c r="C441" s="150" t="str">
        <f>IFERROR(__xludf.DUMMYFUNCTION("""COMPUTED_VALUE"""),"不要")</f>
        <v>不要</v>
      </c>
      <c r="D441" s="152"/>
      <c r="E441" s="150" t="str">
        <f>IFERROR(__xludf.DUMMYFUNCTION("""COMPUTED_VALUE"""),"不要")</f>
        <v>不要</v>
      </c>
      <c r="F441" s="152"/>
      <c r="G441" s="151" t="str">
        <f>IFERROR(__xludf.DUMMYFUNCTION("""COMPUTED_VALUE"""),"(C)作者名/レーベル名")</f>
        <v>(C)作者名/レーベル名</v>
      </c>
      <c r="H441" s="10"/>
      <c r="I441" s="14"/>
      <c r="J441" s="15"/>
      <c r="K441" s="16"/>
      <c r="L441" s="17"/>
      <c r="M441" s="17"/>
      <c r="N441" s="17"/>
      <c r="O441" s="17"/>
      <c r="P441" s="17"/>
      <c r="Q441" s="17"/>
      <c r="R441" s="17"/>
      <c r="S441" s="17"/>
      <c r="T441" s="17"/>
      <c r="U441" s="17"/>
      <c r="V441" s="17"/>
    </row>
    <row r="442">
      <c r="A442" s="148" t="str">
        <f>IFERROR(__xludf.DUMMYFUNCTION("""COMPUTED_VALUE"""),"ばたぁさんど")</f>
        <v>ばたぁさんど</v>
      </c>
      <c r="B442" s="149"/>
      <c r="C442" s="92" t="str">
        <f>IFERROR(__xludf.DUMMYFUNCTION("""COMPUTED_VALUE"""),"必要")</f>
        <v>必要</v>
      </c>
      <c r="D442" s="152"/>
      <c r="E442" s="152"/>
      <c r="F442" s="152"/>
      <c r="G442" s="151" t="str">
        <f>IFERROR(__xludf.DUMMYFUNCTION("""COMPUTED_VALUE"""),"■C表記形式はタイトル毎に異なる為、SYS2参照  
■書影のみのC表記要否：不要")</f>
        <v>■C表記形式はタイトル毎に異なる為、SYS2参照  
■書影のみのC表記要否：不要</v>
      </c>
      <c r="H442" s="10"/>
      <c r="I442" s="14"/>
      <c r="J442" s="15"/>
      <c r="K442" s="16"/>
      <c r="L442" s="17"/>
      <c r="M442" s="17"/>
      <c r="N442" s="17"/>
      <c r="O442" s="17"/>
      <c r="P442" s="17"/>
      <c r="Q442" s="17"/>
      <c r="R442" s="17"/>
      <c r="S442" s="17"/>
      <c r="T442" s="17"/>
      <c r="U442" s="17"/>
      <c r="V442" s="17"/>
    </row>
    <row r="443">
      <c r="A443" s="148" t="str">
        <f>IFERROR(__xludf.DUMMYFUNCTION("""COMPUTED_VALUE"""),"コミックダイス")</f>
        <v>コミックダイス</v>
      </c>
      <c r="B443" s="149"/>
      <c r="C443" s="92" t="str">
        <f>IFERROR(__xludf.DUMMYFUNCTION("""COMPUTED_VALUE"""),"必要")</f>
        <v>必要</v>
      </c>
      <c r="D443" s="152"/>
      <c r="E443" s="152"/>
      <c r="F443" s="152"/>
      <c r="G443" s="151" t="str">
        <f>IFERROR(__xludf.DUMMYFUNCTION("""COMPUTED_VALUE"""),"書誌情報に記載のコピーライトを使用")</f>
        <v>書誌情報に記載のコピーライトを使用</v>
      </c>
      <c r="H443" s="10"/>
      <c r="I443" s="14"/>
      <c r="J443" s="15"/>
      <c r="K443" s="16"/>
      <c r="L443" s="17"/>
      <c r="M443" s="17"/>
      <c r="N443" s="17"/>
      <c r="O443" s="17"/>
      <c r="P443" s="17"/>
      <c r="Q443" s="17"/>
      <c r="R443" s="17"/>
      <c r="S443" s="17"/>
      <c r="T443" s="17"/>
      <c r="U443" s="17"/>
      <c r="V443" s="17"/>
    </row>
    <row r="444">
      <c r="A444" s="168"/>
      <c r="B444" s="149"/>
      <c r="C444" s="152"/>
      <c r="D444" s="152"/>
      <c r="E444" s="152"/>
      <c r="F444" s="152"/>
      <c r="G444" s="157"/>
      <c r="H444" s="10"/>
      <c r="I444" s="14"/>
      <c r="J444" s="15"/>
      <c r="K444" s="16"/>
      <c r="L444" s="17"/>
      <c r="M444" s="17"/>
      <c r="N444" s="17"/>
      <c r="O444" s="17"/>
      <c r="P444" s="17"/>
      <c r="Q444" s="17"/>
      <c r="R444" s="17"/>
      <c r="S444" s="17"/>
      <c r="T444" s="17"/>
      <c r="U444" s="17"/>
      <c r="V444" s="17"/>
    </row>
    <row r="445">
      <c r="A445" s="168"/>
      <c r="B445" s="149"/>
      <c r="C445" s="152"/>
      <c r="D445" s="152"/>
      <c r="E445" s="152"/>
      <c r="F445" s="152"/>
      <c r="G445" s="157"/>
      <c r="H445" s="10"/>
      <c r="I445" s="14"/>
      <c r="J445" s="15"/>
      <c r="K445" s="16"/>
      <c r="L445" s="17"/>
      <c r="M445" s="17"/>
      <c r="N445" s="17"/>
      <c r="O445" s="17"/>
      <c r="P445" s="17"/>
      <c r="Q445" s="17"/>
      <c r="R445" s="17"/>
      <c r="S445" s="17"/>
      <c r="T445" s="17"/>
      <c r="U445" s="17"/>
      <c r="V445" s="17"/>
    </row>
    <row r="446">
      <c r="A446" s="168"/>
      <c r="B446" s="149"/>
      <c r="C446" s="152"/>
      <c r="D446" s="152"/>
      <c r="E446" s="152"/>
      <c r="F446" s="152"/>
      <c r="G446" s="157"/>
      <c r="H446" s="10"/>
      <c r="I446" s="14"/>
      <c r="J446" s="15"/>
      <c r="K446" s="16"/>
      <c r="L446" s="17"/>
      <c r="M446" s="17"/>
      <c r="N446" s="17"/>
      <c r="O446" s="17"/>
      <c r="P446" s="17"/>
      <c r="Q446" s="17"/>
      <c r="R446" s="17"/>
      <c r="S446" s="17"/>
      <c r="T446" s="17"/>
      <c r="U446" s="17"/>
      <c r="V446" s="17"/>
    </row>
    <row r="447">
      <c r="A447" s="168"/>
      <c r="B447" s="149"/>
      <c r="C447" s="152"/>
      <c r="D447" s="152"/>
      <c r="E447" s="152"/>
      <c r="F447" s="152"/>
      <c r="G447" s="157"/>
      <c r="H447" s="10"/>
      <c r="I447" s="14"/>
      <c r="J447" s="15"/>
      <c r="K447" s="16"/>
      <c r="L447" s="17"/>
      <c r="M447" s="17"/>
      <c r="N447" s="17"/>
      <c r="O447" s="17"/>
      <c r="P447" s="17"/>
      <c r="Q447" s="17"/>
      <c r="R447" s="17"/>
      <c r="S447" s="17"/>
      <c r="T447" s="17"/>
      <c r="U447" s="17"/>
      <c r="V447" s="17"/>
    </row>
    <row r="448">
      <c r="A448" s="168"/>
      <c r="B448" s="149"/>
      <c r="C448" s="152"/>
      <c r="D448" s="152"/>
      <c r="E448" s="152"/>
      <c r="F448" s="152"/>
      <c r="G448" s="157"/>
      <c r="H448" s="10"/>
      <c r="I448" s="14"/>
      <c r="J448" s="15"/>
      <c r="K448" s="16"/>
      <c r="L448" s="17"/>
      <c r="M448" s="17"/>
      <c r="N448" s="17"/>
      <c r="O448" s="17"/>
      <c r="P448" s="17"/>
      <c r="Q448" s="17"/>
      <c r="R448" s="17"/>
      <c r="S448" s="17"/>
      <c r="T448" s="17"/>
      <c r="U448" s="17"/>
      <c r="V448" s="17"/>
    </row>
    <row r="449">
      <c r="A449" s="168"/>
      <c r="B449" s="149"/>
      <c r="C449" s="152"/>
      <c r="D449" s="152"/>
      <c r="E449" s="152"/>
      <c r="F449" s="152"/>
      <c r="G449" s="157"/>
      <c r="H449" s="10"/>
      <c r="I449" s="14"/>
      <c r="J449" s="15"/>
      <c r="K449" s="16"/>
      <c r="L449" s="17"/>
      <c r="M449" s="17"/>
      <c r="N449" s="17"/>
      <c r="O449" s="17"/>
      <c r="P449" s="17"/>
      <c r="Q449" s="17"/>
      <c r="R449" s="17"/>
      <c r="S449" s="17"/>
      <c r="T449" s="17"/>
      <c r="U449" s="17"/>
      <c r="V449" s="17"/>
    </row>
    <row r="450">
      <c r="A450" s="168"/>
      <c r="B450" s="149"/>
      <c r="C450" s="152"/>
      <c r="D450" s="152"/>
      <c r="E450" s="152"/>
      <c r="F450" s="152"/>
      <c r="G450" s="157"/>
      <c r="H450" s="10"/>
      <c r="I450" s="14"/>
      <c r="J450" s="15"/>
      <c r="K450" s="16"/>
      <c r="L450" s="17"/>
      <c r="M450" s="17"/>
      <c r="N450" s="17"/>
      <c r="O450" s="17"/>
      <c r="P450" s="17"/>
      <c r="Q450" s="17"/>
      <c r="R450" s="17"/>
      <c r="S450" s="17"/>
      <c r="T450" s="17"/>
      <c r="U450" s="17"/>
      <c r="V450" s="17"/>
    </row>
    <row r="451">
      <c r="A451" s="168"/>
      <c r="B451" s="149"/>
      <c r="C451" s="152"/>
      <c r="D451" s="152"/>
      <c r="E451" s="152"/>
      <c r="F451" s="152"/>
      <c r="G451" s="157"/>
      <c r="H451" s="10"/>
      <c r="I451" s="14"/>
      <c r="J451" s="15"/>
      <c r="K451" s="16"/>
      <c r="L451" s="17"/>
      <c r="M451" s="17"/>
      <c r="N451" s="17"/>
      <c r="O451" s="17"/>
      <c r="P451" s="17"/>
      <c r="Q451" s="17"/>
      <c r="R451" s="17"/>
      <c r="S451" s="17"/>
      <c r="T451" s="17"/>
      <c r="U451" s="17"/>
      <c r="V451" s="17"/>
    </row>
    <row r="452">
      <c r="A452" s="168"/>
      <c r="B452" s="149"/>
      <c r="C452" s="152"/>
      <c r="D452" s="152"/>
      <c r="E452" s="152"/>
      <c r="F452" s="152"/>
      <c r="G452" s="157"/>
      <c r="H452" s="10"/>
      <c r="I452" s="14"/>
      <c r="J452" s="15"/>
      <c r="K452" s="16"/>
      <c r="L452" s="17"/>
      <c r="M452" s="17"/>
      <c r="N452" s="17"/>
      <c r="O452" s="17"/>
      <c r="P452" s="17"/>
      <c r="Q452" s="17"/>
      <c r="R452" s="17"/>
      <c r="S452" s="17"/>
      <c r="T452" s="17"/>
      <c r="U452" s="17"/>
      <c r="V452" s="17"/>
    </row>
    <row r="453">
      <c r="A453" s="168"/>
      <c r="B453" s="149"/>
      <c r="C453" s="152"/>
      <c r="D453" s="152"/>
      <c r="E453" s="152"/>
      <c r="F453" s="152"/>
      <c r="G453" s="157"/>
      <c r="H453" s="10"/>
      <c r="I453" s="14"/>
      <c r="J453" s="15"/>
      <c r="K453" s="16"/>
      <c r="L453" s="17"/>
      <c r="M453" s="17"/>
      <c r="N453" s="17"/>
      <c r="O453" s="17"/>
      <c r="P453" s="17"/>
      <c r="Q453" s="17"/>
      <c r="R453" s="17"/>
      <c r="S453" s="17"/>
      <c r="T453" s="17"/>
      <c r="U453" s="17"/>
      <c r="V453" s="17"/>
    </row>
    <row r="454">
      <c r="A454" s="168"/>
      <c r="B454" s="149"/>
      <c r="C454" s="152"/>
      <c r="D454" s="152"/>
      <c r="E454" s="152"/>
      <c r="F454" s="152"/>
      <c r="G454" s="157"/>
      <c r="H454" s="10"/>
      <c r="I454" s="14"/>
      <c r="J454" s="15"/>
      <c r="K454" s="16"/>
      <c r="L454" s="17"/>
      <c r="M454" s="17"/>
      <c r="N454" s="17"/>
      <c r="O454" s="17"/>
      <c r="P454" s="17"/>
      <c r="Q454" s="17"/>
      <c r="R454" s="17"/>
      <c r="S454" s="17"/>
      <c r="T454" s="17"/>
      <c r="U454" s="17"/>
      <c r="V454" s="17"/>
    </row>
    <row r="455">
      <c r="A455" s="168"/>
      <c r="B455" s="149"/>
      <c r="C455" s="152"/>
      <c r="D455" s="152"/>
      <c r="E455" s="152"/>
      <c r="F455" s="152"/>
      <c r="G455" s="157"/>
      <c r="H455" s="10"/>
      <c r="I455" s="14"/>
      <c r="J455" s="15"/>
      <c r="K455" s="16"/>
      <c r="L455" s="17"/>
      <c r="M455" s="17"/>
      <c r="N455" s="17"/>
      <c r="O455" s="17"/>
      <c r="P455" s="17"/>
      <c r="Q455" s="17"/>
      <c r="R455" s="17"/>
      <c r="S455" s="17"/>
      <c r="T455" s="17"/>
      <c r="U455" s="17"/>
      <c r="V455" s="17"/>
    </row>
    <row r="456">
      <c r="A456" s="168"/>
      <c r="B456" s="149"/>
      <c r="C456" s="152"/>
      <c r="D456" s="152"/>
      <c r="E456" s="152"/>
      <c r="F456" s="152"/>
      <c r="G456" s="157"/>
      <c r="H456" s="10"/>
      <c r="I456" s="14"/>
      <c r="J456" s="15"/>
      <c r="K456" s="16"/>
      <c r="L456" s="17"/>
      <c r="M456" s="17"/>
      <c r="N456" s="17"/>
      <c r="O456" s="17"/>
      <c r="P456" s="17"/>
      <c r="Q456" s="17"/>
      <c r="R456" s="17"/>
      <c r="S456" s="17"/>
      <c r="T456" s="17"/>
      <c r="U456" s="17"/>
      <c r="V456" s="17"/>
    </row>
    <row r="457">
      <c r="A457" s="168"/>
      <c r="B457" s="149"/>
      <c r="C457" s="152"/>
      <c r="D457" s="152"/>
      <c r="E457" s="152"/>
      <c r="F457" s="152"/>
      <c r="G457" s="157"/>
      <c r="H457" s="10"/>
      <c r="I457" s="14"/>
      <c r="J457" s="15"/>
      <c r="K457" s="16"/>
      <c r="L457" s="17"/>
      <c r="M457" s="17"/>
      <c r="N457" s="17"/>
      <c r="O457" s="17"/>
      <c r="P457" s="17"/>
      <c r="Q457" s="17"/>
      <c r="R457" s="17"/>
      <c r="S457" s="17"/>
      <c r="T457" s="17"/>
      <c r="U457" s="17"/>
      <c r="V457" s="17"/>
    </row>
    <row r="458">
      <c r="A458" s="168"/>
      <c r="B458" s="149"/>
      <c r="C458" s="152"/>
      <c r="D458" s="152"/>
      <c r="E458" s="152"/>
      <c r="F458" s="152"/>
      <c r="G458" s="157"/>
      <c r="H458" s="10"/>
      <c r="I458" s="14"/>
      <c r="J458" s="15"/>
      <c r="K458" s="16"/>
      <c r="L458" s="17"/>
      <c r="M458" s="17"/>
      <c r="N458" s="17"/>
      <c r="O458" s="17"/>
      <c r="P458" s="17"/>
      <c r="Q458" s="17"/>
      <c r="R458" s="17"/>
      <c r="S458" s="17"/>
      <c r="T458" s="17"/>
      <c r="U458" s="17"/>
      <c r="V458" s="17"/>
    </row>
    <row r="459">
      <c r="A459" s="168"/>
      <c r="B459" s="149"/>
      <c r="C459" s="152"/>
      <c r="D459" s="152"/>
      <c r="E459" s="152"/>
      <c r="F459" s="152"/>
      <c r="G459" s="157"/>
      <c r="H459" s="10"/>
      <c r="I459" s="14"/>
      <c r="J459" s="15"/>
      <c r="K459" s="16"/>
      <c r="L459" s="17"/>
      <c r="M459" s="17"/>
      <c r="N459" s="17"/>
      <c r="O459" s="17"/>
      <c r="P459" s="17"/>
      <c r="Q459" s="17"/>
      <c r="R459" s="17"/>
      <c r="S459" s="17"/>
      <c r="T459" s="17"/>
      <c r="U459" s="17"/>
      <c r="V459" s="17"/>
    </row>
    <row r="460">
      <c r="A460" s="168"/>
      <c r="B460" s="149"/>
      <c r="C460" s="152"/>
      <c r="D460" s="152"/>
      <c r="E460" s="152"/>
      <c r="F460" s="152"/>
      <c r="G460" s="157"/>
      <c r="H460" s="10"/>
      <c r="I460" s="14"/>
      <c r="J460" s="15"/>
      <c r="K460" s="16"/>
      <c r="L460" s="17"/>
      <c r="M460" s="17"/>
      <c r="N460" s="17"/>
      <c r="O460" s="17"/>
      <c r="P460" s="17"/>
      <c r="Q460" s="17"/>
      <c r="R460" s="17"/>
      <c r="S460" s="17"/>
      <c r="T460" s="17"/>
      <c r="U460" s="17"/>
      <c r="V460" s="17"/>
    </row>
    <row r="461">
      <c r="A461" s="168"/>
      <c r="B461" s="149"/>
      <c r="C461" s="152"/>
      <c r="D461" s="152"/>
      <c r="E461" s="152"/>
      <c r="F461" s="152"/>
      <c r="G461" s="157"/>
      <c r="H461" s="10"/>
      <c r="I461" s="14"/>
      <c r="J461" s="15"/>
      <c r="K461" s="16"/>
      <c r="L461" s="17"/>
      <c r="M461" s="17"/>
      <c r="N461" s="17"/>
      <c r="O461" s="17"/>
      <c r="P461" s="17"/>
      <c r="Q461" s="17"/>
      <c r="R461" s="17"/>
      <c r="S461" s="17"/>
      <c r="T461" s="17"/>
      <c r="U461" s="17"/>
      <c r="V461" s="17"/>
    </row>
    <row r="462">
      <c r="A462" s="168"/>
      <c r="B462" s="149"/>
      <c r="C462" s="152"/>
      <c r="D462" s="152"/>
      <c r="E462" s="152"/>
      <c r="F462" s="152"/>
      <c r="G462" s="157"/>
      <c r="H462" s="10"/>
      <c r="I462" s="14"/>
      <c r="J462" s="15"/>
      <c r="K462" s="16"/>
      <c r="L462" s="17"/>
      <c r="M462" s="17"/>
      <c r="N462" s="17"/>
      <c r="O462" s="17"/>
      <c r="P462" s="17"/>
      <c r="Q462" s="17"/>
      <c r="R462" s="17"/>
      <c r="S462" s="17"/>
      <c r="T462" s="17"/>
      <c r="U462" s="17"/>
      <c r="V462" s="17"/>
    </row>
    <row r="463">
      <c r="A463" s="168"/>
      <c r="B463" s="149"/>
      <c r="C463" s="152"/>
      <c r="D463" s="152"/>
      <c r="E463" s="152"/>
      <c r="F463" s="152"/>
      <c r="G463" s="157"/>
      <c r="H463" s="10"/>
      <c r="I463" s="14"/>
      <c r="J463" s="15"/>
      <c r="K463" s="16"/>
      <c r="L463" s="17"/>
      <c r="M463" s="17"/>
      <c r="N463" s="17"/>
      <c r="O463" s="17"/>
      <c r="P463" s="17"/>
      <c r="Q463" s="17"/>
      <c r="R463" s="17"/>
      <c r="S463" s="17"/>
      <c r="T463" s="17"/>
      <c r="U463" s="17"/>
      <c r="V463" s="17"/>
    </row>
    <row r="464">
      <c r="A464" s="168"/>
      <c r="B464" s="149"/>
      <c r="C464" s="152"/>
      <c r="D464" s="152"/>
      <c r="E464" s="152"/>
      <c r="F464" s="152"/>
      <c r="G464" s="157"/>
      <c r="H464" s="10"/>
      <c r="I464" s="14"/>
      <c r="J464" s="15"/>
      <c r="K464" s="16"/>
      <c r="L464" s="17"/>
      <c r="M464" s="17"/>
      <c r="N464" s="17"/>
      <c r="O464" s="17"/>
      <c r="P464" s="17"/>
      <c r="Q464" s="17"/>
      <c r="R464" s="17"/>
      <c r="S464" s="17"/>
      <c r="T464" s="17"/>
      <c r="U464" s="17"/>
      <c r="V464" s="17"/>
    </row>
    <row r="465">
      <c r="A465" s="168"/>
      <c r="B465" s="149"/>
      <c r="C465" s="152"/>
      <c r="D465" s="152"/>
      <c r="E465" s="152"/>
      <c r="F465" s="152"/>
      <c r="G465" s="157"/>
      <c r="H465" s="10"/>
      <c r="I465" s="14"/>
      <c r="J465" s="15"/>
      <c r="K465" s="16"/>
      <c r="L465" s="17"/>
      <c r="M465" s="17"/>
      <c r="N465" s="17"/>
      <c r="O465" s="17"/>
      <c r="P465" s="17"/>
      <c r="Q465" s="17"/>
      <c r="R465" s="17"/>
      <c r="S465" s="17"/>
      <c r="T465" s="17"/>
      <c r="U465" s="17"/>
      <c r="V465" s="17"/>
    </row>
    <row r="466">
      <c r="A466" s="168"/>
      <c r="B466" s="149"/>
      <c r="C466" s="152"/>
      <c r="D466" s="152"/>
      <c r="E466" s="152"/>
      <c r="F466" s="152"/>
      <c r="G466" s="157"/>
      <c r="H466" s="10"/>
      <c r="I466" s="14"/>
      <c r="J466" s="15"/>
      <c r="K466" s="16"/>
      <c r="L466" s="17"/>
      <c r="M466" s="17"/>
      <c r="N466" s="17"/>
      <c r="O466" s="17"/>
      <c r="P466" s="17"/>
      <c r="Q466" s="17"/>
      <c r="R466" s="17"/>
      <c r="S466" s="17"/>
      <c r="T466" s="17"/>
      <c r="U466" s="17"/>
      <c r="V466" s="17"/>
    </row>
    <row r="467">
      <c r="A467" s="168"/>
      <c r="B467" s="149"/>
      <c r="C467" s="152"/>
      <c r="D467" s="152"/>
      <c r="E467" s="152"/>
      <c r="F467" s="152"/>
      <c r="G467" s="157"/>
      <c r="H467" s="10"/>
      <c r="I467" s="14"/>
      <c r="J467" s="15"/>
      <c r="K467" s="16"/>
      <c r="L467" s="17"/>
      <c r="M467" s="17"/>
      <c r="N467" s="17"/>
      <c r="O467" s="17"/>
      <c r="P467" s="17"/>
      <c r="Q467" s="17"/>
      <c r="R467" s="17"/>
      <c r="S467" s="17"/>
      <c r="T467" s="17"/>
      <c r="U467" s="17"/>
      <c r="V467" s="17"/>
    </row>
    <row r="468">
      <c r="A468" s="168"/>
      <c r="B468" s="149"/>
      <c r="C468" s="152"/>
      <c r="D468" s="152"/>
      <c r="E468" s="152"/>
      <c r="F468" s="152"/>
      <c r="G468" s="157"/>
      <c r="H468" s="10"/>
      <c r="I468" s="14"/>
      <c r="J468" s="15"/>
      <c r="K468" s="16"/>
      <c r="L468" s="17"/>
      <c r="M468" s="17"/>
      <c r="N468" s="17"/>
      <c r="O468" s="17"/>
      <c r="P468" s="17"/>
      <c r="Q468" s="17"/>
      <c r="R468" s="17"/>
      <c r="S468" s="17"/>
      <c r="T468" s="17"/>
      <c r="U468" s="17"/>
      <c r="V468" s="17"/>
    </row>
    <row r="469">
      <c r="A469" s="168"/>
      <c r="B469" s="149"/>
      <c r="C469" s="152"/>
      <c r="D469" s="152"/>
      <c r="E469" s="152"/>
      <c r="F469" s="152"/>
      <c r="G469" s="157"/>
      <c r="H469" s="10"/>
      <c r="I469" s="14"/>
      <c r="J469" s="15"/>
      <c r="K469" s="16"/>
      <c r="L469" s="17"/>
      <c r="M469" s="17"/>
      <c r="N469" s="17"/>
      <c r="O469" s="17"/>
      <c r="P469" s="17"/>
      <c r="Q469" s="17"/>
      <c r="R469" s="17"/>
      <c r="S469" s="17"/>
      <c r="T469" s="17"/>
      <c r="U469" s="17"/>
      <c r="V469" s="17"/>
    </row>
    <row r="470">
      <c r="A470" s="168"/>
      <c r="B470" s="149"/>
      <c r="C470" s="152"/>
      <c r="D470" s="152"/>
      <c r="E470" s="152"/>
      <c r="F470" s="152"/>
      <c r="G470" s="157"/>
      <c r="H470" s="10"/>
      <c r="I470" s="14"/>
      <c r="J470" s="15"/>
      <c r="K470" s="16"/>
      <c r="L470" s="17"/>
      <c r="M470" s="17"/>
      <c r="N470" s="17"/>
      <c r="O470" s="17"/>
      <c r="P470" s="17"/>
      <c r="Q470" s="17"/>
      <c r="R470" s="17"/>
      <c r="S470" s="17"/>
      <c r="T470" s="17"/>
      <c r="U470" s="17"/>
      <c r="V470" s="17"/>
    </row>
    <row r="471">
      <c r="A471" s="168"/>
      <c r="B471" s="149"/>
      <c r="C471" s="152"/>
      <c r="D471" s="152"/>
      <c r="E471" s="152"/>
      <c r="F471" s="152"/>
      <c r="G471" s="157"/>
      <c r="H471" s="10"/>
      <c r="I471" s="14"/>
      <c r="J471" s="15"/>
      <c r="K471" s="16"/>
      <c r="L471" s="17"/>
      <c r="M471" s="17"/>
      <c r="N471" s="17"/>
      <c r="O471" s="17"/>
      <c r="P471" s="17"/>
      <c r="Q471" s="17"/>
      <c r="R471" s="17"/>
      <c r="S471" s="17"/>
      <c r="T471" s="17"/>
      <c r="U471" s="17"/>
      <c r="V471" s="17"/>
    </row>
    <row r="472">
      <c r="A472" s="168"/>
      <c r="B472" s="149"/>
      <c r="C472" s="152"/>
      <c r="D472" s="152"/>
      <c r="E472" s="152"/>
      <c r="F472" s="152"/>
      <c r="G472" s="157"/>
      <c r="H472" s="10"/>
      <c r="I472" s="14"/>
      <c r="J472" s="15"/>
      <c r="K472" s="16"/>
      <c r="L472" s="17"/>
      <c r="M472" s="17"/>
      <c r="N472" s="17"/>
      <c r="O472" s="17"/>
      <c r="P472" s="17"/>
      <c r="Q472" s="17"/>
      <c r="R472" s="17"/>
      <c r="S472" s="17"/>
      <c r="T472" s="17"/>
      <c r="U472" s="17"/>
      <c r="V472" s="17"/>
    </row>
    <row r="473">
      <c r="A473" s="168"/>
      <c r="B473" s="149"/>
      <c r="C473" s="152"/>
      <c r="D473" s="152"/>
      <c r="E473" s="152"/>
      <c r="F473" s="152"/>
      <c r="G473" s="157"/>
      <c r="H473" s="10"/>
      <c r="I473" s="14"/>
      <c r="J473" s="15"/>
      <c r="K473" s="16"/>
      <c r="L473" s="17"/>
      <c r="M473" s="17"/>
      <c r="N473" s="17"/>
      <c r="O473" s="17"/>
      <c r="P473" s="17"/>
      <c r="Q473" s="17"/>
      <c r="R473" s="17"/>
      <c r="S473" s="17"/>
      <c r="T473" s="17"/>
      <c r="U473" s="17"/>
      <c r="V473" s="17"/>
    </row>
    <row r="474">
      <c r="A474" s="168"/>
      <c r="B474" s="149"/>
      <c r="C474" s="152"/>
      <c r="D474" s="152"/>
      <c r="E474" s="152"/>
      <c r="F474" s="152"/>
      <c r="G474" s="157"/>
      <c r="H474" s="10"/>
      <c r="I474" s="14"/>
      <c r="J474" s="15"/>
      <c r="K474" s="16"/>
      <c r="L474" s="17"/>
      <c r="M474" s="17"/>
      <c r="N474" s="17"/>
      <c r="O474" s="17"/>
      <c r="P474" s="17"/>
      <c r="Q474" s="17"/>
      <c r="R474" s="17"/>
      <c r="S474" s="17"/>
      <c r="T474" s="17"/>
      <c r="U474" s="17"/>
      <c r="V474" s="17"/>
    </row>
    <row r="475">
      <c r="A475" s="168"/>
      <c r="B475" s="149"/>
      <c r="C475" s="152"/>
      <c r="D475" s="152"/>
      <c r="E475" s="152"/>
      <c r="F475" s="152"/>
      <c r="G475" s="157"/>
      <c r="H475" s="10"/>
      <c r="I475" s="14"/>
      <c r="J475" s="15"/>
      <c r="K475" s="16"/>
      <c r="L475" s="17"/>
      <c r="M475" s="17"/>
      <c r="N475" s="17"/>
      <c r="O475" s="17"/>
      <c r="P475" s="17"/>
      <c r="Q475" s="17"/>
      <c r="R475" s="17"/>
      <c r="S475" s="17"/>
      <c r="T475" s="17"/>
      <c r="U475" s="17"/>
      <c r="V475" s="17"/>
    </row>
    <row r="476">
      <c r="A476" s="168"/>
      <c r="B476" s="149"/>
      <c r="C476" s="152"/>
      <c r="D476" s="152"/>
      <c r="E476" s="152"/>
      <c r="F476" s="152"/>
      <c r="G476" s="157"/>
      <c r="H476" s="10"/>
      <c r="I476" s="14"/>
      <c r="J476" s="15"/>
      <c r="K476" s="16"/>
      <c r="L476" s="17"/>
      <c r="M476" s="17"/>
      <c r="N476" s="17"/>
      <c r="O476" s="17"/>
      <c r="P476" s="17"/>
      <c r="Q476" s="17"/>
      <c r="R476" s="17"/>
      <c r="S476" s="17"/>
      <c r="T476" s="17"/>
      <c r="U476" s="17"/>
      <c r="V476" s="17"/>
    </row>
    <row r="477">
      <c r="A477" s="168"/>
      <c r="B477" s="149"/>
      <c r="C477" s="152"/>
      <c r="D477" s="152"/>
      <c r="E477" s="152"/>
      <c r="F477" s="152"/>
      <c r="G477" s="157"/>
      <c r="H477" s="10"/>
      <c r="I477" s="14"/>
      <c r="J477" s="15"/>
      <c r="K477" s="16"/>
      <c r="L477" s="17"/>
      <c r="M477" s="17"/>
      <c r="N477" s="17"/>
      <c r="O477" s="17"/>
      <c r="P477" s="17"/>
      <c r="Q477" s="17"/>
      <c r="R477" s="17"/>
      <c r="S477" s="17"/>
      <c r="T477" s="17"/>
      <c r="U477" s="17"/>
      <c r="V477" s="17"/>
    </row>
    <row r="478">
      <c r="A478" s="168"/>
      <c r="B478" s="149"/>
      <c r="C478" s="152"/>
      <c r="D478" s="152"/>
      <c r="E478" s="152"/>
      <c r="F478" s="152"/>
      <c r="G478" s="157"/>
      <c r="H478" s="10"/>
      <c r="I478" s="14"/>
      <c r="J478" s="15"/>
      <c r="K478" s="16"/>
      <c r="L478" s="17"/>
      <c r="M478" s="17"/>
      <c r="N478" s="17"/>
      <c r="O478" s="17"/>
      <c r="P478" s="17"/>
      <c r="Q478" s="17"/>
      <c r="R478" s="17"/>
      <c r="S478" s="17"/>
      <c r="T478" s="17"/>
      <c r="U478" s="17"/>
      <c r="V478" s="17"/>
    </row>
    <row r="479">
      <c r="A479" s="168"/>
      <c r="B479" s="149"/>
      <c r="C479" s="152"/>
      <c r="D479" s="152"/>
      <c r="E479" s="152"/>
      <c r="F479" s="152"/>
      <c r="G479" s="157"/>
      <c r="H479" s="10"/>
      <c r="I479" s="14"/>
      <c r="J479" s="15"/>
      <c r="K479" s="16"/>
      <c r="L479" s="17"/>
      <c r="M479" s="17"/>
      <c r="N479" s="17"/>
      <c r="O479" s="17"/>
      <c r="P479" s="17"/>
      <c r="Q479" s="17"/>
      <c r="R479" s="17"/>
      <c r="S479" s="17"/>
      <c r="T479" s="17"/>
      <c r="U479" s="17"/>
      <c r="V479" s="17"/>
    </row>
    <row r="480">
      <c r="A480" s="168"/>
      <c r="B480" s="149"/>
      <c r="C480" s="152"/>
      <c r="D480" s="152"/>
      <c r="E480" s="152"/>
      <c r="F480" s="152"/>
      <c r="G480" s="157"/>
      <c r="H480" s="10"/>
      <c r="I480" s="14"/>
      <c r="J480" s="15"/>
      <c r="K480" s="16"/>
      <c r="L480" s="17"/>
      <c r="M480" s="17"/>
      <c r="N480" s="17"/>
      <c r="O480" s="17"/>
      <c r="P480" s="17"/>
      <c r="Q480" s="17"/>
      <c r="R480" s="17"/>
      <c r="S480" s="17"/>
      <c r="T480" s="17"/>
      <c r="U480" s="17"/>
      <c r="V480" s="17"/>
    </row>
    <row r="481">
      <c r="A481" s="168"/>
      <c r="B481" s="149"/>
      <c r="C481" s="152"/>
      <c r="D481" s="152"/>
      <c r="E481" s="152"/>
      <c r="F481" s="152"/>
      <c r="G481" s="157"/>
      <c r="H481" s="10"/>
      <c r="I481" s="14"/>
      <c r="J481" s="15"/>
      <c r="K481" s="16"/>
      <c r="L481" s="17"/>
      <c r="M481" s="17"/>
      <c r="N481" s="17"/>
      <c r="O481" s="17"/>
      <c r="P481" s="17"/>
      <c r="Q481" s="17"/>
      <c r="R481" s="17"/>
      <c r="S481" s="17"/>
      <c r="T481" s="17"/>
      <c r="U481" s="17"/>
      <c r="V481" s="17"/>
    </row>
    <row r="482">
      <c r="A482" s="168"/>
      <c r="B482" s="149"/>
      <c r="C482" s="152"/>
      <c r="D482" s="152"/>
      <c r="E482" s="152"/>
      <c r="F482" s="152"/>
      <c r="G482" s="157"/>
      <c r="H482" s="10"/>
      <c r="I482" s="14"/>
      <c r="J482" s="15"/>
      <c r="K482" s="16"/>
      <c r="L482" s="17"/>
      <c r="M482" s="17"/>
      <c r="N482" s="17"/>
      <c r="O482" s="17"/>
      <c r="P482" s="17"/>
      <c r="Q482" s="17"/>
      <c r="R482" s="17"/>
      <c r="S482" s="17"/>
      <c r="T482" s="17"/>
      <c r="U482" s="17"/>
      <c r="V482" s="17"/>
    </row>
    <row r="483">
      <c r="A483" s="168"/>
      <c r="B483" s="149"/>
      <c r="C483" s="152"/>
      <c r="D483" s="152"/>
      <c r="E483" s="152"/>
      <c r="F483" s="152"/>
      <c r="G483" s="157"/>
      <c r="H483" s="10"/>
      <c r="I483" s="14"/>
      <c r="J483" s="15"/>
      <c r="K483" s="16"/>
      <c r="L483" s="17"/>
      <c r="M483" s="17"/>
      <c r="N483" s="17"/>
      <c r="O483" s="17"/>
      <c r="P483" s="17"/>
      <c r="Q483" s="17"/>
      <c r="R483" s="17"/>
      <c r="S483" s="17"/>
      <c r="T483" s="17"/>
      <c r="U483" s="17"/>
      <c r="V483" s="17"/>
    </row>
    <row r="484">
      <c r="A484" s="168"/>
      <c r="B484" s="149"/>
      <c r="C484" s="152"/>
      <c r="D484" s="152"/>
      <c r="E484" s="152"/>
      <c r="F484" s="152"/>
      <c r="G484" s="157"/>
      <c r="H484" s="10"/>
      <c r="I484" s="14"/>
      <c r="J484" s="15"/>
      <c r="K484" s="16"/>
      <c r="L484" s="17"/>
      <c r="M484" s="17"/>
      <c r="N484" s="17"/>
      <c r="O484" s="17"/>
      <c r="P484" s="17"/>
      <c r="Q484" s="17"/>
      <c r="R484" s="17"/>
      <c r="S484" s="17"/>
      <c r="T484" s="17"/>
      <c r="U484" s="17"/>
      <c r="V484" s="17"/>
    </row>
    <row r="485">
      <c r="A485" s="168"/>
      <c r="B485" s="149"/>
      <c r="C485" s="152"/>
      <c r="D485" s="152"/>
      <c r="E485" s="152"/>
      <c r="F485" s="152"/>
      <c r="G485" s="157"/>
      <c r="H485" s="10"/>
      <c r="I485" s="14"/>
      <c r="J485" s="15"/>
      <c r="K485" s="16"/>
      <c r="L485" s="17"/>
      <c r="M485" s="17"/>
      <c r="N485" s="17"/>
      <c r="O485" s="17"/>
      <c r="P485" s="17"/>
      <c r="Q485" s="17"/>
      <c r="R485" s="17"/>
      <c r="S485" s="17"/>
      <c r="T485" s="17"/>
      <c r="U485" s="17"/>
      <c r="V485" s="17"/>
    </row>
    <row r="486">
      <c r="A486" s="168"/>
      <c r="B486" s="149"/>
      <c r="C486" s="152"/>
      <c r="D486" s="152"/>
      <c r="E486" s="152"/>
      <c r="F486" s="152"/>
      <c r="G486" s="157"/>
      <c r="H486" s="10"/>
      <c r="I486" s="14"/>
      <c r="J486" s="15"/>
      <c r="K486" s="16"/>
      <c r="L486" s="17"/>
      <c r="M486" s="17"/>
      <c r="N486" s="17"/>
      <c r="O486" s="17"/>
      <c r="P486" s="17"/>
      <c r="Q486" s="17"/>
      <c r="R486" s="17"/>
      <c r="S486" s="17"/>
      <c r="T486" s="17"/>
      <c r="U486" s="17"/>
      <c r="V486" s="17"/>
    </row>
    <row r="487">
      <c r="A487" s="168"/>
      <c r="B487" s="149"/>
      <c r="C487" s="152"/>
      <c r="D487" s="152"/>
      <c r="E487" s="152"/>
      <c r="F487" s="152"/>
      <c r="G487" s="157"/>
      <c r="H487" s="10"/>
      <c r="I487" s="14"/>
      <c r="J487" s="15"/>
      <c r="K487" s="16"/>
      <c r="L487" s="17"/>
      <c r="M487" s="17"/>
      <c r="N487" s="17"/>
      <c r="O487" s="17"/>
      <c r="P487" s="17"/>
      <c r="Q487" s="17"/>
      <c r="R487" s="17"/>
      <c r="S487" s="17"/>
      <c r="T487" s="17"/>
      <c r="U487" s="17"/>
      <c r="V487" s="17"/>
    </row>
    <row r="488">
      <c r="A488" s="168"/>
      <c r="B488" s="149"/>
      <c r="C488" s="152"/>
      <c r="D488" s="152"/>
      <c r="E488" s="152"/>
      <c r="F488" s="152"/>
      <c r="G488" s="157"/>
      <c r="H488" s="10"/>
      <c r="I488" s="14"/>
      <c r="J488" s="15"/>
      <c r="K488" s="16"/>
      <c r="L488" s="17"/>
      <c r="M488" s="17"/>
      <c r="N488" s="17"/>
      <c r="O488" s="17"/>
      <c r="P488" s="17"/>
      <c r="Q488" s="17"/>
      <c r="R488" s="17"/>
      <c r="S488" s="17"/>
      <c r="T488" s="17"/>
      <c r="U488" s="17"/>
      <c r="V488" s="17"/>
    </row>
    <row r="489">
      <c r="A489" s="168"/>
      <c r="B489" s="149"/>
      <c r="C489" s="152"/>
      <c r="D489" s="152"/>
      <c r="E489" s="152"/>
      <c r="F489" s="152"/>
      <c r="G489" s="157"/>
      <c r="H489" s="10"/>
      <c r="I489" s="14"/>
      <c r="J489" s="15"/>
      <c r="K489" s="16"/>
      <c r="L489" s="17"/>
      <c r="M489" s="17"/>
      <c r="N489" s="17"/>
      <c r="O489" s="17"/>
      <c r="P489" s="17"/>
      <c r="Q489" s="17"/>
      <c r="R489" s="17"/>
      <c r="S489" s="17"/>
      <c r="T489" s="17"/>
      <c r="U489" s="17"/>
      <c r="V489" s="17"/>
    </row>
    <row r="490">
      <c r="A490" s="168"/>
      <c r="B490" s="149"/>
      <c r="C490" s="152"/>
      <c r="D490" s="152"/>
      <c r="E490" s="152"/>
      <c r="F490" s="152"/>
      <c r="G490" s="157"/>
      <c r="H490" s="10"/>
      <c r="I490" s="14"/>
      <c r="J490" s="15"/>
      <c r="K490" s="16"/>
      <c r="L490" s="17"/>
      <c r="M490" s="17"/>
      <c r="N490" s="17"/>
      <c r="O490" s="17"/>
      <c r="P490" s="17"/>
      <c r="Q490" s="17"/>
      <c r="R490" s="17"/>
      <c r="S490" s="17"/>
      <c r="T490" s="17"/>
      <c r="U490" s="17"/>
      <c r="V490" s="17"/>
    </row>
    <row r="491">
      <c r="A491" s="168"/>
      <c r="B491" s="149"/>
      <c r="C491" s="152"/>
      <c r="D491" s="152"/>
      <c r="E491" s="152"/>
      <c r="F491" s="152"/>
      <c r="G491" s="157"/>
      <c r="H491" s="10"/>
      <c r="I491" s="14"/>
      <c r="J491" s="15"/>
      <c r="K491" s="16"/>
      <c r="L491" s="17"/>
      <c r="M491" s="17"/>
      <c r="N491" s="17"/>
      <c r="O491" s="17"/>
      <c r="P491" s="17"/>
      <c r="Q491" s="17"/>
      <c r="R491" s="17"/>
      <c r="S491" s="17"/>
      <c r="T491" s="17"/>
      <c r="U491" s="17"/>
      <c r="V491" s="17"/>
    </row>
    <row r="492">
      <c r="A492" s="168"/>
      <c r="B492" s="149"/>
      <c r="C492" s="152"/>
      <c r="D492" s="152"/>
      <c r="E492" s="152"/>
      <c r="F492" s="152"/>
      <c r="G492" s="157"/>
      <c r="H492" s="10"/>
      <c r="I492" s="14"/>
      <c r="J492" s="15"/>
      <c r="K492" s="16"/>
      <c r="L492" s="17"/>
      <c r="M492" s="17"/>
      <c r="N492" s="17"/>
      <c r="O492" s="17"/>
      <c r="P492" s="17"/>
      <c r="Q492" s="17"/>
      <c r="R492" s="17"/>
      <c r="S492" s="17"/>
      <c r="T492" s="17"/>
      <c r="U492" s="17"/>
      <c r="V492" s="17"/>
    </row>
    <row r="493">
      <c r="A493" s="168"/>
      <c r="B493" s="149"/>
      <c r="C493" s="152"/>
      <c r="D493" s="152"/>
      <c r="E493" s="152"/>
      <c r="F493" s="152"/>
      <c r="G493" s="157"/>
      <c r="H493" s="10"/>
      <c r="I493" s="14"/>
      <c r="J493" s="15"/>
      <c r="K493" s="16"/>
      <c r="L493" s="17"/>
      <c r="M493" s="17"/>
      <c r="N493" s="17"/>
      <c r="O493" s="17"/>
      <c r="P493" s="17"/>
      <c r="Q493" s="17"/>
      <c r="R493" s="17"/>
      <c r="S493" s="17"/>
      <c r="T493" s="17"/>
      <c r="U493" s="17"/>
      <c r="V493" s="17"/>
    </row>
    <row r="494">
      <c r="A494" s="168"/>
      <c r="B494" s="149"/>
      <c r="C494" s="152"/>
      <c r="D494" s="152"/>
      <c r="E494" s="152"/>
      <c r="F494" s="152"/>
      <c r="G494" s="157"/>
      <c r="H494" s="10"/>
      <c r="I494" s="14"/>
      <c r="J494" s="15"/>
      <c r="K494" s="16"/>
      <c r="L494" s="17"/>
      <c r="M494" s="17"/>
      <c r="N494" s="17"/>
      <c r="O494" s="17"/>
      <c r="P494" s="17"/>
      <c r="Q494" s="17"/>
      <c r="R494" s="17"/>
      <c r="S494" s="17"/>
      <c r="T494" s="17"/>
      <c r="U494" s="17"/>
      <c r="V494" s="17"/>
    </row>
    <row r="495">
      <c r="A495" s="168"/>
      <c r="B495" s="149"/>
      <c r="C495" s="152"/>
      <c r="D495" s="152"/>
      <c r="E495" s="152"/>
      <c r="F495" s="152"/>
      <c r="G495" s="157"/>
      <c r="H495" s="10"/>
      <c r="I495" s="14"/>
      <c r="J495" s="15"/>
      <c r="K495" s="16"/>
      <c r="L495" s="17"/>
      <c r="M495" s="17"/>
      <c r="N495" s="17"/>
      <c r="O495" s="17"/>
      <c r="P495" s="17"/>
      <c r="Q495" s="17"/>
      <c r="R495" s="17"/>
      <c r="S495" s="17"/>
      <c r="T495" s="17"/>
      <c r="U495" s="17"/>
      <c r="V495" s="17"/>
    </row>
    <row r="496">
      <c r="A496" s="168"/>
      <c r="B496" s="149"/>
      <c r="C496" s="152"/>
      <c r="D496" s="152"/>
      <c r="E496" s="152"/>
      <c r="F496" s="152"/>
      <c r="G496" s="157"/>
      <c r="H496" s="10"/>
      <c r="I496" s="14"/>
      <c r="J496" s="15"/>
      <c r="K496" s="16"/>
      <c r="L496" s="17"/>
      <c r="M496" s="17"/>
      <c r="N496" s="17"/>
      <c r="O496" s="17"/>
      <c r="P496" s="17"/>
      <c r="Q496" s="17"/>
      <c r="R496" s="17"/>
      <c r="S496" s="17"/>
      <c r="T496" s="17"/>
      <c r="U496" s="17"/>
      <c r="V496" s="17"/>
    </row>
    <row r="497">
      <c r="A497" s="168"/>
      <c r="B497" s="149"/>
      <c r="C497" s="152"/>
      <c r="D497" s="152"/>
      <c r="E497" s="152"/>
      <c r="F497" s="152"/>
      <c r="G497" s="157"/>
      <c r="H497" s="10"/>
      <c r="I497" s="14"/>
      <c r="J497" s="15"/>
      <c r="K497" s="16"/>
      <c r="L497" s="17"/>
      <c r="M497" s="17"/>
      <c r="N497" s="17"/>
      <c r="O497" s="17"/>
      <c r="P497" s="17"/>
      <c r="Q497" s="17"/>
      <c r="R497" s="17"/>
      <c r="S497" s="17"/>
      <c r="T497" s="17"/>
      <c r="U497" s="17"/>
      <c r="V497" s="17"/>
    </row>
    <row r="498">
      <c r="A498" s="168"/>
      <c r="B498" s="149"/>
      <c r="C498" s="152"/>
      <c r="D498" s="152"/>
      <c r="E498" s="152"/>
      <c r="F498" s="152"/>
      <c r="G498" s="157"/>
      <c r="H498" s="10"/>
      <c r="I498" s="14"/>
      <c r="J498" s="15"/>
      <c r="K498" s="16"/>
      <c r="L498" s="17"/>
      <c r="M498" s="17"/>
      <c r="N498" s="17"/>
      <c r="O498" s="17"/>
      <c r="P498" s="17"/>
      <c r="Q498" s="17"/>
      <c r="R498" s="17"/>
      <c r="S498" s="17"/>
      <c r="T498" s="17"/>
      <c r="U498" s="17"/>
      <c r="V498" s="17"/>
    </row>
    <row r="499">
      <c r="A499" s="168"/>
      <c r="B499" s="149"/>
      <c r="C499" s="152"/>
      <c r="D499" s="152"/>
      <c r="E499" s="152"/>
      <c r="F499" s="152"/>
      <c r="G499" s="157"/>
      <c r="H499" s="10"/>
      <c r="I499" s="14"/>
      <c r="J499" s="15"/>
      <c r="K499" s="16"/>
      <c r="L499" s="17"/>
      <c r="M499" s="17"/>
      <c r="N499" s="17"/>
      <c r="O499" s="17"/>
      <c r="P499" s="17"/>
      <c r="Q499" s="17"/>
      <c r="R499" s="17"/>
      <c r="S499" s="17"/>
      <c r="T499" s="17"/>
      <c r="U499" s="17"/>
      <c r="V499" s="17"/>
    </row>
    <row r="500">
      <c r="A500" s="168"/>
      <c r="B500" s="149"/>
      <c r="C500" s="152"/>
      <c r="D500" s="152"/>
      <c r="E500" s="152"/>
      <c r="F500" s="152"/>
      <c r="G500" s="157"/>
      <c r="H500" s="10"/>
      <c r="I500" s="14"/>
      <c r="J500" s="15"/>
      <c r="K500" s="16"/>
      <c r="L500" s="17"/>
      <c r="M500" s="17"/>
      <c r="N500" s="17"/>
      <c r="O500" s="17"/>
      <c r="P500" s="17"/>
      <c r="Q500" s="17"/>
      <c r="R500" s="17"/>
      <c r="S500" s="17"/>
      <c r="T500" s="17"/>
      <c r="U500" s="17"/>
      <c r="V500" s="17"/>
    </row>
    <row r="501">
      <c r="A501" s="168"/>
      <c r="B501" s="149"/>
      <c r="C501" s="152"/>
      <c r="D501" s="152"/>
      <c r="E501" s="152"/>
      <c r="F501" s="152"/>
      <c r="G501" s="157"/>
      <c r="H501" s="10"/>
      <c r="I501" s="14"/>
      <c r="J501" s="15"/>
      <c r="K501" s="16"/>
      <c r="L501" s="17"/>
      <c r="M501" s="17"/>
      <c r="N501" s="17"/>
      <c r="O501" s="17"/>
      <c r="P501" s="17"/>
      <c r="Q501" s="17"/>
      <c r="R501" s="17"/>
      <c r="S501" s="17"/>
      <c r="T501" s="17"/>
      <c r="U501" s="17"/>
      <c r="V501" s="17"/>
    </row>
    <row r="502">
      <c r="A502" s="168"/>
      <c r="B502" s="149"/>
      <c r="C502" s="152"/>
      <c r="D502" s="152"/>
      <c r="E502" s="152"/>
      <c r="F502" s="152"/>
      <c r="G502" s="157"/>
      <c r="H502" s="10"/>
      <c r="I502" s="14"/>
      <c r="J502" s="15"/>
      <c r="K502" s="16"/>
      <c r="L502" s="17"/>
      <c r="M502" s="17"/>
      <c r="N502" s="17"/>
      <c r="O502" s="17"/>
      <c r="P502" s="17"/>
      <c r="Q502" s="17"/>
      <c r="R502" s="17"/>
      <c r="S502" s="17"/>
      <c r="T502" s="17"/>
      <c r="U502" s="17"/>
      <c r="V502" s="17"/>
    </row>
    <row r="503">
      <c r="A503" s="168"/>
      <c r="B503" s="149"/>
      <c r="C503" s="152"/>
      <c r="D503" s="152"/>
      <c r="E503" s="152"/>
      <c r="F503" s="152"/>
      <c r="G503" s="157"/>
      <c r="H503" s="10"/>
      <c r="I503" s="14"/>
      <c r="J503" s="15"/>
      <c r="K503" s="16"/>
      <c r="L503" s="17"/>
      <c r="M503" s="17"/>
      <c r="N503" s="17"/>
      <c r="O503" s="17"/>
      <c r="P503" s="17"/>
      <c r="Q503" s="17"/>
      <c r="R503" s="17"/>
      <c r="S503" s="17"/>
      <c r="T503" s="17"/>
      <c r="U503" s="17"/>
      <c r="V503" s="17"/>
    </row>
    <row r="504">
      <c r="A504" s="168"/>
      <c r="B504" s="149"/>
      <c r="C504" s="152"/>
      <c r="D504" s="152"/>
      <c r="E504" s="152"/>
      <c r="F504" s="152"/>
      <c r="G504" s="157"/>
      <c r="H504" s="10"/>
      <c r="I504" s="14"/>
      <c r="J504" s="15"/>
      <c r="K504" s="16"/>
      <c r="L504" s="17"/>
      <c r="M504" s="17"/>
      <c r="N504" s="17"/>
      <c r="O504" s="17"/>
      <c r="P504" s="17"/>
      <c r="Q504" s="17"/>
      <c r="R504" s="17"/>
      <c r="S504" s="17"/>
      <c r="T504" s="17"/>
      <c r="U504" s="17"/>
      <c r="V504" s="17"/>
    </row>
    <row r="505">
      <c r="A505" s="168"/>
      <c r="B505" s="149"/>
      <c r="C505" s="152"/>
      <c r="D505" s="152"/>
      <c r="E505" s="152"/>
      <c r="F505" s="152"/>
      <c r="G505" s="157"/>
      <c r="H505" s="10"/>
      <c r="I505" s="14"/>
      <c r="J505" s="15"/>
      <c r="K505" s="16"/>
      <c r="L505" s="17"/>
      <c r="M505" s="17"/>
      <c r="N505" s="17"/>
      <c r="O505" s="17"/>
      <c r="P505" s="17"/>
      <c r="Q505" s="17"/>
      <c r="R505" s="17"/>
      <c r="S505" s="17"/>
      <c r="T505" s="17"/>
      <c r="U505" s="17"/>
      <c r="V505" s="17"/>
    </row>
    <row r="506">
      <c r="A506" s="168"/>
      <c r="B506" s="149"/>
      <c r="C506" s="152"/>
      <c r="D506" s="152"/>
      <c r="E506" s="152"/>
      <c r="F506" s="152"/>
      <c r="G506" s="157"/>
      <c r="H506" s="10"/>
      <c r="I506" s="14"/>
      <c r="J506" s="15"/>
      <c r="K506" s="16"/>
      <c r="L506" s="17"/>
      <c r="M506" s="17"/>
      <c r="N506" s="17"/>
      <c r="O506" s="17"/>
      <c r="P506" s="17"/>
      <c r="Q506" s="17"/>
      <c r="R506" s="17"/>
      <c r="S506" s="17"/>
      <c r="T506" s="17"/>
      <c r="U506" s="17"/>
      <c r="V506" s="17"/>
    </row>
    <row r="507">
      <c r="A507" s="168"/>
      <c r="B507" s="149"/>
      <c r="C507" s="152"/>
      <c r="D507" s="152"/>
      <c r="E507" s="152"/>
      <c r="F507" s="152"/>
      <c r="G507" s="157"/>
      <c r="H507" s="10"/>
      <c r="I507" s="14"/>
      <c r="J507" s="15"/>
      <c r="K507" s="16"/>
      <c r="L507" s="17"/>
      <c r="M507" s="17"/>
      <c r="N507" s="17"/>
      <c r="O507" s="17"/>
      <c r="P507" s="17"/>
      <c r="Q507" s="17"/>
      <c r="R507" s="17"/>
      <c r="S507" s="17"/>
      <c r="T507" s="17"/>
      <c r="U507" s="17"/>
      <c r="V507" s="17"/>
    </row>
    <row r="508">
      <c r="A508" s="168"/>
      <c r="B508" s="149"/>
      <c r="C508" s="152"/>
      <c r="D508" s="152"/>
      <c r="E508" s="152"/>
      <c r="F508" s="152"/>
      <c r="G508" s="157"/>
      <c r="H508" s="10"/>
      <c r="I508" s="14"/>
      <c r="J508" s="15"/>
      <c r="K508" s="16"/>
      <c r="L508" s="17"/>
      <c r="M508" s="17"/>
      <c r="N508" s="17"/>
      <c r="O508" s="17"/>
      <c r="P508" s="17"/>
      <c r="Q508" s="17"/>
      <c r="R508" s="17"/>
      <c r="S508" s="17"/>
      <c r="T508" s="17"/>
      <c r="U508" s="17"/>
      <c r="V508" s="17"/>
    </row>
    <row r="509">
      <c r="A509" s="168"/>
      <c r="B509" s="149"/>
      <c r="C509" s="152"/>
      <c r="D509" s="152"/>
      <c r="E509" s="152"/>
      <c r="F509" s="152"/>
      <c r="G509" s="157"/>
      <c r="H509" s="10"/>
      <c r="I509" s="14"/>
      <c r="J509" s="15"/>
      <c r="K509" s="16"/>
      <c r="L509" s="17"/>
      <c r="M509" s="17"/>
      <c r="N509" s="17"/>
      <c r="O509" s="17"/>
      <c r="P509" s="17"/>
      <c r="Q509" s="17"/>
      <c r="R509" s="17"/>
      <c r="S509" s="17"/>
      <c r="T509" s="17"/>
      <c r="U509" s="17"/>
      <c r="V509" s="17"/>
    </row>
    <row r="510">
      <c r="A510" s="168"/>
      <c r="B510" s="149"/>
      <c r="C510" s="152"/>
      <c r="D510" s="152"/>
      <c r="E510" s="152"/>
      <c r="F510" s="152"/>
      <c r="G510" s="157"/>
      <c r="H510" s="10"/>
      <c r="I510" s="14"/>
      <c r="J510" s="15"/>
      <c r="K510" s="16"/>
      <c r="L510" s="17"/>
      <c r="M510" s="17"/>
      <c r="N510" s="17"/>
      <c r="O510" s="17"/>
      <c r="P510" s="17"/>
      <c r="Q510" s="17"/>
      <c r="R510" s="17"/>
      <c r="S510" s="17"/>
      <c r="T510" s="17"/>
      <c r="U510" s="17"/>
      <c r="V510" s="17"/>
    </row>
    <row r="511">
      <c r="A511" s="168"/>
      <c r="B511" s="149"/>
      <c r="C511" s="152"/>
      <c r="D511" s="152"/>
      <c r="E511" s="152"/>
      <c r="F511" s="152"/>
      <c r="G511" s="157"/>
      <c r="H511" s="10"/>
      <c r="I511" s="14"/>
      <c r="J511" s="15"/>
      <c r="K511" s="16"/>
      <c r="L511" s="17"/>
      <c r="M511" s="17"/>
      <c r="N511" s="17"/>
      <c r="O511" s="17"/>
      <c r="P511" s="17"/>
      <c r="Q511" s="17"/>
      <c r="R511" s="17"/>
      <c r="S511" s="17"/>
      <c r="T511" s="17"/>
      <c r="U511" s="17"/>
      <c r="V511" s="17"/>
    </row>
    <row r="512">
      <c r="A512" s="168"/>
      <c r="B512" s="149"/>
      <c r="C512" s="152"/>
      <c r="D512" s="152"/>
      <c r="E512" s="152"/>
      <c r="F512" s="152"/>
      <c r="G512" s="157"/>
      <c r="H512" s="10"/>
      <c r="I512" s="14"/>
      <c r="J512" s="15"/>
      <c r="K512" s="16"/>
      <c r="L512" s="17"/>
      <c r="M512" s="17"/>
      <c r="N512" s="17"/>
      <c r="O512" s="17"/>
      <c r="P512" s="17"/>
      <c r="Q512" s="17"/>
      <c r="R512" s="17"/>
      <c r="S512" s="17"/>
      <c r="T512" s="17"/>
      <c r="U512" s="17"/>
      <c r="V512" s="17"/>
    </row>
    <row r="513">
      <c r="A513" s="168"/>
      <c r="B513" s="149"/>
      <c r="C513" s="152"/>
      <c r="D513" s="152"/>
      <c r="E513" s="152"/>
      <c r="F513" s="152"/>
      <c r="G513" s="157"/>
      <c r="H513" s="10"/>
      <c r="I513" s="14"/>
      <c r="J513" s="15"/>
      <c r="K513" s="16"/>
      <c r="L513" s="17"/>
      <c r="M513" s="17"/>
      <c r="N513" s="17"/>
      <c r="O513" s="17"/>
      <c r="P513" s="17"/>
      <c r="Q513" s="17"/>
      <c r="R513" s="17"/>
      <c r="S513" s="17"/>
      <c r="T513" s="17"/>
      <c r="U513" s="17"/>
      <c r="V513" s="17"/>
    </row>
    <row r="514">
      <c r="A514" s="168"/>
      <c r="B514" s="149"/>
      <c r="C514" s="152"/>
      <c r="D514" s="152"/>
      <c r="E514" s="152"/>
      <c r="F514" s="152"/>
      <c r="G514" s="157"/>
      <c r="H514" s="10"/>
      <c r="I514" s="14"/>
      <c r="J514" s="15"/>
      <c r="K514" s="16"/>
      <c r="L514" s="17"/>
      <c r="M514" s="17"/>
      <c r="N514" s="17"/>
      <c r="O514" s="17"/>
      <c r="P514" s="17"/>
      <c r="Q514" s="17"/>
      <c r="R514" s="17"/>
      <c r="S514" s="17"/>
      <c r="T514" s="17"/>
      <c r="U514" s="17"/>
      <c r="V514" s="17"/>
    </row>
    <row r="515">
      <c r="A515" s="168"/>
      <c r="B515" s="149"/>
      <c r="C515" s="152"/>
      <c r="D515" s="152"/>
      <c r="E515" s="152"/>
      <c r="F515" s="152"/>
      <c r="G515" s="157"/>
      <c r="H515" s="10"/>
      <c r="I515" s="14"/>
      <c r="J515" s="15"/>
      <c r="K515" s="16"/>
      <c r="L515" s="17"/>
      <c r="M515" s="17"/>
      <c r="N515" s="17"/>
      <c r="O515" s="17"/>
      <c r="P515" s="17"/>
      <c r="Q515" s="17"/>
      <c r="R515" s="17"/>
      <c r="S515" s="17"/>
      <c r="T515" s="17"/>
      <c r="U515" s="17"/>
      <c r="V515" s="17"/>
    </row>
    <row r="516">
      <c r="A516" s="168"/>
      <c r="B516" s="149"/>
      <c r="C516" s="152"/>
      <c r="D516" s="152"/>
      <c r="E516" s="152"/>
      <c r="F516" s="152"/>
      <c r="G516" s="157"/>
      <c r="H516" s="10"/>
      <c r="I516" s="14"/>
      <c r="J516" s="15"/>
      <c r="K516" s="16"/>
      <c r="L516" s="17"/>
      <c r="M516" s="17"/>
      <c r="N516" s="17"/>
      <c r="O516" s="17"/>
      <c r="P516" s="17"/>
      <c r="Q516" s="17"/>
      <c r="R516" s="17"/>
      <c r="S516" s="17"/>
      <c r="T516" s="17"/>
      <c r="U516" s="17"/>
      <c r="V516" s="17"/>
    </row>
    <row r="517">
      <c r="A517" s="168"/>
      <c r="B517" s="149"/>
      <c r="C517" s="152"/>
      <c r="D517" s="152"/>
      <c r="E517" s="152"/>
      <c r="F517" s="152"/>
      <c r="G517" s="157"/>
      <c r="H517" s="10"/>
      <c r="I517" s="14"/>
      <c r="J517" s="15"/>
      <c r="K517" s="16"/>
      <c r="L517" s="17"/>
      <c r="M517" s="17"/>
      <c r="N517" s="17"/>
      <c r="O517" s="17"/>
      <c r="P517" s="17"/>
      <c r="Q517" s="17"/>
      <c r="R517" s="17"/>
      <c r="S517" s="17"/>
      <c r="T517" s="17"/>
      <c r="U517" s="17"/>
      <c r="V517" s="17"/>
    </row>
    <row r="518">
      <c r="A518" s="168"/>
      <c r="B518" s="149"/>
      <c r="C518" s="152"/>
      <c r="D518" s="152"/>
      <c r="E518" s="152"/>
      <c r="F518" s="152"/>
      <c r="G518" s="157"/>
      <c r="H518" s="10"/>
      <c r="I518" s="14"/>
      <c r="J518" s="15"/>
      <c r="K518" s="16"/>
      <c r="L518" s="17"/>
      <c r="M518" s="17"/>
      <c r="N518" s="17"/>
      <c r="O518" s="17"/>
      <c r="P518" s="17"/>
      <c r="Q518" s="17"/>
      <c r="R518" s="17"/>
      <c r="S518" s="17"/>
      <c r="T518" s="17"/>
      <c r="U518" s="17"/>
      <c r="V518" s="17"/>
    </row>
    <row r="519">
      <c r="A519" s="168"/>
      <c r="B519" s="149"/>
      <c r="C519" s="152"/>
      <c r="D519" s="152"/>
      <c r="E519" s="152"/>
      <c r="F519" s="152"/>
      <c r="G519" s="157"/>
      <c r="H519" s="10"/>
      <c r="I519" s="14"/>
      <c r="J519" s="15"/>
      <c r="K519" s="16"/>
      <c r="L519" s="17"/>
      <c r="M519" s="17"/>
      <c r="N519" s="17"/>
      <c r="O519" s="17"/>
      <c r="P519" s="17"/>
      <c r="Q519" s="17"/>
      <c r="R519" s="17"/>
      <c r="S519" s="17"/>
      <c r="T519" s="17"/>
      <c r="U519" s="17"/>
      <c r="V519" s="17"/>
    </row>
    <row r="520">
      <c r="A520" s="168"/>
      <c r="B520" s="149"/>
      <c r="C520" s="152"/>
      <c r="D520" s="152"/>
      <c r="E520" s="152"/>
      <c r="F520" s="152"/>
      <c r="G520" s="157"/>
      <c r="H520" s="10"/>
      <c r="I520" s="14"/>
      <c r="J520" s="15"/>
      <c r="K520" s="16"/>
      <c r="L520" s="17"/>
      <c r="M520" s="17"/>
      <c r="N520" s="17"/>
      <c r="O520" s="17"/>
      <c r="P520" s="17"/>
      <c r="Q520" s="17"/>
      <c r="R520" s="17"/>
      <c r="S520" s="17"/>
      <c r="T520" s="17"/>
      <c r="U520" s="17"/>
      <c r="V520" s="17"/>
    </row>
    <row r="521">
      <c r="A521" s="168"/>
      <c r="B521" s="149"/>
      <c r="C521" s="152"/>
      <c r="D521" s="152"/>
      <c r="E521" s="152"/>
      <c r="F521" s="152"/>
      <c r="G521" s="157"/>
      <c r="H521" s="10"/>
      <c r="I521" s="14"/>
      <c r="J521" s="15"/>
      <c r="K521" s="16"/>
      <c r="L521" s="17"/>
      <c r="M521" s="17"/>
      <c r="N521" s="17"/>
      <c r="O521" s="17"/>
      <c r="P521" s="17"/>
      <c r="Q521" s="17"/>
      <c r="R521" s="17"/>
      <c r="S521" s="17"/>
      <c r="T521" s="17"/>
      <c r="U521" s="17"/>
      <c r="V521" s="17"/>
    </row>
    <row r="522">
      <c r="A522" s="168"/>
      <c r="B522" s="149"/>
      <c r="C522" s="152"/>
      <c r="D522" s="152"/>
      <c r="E522" s="152"/>
      <c r="F522" s="152"/>
      <c r="G522" s="157"/>
      <c r="H522" s="10"/>
      <c r="I522" s="14"/>
      <c r="J522" s="15"/>
      <c r="K522" s="16"/>
      <c r="L522" s="17"/>
      <c r="M522" s="17"/>
      <c r="N522" s="17"/>
      <c r="O522" s="17"/>
      <c r="P522" s="17"/>
      <c r="Q522" s="17"/>
      <c r="R522" s="17"/>
      <c r="S522" s="17"/>
      <c r="T522" s="17"/>
      <c r="U522" s="17"/>
      <c r="V522" s="17"/>
    </row>
    <row r="523">
      <c r="A523" s="168"/>
      <c r="B523" s="149"/>
      <c r="C523" s="152"/>
      <c r="D523" s="152"/>
      <c r="E523" s="152"/>
      <c r="F523" s="152"/>
      <c r="G523" s="157"/>
      <c r="H523" s="10"/>
      <c r="I523" s="14"/>
      <c r="J523" s="15"/>
      <c r="K523" s="16"/>
      <c r="L523" s="17"/>
      <c r="M523" s="17"/>
      <c r="N523" s="17"/>
      <c r="O523" s="17"/>
      <c r="P523" s="17"/>
      <c r="Q523" s="17"/>
      <c r="R523" s="17"/>
      <c r="S523" s="17"/>
      <c r="T523" s="17"/>
      <c r="U523" s="17"/>
      <c r="V523" s="17"/>
    </row>
    <row r="524">
      <c r="A524" s="168"/>
      <c r="B524" s="149"/>
      <c r="C524" s="152"/>
      <c r="D524" s="152"/>
      <c r="E524" s="152"/>
      <c r="F524" s="152"/>
      <c r="G524" s="157"/>
      <c r="H524" s="10"/>
      <c r="I524" s="14"/>
      <c r="J524" s="15"/>
      <c r="K524" s="16"/>
      <c r="L524" s="17"/>
      <c r="M524" s="17"/>
      <c r="N524" s="17"/>
      <c r="O524" s="17"/>
      <c r="P524" s="17"/>
      <c r="Q524" s="17"/>
      <c r="R524" s="17"/>
      <c r="S524" s="17"/>
      <c r="T524" s="17"/>
      <c r="U524" s="17"/>
      <c r="V524" s="17"/>
    </row>
    <row r="525">
      <c r="A525" s="168"/>
      <c r="B525" s="149"/>
      <c r="C525" s="152"/>
      <c r="D525" s="152"/>
      <c r="E525" s="152"/>
      <c r="F525" s="152"/>
      <c r="G525" s="157"/>
      <c r="H525" s="10"/>
      <c r="I525" s="14"/>
      <c r="J525" s="15"/>
      <c r="K525" s="16"/>
      <c r="L525" s="17"/>
      <c r="M525" s="17"/>
      <c r="N525" s="17"/>
      <c r="O525" s="17"/>
      <c r="P525" s="17"/>
      <c r="Q525" s="17"/>
      <c r="R525" s="17"/>
      <c r="S525" s="17"/>
      <c r="T525" s="17"/>
      <c r="U525" s="17"/>
      <c r="V525" s="17"/>
    </row>
    <row r="526">
      <c r="A526" s="168"/>
      <c r="B526" s="149"/>
      <c r="C526" s="152"/>
      <c r="D526" s="152"/>
      <c r="E526" s="152"/>
      <c r="F526" s="152"/>
      <c r="G526" s="157"/>
      <c r="H526" s="10"/>
      <c r="I526" s="14"/>
      <c r="J526" s="15"/>
      <c r="K526" s="16"/>
      <c r="L526" s="17"/>
      <c r="M526" s="17"/>
      <c r="N526" s="17"/>
      <c r="O526" s="17"/>
      <c r="P526" s="17"/>
      <c r="Q526" s="17"/>
      <c r="R526" s="17"/>
      <c r="S526" s="17"/>
      <c r="T526" s="17"/>
      <c r="U526" s="17"/>
      <c r="V526" s="17"/>
    </row>
    <row r="527">
      <c r="A527" s="168"/>
      <c r="B527" s="149"/>
      <c r="C527" s="152"/>
      <c r="D527" s="152"/>
      <c r="E527" s="152"/>
      <c r="F527" s="152"/>
      <c r="G527" s="157"/>
      <c r="H527" s="10"/>
      <c r="I527" s="14"/>
      <c r="J527" s="15"/>
      <c r="K527" s="16"/>
      <c r="L527" s="17"/>
      <c r="M527" s="17"/>
      <c r="N527" s="17"/>
      <c r="O527" s="17"/>
      <c r="P527" s="17"/>
      <c r="Q527" s="17"/>
      <c r="R527" s="17"/>
      <c r="S527" s="17"/>
      <c r="T527" s="17"/>
      <c r="U527" s="17"/>
      <c r="V527" s="17"/>
    </row>
    <row r="528">
      <c r="A528" s="168"/>
      <c r="B528" s="149"/>
      <c r="C528" s="152"/>
      <c r="D528" s="152"/>
      <c r="E528" s="152"/>
      <c r="F528" s="152"/>
      <c r="G528" s="157"/>
      <c r="H528" s="10"/>
      <c r="I528" s="14"/>
      <c r="J528" s="15"/>
      <c r="K528" s="16"/>
      <c r="L528" s="17"/>
      <c r="M528" s="17"/>
      <c r="N528" s="17"/>
      <c r="O528" s="17"/>
      <c r="P528" s="17"/>
      <c r="Q528" s="17"/>
      <c r="R528" s="17"/>
      <c r="S528" s="17"/>
      <c r="T528" s="17"/>
      <c r="U528" s="17"/>
      <c r="V528" s="17"/>
    </row>
    <row r="529">
      <c r="A529" s="168"/>
      <c r="B529" s="149"/>
      <c r="C529" s="152"/>
      <c r="D529" s="152"/>
      <c r="E529" s="152"/>
      <c r="F529" s="152"/>
      <c r="G529" s="157"/>
      <c r="H529" s="10"/>
      <c r="I529" s="14"/>
      <c r="J529" s="15"/>
      <c r="K529" s="16"/>
      <c r="L529" s="17"/>
      <c r="M529" s="17"/>
      <c r="N529" s="17"/>
      <c r="O529" s="17"/>
      <c r="P529" s="17"/>
      <c r="Q529" s="17"/>
      <c r="R529" s="17"/>
      <c r="S529" s="17"/>
      <c r="T529" s="17"/>
      <c r="U529" s="17"/>
      <c r="V529" s="17"/>
    </row>
    <row r="530">
      <c r="A530" s="168"/>
      <c r="B530" s="149"/>
      <c r="C530" s="152"/>
      <c r="D530" s="152"/>
      <c r="E530" s="152"/>
      <c r="F530" s="152"/>
      <c r="G530" s="157"/>
      <c r="H530" s="10"/>
      <c r="I530" s="14"/>
      <c r="J530" s="15"/>
      <c r="K530" s="16"/>
      <c r="L530" s="17"/>
      <c r="M530" s="17"/>
      <c r="N530" s="17"/>
      <c r="O530" s="17"/>
      <c r="P530" s="17"/>
      <c r="Q530" s="17"/>
      <c r="R530" s="17"/>
      <c r="S530" s="17"/>
      <c r="T530" s="17"/>
      <c r="U530" s="17"/>
      <c r="V530" s="17"/>
    </row>
    <row r="531">
      <c r="A531" s="168"/>
      <c r="B531" s="149"/>
      <c r="C531" s="152"/>
      <c r="D531" s="152"/>
      <c r="E531" s="152"/>
      <c r="F531" s="152"/>
      <c r="G531" s="157"/>
      <c r="H531" s="10"/>
      <c r="I531" s="14"/>
      <c r="J531" s="15"/>
      <c r="K531" s="16"/>
      <c r="L531" s="17"/>
      <c r="M531" s="17"/>
      <c r="N531" s="17"/>
      <c r="O531" s="17"/>
      <c r="P531" s="17"/>
      <c r="Q531" s="17"/>
      <c r="R531" s="17"/>
      <c r="S531" s="17"/>
      <c r="T531" s="17"/>
      <c r="U531" s="17"/>
      <c r="V531" s="17"/>
    </row>
    <row r="532">
      <c r="A532" s="168"/>
      <c r="B532" s="149"/>
      <c r="C532" s="152"/>
      <c r="D532" s="152"/>
      <c r="E532" s="152"/>
      <c r="F532" s="152"/>
      <c r="G532" s="157"/>
      <c r="H532" s="10"/>
      <c r="I532" s="14"/>
      <c r="J532" s="15"/>
      <c r="K532" s="16"/>
      <c r="L532" s="17"/>
      <c r="M532" s="17"/>
      <c r="N532" s="17"/>
      <c r="O532" s="17"/>
      <c r="P532" s="17"/>
      <c r="Q532" s="17"/>
      <c r="R532" s="17"/>
      <c r="S532" s="17"/>
      <c r="T532" s="17"/>
      <c r="U532" s="17"/>
      <c r="V532" s="17"/>
    </row>
    <row r="533">
      <c r="A533" s="168"/>
      <c r="B533" s="149"/>
      <c r="C533" s="152"/>
      <c r="D533" s="152"/>
      <c r="E533" s="152"/>
      <c r="F533" s="152"/>
      <c r="G533" s="157"/>
      <c r="H533" s="10"/>
      <c r="I533" s="14"/>
      <c r="J533" s="15"/>
      <c r="K533" s="16"/>
      <c r="L533" s="17"/>
      <c r="M533" s="17"/>
      <c r="N533" s="17"/>
      <c r="O533" s="17"/>
      <c r="P533" s="17"/>
      <c r="Q533" s="17"/>
      <c r="R533" s="17"/>
      <c r="S533" s="17"/>
      <c r="T533" s="17"/>
      <c r="U533" s="17"/>
      <c r="V533" s="17"/>
    </row>
    <row r="534">
      <c r="A534" s="168"/>
      <c r="B534" s="149"/>
      <c r="C534" s="152"/>
      <c r="D534" s="152"/>
      <c r="E534" s="152"/>
      <c r="F534" s="152"/>
      <c r="G534" s="157"/>
      <c r="H534" s="10"/>
      <c r="I534" s="14"/>
      <c r="J534" s="15"/>
      <c r="K534" s="16"/>
      <c r="L534" s="17"/>
      <c r="M534" s="17"/>
      <c r="N534" s="17"/>
      <c r="O534" s="17"/>
      <c r="P534" s="17"/>
      <c r="Q534" s="17"/>
      <c r="R534" s="17"/>
      <c r="S534" s="17"/>
      <c r="T534" s="17"/>
      <c r="U534" s="17"/>
      <c r="V534" s="17"/>
    </row>
    <row r="535">
      <c r="A535" s="168"/>
      <c r="B535" s="149"/>
      <c r="C535" s="152"/>
      <c r="D535" s="152"/>
      <c r="E535" s="152"/>
      <c r="F535" s="152"/>
      <c r="G535" s="157"/>
      <c r="H535" s="10"/>
      <c r="I535" s="14"/>
      <c r="J535" s="15"/>
      <c r="K535" s="16"/>
      <c r="L535" s="17"/>
      <c r="M535" s="17"/>
      <c r="N535" s="17"/>
      <c r="O535" s="17"/>
      <c r="P535" s="17"/>
      <c r="Q535" s="17"/>
      <c r="R535" s="17"/>
      <c r="S535" s="17"/>
      <c r="T535" s="17"/>
      <c r="U535" s="17"/>
      <c r="V535" s="17"/>
    </row>
    <row r="536">
      <c r="A536" s="168"/>
      <c r="B536" s="149"/>
      <c r="C536" s="152"/>
      <c r="D536" s="152"/>
      <c r="E536" s="152"/>
      <c r="F536" s="152"/>
      <c r="G536" s="157"/>
      <c r="H536" s="10"/>
      <c r="I536" s="14"/>
      <c r="J536" s="15"/>
      <c r="K536" s="16"/>
      <c r="L536" s="17"/>
      <c r="M536" s="17"/>
      <c r="N536" s="17"/>
      <c r="O536" s="17"/>
      <c r="P536" s="17"/>
      <c r="Q536" s="17"/>
      <c r="R536" s="17"/>
      <c r="S536" s="17"/>
      <c r="T536" s="17"/>
      <c r="U536" s="17"/>
      <c r="V536" s="17"/>
    </row>
    <row r="537">
      <c r="A537" s="168"/>
      <c r="B537" s="149"/>
      <c r="C537" s="152"/>
      <c r="D537" s="152"/>
      <c r="E537" s="152"/>
      <c r="F537" s="152"/>
      <c r="G537" s="157"/>
      <c r="H537" s="10"/>
      <c r="I537" s="14"/>
      <c r="J537" s="15"/>
      <c r="K537" s="16"/>
      <c r="L537" s="17"/>
      <c r="M537" s="17"/>
      <c r="N537" s="17"/>
      <c r="O537" s="17"/>
      <c r="P537" s="17"/>
      <c r="Q537" s="17"/>
      <c r="R537" s="17"/>
      <c r="S537" s="17"/>
      <c r="T537" s="17"/>
      <c r="U537" s="17"/>
      <c r="V537" s="17"/>
    </row>
    <row r="538">
      <c r="A538" s="168"/>
      <c r="B538" s="149"/>
      <c r="C538" s="152"/>
      <c r="D538" s="152"/>
      <c r="E538" s="152"/>
      <c r="F538" s="152"/>
      <c r="G538" s="157"/>
      <c r="H538" s="10"/>
      <c r="I538" s="14"/>
      <c r="J538" s="15"/>
      <c r="K538" s="16"/>
      <c r="L538" s="17"/>
      <c r="M538" s="17"/>
      <c r="N538" s="17"/>
      <c r="O538" s="17"/>
      <c r="P538" s="17"/>
      <c r="Q538" s="17"/>
      <c r="R538" s="17"/>
      <c r="S538" s="17"/>
      <c r="T538" s="17"/>
      <c r="U538" s="17"/>
      <c r="V538" s="17"/>
    </row>
    <row r="539">
      <c r="A539" s="168"/>
      <c r="B539" s="149"/>
      <c r="C539" s="152"/>
      <c r="D539" s="152"/>
      <c r="E539" s="152"/>
      <c r="F539" s="152"/>
      <c r="G539" s="157"/>
      <c r="H539" s="10"/>
      <c r="I539" s="14"/>
      <c r="J539" s="15"/>
      <c r="K539" s="16"/>
      <c r="L539" s="17"/>
      <c r="M539" s="17"/>
      <c r="N539" s="17"/>
      <c r="O539" s="17"/>
      <c r="P539" s="17"/>
      <c r="Q539" s="17"/>
      <c r="R539" s="17"/>
      <c r="S539" s="17"/>
      <c r="T539" s="17"/>
      <c r="U539" s="17"/>
      <c r="V539" s="17"/>
    </row>
    <row r="540">
      <c r="A540" s="168"/>
      <c r="B540" s="149"/>
      <c r="C540" s="152"/>
      <c r="D540" s="152"/>
      <c r="E540" s="152"/>
      <c r="F540" s="152"/>
      <c r="G540" s="157"/>
      <c r="H540" s="10"/>
      <c r="I540" s="14"/>
      <c r="J540" s="15"/>
      <c r="K540" s="16"/>
      <c r="L540" s="17"/>
      <c r="M540" s="17"/>
      <c r="N540" s="17"/>
      <c r="O540" s="17"/>
      <c r="P540" s="17"/>
      <c r="Q540" s="17"/>
      <c r="R540" s="17"/>
      <c r="S540" s="17"/>
      <c r="T540" s="17"/>
      <c r="U540" s="17"/>
      <c r="V540" s="17"/>
    </row>
    <row r="541">
      <c r="A541" s="168"/>
      <c r="B541" s="149"/>
      <c r="C541" s="152"/>
      <c r="D541" s="152"/>
      <c r="E541" s="152"/>
      <c r="F541" s="152"/>
      <c r="G541" s="157"/>
      <c r="H541" s="10"/>
      <c r="I541" s="14"/>
      <c r="J541" s="15"/>
      <c r="K541" s="16"/>
      <c r="L541" s="17"/>
      <c r="M541" s="17"/>
      <c r="N541" s="17"/>
      <c r="O541" s="17"/>
      <c r="P541" s="17"/>
      <c r="Q541" s="17"/>
      <c r="R541" s="17"/>
      <c r="S541" s="17"/>
      <c r="T541" s="17"/>
      <c r="U541" s="17"/>
      <c r="V541" s="17"/>
    </row>
    <row r="542">
      <c r="A542" s="168"/>
      <c r="B542" s="149"/>
      <c r="C542" s="152"/>
      <c r="D542" s="152"/>
      <c r="E542" s="152"/>
      <c r="F542" s="152"/>
      <c r="G542" s="157"/>
      <c r="H542" s="10"/>
      <c r="I542" s="14"/>
      <c r="J542" s="15"/>
      <c r="K542" s="16"/>
      <c r="L542" s="17"/>
      <c r="M542" s="17"/>
      <c r="N542" s="17"/>
      <c r="O542" s="17"/>
      <c r="P542" s="17"/>
      <c r="Q542" s="17"/>
      <c r="R542" s="17"/>
      <c r="S542" s="17"/>
      <c r="T542" s="17"/>
      <c r="U542" s="17"/>
      <c r="V542" s="17"/>
    </row>
    <row r="543">
      <c r="A543" s="168"/>
      <c r="B543" s="149"/>
      <c r="C543" s="152"/>
      <c r="D543" s="152"/>
      <c r="E543" s="152"/>
      <c r="F543" s="152"/>
      <c r="G543" s="157"/>
      <c r="H543" s="10"/>
      <c r="I543" s="14"/>
      <c r="J543" s="15"/>
      <c r="K543" s="16"/>
      <c r="L543" s="17"/>
      <c r="M543" s="17"/>
      <c r="N543" s="17"/>
      <c r="O543" s="17"/>
      <c r="P543" s="17"/>
      <c r="Q543" s="17"/>
      <c r="R543" s="17"/>
      <c r="S543" s="17"/>
      <c r="T543" s="17"/>
      <c r="U543" s="17"/>
      <c r="V543" s="17"/>
    </row>
    <row r="544">
      <c r="A544" s="168"/>
      <c r="B544" s="149"/>
      <c r="C544" s="152"/>
      <c r="D544" s="152"/>
      <c r="E544" s="152"/>
      <c r="F544" s="152"/>
      <c r="G544" s="157"/>
      <c r="H544" s="10"/>
      <c r="I544" s="14"/>
      <c r="J544" s="15"/>
      <c r="K544" s="16"/>
      <c r="L544" s="17"/>
      <c r="M544" s="17"/>
      <c r="N544" s="17"/>
      <c r="O544" s="17"/>
      <c r="P544" s="17"/>
      <c r="Q544" s="17"/>
      <c r="R544" s="17"/>
      <c r="S544" s="17"/>
      <c r="T544" s="17"/>
      <c r="U544" s="17"/>
      <c r="V544" s="17"/>
    </row>
    <row r="545">
      <c r="A545" s="168"/>
      <c r="B545" s="149"/>
      <c r="C545" s="152"/>
      <c r="D545" s="152"/>
      <c r="E545" s="152"/>
      <c r="F545" s="152"/>
      <c r="G545" s="157"/>
      <c r="H545" s="10"/>
      <c r="I545" s="14"/>
      <c r="J545" s="15"/>
      <c r="K545" s="16"/>
      <c r="L545" s="17"/>
      <c r="M545" s="17"/>
      <c r="N545" s="17"/>
      <c r="O545" s="17"/>
      <c r="P545" s="17"/>
      <c r="Q545" s="17"/>
      <c r="R545" s="17"/>
      <c r="S545" s="17"/>
      <c r="T545" s="17"/>
      <c r="U545" s="17"/>
      <c r="V545" s="17"/>
    </row>
    <row r="546">
      <c r="A546" s="168"/>
      <c r="B546" s="149"/>
      <c r="C546" s="152"/>
      <c r="D546" s="152"/>
      <c r="E546" s="152"/>
      <c r="F546" s="152"/>
      <c r="G546" s="157"/>
      <c r="H546" s="10"/>
      <c r="I546" s="14"/>
      <c r="J546" s="15"/>
      <c r="K546" s="16"/>
      <c r="L546" s="17"/>
      <c r="M546" s="17"/>
      <c r="N546" s="17"/>
      <c r="O546" s="17"/>
      <c r="P546" s="17"/>
      <c r="Q546" s="17"/>
      <c r="R546" s="17"/>
      <c r="S546" s="17"/>
      <c r="T546" s="17"/>
      <c r="U546" s="17"/>
      <c r="V546" s="17"/>
    </row>
    <row r="547">
      <c r="A547" s="168"/>
      <c r="B547" s="149"/>
      <c r="C547" s="152"/>
      <c r="D547" s="152"/>
      <c r="E547" s="152"/>
      <c r="F547" s="152"/>
      <c r="G547" s="157"/>
      <c r="H547" s="10"/>
      <c r="I547" s="14"/>
      <c r="J547" s="15"/>
      <c r="K547" s="16"/>
      <c r="L547" s="17"/>
      <c r="M547" s="17"/>
      <c r="N547" s="17"/>
      <c r="O547" s="17"/>
      <c r="P547" s="17"/>
      <c r="Q547" s="17"/>
      <c r="R547" s="17"/>
      <c r="S547" s="17"/>
      <c r="T547" s="17"/>
      <c r="U547" s="17"/>
      <c r="V547" s="17"/>
    </row>
    <row r="548">
      <c r="A548" s="168"/>
      <c r="B548" s="149"/>
      <c r="C548" s="152"/>
      <c r="D548" s="152"/>
      <c r="E548" s="152"/>
      <c r="F548" s="152"/>
      <c r="G548" s="157"/>
      <c r="H548" s="10"/>
      <c r="I548" s="14"/>
      <c r="J548" s="15"/>
      <c r="K548" s="16"/>
      <c r="L548" s="17"/>
      <c r="M548" s="17"/>
      <c r="N548" s="17"/>
      <c r="O548" s="17"/>
      <c r="P548" s="17"/>
      <c r="Q548" s="17"/>
      <c r="R548" s="17"/>
      <c r="S548" s="17"/>
      <c r="T548" s="17"/>
      <c r="U548" s="17"/>
      <c r="V548" s="17"/>
    </row>
    <row r="549">
      <c r="A549" s="168"/>
      <c r="B549" s="149"/>
      <c r="C549" s="152"/>
      <c r="D549" s="152"/>
      <c r="E549" s="152"/>
      <c r="F549" s="152"/>
      <c r="G549" s="157"/>
      <c r="H549" s="10"/>
      <c r="I549" s="14"/>
      <c r="J549" s="15"/>
      <c r="K549" s="16"/>
      <c r="L549" s="17"/>
      <c r="M549" s="17"/>
      <c r="N549" s="17"/>
      <c r="O549" s="17"/>
      <c r="P549" s="17"/>
      <c r="Q549" s="17"/>
      <c r="R549" s="17"/>
      <c r="S549" s="17"/>
      <c r="T549" s="17"/>
      <c r="U549" s="17"/>
      <c r="V549" s="17"/>
    </row>
    <row r="550">
      <c r="A550" s="168"/>
      <c r="B550" s="149"/>
      <c r="C550" s="152"/>
      <c r="D550" s="152"/>
      <c r="E550" s="152"/>
      <c r="F550" s="152"/>
      <c r="G550" s="157"/>
      <c r="H550" s="10"/>
      <c r="I550" s="14"/>
      <c r="J550" s="15"/>
      <c r="K550" s="16"/>
      <c r="L550" s="17"/>
      <c r="M550" s="17"/>
      <c r="N550" s="17"/>
      <c r="O550" s="17"/>
      <c r="P550" s="17"/>
      <c r="Q550" s="17"/>
      <c r="R550" s="17"/>
      <c r="S550" s="17"/>
      <c r="T550" s="17"/>
      <c r="U550" s="17"/>
      <c r="V550" s="17"/>
    </row>
    <row r="551">
      <c r="A551" s="168"/>
      <c r="B551" s="149"/>
      <c r="C551" s="152"/>
      <c r="D551" s="152"/>
      <c r="E551" s="152"/>
      <c r="F551" s="152"/>
      <c r="G551" s="157"/>
      <c r="H551" s="10"/>
      <c r="I551" s="14"/>
      <c r="J551" s="15"/>
      <c r="K551" s="16"/>
      <c r="L551" s="17"/>
      <c r="M551" s="17"/>
      <c r="N551" s="17"/>
      <c r="O551" s="17"/>
      <c r="P551" s="17"/>
      <c r="Q551" s="17"/>
      <c r="R551" s="17"/>
      <c r="S551" s="17"/>
      <c r="T551" s="17"/>
      <c r="U551" s="17"/>
      <c r="V551" s="17"/>
    </row>
    <row r="552">
      <c r="A552" s="168"/>
      <c r="B552" s="149"/>
      <c r="C552" s="152"/>
      <c r="D552" s="152"/>
      <c r="E552" s="152"/>
      <c r="F552" s="152"/>
      <c r="G552" s="157"/>
      <c r="H552" s="10"/>
      <c r="I552" s="14"/>
      <c r="J552" s="15"/>
      <c r="K552" s="16"/>
      <c r="L552" s="17"/>
      <c r="M552" s="17"/>
      <c r="N552" s="17"/>
      <c r="O552" s="17"/>
      <c r="P552" s="17"/>
      <c r="Q552" s="17"/>
      <c r="R552" s="17"/>
      <c r="S552" s="17"/>
      <c r="T552" s="17"/>
      <c r="U552" s="17"/>
      <c r="V552" s="17"/>
    </row>
    <row r="553">
      <c r="A553" s="168"/>
      <c r="B553" s="149"/>
      <c r="C553" s="152"/>
      <c r="D553" s="152"/>
      <c r="E553" s="152"/>
      <c r="F553" s="152"/>
      <c r="G553" s="157"/>
      <c r="H553" s="10"/>
      <c r="I553" s="14"/>
      <c r="J553" s="15"/>
      <c r="K553" s="16"/>
      <c r="L553" s="17"/>
      <c r="M553" s="17"/>
      <c r="N553" s="17"/>
      <c r="O553" s="17"/>
      <c r="P553" s="17"/>
      <c r="Q553" s="17"/>
      <c r="R553" s="17"/>
      <c r="S553" s="17"/>
      <c r="T553" s="17"/>
      <c r="U553" s="17"/>
      <c r="V553" s="17"/>
    </row>
    <row r="554">
      <c r="A554" s="168"/>
      <c r="B554" s="149"/>
      <c r="C554" s="152"/>
      <c r="D554" s="152"/>
      <c r="E554" s="152"/>
      <c r="F554" s="152"/>
      <c r="G554" s="157"/>
      <c r="H554" s="10"/>
      <c r="I554" s="14"/>
      <c r="J554" s="15"/>
      <c r="K554" s="16"/>
      <c r="L554" s="17"/>
      <c r="M554" s="17"/>
      <c r="N554" s="17"/>
      <c r="O554" s="17"/>
      <c r="P554" s="17"/>
      <c r="Q554" s="17"/>
      <c r="R554" s="17"/>
      <c r="S554" s="17"/>
      <c r="T554" s="17"/>
      <c r="U554" s="17"/>
      <c r="V554" s="17"/>
    </row>
    <row r="555">
      <c r="A555" s="168"/>
      <c r="B555" s="149"/>
      <c r="C555" s="152"/>
      <c r="D555" s="152"/>
      <c r="E555" s="152"/>
      <c r="F555" s="152"/>
      <c r="G555" s="157"/>
      <c r="H555" s="10"/>
      <c r="I555" s="14"/>
      <c r="J555" s="15"/>
      <c r="K555" s="16"/>
      <c r="L555" s="17"/>
      <c r="M555" s="17"/>
      <c r="N555" s="17"/>
      <c r="O555" s="17"/>
      <c r="P555" s="17"/>
      <c r="Q555" s="17"/>
      <c r="R555" s="17"/>
      <c r="S555" s="17"/>
      <c r="T555" s="17"/>
      <c r="U555" s="17"/>
      <c r="V555" s="17"/>
    </row>
    <row r="556">
      <c r="A556" s="168"/>
      <c r="B556" s="149"/>
      <c r="C556" s="152"/>
      <c r="D556" s="152"/>
      <c r="E556" s="152"/>
      <c r="F556" s="152"/>
      <c r="G556" s="157"/>
      <c r="H556" s="10"/>
      <c r="I556" s="14"/>
      <c r="J556" s="15"/>
      <c r="K556" s="16"/>
      <c r="L556" s="17"/>
      <c r="M556" s="17"/>
      <c r="N556" s="17"/>
      <c r="O556" s="17"/>
      <c r="P556" s="17"/>
      <c r="Q556" s="17"/>
      <c r="R556" s="17"/>
      <c r="S556" s="17"/>
      <c r="T556" s="17"/>
      <c r="U556" s="17"/>
      <c r="V556" s="17"/>
    </row>
    <row r="557">
      <c r="A557" s="168"/>
      <c r="B557" s="149"/>
      <c r="C557" s="152"/>
      <c r="D557" s="152"/>
      <c r="E557" s="152"/>
      <c r="F557" s="152"/>
      <c r="G557" s="157"/>
      <c r="H557" s="10"/>
      <c r="I557" s="14"/>
      <c r="J557" s="15"/>
      <c r="K557" s="16"/>
      <c r="L557" s="17"/>
      <c r="M557" s="17"/>
      <c r="N557" s="17"/>
      <c r="O557" s="17"/>
      <c r="P557" s="17"/>
      <c r="Q557" s="17"/>
      <c r="R557" s="17"/>
      <c r="S557" s="17"/>
      <c r="T557" s="17"/>
      <c r="U557" s="17"/>
      <c r="V557" s="17"/>
    </row>
    <row r="558">
      <c r="A558" s="168"/>
      <c r="B558" s="149"/>
      <c r="C558" s="152"/>
      <c r="D558" s="152"/>
      <c r="E558" s="152"/>
      <c r="F558" s="152"/>
      <c r="G558" s="157"/>
      <c r="H558" s="10"/>
      <c r="I558" s="14"/>
      <c r="J558" s="15"/>
      <c r="K558" s="16"/>
      <c r="L558" s="17"/>
      <c r="M558" s="17"/>
      <c r="N558" s="17"/>
      <c r="O558" s="17"/>
      <c r="P558" s="17"/>
      <c r="Q558" s="17"/>
      <c r="R558" s="17"/>
      <c r="S558" s="17"/>
      <c r="T558" s="17"/>
      <c r="U558" s="17"/>
      <c r="V558" s="17"/>
    </row>
    <row r="559">
      <c r="A559" s="168"/>
      <c r="B559" s="149"/>
      <c r="C559" s="152"/>
      <c r="D559" s="152"/>
      <c r="E559" s="152"/>
      <c r="F559" s="152"/>
      <c r="G559" s="157"/>
      <c r="H559" s="10"/>
      <c r="I559" s="14"/>
      <c r="J559" s="15"/>
      <c r="K559" s="16"/>
      <c r="L559" s="17"/>
      <c r="M559" s="17"/>
      <c r="N559" s="17"/>
      <c r="O559" s="17"/>
      <c r="P559" s="17"/>
      <c r="Q559" s="17"/>
      <c r="R559" s="17"/>
      <c r="S559" s="17"/>
      <c r="T559" s="17"/>
      <c r="U559" s="17"/>
      <c r="V559" s="17"/>
    </row>
    <row r="560">
      <c r="A560" s="168"/>
      <c r="B560" s="149"/>
      <c r="C560" s="152"/>
      <c r="D560" s="152"/>
      <c r="E560" s="152"/>
      <c r="F560" s="152"/>
      <c r="G560" s="157"/>
      <c r="H560" s="10"/>
      <c r="I560" s="14"/>
      <c r="J560" s="15"/>
      <c r="K560" s="16"/>
      <c r="L560" s="17"/>
      <c r="M560" s="17"/>
      <c r="N560" s="17"/>
      <c r="O560" s="17"/>
      <c r="P560" s="17"/>
      <c r="Q560" s="17"/>
      <c r="R560" s="17"/>
      <c r="S560" s="17"/>
      <c r="T560" s="17"/>
      <c r="U560" s="17"/>
      <c r="V560" s="17"/>
    </row>
    <row r="561">
      <c r="A561" s="168"/>
      <c r="B561" s="149"/>
      <c r="C561" s="152"/>
      <c r="D561" s="152"/>
      <c r="E561" s="152"/>
      <c r="F561" s="152"/>
      <c r="G561" s="157"/>
      <c r="H561" s="10"/>
      <c r="I561" s="14"/>
      <c r="J561" s="15"/>
      <c r="K561" s="16"/>
      <c r="L561" s="17"/>
      <c r="M561" s="17"/>
      <c r="N561" s="17"/>
      <c r="O561" s="17"/>
      <c r="P561" s="17"/>
      <c r="Q561" s="17"/>
      <c r="R561" s="17"/>
      <c r="S561" s="17"/>
      <c r="T561" s="17"/>
      <c r="U561" s="17"/>
      <c r="V561" s="17"/>
    </row>
    <row r="562">
      <c r="A562" s="168"/>
      <c r="B562" s="149"/>
      <c r="C562" s="152"/>
      <c r="D562" s="152"/>
      <c r="E562" s="152"/>
      <c r="F562" s="152"/>
      <c r="G562" s="157"/>
      <c r="H562" s="10"/>
      <c r="I562" s="14"/>
      <c r="J562" s="15"/>
      <c r="K562" s="16"/>
      <c r="L562" s="17"/>
      <c r="M562" s="17"/>
      <c r="N562" s="17"/>
      <c r="O562" s="17"/>
      <c r="P562" s="17"/>
      <c r="Q562" s="17"/>
      <c r="R562" s="17"/>
      <c r="S562" s="17"/>
      <c r="T562" s="17"/>
      <c r="U562" s="17"/>
      <c r="V562" s="17"/>
    </row>
    <row r="563">
      <c r="A563" s="168"/>
      <c r="B563" s="149"/>
      <c r="C563" s="152"/>
      <c r="D563" s="152"/>
      <c r="E563" s="152"/>
      <c r="F563" s="152"/>
      <c r="G563" s="157"/>
      <c r="H563" s="10"/>
      <c r="I563" s="14"/>
      <c r="J563" s="15"/>
      <c r="K563" s="16"/>
      <c r="L563" s="17"/>
      <c r="M563" s="17"/>
      <c r="N563" s="17"/>
      <c r="O563" s="17"/>
      <c r="P563" s="17"/>
      <c r="Q563" s="17"/>
      <c r="R563" s="17"/>
      <c r="S563" s="17"/>
      <c r="T563" s="17"/>
      <c r="U563" s="17"/>
      <c r="V563" s="17"/>
    </row>
    <row r="564">
      <c r="A564" s="168"/>
      <c r="B564" s="149"/>
      <c r="C564" s="152"/>
      <c r="D564" s="152"/>
      <c r="E564" s="152"/>
      <c r="F564" s="152"/>
      <c r="G564" s="157"/>
      <c r="H564" s="10"/>
      <c r="I564" s="14"/>
      <c r="J564" s="15"/>
      <c r="K564" s="16"/>
      <c r="L564" s="17"/>
      <c r="M564" s="17"/>
      <c r="N564" s="17"/>
      <c r="O564" s="17"/>
      <c r="P564" s="17"/>
      <c r="Q564" s="17"/>
      <c r="R564" s="17"/>
      <c r="S564" s="17"/>
      <c r="T564" s="17"/>
      <c r="U564" s="17"/>
      <c r="V564" s="17"/>
    </row>
    <row r="565">
      <c r="A565" s="168"/>
      <c r="B565" s="149"/>
      <c r="C565" s="152"/>
      <c r="D565" s="152"/>
      <c r="E565" s="152"/>
      <c r="F565" s="152"/>
      <c r="G565" s="157"/>
      <c r="H565" s="10"/>
      <c r="I565" s="14"/>
      <c r="J565" s="15"/>
      <c r="K565" s="16"/>
      <c r="L565" s="17"/>
      <c r="M565" s="17"/>
      <c r="N565" s="17"/>
      <c r="O565" s="17"/>
      <c r="P565" s="17"/>
      <c r="Q565" s="17"/>
      <c r="R565" s="17"/>
      <c r="S565" s="17"/>
      <c r="T565" s="17"/>
      <c r="U565" s="17"/>
      <c r="V565" s="17"/>
    </row>
    <row r="566">
      <c r="A566" s="168"/>
      <c r="B566" s="149"/>
      <c r="C566" s="152"/>
      <c r="D566" s="152"/>
      <c r="E566" s="152"/>
      <c r="F566" s="152"/>
      <c r="G566" s="157"/>
      <c r="H566" s="10"/>
      <c r="I566" s="14"/>
      <c r="J566" s="15"/>
      <c r="K566" s="16"/>
      <c r="L566" s="17"/>
      <c r="M566" s="17"/>
      <c r="N566" s="17"/>
      <c r="O566" s="17"/>
      <c r="P566" s="17"/>
      <c r="Q566" s="17"/>
      <c r="R566" s="17"/>
      <c r="S566" s="17"/>
      <c r="T566" s="17"/>
      <c r="U566" s="17"/>
      <c r="V566" s="17"/>
    </row>
    <row r="567">
      <c r="A567" s="168"/>
      <c r="B567" s="149"/>
      <c r="C567" s="152"/>
      <c r="D567" s="152"/>
      <c r="E567" s="152"/>
      <c r="F567" s="152"/>
      <c r="G567" s="157"/>
      <c r="H567" s="10"/>
      <c r="I567" s="14"/>
      <c r="J567" s="15"/>
      <c r="K567" s="16"/>
      <c r="L567" s="17"/>
      <c r="M567" s="17"/>
      <c r="N567" s="17"/>
      <c r="O567" s="17"/>
      <c r="P567" s="17"/>
      <c r="Q567" s="17"/>
      <c r="R567" s="17"/>
      <c r="S567" s="17"/>
      <c r="T567" s="17"/>
      <c r="U567" s="17"/>
      <c r="V567" s="17"/>
    </row>
    <row r="568">
      <c r="A568" s="168"/>
      <c r="B568" s="149"/>
      <c r="C568" s="152"/>
      <c r="D568" s="152"/>
      <c r="E568" s="152"/>
      <c r="F568" s="152"/>
      <c r="G568" s="157"/>
      <c r="H568" s="10"/>
      <c r="I568" s="14"/>
      <c r="J568" s="15"/>
      <c r="K568" s="16"/>
      <c r="L568" s="17"/>
      <c r="M568" s="17"/>
      <c r="N568" s="17"/>
      <c r="O568" s="17"/>
      <c r="P568" s="17"/>
      <c r="Q568" s="17"/>
      <c r="R568" s="17"/>
      <c r="S568" s="17"/>
      <c r="T568" s="17"/>
      <c r="U568" s="17"/>
      <c r="V568" s="17"/>
    </row>
    <row r="569">
      <c r="A569" s="168"/>
      <c r="B569" s="149"/>
      <c r="C569" s="152"/>
      <c r="D569" s="152"/>
      <c r="E569" s="152"/>
      <c r="F569" s="152"/>
      <c r="G569" s="157"/>
      <c r="H569" s="10"/>
      <c r="I569" s="14"/>
      <c r="J569" s="15"/>
      <c r="K569" s="16"/>
      <c r="L569" s="17"/>
      <c r="M569" s="17"/>
      <c r="N569" s="17"/>
      <c r="O569" s="17"/>
      <c r="P569" s="17"/>
      <c r="Q569" s="17"/>
      <c r="R569" s="17"/>
      <c r="S569" s="17"/>
      <c r="T569" s="17"/>
      <c r="U569" s="17"/>
      <c r="V569" s="17"/>
    </row>
    <row r="570">
      <c r="A570" s="168"/>
      <c r="B570" s="149"/>
      <c r="C570" s="152"/>
      <c r="D570" s="152"/>
      <c r="E570" s="152"/>
      <c r="F570" s="152"/>
      <c r="G570" s="157"/>
      <c r="H570" s="10"/>
      <c r="I570" s="14"/>
      <c r="J570" s="15"/>
      <c r="K570" s="16"/>
      <c r="L570" s="17"/>
      <c r="M570" s="17"/>
      <c r="N570" s="17"/>
      <c r="O570" s="17"/>
      <c r="P570" s="17"/>
      <c r="Q570" s="17"/>
      <c r="R570" s="17"/>
      <c r="S570" s="17"/>
      <c r="T570" s="17"/>
      <c r="U570" s="17"/>
      <c r="V570" s="17"/>
    </row>
    <row r="571">
      <c r="A571" s="168"/>
      <c r="B571" s="149"/>
      <c r="C571" s="152"/>
      <c r="D571" s="152"/>
      <c r="E571" s="152"/>
      <c r="F571" s="152"/>
      <c r="G571" s="157"/>
      <c r="H571" s="10"/>
      <c r="I571" s="14"/>
      <c r="J571" s="15"/>
      <c r="K571" s="16"/>
      <c r="L571" s="17"/>
      <c r="M571" s="17"/>
      <c r="N571" s="17"/>
      <c r="O571" s="17"/>
      <c r="P571" s="17"/>
      <c r="Q571" s="17"/>
      <c r="R571" s="17"/>
      <c r="S571" s="17"/>
      <c r="T571" s="17"/>
      <c r="U571" s="17"/>
      <c r="V571" s="17"/>
    </row>
    <row r="572">
      <c r="A572" s="168"/>
      <c r="B572" s="149"/>
      <c r="C572" s="152"/>
      <c r="D572" s="152"/>
      <c r="E572" s="152"/>
      <c r="F572" s="152"/>
      <c r="G572" s="157"/>
      <c r="H572" s="10"/>
      <c r="I572" s="14"/>
      <c r="J572" s="15"/>
      <c r="K572" s="16"/>
      <c r="L572" s="17"/>
      <c r="M572" s="17"/>
      <c r="N572" s="17"/>
      <c r="O572" s="17"/>
      <c r="P572" s="17"/>
      <c r="Q572" s="17"/>
      <c r="R572" s="17"/>
      <c r="S572" s="17"/>
      <c r="T572" s="17"/>
      <c r="U572" s="17"/>
      <c r="V572" s="17"/>
    </row>
    <row r="573">
      <c r="A573" s="168"/>
      <c r="B573" s="149"/>
      <c r="C573" s="152"/>
      <c r="D573" s="152"/>
      <c r="E573" s="152"/>
      <c r="F573" s="152"/>
      <c r="G573" s="157"/>
      <c r="H573" s="10"/>
      <c r="I573" s="14"/>
      <c r="J573" s="15"/>
      <c r="K573" s="16"/>
      <c r="L573" s="17"/>
      <c r="M573" s="17"/>
      <c r="N573" s="17"/>
      <c r="O573" s="17"/>
      <c r="P573" s="17"/>
      <c r="Q573" s="17"/>
      <c r="R573" s="17"/>
      <c r="S573" s="17"/>
      <c r="T573" s="17"/>
      <c r="U573" s="17"/>
      <c r="V573" s="17"/>
    </row>
    <row r="574">
      <c r="A574" s="168"/>
      <c r="B574" s="149"/>
      <c r="C574" s="152"/>
      <c r="D574" s="152"/>
      <c r="E574" s="152"/>
      <c r="F574" s="152"/>
      <c r="G574" s="157"/>
      <c r="H574" s="10"/>
      <c r="I574" s="14"/>
      <c r="J574" s="15"/>
      <c r="K574" s="16"/>
      <c r="L574" s="17"/>
      <c r="M574" s="17"/>
      <c r="N574" s="17"/>
      <c r="O574" s="17"/>
      <c r="P574" s="17"/>
      <c r="Q574" s="17"/>
      <c r="R574" s="17"/>
      <c r="S574" s="17"/>
      <c r="T574" s="17"/>
      <c r="U574" s="17"/>
      <c r="V574" s="17"/>
    </row>
    <row r="575">
      <c r="A575" s="168"/>
      <c r="B575" s="149"/>
      <c r="C575" s="152"/>
      <c r="D575" s="152"/>
      <c r="E575" s="152"/>
      <c r="F575" s="152"/>
      <c r="G575" s="157"/>
      <c r="H575" s="10"/>
      <c r="I575" s="14"/>
      <c r="J575" s="15"/>
      <c r="K575" s="16"/>
      <c r="L575" s="17"/>
      <c r="M575" s="17"/>
      <c r="N575" s="17"/>
      <c r="O575" s="17"/>
      <c r="P575" s="17"/>
      <c r="Q575" s="17"/>
      <c r="R575" s="17"/>
      <c r="S575" s="17"/>
      <c r="T575" s="17"/>
      <c r="U575" s="17"/>
      <c r="V575" s="17"/>
    </row>
    <row r="576">
      <c r="A576" s="168"/>
      <c r="B576" s="149"/>
      <c r="C576" s="152"/>
      <c r="D576" s="152"/>
      <c r="E576" s="152"/>
      <c r="F576" s="152"/>
      <c r="G576" s="157"/>
      <c r="H576" s="10"/>
      <c r="I576" s="14"/>
      <c r="J576" s="15"/>
      <c r="K576" s="16"/>
      <c r="L576" s="17"/>
      <c r="M576" s="17"/>
      <c r="N576" s="17"/>
      <c r="O576" s="17"/>
      <c r="P576" s="17"/>
      <c r="Q576" s="17"/>
      <c r="R576" s="17"/>
      <c r="S576" s="17"/>
      <c r="T576" s="17"/>
      <c r="U576" s="17"/>
      <c r="V576" s="17"/>
    </row>
    <row r="577">
      <c r="A577" s="168"/>
      <c r="B577" s="149"/>
      <c r="C577" s="152"/>
      <c r="D577" s="152"/>
      <c r="E577" s="152"/>
      <c r="F577" s="152"/>
      <c r="G577" s="157"/>
      <c r="H577" s="10"/>
      <c r="I577" s="14"/>
      <c r="J577" s="15"/>
      <c r="K577" s="16"/>
      <c r="L577" s="17"/>
      <c r="M577" s="17"/>
      <c r="N577" s="17"/>
      <c r="O577" s="17"/>
      <c r="P577" s="17"/>
      <c r="Q577" s="17"/>
      <c r="R577" s="17"/>
      <c r="S577" s="17"/>
      <c r="T577" s="17"/>
      <c r="U577" s="17"/>
      <c r="V577" s="17"/>
    </row>
    <row r="578">
      <c r="A578" s="168"/>
      <c r="B578" s="149"/>
      <c r="C578" s="152"/>
      <c r="D578" s="152"/>
      <c r="E578" s="152"/>
      <c r="F578" s="152"/>
      <c r="G578" s="157"/>
      <c r="H578" s="10"/>
      <c r="I578" s="14"/>
      <c r="J578" s="15"/>
      <c r="K578" s="16"/>
      <c r="L578" s="17"/>
      <c r="M578" s="17"/>
      <c r="N578" s="17"/>
      <c r="O578" s="17"/>
      <c r="P578" s="17"/>
      <c r="Q578" s="17"/>
      <c r="R578" s="17"/>
      <c r="S578" s="17"/>
      <c r="T578" s="17"/>
      <c r="U578" s="17"/>
      <c r="V578" s="17"/>
    </row>
    <row r="579">
      <c r="A579" s="168"/>
      <c r="B579" s="149"/>
      <c r="C579" s="152"/>
      <c r="D579" s="152"/>
      <c r="E579" s="152"/>
      <c r="F579" s="152"/>
      <c r="G579" s="157"/>
      <c r="H579" s="10"/>
      <c r="I579" s="14"/>
      <c r="J579" s="15"/>
      <c r="K579" s="16"/>
      <c r="L579" s="17"/>
      <c r="M579" s="17"/>
      <c r="N579" s="17"/>
      <c r="O579" s="17"/>
      <c r="P579" s="17"/>
      <c r="Q579" s="17"/>
      <c r="R579" s="17"/>
      <c r="S579" s="17"/>
      <c r="T579" s="17"/>
      <c r="U579" s="17"/>
      <c r="V579" s="17"/>
    </row>
    <row r="580">
      <c r="A580" s="168"/>
      <c r="B580" s="149"/>
      <c r="C580" s="152"/>
      <c r="D580" s="152"/>
      <c r="E580" s="152"/>
      <c r="F580" s="152"/>
      <c r="G580" s="157"/>
      <c r="H580" s="10"/>
      <c r="I580" s="14"/>
      <c r="J580" s="15"/>
      <c r="K580" s="16"/>
      <c r="L580" s="17"/>
      <c r="M580" s="17"/>
      <c r="N580" s="17"/>
      <c r="O580" s="17"/>
      <c r="P580" s="17"/>
      <c r="Q580" s="17"/>
      <c r="R580" s="17"/>
      <c r="S580" s="17"/>
      <c r="T580" s="17"/>
      <c r="U580" s="17"/>
      <c r="V580" s="17"/>
    </row>
    <row r="581">
      <c r="A581" s="168"/>
      <c r="B581" s="149"/>
      <c r="C581" s="152"/>
      <c r="D581" s="152"/>
      <c r="E581" s="152"/>
      <c r="F581" s="152"/>
      <c r="G581" s="157"/>
      <c r="H581" s="10"/>
      <c r="I581" s="14"/>
      <c r="J581" s="15"/>
      <c r="K581" s="16"/>
      <c r="L581" s="17"/>
      <c r="M581" s="17"/>
      <c r="N581" s="17"/>
      <c r="O581" s="17"/>
      <c r="P581" s="17"/>
      <c r="Q581" s="17"/>
      <c r="R581" s="17"/>
      <c r="S581" s="17"/>
      <c r="T581" s="17"/>
      <c r="U581" s="17"/>
      <c r="V581" s="17"/>
    </row>
    <row r="582">
      <c r="A582" s="168"/>
      <c r="B582" s="149"/>
      <c r="C582" s="152"/>
      <c r="D582" s="152"/>
      <c r="E582" s="152"/>
      <c r="F582" s="152"/>
      <c r="G582" s="157"/>
      <c r="H582" s="10"/>
      <c r="I582" s="14"/>
      <c r="J582" s="15"/>
      <c r="K582" s="16"/>
      <c r="L582" s="17"/>
      <c r="M582" s="17"/>
      <c r="N582" s="17"/>
      <c r="O582" s="17"/>
      <c r="P582" s="17"/>
      <c r="Q582" s="17"/>
      <c r="R582" s="17"/>
      <c r="S582" s="17"/>
      <c r="T582" s="17"/>
      <c r="U582" s="17"/>
      <c r="V582" s="17"/>
    </row>
    <row r="583">
      <c r="A583" s="168"/>
      <c r="B583" s="149"/>
      <c r="C583" s="152"/>
      <c r="D583" s="152"/>
      <c r="E583" s="152"/>
      <c r="F583" s="152"/>
      <c r="G583" s="157"/>
      <c r="H583" s="10"/>
      <c r="I583" s="14"/>
      <c r="J583" s="15"/>
      <c r="K583" s="16"/>
      <c r="L583" s="17"/>
      <c r="M583" s="17"/>
      <c r="N583" s="17"/>
      <c r="O583" s="17"/>
      <c r="P583" s="17"/>
      <c r="Q583" s="17"/>
      <c r="R583" s="17"/>
      <c r="S583" s="17"/>
      <c r="T583" s="17"/>
      <c r="U583" s="17"/>
      <c r="V583" s="17"/>
    </row>
    <row r="584">
      <c r="A584" s="168"/>
      <c r="B584" s="149"/>
      <c r="C584" s="152"/>
      <c r="D584" s="152"/>
      <c r="E584" s="152"/>
      <c r="F584" s="152"/>
      <c r="G584" s="157"/>
      <c r="H584" s="10"/>
      <c r="I584" s="14"/>
      <c r="J584" s="15"/>
      <c r="K584" s="16"/>
      <c r="L584" s="17"/>
      <c r="M584" s="17"/>
      <c r="N584" s="17"/>
      <c r="O584" s="17"/>
      <c r="P584" s="17"/>
      <c r="Q584" s="17"/>
      <c r="R584" s="17"/>
      <c r="S584" s="17"/>
      <c r="T584" s="17"/>
      <c r="U584" s="17"/>
      <c r="V584" s="17"/>
    </row>
    <row r="585">
      <c r="A585" s="168"/>
      <c r="B585" s="149"/>
      <c r="C585" s="152"/>
      <c r="D585" s="152"/>
      <c r="E585" s="152"/>
      <c r="F585" s="152"/>
      <c r="G585" s="157"/>
      <c r="H585" s="10"/>
      <c r="I585" s="14"/>
      <c r="J585" s="15"/>
      <c r="K585" s="16"/>
      <c r="L585" s="17"/>
      <c r="M585" s="17"/>
      <c r="N585" s="17"/>
      <c r="O585" s="17"/>
      <c r="P585" s="17"/>
      <c r="Q585" s="17"/>
      <c r="R585" s="17"/>
      <c r="S585" s="17"/>
      <c r="T585" s="17"/>
      <c r="U585" s="17"/>
      <c r="V585" s="17"/>
    </row>
    <row r="586">
      <c r="A586" s="168"/>
      <c r="B586" s="149"/>
      <c r="C586" s="152"/>
      <c r="D586" s="152"/>
      <c r="E586" s="152"/>
      <c r="F586" s="152"/>
      <c r="G586" s="157"/>
      <c r="H586" s="10"/>
      <c r="I586" s="14"/>
      <c r="J586" s="15"/>
      <c r="K586" s="16"/>
      <c r="L586" s="17"/>
      <c r="M586" s="17"/>
      <c r="N586" s="17"/>
      <c r="O586" s="17"/>
      <c r="P586" s="17"/>
      <c r="Q586" s="17"/>
      <c r="R586" s="17"/>
      <c r="S586" s="17"/>
      <c r="T586" s="17"/>
      <c r="U586" s="17"/>
      <c r="V586" s="17"/>
    </row>
    <row r="587">
      <c r="A587" s="168"/>
      <c r="B587" s="149"/>
      <c r="C587" s="152"/>
      <c r="D587" s="152"/>
      <c r="E587" s="152"/>
      <c r="F587" s="152"/>
      <c r="G587" s="157"/>
      <c r="H587" s="10"/>
      <c r="I587" s="14"/>
      <c r="J587" s="15"/>
      <c r="K587" s="16"/>
      <c r="L587" s="17"/>
      <c r="M587" s="17"/>
      <c r="N587" s="17"/>
      <c r="O587" s="17"/>
      <c r="P587" s="17"/>
      <c r="Q587" s="17"/>
      <c r="R587" s="17"/>
      <c r="S587" s="17"/>
      <c r="T587" s="17"/>
      <c r="U587" s="17"/>
      <c r="V587" s="17"/>
    </row>
    <row r="588">
      <c r="A588" s="168"/>
      <c r="B588" s="149"/>
      <c r="C588" s="152"/>
      <c r="D588" s="152"/>
      <c r="E588" s="152"/>
      <c r="F588" s="152"/>
      <c r="G588" s="157"/>
      <c r="H588" s="10"/>
      <c r="I588" s="14"/>
      <c r="J588" s="15"/>
      <c r="K588" s="16"/>
      <c r="L588" s="17"/>
      <c r="M588" s="17"/>
      <c r="N588" s="17"/>
      <c r="O588" s="17"/>
      <c r="P588" s="17"/>
      <c r="Q588" s="17"/>
      <c r="R588" s="17"/>
      <c r="S588" s="17"/>
      <c r="T588" s="17"/>
      <c r="U588" s="17"/>
      <c r="V588" s="17"/>
    </row>
    <row r="589">
      <c r="A589" s="168"/>
      <c r="B589" s="149"/>
      <c r="C589" s="152"/>
      <c r="D589" s="152"/>
      <c r="E589" s="152"/>
      <c r="F589" s="152"/>
      <c r="G589" s="157"/>
      <c r="H589" s="10"/>
      <c r="I589" s="14"/>
      <c r="J589" s="15"/>
      <c r="K589" s="16"/>
      <c r="L589" s="17"/>
      <c r="M589" s="17"/>
      <c r="N589" s="17"/>
      <c r="O589" s="17"/>
      <c r="P589" s="17"/>
      <c r="Q589" s="17"/>
      <c r="R589" s="17"/>
      <c r="S589" s="17"/>
      <c r="T589" s="17"/>
      <c r="U589" s="17"/>
      <c r="V589" s="17"/>
    </row>
    <row r="590">
      <c r="A590" s="168"/>
      <c r="B590" s="149"/>
      <c r="C590" s="152"/>
      <c r="D590" s="152"/>
      <c r="E590" s="152"/>
      <c r="F590" s="152"/>
      <c r="G590" s="157"/>
      <c r="H590" s="10"/>
      <c r="I590" s="14"/>
      <c r="J590" s="15"/>
      <c r="K590" s="16"/>
      <c r="L590" s="17"/>
      <c r="M590" s="17"/>
      <c r="N590" s="17"/>
      <c r="O590" s="17"/>
      <c r="P590" s="17"/>
      <c r="Q590" s="17"/>
      <c r="R590" s="17"/>
      <c r="S590" s="17"/>
      <c r="T590" s="17"/>
      <c r="U590" s="17"/>
      <c r="V590" s="17"/>
    </row>
    <row r="591">
      <c r="A591" s="168"/>
      <c r="B591" s="149"/>
      <c r="C591" s="152"/>
      <c r="D591" s="152"/>
      <c r="E591" s="152"/>
      <c r="F591" s="152"/>
      <c r="G591" s="157"/>
      <c r="H591" s="10"/>
      <c r="I591" s="14"/>
      <c r="J591" s="15"/>
      <c r="K591" s="16"/>
      <c r="L591" s="17"/>
      <c r="M591" s="17"/>
      <c r="N591" s="17"/>
      <c r="O591" s="17"/>
      <c r="P591" s="17"/>
      <c r="Q591" s="17"/>
      <c r="R591" s="17"/>
      <c r="S591" s="17"/>
      <c r="T591" s="17"/>
      <c r="U591" s="17"/>
      <c r="V591" s="17"/>
    </row>
    <row r="592">
      <c r="A592" s="168"/>
      <c r="B592" s="149"/>
      <c r="C592" s="152"/>
      <c r="D592" s="152"/>
      <c r="E592" s="152"/>
      <c r="F592" s="152"/>
      <c r="G592" s="157"/>
      <c r="H592" s="10"/>
      <c r="I592" s="14"/>
      <c r="J592" s="15"/>
      <c r="K592" s="16"/>
      <c r="L592" s="17"/>
      <c r="M592" s="17"/>
      <c r="N592" s="17"/>
      <c r="O592" s="17"/>
      <c r="P592" s="17"/>
      <c r="Q592" s="17"/>
      <c r="R592" s="17"/>
      <c r="S592" s="17"/>
      <c r="T592" s="17"/>
      <c r="U592" s="17"/>
      <c r="V592" s="17"/>
    </row>
    <row r="593">
      <c r="A593" s="168"/>
      <c r="B593" s="149"/>
      <c r="C593" s="152"/>
      <c r="D593" s="152"/>
      <c r="E593" s="152"/>
      <c r="F593" s="152"/>
      <c r="G593" s="157"/>
      <c r="H593" s="10"/>
      <c r="I593" s="14"/>
      <c r="J593" s="15"/>
      <c r="K593" s="16"/>
      <c r="L593" s="17"/>
      <c r="M593" s="17"/>
      <c r="N593" s="17"/>
      <c r="O593" s="17"/>
      <c r="P593" s="17"/>
      <c r="Q593" s="17"/>
      <c r="R593" s="17"/>
      <c r="S593" s="17"/>
      <c r="T593" s="17"/>
      <c r="U593" s="17"/>
      <c r="V593" s="17"/>
    </row>
    <row r="594">
      <c r="A594" s="168"/>
      <c r="B594" s="149"/>
      <c r="C594" s="152"/>
      <c r="D594" s="152"/>
      <c r="E594" s="152"/>
      <c r="F594" s="152"/>
      <c r="G594" s="157"/>
      <c r="H594" s="10"/>
      <c r="I594" s="14"/>
      <c r="J594" s="15"/>
      <c r="K594" s="16"/>
      <c r="L594" s="17"/>
      <c r="M594" s="17"/>
      <c r="N594" s="17"/>
      <c r="O594" s="17"/>
      <c r="P594" s="17"/>
      <c r="Q594" s="17"/>
      <c r="R594" s="17"/>
      <c r="S594" s="17"/>
      <c r="T594" s="17"/>
      <c r="U594" s="17"/>
      <c r="V594" s="17"/>
    </row>
    <row r="595">
      <c r="A595" s="168"/>
      <c r="B595" s="149"/>
      <c r="C595" s="152"/>
      <c r="D595" s="152"/>
      <c r="E595" s="152"/>
      <c r="F595" s="152"/>
      <c r="G595" s="157"/>
      <c r="H595" s="10"/>
      <c r="I595" s="14"/>
      <c r="J595" s="15"/>
      <c r="K595" s="16"/>
      <c r="L595" s="17"/>
      <c r="M595" s="17"/>
      <c r="N595" s="17"/>
      <c r="O595" s="17"/>
      <c r="P595" s="17"/>
      <c r="Q595" s="17"/>
      <c r="R595" s="17"/>
      <c r="S595" s="17"/>
      <c r="T595" s="17"/>
      <c r="U595" s="17"/>
      <c r="V595" s="17"/>
    </row>
    <row r="596">
      <c r="A596" s="168"/>
      <c r="B596" s="149"/>
      <c r="C596" s="152"/>
      <c r="D596" s="152"/>
      <c r="E596" s="152"/>
      <c r="F596" s="152"/>
      <c r="G596" s="157"/>
      <c r="H596" s="10"/>
      <c r="I596" s="14"/>
      <c r="J596" s="15"/>
      <c r="K596" s="16"/>
      <c r="L596" s="17"/>
      <c r="M596" s="17"/>
      <c r="N596" s="17"/>
      <c r="O596" s="17"/>
      <c r="P596" s="17"/>
      <c r="Q596" s="17"/>
      <c r="R596" s="17"/>
      <c r="S596" s="17"/>
      <c r="T596" s="17"/>
      <c r="U596" s="17"/>
      <c r="V596" s="17"/>
    </row>
    <row r="597">
      <c r="A597" s="168"/>
      <c r="B597" s="149"/>
      <c r="C597" s="152"/>
      <c r="D597" s="152"/>
      <c r="E597" s="152"/>
      <c r="F597" s="152"/>
      <c r="G597" s="157"/>
      <c r="H597" s="10"/>
      <c r="I597" s="14"/>
      <c r="J597" s="15"/>
      <c r="K597" s="16"/>
      <c r="L597" s="17"/>
      <c r="M597" s="17"/>
      <c r="N597" s="17"/>
      <c r="O597" s="17"/>
      <c r="P597" s="17"/>
      <c r="Q597" s="17"/>
      <c r="R597" s="17"/>
      <c r="S597" s="17"/>
      <c r="T597" s="17"/>
      <c r="U597" s="17"/>
      <c r="V597" s="17"/>
    </row>
    <row r="598">
      <c r="A598" s="168"/>
      <c r="B598" s="149"/>
      <c r="C598" s="152"/>
      <c r="D598" s="152"/>
      <c r="E598" s="152"/>
      <c r="F598" s="152"/>
      <c r="G598" s="157"/>
      <c r="H598" s="10"/>
      <c r="I598" s="14"/>
      <c r="J598" s="15"/>
      <c r="K598" s="16"/>
      <c r="L598" s="17"/>
      <c r="M598" s="17"/>
      <c r="N598" s="17"/>
      <c r="O598" s="17"/>
      <c r="P598" s="17"/>
      <c r="Q598" s="17"/>
      <c r="R598" s="17"/>
      <c r="S598" s="17"/>
      <c r="T598" s="17"/>
      <c r="U598" s="17"/>
      <c r="V598" s="17"/>
    </row>
    <row r="599">
      <c r="A599" s="168"/>
      <c r="B599" s="149"/>
      <c r="C599" s="152"/>
      <c r="D599" s="152"/>
      <c r="E599" s="152"/>
      <c r="F599" s="152"/>
      <c r="G599" s="157"/>
      <c r="H599" s="10"/>
      <c r="I599" s="14"/>
      <c r="J599" s="15"/>
      <c r="K599" s="16"/>
      <c r="L599" s="17"/>
      <c r="M599" s="17"/>
      <c r="N599" s="17"/>
      <c r="O599" s="17"/>
      <c r="P599" s="17"/>
      <c r="Q599" s="17"/>
      <c r="R599" s="17"/>
      <c r="S599" s="17"/>
      <c r="T599" s="17"/>
      <c r="U599" s="17"/>
      <c r="V599" s="17"/>
    </row>
    <row r="600">
      <c r="A600" s="168"/>
      <c r="B600" s="149"/>
      <c r="C600" s="152"/>
      <c r="D600" s="152"/>
      <c r="E600" s="152"/>
      <c r="F600" s="152"/>
      <c r="G600" s="157"/>
      <c r="H600" s="10"/>
      <c r="I600" s="14"/>
      <c r="J600" s="15"/>
      <c r="K600" s="16"/>
      <c r="L600" s="17"/>
      <c r="M600" s="17"/>
      <c r="N600" s="17"/>
      <c r="O600" s="17"/>
      <c r="P600" s="17"/>
      <c r="Q600" s="17"/>
      <c r="R600" s="17"/>
      <c r="S600" s="17"/>
      <c r="T600" s="17"/>
      <c r="U600" s="17"/>
      <c r="V600" s="17"/>
    </row>
    <row r="601">
      <c r="A601" s="168"/>
      <c r="B601" s="149"/>
      <c r="C601" s="152"/>
      <c r="D601" s="152"/>
      <c r="E601" s="152"/>
      <c r="F601" s="152"/>
      <c r="G601" s="157"/>
      <c r="H601" s="10"/>
      <c r="I601" s="14"/>
      <c r="J601" s="15"/>
      <c r="K601" s="16"/>
      <c r="L601" s="17"/>
      <c r="M601" s="17"/>
      <c r="N601" s="17"/>
      <c r="O601" s="17"/>
      <c r="P601" s="17"/>
      <c r="Q601" s="17"/>
      <c r="R601" s="17"/>
      <c r="S601" s="17"/>
      <c r="T601" s="17"/>
      <c r="U601" s="17"/>
      <c r="V601" s="17"/>
    </row>
    <row r="602">
      <c r="A602" s="168"/>
      <c r="B602" s="149"/>
      <c r="C602" s="152"/>
      <c r="D602" s="152"/>
      <c r="E602" s="152"/>
      <c r="F602" s="152"/>
      <c r="G602" s="157"/>
      <c r="H602" s="10"/>
      <c r="I602" s="14"/>
      <c r="J602" s="15"/>
      <c r="K602" s="16"/>
      <c r="L602" s="17"/>
      <c r="M602" s="17"/>
      <c r="N602" s="17"/>
      <c r="O602" s="17"/>
      <c r="P602" s="17"/>
      <c r="Q602" s="17"/>
      <c r="R602" s="17"/>
      <c r="S602" s="17"/>
      <c r="T602" s="17"/>
      <c r="U602" s="17"/>
      <c r="V602" s="17"/>
    </row>
    <row r="603">
      <c r="A603" s="168"/>
      <c r="B603" s="149"/>
      <c r="C603" s="152"/>
      <c r="D603" s="152"/>
      <c r="E603" s="152"/>
      <c r="F603" s="152"/>
      <c r="G603" s="157"/>
      <c r="H603" s="10"/>
      <c r="I603" s="14"/>
      <c r="J603" s="15"/>
      <c r="K603" s="16"/>
      <c r="L603" s="17"/>
      <c r="M603" s="17"/>
      <c r="N603" s="17"/>
      <c r="O603" s="17"/>
      <c r="P603" s="17"/>
      <c r="Q603" s="17"/>
      <c r="R603" s="17"/>
      <c r="S603" s="17"/>
      <c r="T603" s="17"/>
      <c r="U603" s="17"/>
      <c r="V603" s="17"/>
    </row>
    <row r="604">
      <c r="A604" s="168"/>
      <c r="B604" s="149"/>
      <c r="C604" s="152"/>
      <c r="D604" s="152"/>
      <c r="E604" s="152"/>
      <c r="F604" s="152"/>
      <c r="G604" s="157"/>
      <c r="H604" s="10"/>
      <c r="I604" s="14"/>
      <c r="J604" s="15"/>
      <c r="K604" s="16"/>
      <c r="L604" s="17"/>
      <c r="M604" s="17"/>
      <c r="N604" s="17"/>
      <c r="O604" s="17"/>
      <c r="P604" s="17"/>
      <c r="Q604" s="17"/>
      <c r="R604" s="17"/>
      <c r="S604" s="17"/>
      <c r="T604" s="17"/>
      <c r="U604" s="17"/>
      <c r="V604" s="17"/>
    </row>
    <row r="605">
      <c r="A605" s="168"/>
      <c r="B605" s="149"/>
      <c r="C605" s="152"/>
      <c r="D605" s="152"/>
      <c r="E605" s="152"/>
      <c r="F605" s="152"/>
      <c r="G605" s="157"/>
      <c r="H605" s="10"/>
      <c r="I605" s="14"/>
      <c r="J605" s="15"/>
      <c r="K605" s="16"/>
      <c r="L605" s="17"/>
      <c r="M605" s="17"/>
      <c r="N605" s="17"/>
      <c r="O605" s="17"/>
      <c r="P605" s="17"/>
      <c r="Q605" s="17"/>
      <c r="R605" s="17"/>
      <c r="S605" s="17"/>
      <c r="T605" s="17"/>
      <c r="U605" s="17"/>
      <c r="V605" s="17"/>
    </row>
    <row r="606">
      <c r="A606" s="168"/>
      <c r="B606" s="149"/>
      <c r="C606" s="152"/>
      <c r="D606" s="152"/>
      <c r="E606" s="152"/>
      <c r="F606" s="152"/>
      <c r="G606" s="157"/>
      <c r="H606" s="10"/>
      <c r="I606" s="14"/>
      <c r="J606" s="15"/>
      <c r="K606" s="16"/>
      <c r="L606" s="17"/>
      <c r="M606" s="17"/>
      <c r="N606" s="17"/>
      <c r="O606" s="17"/>
      <c r="P606" s="17"/>
      <c r="Q606" s="17"/>
      <c r="R606" s="17"/>
      <c r="S606" s="17"/>
      <c r="T606" s="17"/>
      <c r="U606" s="17"/>
      <c r="V606" s="17"/>
    </row>
    <row r="607">
      <c r="A607" s="168"/>
      <c r="B607" s="149"/>
      <c r="C607" s="152"/>
      <c r="D607" s="152"/>
      <c r="E607" s="152"/>
      <c r="F607" s="152"/>
      <c r="G607" s="157"/>
      <c r="H607" s="10"/>
      <c r="I607" s="14"/>
      <c r="J607" s="15"/>
      <c r="K607" s="16"/>
      <c r="L607" s="17"/>
      <c r="M607" s="17"/>
      <c r="N607" s="17"/>
      <c r="O607" s="17"/>
      <c r="P607" s="17"/>
      <c r="Q607" s="17"/>
      <c r="R607" s="17"/>
      <c r="S607" s="17"/>
      <c r="T607" s="17"/>
      <c r="U607" s="17"/>
      <c r="V607" s="17"/>
    </row>
    <row r="608">
      <c r="A608" s="168"/>
      <c r="B608" s="149"/>
      <c r="C608" s="152"/>
      <c r="D608" s="152"/>
      <c r="E608" s="152"/>
      <c r="F608" s="152"/>
      <c r="G608" s="157"/>
      <c r="H608" s="10"/>
      <c r="I608" s="14"/>
      <c r="J608" s="15"/>
      <c r="K608" s="16"/>
      <c r="L608" s="17"/>
      <c r="M608" s="17"/>
      <c r="N608" s="17"/>
      <c r="O608" s="17"/>
      <c r="P608" s="17"/>
      <c r="Q608" s="17"/>
      <c r="R608" s="17"/>
      <c r="S608" s="17"/>
      <c r="T608" s="17"/>
      <c r="U608" s="17"/>
      <c r="V608" s="17"/>
    </row>
    <row r="609">
      <c r="A609" s="168"/>
      <c r="B609" s="149"/>
      <c r="C609" s="152"/>
      <c r="D609" s="152"/>
      <c r="E609" s="152"/>
      <c r="F609" s="152"/>
      <c r="G609" s="157"/>
      <c r="H609" s="10"/>
      <c r="I609" s="14"/>
      <c r="J609" s="15"/>
      <c r="K609" s="16"/>
      <c r="L609" s="17"/>
      <c r="M609" s="17"/>
      <c r="N609" s="17"/>
      <c r="O609" s="17"/>
      <c r="P609" s="17"/>
      <c r="Q609" s="17"/>
      <c r="R609" s="17"/>
      <c r="S609" s="17"/>
      <c r="T609" s="17"/>
      <c r="U609" s="17"/>
      <c r="V609" s="17"/>
    </row>
    <row r="610">
      <c r="A610" s="168"/>
      <c r="B610" s="149"/>
      <c r="C610" s="152"/>
      <c r="D610" s="152"/>
      <c r="E610" s="152"/>
      <c r="F610" s="152"/>
      <c r="G610" s="157"/>
      <c r="H610" s="10"/>
      <c r="I610" s="14"/>
      <c r="J610" s="15"/>
      <c r="K610" s="16"/>
      <c r="L610" s="17"/>
      <c r="M610" s="17"/>
      <c r="N610" s="17"/>
      <c r="O610" s="17"/>
      <c r="P610" s="17"/>
      <c r="Q610" s="17"/>
      <c r="R610" s="17"/>
      <c r="S610" s="17"/>
      <c r="T610" s="17"/>
      <c r="U610" s="17"/>
      <c r="V610" s="17"/>
    </row>
    <row r="611">
      <c r="A611" s="168"/>
      <c r="B611" s="149"/>
      <c r="C611" s="152"/>
      <c r="D611" s="152"/>
      <c r="E611" s="152"/>
      <c r="F611" s="152"/>
      <c r="G611" s="157"/>
      <c r="H611" s="10"/>
      <c r="I611" s="14"/>
      <c r="J611" s="15"/>
      <c r="K611" s="16"/>
      <c r="L611" s="17"/>
      <c r="M611" s="17"/>
      <c r="N611" s="17"/>
      <c r="O611" s="17"/>
      <c r="P611" s="17"/>
      <c r="Q611" s="17"/>
      <c r="R611" s="17"/>
      <c r="S611" s="17"/>
      <c r="T611" s="17"/>
      <c r="U611" s="17"/>
      <c r="V611" s="17"/>
    </row>
    <row r="612">
      <c r="A612" s="168"/>
      <c r="B612" s="149"/>
      <c r="C612" s="152"/>
      <c r="D612" s="152"/>
      <c r="E612" s="152"/>
      <c r="F612" s="152"/>
      <c r="G612" s="157"/>
      <c r="H612" s="10"/>
      <c r="I612" s="14"/>
      <c r="J612" s="15"/>
      <c r="K612" s="16"/>
      <c r="L612" s="17"/>
      <c r="M612" s="17"/>
      <c r="N612" s="17"/>
      <c r="O612" s="17"/>
      <c r="P612" s="17"/>
      <c r="Q612" s="17"/>
      <c r="R612" s="17"/>
      <c r="S612" s="17"/>
      <c r="T612" s="17"/>
      <c r="U612" s="17"/>
      <c r="V612" s="17"/>
    </row>
    <row r="613">
      <c r="A613" s="168"/>
      <c r="B613" s="149"/>
      <c r="C613" s="152"/>
      <c r="D613" s="152"/>
      <c r="E613" s="152"/>
      <c r="F613" s="152"/>
      <c r="G613" s="157"/>
      <c r="H613" s="10"/>
      <c r="I613" s="14"/>
      <c r="J613" s="15"/>
      <c r="K613" s="16"/>
      <c r="L613" s="17"/>
      <c r="M613" s="17"/>
      <c r="N613" s="17"/>
      <c r="O613" s="17"/>
      <c r="P613" s="17"/>
      <c r="Q613" s="17"/>
      <c r="R613" s="17"/>
      <c r="S613" s="17"/>
      <c r="T613" s="17"/>
      <c r="U613" s="17"/>
      <c r="V613" s="17"/>
    </row>
    <row r="614">
      <c r="A614" s="168"/>
      <c r="B614" s="149"/>
      <c r="C614" s="152"/>
      <c r="D614" s="152"/>
      <c r="E614" s="152"/>
      <c r="F614" s="152"/>
      <c r="G614" s="157"/>
      <c r="H614" s="10"/>
      <c r="I614" s="14"/>
      <c r="J614" s="15"/>
      <c r="K614" s="16"/>
      <c r="L614" s="17"/>
      <c r="M614" s="17"/>
      <c r="N614" s="17"/>
      <c r="O614" s="17"/>
      <c r="P614" s="17"/>
      <c r="Q614" s="17"/>
      <c r="R614" s="17"/>
      <c r="S614" s="17"/>
      <c r="T614" s="17"/>
      <c r="U614" s="17"/>
      <c r="V614" s="17"/>
    </row>
    <row r="615">
      <c r="A615" s="168"/>
      <c r="B615" s="149"/>
      <c r="C615" s="152"/>
      <c r="D615" s="152"/>
      <c r="E615" s="152"/>
      <c r="F615" s="152"/>
      <c r="G615" s="157"/>
      <c r="H615" s="10"/>
      <c r="I615" s="14"/>
      <c r="J615" s="15"/>
      <c r="K615" s="16"/>
      <c r="L615" s="17"/>
      <c r="M615" s="17"/>
      <c r="N615" s="17"/>
      <c r="O615" s="17"/>
      <c r="P615" s="17"/>
      <c r="Q615" s="17"/>
      <c r="R615" s="17"/>
      <c r="S615" s="17"/>
      <c r="T615" s="17"/>
      <c r="U615" s="17"/>
      <c r="V615" s="17"/>
    </row>
    <row r="616">
      <c r="A616" s="168"/>
      <c r="B616" s="149"/>
      <c r="C616" s="152"/>
      <c r="D616" s="152"/>
      <c r="E616" s="152"/>
      <c r="F616" s="152"/>
      <c r="G616" s="157"/>
      <c r="H616" s="10"/>
      <c r="I616" s="14"/>
      <c r="J616" s="15"/>
      <c r="K616" s="16"/>
      <c r="L616" s="17"/>
      <c r="M616" s="17"/>
      <c r="N616" s="17"/>
      <c r="O616" s="17"/>
      <c r="P616" s="17"/>
      <c r="Q616" s="17"/>
      <c r="R616" s="17"/>
      <c r="S616" s="17"/>
      <c r="T616" s="17"/>
      <c r="U616" s="17"/>
      <c r="V616" s="17"/>
    </row>
    <row r="617">
      <c r="A617" s="168"/>
      <c r="B617" s="149"/>
      <c r="C617" s="152"/>
      <c r="D617" s="152"/>
      <c r="E617" s="152"/>
      <c r="F617" s="152"/>
      <c r="G617" s="157"/>
      <c r="H617" s="10"/>
      <c r="I617" s="14"/>
      <c r="J617" s="15"/>
      <c r="K617" s="16"/>
      <c r="L617" s="17"/>
      <c r="M617" s="17"/>
      <c r="N617" s="17"/>
      <c r="O617" s="17"/>
      <c r="P617" s="17"/>
      <c r="Q617" s="17"/>
      <c r="R617" s="17"/>
      <c r="S617" s="17"/>
      <c r="T617" s="17"/>
      <c r="U617" s="17"/>
      <c r="V617" s="17"/>
    </row>
    <row r="618">
      <c r="A618" s="168"/>
      <c r="B618" s="149"/>
      <c r="C618" s="152"/>
      <c r="D618" s="152"/>
      <c r="E618" s="152"/>
      <c r="F618" s="152"/>
      <c r="G618" s="157"/>
      <c r="H618" s="10"/>
      <c r="I618" s="14"/>
      <c r="J618" s="15"/>
      <c r="K618" s="16"/>
      <c r="L618" s="17"/>
      <c r="M618" s="17"/>
      <c r="N618" s="17"/>
      <c r="O618" s="17"/>
      <c r="P618" s="17"/>
      <c r="Q618" s="17"/>
      <c r="R618" s="17"/>
      <c r="S618" s="17"/>
      <c r="T618" s="17"/>
      <c r="U618" s="17"/>
      <c r="V618" s="17"/>
    </row>
    <row r="619">
      <c r="A619" s="168"/>
      <c r="B619" s="149"/>
      <c r="C619" s="152"/>
      <c r="D619" s="152"/>
      <c r="E619" s="152"/>
      <c r="F619" s="152"/>
      <c r="G619" s="157"/>
      <c r="H619" s="10"/>
      <c r="I619" s="14"/>
      <c r="J619" s="15"/>
      <c r="K619" s="16"/>
      <c r="L619" s="17"/>
      <c r="M619" s="17"/>
      <c r="N619" s="17"/>
      <c r="O619" s="17"/>
      <c r="P619" s="17"/>
      <c r="Q619" s="17"/>
      <c r="R619" s="17"/>
      <c r="S619" s="17"/>
      <c r="T619" s="17"/>
      <c r="U619" s="17"/>
      <c r="V619" s="17"/>
    </row>
    <row r="620">
      <c r="A620" s="168"/>
      <c r="B620" s="149"/>
      <c r="C620" s="152"/>
      <c r="D620" s="152"/>
      <c r="E620" s="152"/>
      <c r="F620" s="152"/>
      <c r="G620" s="157"/>
      <c r="H620" s="10"/>
      <c r="I620" s="14"/>
      <c r="J620" s="15"/>
      <c r="K620" s="16"/>
      <c r="L620" s="17"/>
      <c r="M620" s="17"/>
      <c r="N620" s="17"/>
      <c r="O620" s="17"/>
      <c r="P620" s="17"/>
      <c r="Q620" s="17"/>
      <c r="R620" s="17"/>
      <c r="S620" s="17"/>
      <c r="T620" s="17"/>
      <c r="U620" s="17"/>
      <c r="V620" s="17"/>
    </row>
    <row r="621">
      <c r="A621" s="168"/>
      <c r="B621" s="149"/>
      <c r="C621" s="152"/>
      <c r="D621" s="152"/>
      <c r="E621" s="152"/>
      <c r="F621" s="152"/>
      <c r="G621" s="157"/>
      <c r="H621" s="10"/>
      <c r="I621" s="14"/>
      <c r="J621" s="15"/>
      <c r="K621" s="16"/>
      <c r="L621" s="17"/>
      <c r="M621" s="17"/>
      <c r="N621" s="17"/>
      <c r="O621" s="17"/>
      <c r="P621" s="17"/>
      <c r="Q621" s="17"/>
      <c r="R621" s="17"/>
      <c r="S621" s="17"/>
      <c r="T621" s="17"/>
      <c r="U621" s="17"/>
      <c r="V621" s="17"/>
    </row>
    <row r="622">
      <c r="A622" s="168"/>
      <c r="B622" s="149"/>
      <c r="C622" s="152"/>
      <c r="D622" s="152"/>
      <c r="E622" s="152"/>
      <c r="F622" s="152"/>
      <c r="G622" s="157"/>
      <c r="H622" s="10"/>
      <c r="I622" s="14"/>
      <c r="J622" s="15"/>
      <c r="K622" s="16"/>
      <c r="L622" s="17"/>
      <c r="M622" s="17"/>
      <c r="N622" s="17"/>
      <c r="O622" s="17"/>
      <c r="P622" s="17"/>
      <c r="Q622" s="17"/>
      <c r="R622" s="17"/>
      <c r="S622" s="17"/>
      <c r="T622" s="17"/>
      <c r="U622" s="17"/>
      <c r="V622" s="17"/>
    </row>
    <row r="623">
      <c r="A623" s="168"/>
      <c r="B623" s="149"/>
      <c r="C623" s="152"/>
      <c r="D623" s="152"/>
      <c r="E623" s="152"/>
      <c r="F623" s="152"/>
      <c r="G623" s="157"/>
      <c r="H623" s="10"/>
      <c r="I623" s="14"/>
      <c r="J623" s="15"/>
      <c r="K623" s="16"/>
      <c r="L623" s="17"/>
      <c r="M623" s="17"/>
      <c r="N623" s="17"/>
      <c r="O623" s="17"/>
      <c r="P623" s="17"/>
      <c r="Q623" s="17"/>
      <c r="R623" s="17"/>
      <c r="S623" s="17"/>
      <c r="T623" s="17"/>
      <c r="U623" s="17"/>
      <c r="V623" s="17"/>
    </row>
    <row r="624">
      <c r="A624" s="168"/>
      <c r="B624" s="149"/>
      <c r="C624" s="152"/>
      <c r="D624" s="152"/>
      <c r="E624" s="152"/>
      <c r="F624" s="152"/>
      <c r="G624" s="157"/>
      <c r="H624" s="10"/>
      <c r="I624" s="14"/>
      <c r="J624" s="15"/>
      <c r="K624" s="16"/>
      <c r="L624" s="17"/>
      <c r="M624" s="17"/>
      <c r="N624" s="17"/>
      <c r="O624" s="17"/>
      <c r="P624" s="17"/>
      <c r="Q624" s="17"/>
      <c r="R624" s="17"/>
      <c r="S624" s="17"/>
      <c r="T624" s="17"/>
      <c r="U624" s="17"/>
      <c r="V624" s="17"/>
    </row>
    <row r="625">
      <c r="A625" s="168"/>
      <c r="B625" s="149"/>
      <c r="C625" s="152"/>
      <c r="D625" s="152"/>
      <c r="E625" s="152"/>
      <c r="F625" s="152"/>
      <c r="G625" s="157"/>
      <c r="H625" s="10"/>
      <c r="I625" s="14"/>
      <c r="J625" s="15"/>
      <c r="K625" s="16"/>
      <c r="L625" s="17"/>
      <c r="M625" s="17"/>
      <c r="N625" s="17"/>
      <c r="O625" s="17"/>
      <c r="P625" s="17"/>
      <c r="Q625" s="17"/>
      <c r="R625" s="17"/>
      <c r="S625" s="17"/>
      <c r="T625" s="17"/>
      <c r="U625" s="17"/>
      <c r="V625" s="17"/>
    </row>
    <row r="626">
      <c r="A626" s="168"/>
      <c r="B626" s="149"/>
      <c r="C626" s="152"/>
      <c r="D626" s="152"/>
      <c r="E626" s="152"/>
      <c r="F626" s="152"/>
      <c r="G626" s="157"/>
      <c r="H626" s="10"/>
      <c r="I626" s="14"/>
      <c r="J626" s="15"/>
      <c r="K626" s="16"/>
      <c r="L626" s="17"/>
      <c r="M626" s="17"/>
      <c r="N626" s="17"/>
      <c r="O626" s="17"/>
      <c r="P626" s="17"/>
      <c r="Q626" s="17"/>
      <c r="R626" s="17"/>
      <c r="S626" s="17"/>
      <c r="T626" s="17"/>
      <c r="U626" s="17"/>
      <c r="V626" s="17"/>
    </row>
    <row r="627">
      <c r="A627" s="168"/>
      <c r="B627" s="149"/>
      <c r="C627" s="152"/>
      <c r="D627" s="152"/>
      <c r="E627" s="152"/>
      <c r="F627" s="152"/>
      <c r="G627" s="157"/>
      <c r="H627" s="10"/>
      <c r="I627" s="14"/>
      <c r="J627" s="15"/>
      <c r="K627" s="16"/>
      <c r="L627" s="17"/>
      <c r="M627" s="17"/>
      <c r="N627" s="17"/>
      <c r="O627" s="17"/>
      <c r="P627" s="17"/>
      <c r="Q627" s="17"/>
      <c r="R627" s="17"/>
      <c r="S627" s="17"/>
      <c r="T627" s="17"/>
      <c r="U627" s="17"/>
      <c r="V627" s="17"/>
    </row>
    <row r="628">
      <c r="A628" s="168"/>
      <c r="B628" s="149"/>
      <c r="C628" s="152"/>
      <c r="D628" s="152"/>
      <c r="E628" s="152"/>
      <c r="F628" s="152"/>
      <c r="G628" s="157"/>
      <c r="H628" s="10"/>
      <c r="I628" s="14"/>
      <c r="J628" s="15"/>
      <c r="K628" s="16"/>
      <c r="L628" s="17"/>
      <c r="M628" s="17"/>
      <c r="N628" s="17"/>
      <c r="O628" s="17"/>
      <c r="P628" s="17"/>
      <c r="Q628" s="17"/>
      <c r="R628" s="17"/>
      <c r="S628" s="17"/>
      <c r="T628" s="17"/>
      <c r="U628" s="17"/>
      <c r="V628" s="17"/>
    </row>
    <row r="629">
      <c r="A629" s="168"/>
      <c r="B629" s="149"/>
      <c r="C629" s="152"/>
      <c r="D629" s="152"/>
      <c r="E629" s="152"/>
      <c r="F629" s="152"/>
      <c r="G629" s="157"/>
      <c r="H629" s="10"/>
      <c r="I629" s="14"/>
      <c r="J629" s="15"/>
      <c r="K629" s="16"/>
      <c r="L629" s="17"/>
      <c r="M629" s="17"/>
      <c r="N629" s="17"/>
      <c r="O629" s="17"/>
      <c r="P629" s="17"/>
      <c r="Q629" s="17"/>
      <c r="R629" s="17"/>
      <c r="S629" s="17"/>
      <c r="T629" s="17"/>
      <c r="U629" s="17"/>
      <c r="V629" s="17"/>
    </row>
    <row r="630">
      <c r="A630" s="168"/>
      <c r="B630" s="149"/>
      <c r="C630" s="152"/>
      <c r="D630" s="152"/>
      <c r="E630" s="152"/>
      <c r="F630" s="152"/>
      <c r="G630" s="157"/>
      <c r="H630" s="10"/>
      <c r="I630" s="14"/>
      <c r="J630" s="15"/>
      <c r="K630" s="16"/>
      <c r="L630" s="17"/>
      <c r="M630" s="17"/>
      <c r="N630" s="17"/>
      <c r="O630" s="17"/>
      <c r="P630" s="17"/>
      <c r="Q630" s="17"/>
      <c r="R630" s="17"/>
      <c r="S630" s="17"/>
      <c r="T630" s="17"/>
      <c r="U630" s="17"/>
      <c r="V630" s="17"/>
    </row>
    <row r="631">
      <c r="A631" s="168"/>
      <c r="B631" s="149"/>
      <c r="C631" s="152"/>
      <c r="D631" s="152"/>
      <c r="E631" s="152"/>
      <c r="F631" s="152"/>
      <c r="G631" s="157"/>
      <c r="H631" s="10"/>
      <c r="I631" s="14"/>
      <c r="J631" s="15"/>
      <c r="K631" s="16"/>
      <c r="L631" s="17"/>
      <c r="M631" s="17"/>
      <c r="N631" s="17"/>
      <c r="O631" s="17"/>
      <c r="P631" s="17"/>
      <c r="Q631" s="17"/>
      <c r="R631" s="17"/>
      <c r="S631" s="17"/>
      <c r="T631" s="17"/>
      <c r="U631" s="17"/>
      <c r="V631" s="17"/>
    </row>
    <row r="632">
      <c r="A632" s="168"/>
      <c r="B632" s="149"/>
      <c r="C632" s="152"/>
      <c r="D632" s="152"/>
      <c r="E632" s="152"/>
      <c r="F632" s="152"/>
      <c r="G632" s="157"/>
      <c r="H632" s="10"/>
      <c r="I632" s="14"/>
      <c r="J632" s="15"/>
      <c r="K632" s="16"/>
      <c r="L632" s="17"/>
      <c r="M632" s="17"/>
      <c r="N632" s="17"/>
      <c r="O632" s="17"/>
      <c r="P632" s="17"/>
      <c r="Q632" s="17"/>
      <c r="R632" s="17"/>
      <c r="S632" s="17"/>
      <c r="T632" s="17"/>
      <c r="U632" s="17"/>
      <c r="V632" s="17"/>
    </row>
    <row r="633">
      <c r="A633" s="168"/>
      <c r="B633" s="149"/>
      <c r="C633" s="152"/>
      <c r="D633" s="152"/>
      <c r="E633" s="152"/>
      <c r="F633" s="152"/>
      <c r="G633" s="157"/>
      <c r="H633" s="10"/>
      <c r="I633" s="14"/>
      <c r="J633" s="15"/>
      <c r="K633" s="16"/>
      <c r="L633" s="17"/>
      <c r="M633" s="17"/>
      <c r="N633" s="17"/>
      <c r="O633" s="17"/>
      <c r="P633" s="17"/>
      <c r="Q633" s="17"/>
      <c r="R633" s="17"/>
      <c r="S633" s="17"/>
      <c r="T633" s="17"/>
      <c r="U633" s="17"/>
      <c r="V633" s="17"/>
    </row>
    <row r="634">
      <c r="A634" s="168"/>
      <c r="B634" s="149"/>
      <c r="C634" s="152"/>
      <c r="D634" s="152"/>
      <c r="E634" s="152"/>
      <c r="F634" s="152"/>
      <c r="G634" s="157"/>
      <c r="H634" s="10"/>
      <c r="I634" s="14"/>
      <c r="J634" s="15"/>
      <c r="K634" s="16"/>
      <c r="L634" s="17"/>
      <c r="M634" s="17"/>
      <c r="N634" s="17"/>
      <c r="O634" s="17"/>
      <c r="P634" s="17"/>
      <c r="Q634" s="17"/>
      <c r="R634" s="17"/>
      <c r="S634" s="17"/>
      <c r="T634" s="17"/>
      <c r="U634" s="17"/>
      <c r="V634" s="17"/>
    </row>
    <row r="635">
      <c r="A635" s="168"/>
      <c r="B635" s="149"/>
      <c r="C635" s="152"/>
      <c r="D635" s="152"/>
      <c r="E635" s="152"/>
      <c r="F635" s="152"/>
      <c r="G635" s="157"/>
      <c r="H635" s="10"/>
      <c r="I635" s="14"/>
      <c r="J635" s="15"/>
      <c r="K635" s="16"/>
      <c r="L635" s="17"/>
      <c r="M635" s="17"/>
      <c r="N635" s="17"/>
      <c r="O635" s="17"/>
      <c r="P635" s="17"/>
      <c r="Q635" s="17"/>
      <c r="R635" s="17"/>
      <c r="S635" s="17"/>
      <c r="T635" s="17"/>
      <c r="U635" s="17"/>
      <c r="V635" s="17"/>
    </row>
    <row r="636">
      <c r="A636" s="168"/>
      <c r="B636" s="149"/>
      <c r="C636" s="152"/>
      <c r="D636" s="152"/>
      <c r="E636" s="152"/>
      <c r="F636" s="152"/>
      <c r="G636" s="157"/>
      <c r="H636" s="10"/>
      <c r="I636" s="14"/>
      <c r="J636" s="15"/>
      <c r="K636" s="16"/>
      <c r="L636" s="17"/>
      <c r="M636" s="17"/>
      <c r="N636" s="17"/>
      <c r="O636" s="17"/>
      <c r="P636" s="17"/>
      <c r="Q636" s="17"/>
      <c r="R636" s="17"/>
      <c r="S636" s="17"/>
      <c r="T636" s="17"/>
      <c r="U636" s="17"/>
      <c r="V636" s="17"/>
    </row>
    <row r="637">
      <c r="A637" s="168"/>
      <c r="B637" s="149"/>
      <c r="C637" s="152"/>
      <c r="D637" s="152"/>
      <c r="E637" s="152"/>
      <c r="F637" s="152"/>
      <c r="G637" s="157"/>
      <c r="H637" s="10"/>
      <c r="I637" s="14"/>
      <c r="J637" s="15"/>
      <c r="K637" s="16"/>
      <c r="L637" s="17"/>
      <c r="M637" s="17"/>
      <c r="N637" s="17"/>
      <c r="O637" s="17"/>
      <c r="P637" s="17"/>
      <c r="Q637" s="17"/>
      <c r="R637" s="17"/>
      <c r="S637" s="17"/>
      <c r="T637" s="17"/>
      <c r="U637" s="17"/>
      <c r="V637" s="17"/>
    </row>
    <row r="638">
      <c r="A638" s="168"/>
      <c r="B638" s="149"/>
      <c r="C638" s="152"/>
      <c r="D638" s="152"/>
      <c r="E638" s="152"/>
      <c r="F638" s="152"/>
      <c r="G638" s="157"/>
      <c r="H638" s="10"/>
      <c r="I638" s="14"/>
      <c r="J638" s="15"/>
      <c r="K638" s="16"/>
      <c r="L638" s="17"/>
      <c r="M638" s="17"/>
      <c r="N638" s="17"/>
      <c r="O638" s="17"/>
      <c r="P638" s="17"/>
      <c r="Q638" s="17"/>
      <c r="R638" s="17"/>
      <c r="S638" s="17"/>
      <c r="T638" s="17"/>
      <c r="U638" s="17"/>
      <c r="V638" s="17"/>
    </row>
    <row r="639">
      <c r="A639" s="168"/>
      <c r="B639" s="149"/>
      <c r="C639" s="152"/>
      <c r="D639" s="152"/>
      <c r="E639" s="152"/>
      <c r="F639" s="152"/>
      <c r="G639" s="157"/>
      <c r="H639" s="10"/>
      <c r="I639" s="14"/>
      <c r="J639" s="15"/>
      <c r="K639" s="16"/>
      <c r="L639" s="17"/>
      <c r="M639" s="17"/>
      <c r="N639" s="17"/>
      <c r="O639" s="17"/>
      <c r="P639" s="17"/>
      <c r="Q639" s="17"/>
      <c r="R639" s="17"/>
      <c r="S639" s="17"/>
      <c r="T639" s="17"/>
      <c r="U639" s="17"/>
      <c r="V639" s="17"/>
    </row>
    <row r="640">
      <c r="A640" s="168"/>
      <c r="B640" s="149"/>
      <c r="C640" s="152"/>
      <c r="D640" s="152"/>
      <c r="E640" s="152"/>
      <c r="F640" s="152"/>
      <c r="G640" s="157"/>
      <c r="H640" s="10"/>
      <c r="I640" s="14"/>
      <c r="J640" s="15"/>
      <c r="K640" s="16"/>
      <c r="L640" s="17"/>
      <c r="M640" s="17"/>
      <c r="N640" s="17"/>
      <c r="O640" s="17"/>
      <c r="P640" s="17"/>
      <c r="Q640" s="17"/>
      <c r="R640" s="17"/>
      <c r="S640" s="17"/>
      <c r="T640" s="17"/>
      <c r="U640" s="17"/>
      <c r="V640" s="17"/>
    </row>
    <row r="641">
      <c r="A641" s="168"/>
      <c r="B641" s="149"/>
      <c r="C641" s="152"/>
      <c r="D641" s="152"/>
      <c r="E641" s="152"/>
      <c r="F641" s="152"/>
      <c r="G641" s="157"/>
      <c r="H641" s="10"/>
      <c r="I641" s="14"/>
      <c r="J641" s="15"/>
      <c r="K641" s="16"/>
      <c r="L641" s="17"/>
      <c r="M641" s="17"/>
      <c r="N641" s="17"/>
      <c r="O641" s="17"/>
      <c r="P641" s="17"/>
      <c r="Q641" s="17"/>
      <c r="R641" s="17"/>
      <c r="S641" s="17"/>
      <c r="T641" s="17"/>
      <c r="U641" s="17"/>
      <c r="V641" s="17"/>
    </row>
    <row r="642">
      <c r="A642" s="168"/>
      <c r="B642" s="149"/>
      <c r="C642" s="152"/>
      <c r="D642" s="152"/>
      <c r="E642" s="152"/>
      <c r="F642" s="152"/>
      <c r="G642" s="157"/>
      <c r="H642" s="10"/>
      <c r="I642" s="14"/>
      <c r="J642" s="15"/>
      <c r="K642" s="16"/>
      <c r="L642" s="17"/>
      <c r="M642" s="17"/>
      <c r="N642" s="17"/>
      <c r="O642" s="17"/>
      <c r="P642" s="17"/>
      <c r="Q642" s="17"/>
      <c r="R642" s="17"/>
      <c r="S642" s="17"/>
      <c r="T642" s="17"/>
      <c r="U642" s="17"/>
      <c r="V642" s="17"/>
    </row>
    <row r="643">
      <c r="A643" s="168"/>
      <c r="B643" s="149"/>
      <c r="C643" s="152"/>
      <c r="D643" s="152"/>
      <c r="E643" s="152"/>
      <c r="F643" s="152"/>
      <c r="G643" s="157"/>
      <c r="H643" s="10"/>
      <c r="I643" s="14"/>
      <c r="J643" s="15"/>
      <c r="K643" s="16"/>
      <c r="L643" s="17"/>
      <c r="M643" s="17"/>
      <c r="N643" s="17"/>
      <c r="O643" s="17"/>
      <c r="P643" s="17"/>
      <c r="Q643" s="17"/>
      <c r="R643" s="17"/>
      <c r="S643" s="17"/>
      <c r="T643" s="17"/>
      <c r="U643" s="17"/>
      <c r="V643" s="17"/>
    </row>
    <row r="644">
      <c r="A644" s="168"/>
      <c r="B644" s="149"/>
      <c r="C644" s="152"/>
      <c r="D644" s="152"/>
      <c r="E644" s="152"/>
      <c r="F644" s="152"/>
      <c r="G644" s="157"/>
      <c r="H644" s="10"/>
      <c r="I644" s="14"/>
      <c r="J644" s="15"/>
      <c r="K644" s="16"/>
      <c r="L644" s="17"/>
      <c r="M644" s="17"/>
      <c r="N644" s="17"/>
      <c r="O644" s="17"/>
      <c r="P644" s="17"/>
      <c r="Q644" s="17"/>
      <c r="R644" s="17"/>
      <c r="S644" s="17"/>
      <c r="T644" s="17"/>
      <c r="U644" s="17"/>
      <c r="V644" s="17"/>
    </row>
    <row r="645">
      <c r="A645" s="168"/>
      <c r="B645" s="149"/>
      <c r="C645" s="152"/>
      <c r="D645" s="152"/>
      <c r="E645" s="152"/>
      <c r="F645" s="152"/>
      <c r="G645" s="157"/>
      <c r="H645" s="10"/>
      <c r="I645" s="14"/>
      <c r="J645" s="15"/>
      <c r="K645" s="16"/>
      <c r="L645" s="17"/>
      <c r="M645" s="17"/>
      <c r="N645" s="17"/>
      <c r="O645" s="17"/>
      <c r="P645" s="17"/>
      <c r="Q645" s="17"/>
      <c r="R645" s="17"/>
      <c r="S645" s="17"/>
      <c r="T645" s="17"/>
      <c r="U645" s="17"/>
      <c r="V645" s="17"/>
    </row>
    <row r="646">
      <c r="A646" s="168"/>
      <c r="B646" s="149"/>
      <c r="C646" s="152"/>
      <c r="D646" s="152"/>
      <c r="E646" s="152"/>
      <c r="F646" s="152"/>
      <c r="G646" s="157"/>
      <c r="H646" s="10"/>
      <c r="I646" s="14"/>
      <c r="J646" s="15"/>
      <c r="K646" s="16"/>
      <c r="L646" s="17"/>
      <c r="M646" s="17"/>
      <c r="N646" s="17"/>
      <c r="O646" s="17"/>
      <c r="P646" s="17"/>
      <c r="Q646" s="17"/>
      <c r="R646" s="17"/>
      <c r="S646" s="17"/>
      <c r="T646" s="17"/>
      <c r="U646" s="17"/>
      <c r="V646" s="17"/>
    </row>
    <row r="647">
      <c r="A647" s="168"/>
      <c r="B647" s="149"/>
      <c r="C647" s="152"/>
      <c r="D647" s="152"/>
      <c r="E647" s="152"/>
      <c r="F647" s="152"/>
      <c r="G647" s="157"/>
      <c r="H647" s="10"/>
      <c r="I647" s="14"/>
      <c r="J647" s="15"/>
      <c r="K647" s="16"/>
      <c r="L647" s="17"/>
      <c r="M647" s="17"/>
      <c r="N647" s="17"/>
      <c r="O647" s="17"/>
      <c r="P647" s="17"/>
      <c r="Q647" s="17"/>
      <c r="R647" s="17"/>
      <c r="S647" s="17"/>
      <c r="T647" s="17"/>
      <c r="U647" s="17"/>
      <c r="V647" s="17"/>
    </row>
    <row r="648">
      <c r="A648" s="168"/>
      <c r="B648" s="149"/>
      <c r="C648" s="152"/>
      <c r="D648" s="152"/>
      <c r="E648" s="152"/>
      <c r="F648" s="152"/>
      <c r="G648" s="157"/>
      <c r="H648" s="10"/>
      <c r="I648" s="14"/>
      <c r="J648" s="15"/>
      <c r="K648" s="16"/>
      <c r="L648" s="17"/>
      <c r="M648" s="17"/>
      <c r="N648" s="17"/>
      <c r="O648" s="17"/>
      <c r="P648" s="17"/>
      <c r="Q648" s="17"/>
      <c r="R648" s="17"/>
      <c r="S648" s="17"/>
      <c r="T648" s="17"/>
      <c r="U648" s="17"/>
      <c r="V648" s="17"/>
    </row>
    <row r="649">
      <c r="A649" s="168"/>
      <c r="B649" s="149"/>
      <c r="C649" s="152"/>
      <c r="D649" s="152"/>
      <c r="E649" s="152"/>
      <c r="F649" s="152"/>
      <c r="G649" s="157"/>
      <c r="H649" s="10"/>
      <c r="I649" s="14"/>
      <c r="J649" s="15"/>
      <c r="K649" s="16"/>
      <c r="L649" s="17"/>
      <c r="M649" s="17"/>
      <c r="N649" s="17"/>
      <c r="O649" s="17"/>
      <c r="P649" s="17"/>
      <c r="Q649" s="17"/>
      <c r="R649" s="17"/>
      <c r="S649" s="17"/>
      <c r="T649" s="17"/>
      <c r="U649" s="17"/>
      <c r="V649" s="17"/>
    </row>
    <row r="650">
      <c r="A650" s="168"/>
      <c r="B650" s="149"/>
      <c r="C650" s="152"/>
      <c r="D650" s="152"/>
      <c r="E650" s="152"/>
      <c r="F650" s="152"/>
      <c r="G650" s="157"/>
      <c r="H650" s="10"/>
      <c r="I650" s="14"/>
      <c r="J650" s="15"/>
      <c r="K650" s="16"/>
      <c r="L650" s="17"/>
      <c r="M650" s="17"/>
      <c r="N650" s="17"/>
      <c r="O650" s="17"/>
      <c r="P650" s="17"/>
      <c r="Q650" s="17"/>
      <c r="R650" s="17"/>
      <c r="S650" s="17"/>
      <c r="T650" s="17"/>
      <c r="U650" s="17"/>
      <c r="V650" s="17"/>
    </row>
    <row r="651">
      <c r="A651" s="168"/>
      <c r="B651" s="149"/>
      <c r="C651" s="152"/>
      <c r="D651" s="152"/>
      <c r="E651" s="152"/>
      <c r="F651" s="152"/>
      <c r="G651" s="157"/>
      <c r="H651" s="10"/>
      <c r="I651" s="14"/>
      <c r="J651" s="15"/>
      <c r="K651" s="16"/>
      <c r="L651" s="17"/>
      <c r="M651" s="17"/>
      <c r="N651" s="17"/>
      <c r="O651" s="17"/>
      <c r="P651" s="17"/>
      <c r="Q651" s="17"/>
      <c r="R651" s="17"/>
      <c r="S651" s="17"/>
      <c r="T651" s="17"/>
      <c r="U651" s="17"/>
      <c r="V651" s="17"/>
    </row>
    <row r="652">
      <c r="A652" s="168"/>
      <c r="B652" s="149"/>
      <c r="C652" s="152"/>
      <c r="D652" s="152"/>
      <c r="E652" s="152"/>
      <c r="F652" s="152"/>
      <c r="G652" s="157"/>
      <c r="H652" s="10"/>
      <c r="I652" s="14"/>
      <c r="J652" s="15"/>
      <c r="K652" s="16"/>
      <c r="L652" s="17"/>
      <c r="M652" s="17"/>
      <c r="N652" s="17"/>
      <c r="O652" s="17"/>
      <c r="P652" s="17"/>
      <c r="Q652" s="17"/>
      <c r="R652" s="17"/>
      <c r="S652" s="17"/>
      <c r="T652" s="17"/>
      <c r="U652" s="17"/>
      <c r="V652" s="17"/>
    </row>
    <row r="653">
      <c r="A653" s="168"/>
      <c r="B653" s="149"/>
      <c r="C653" s="152"/>
      <c r="D653" s="152"/>
      <c r="E653" s="152"/>
      <c r="F653" s="152"/>
      <c r="G653" s="157"/>
      <c r="H653" s="10"/>
      <c r="I653" s="14"/>
      <c r="J653" s="15"/>
      <c r="K653" s="16"/>
      <c r="L653" s="17"/>
      <c r="M653" s="17"/>
      <c r="N653" s="17"/>
      <c r="O653" s="17"/>
      <c r="P653" s="17"/>
      <c r="Q653" s="17"/>
      <c r="R653" s="17"/>
      <c r="S653" s="17"/>
      <c r="T653" s="17"/>
      <c r="U653" s="17"/>
      <c r="V653" s="17"/>
    </row>
    <row r="654">
      <c r="A654" s="168"/>
      <c r="B654" s="149"/>
      <c r="C654" s="152"/>
      <c r="D654" s="152"/>
      <c r="E654" s="152"/>
      <c r="F654" s="152"/>
      <c r="G654" s="157"/>
      <c r="H654" s="10"/>
      <c r="I654" s="14"/>
      <c r="J654" s="15"/>
      <c r="K654" s="16"/>
      <c r="L654" s="17"/>
      <c r="M654" s="17"/>
      <c r="N654" s="17"/>
      <c r="O654" s="17"/>
      <c r="P654" s="17"/>
      <c r="Q654" s="17"/>
      <c r="R654" s="17"/>
      <c r="S654" s="17"/>
      <c r="T654" s="17"/>
      <c r="U654" s="17"/>
      <c r="V654" s="17"/>
    </row>
    <row r="655">
      <c r="A655" s="168"/>
      <c r="B655" s="149"/>
      <c r="C655" s="152"/>
      <c r="D655" s="152"/>
      <c r="E655" s="152"/>
      <c r="F655" s="152"/>
      <c r="G655" s="157"/>
      <c r="H655" s="10"/>
      <c r="I655" s="14"/>
      <c r="J655" s="15"/>
      <c r="K655" s="16"/>
      <c r="L655" s="17"/>
      <c r="M655" s="17"/>
      <c r="N655" s="17"/>
      <c r="O655" s="17"/>
      <c r="P655" s="17"/>
      <c r="Q655" s="17"/>
      <c r="R655" s="17"/>
      <c r="S655" s="17"/>
      <c r="T655" s="17"/>
      <c r="U655" s="17"/>
      <c r="V655" s="17"/>
    </row>
    <row r="656">
      <c r="A656" s="168"/>
      <c r="B656" s="149"/>
      <c r="C656" s="152"/>
      <c r="D656" s="152"/>
      <c r="E656" s="152"/>
      <c r="F656" s="152"/>
      <c r="G656" s="157"/>
      <c r="H656" s="10"/>
      <c r="I656" s="14"/>
      <c r="J656" s="15"/>
      <c r="K656" s="16"/>
      <c r="L656" s="17"/>
      <c r="M656" s="17"/>
      <c r="N656" s="17"/>
      <c r="O656" s="17"/>
      <c r="P656" s="17"/>
      <c r="Q656" s="17"/>
      <c r="R656" s="17"/>
      <c r="S656" s="17"/>
      <c r="T656" s="17"/>
      <c r="U656" s="17"/>
      <c r="V656" s="17"/>
    </row>
    <row r="657">
      <c r="A657" s="168"/>
      <c r="B657" s="149"/>
      <c r="C657" s="152"/>
      <c r="D657" s="152"/>
      <c r="E657" s="152"/>
      <c r="F657" s="152"/>
      <c r="G657" s="157"/>
      <c r="H657" s="10"/>
      <c r="I657" s="14"/>
      <c r="J657" s="15"/>
      <c r="K657" s="16"/>
      <c r="L657" s="17"/>
      <c r="M657" s="17"/>
      <c r="N657" s="17"/>
      <c r="O657" s="17"/>
      <c r="P657" s="17"/>
      <c r="Q657" s="17"/>
      <c r="R657" s="17"/>
      <c r="S657" s="17"/>
      <c r="T657" s="17"/>
      <c r="U657" s="17"/>
      <c r="V657" s="17"/>
    </row>
    <row r="658">
      <c r="A658" s="168"/>
      <c r="B658" s="149"/>
      <c r="C658" s="152"/>
      <c r="D658" s="152"/>
      <c r="E658" s="152"/>
      <c r="F658" s="152"/>
      <c r="G658" s="157"/>
      <c r="H658" s="10"/>
      <c r="I658" s="14"/>
      <c r="J658" s="15"/>
      <c r="K658" s="16"/>
      <c r="L658" s="17"/>
      <c r="M658" s="17"/>
      <c r="N658" s="17"/>
      <c r="O658" s="17"/>
      <c r="P658" s="17"/>
      <c r="Q658" s="17"/>
      <c r="R658" s="17"/>
      <c r="S658" s="17"/>
      <c r="T658" s="17"/>
      <c r="U658" s="17"/>
      <c r="V658" s="17"/>
    </row>
    <row r="659">
      <c r="A659" s="168"/>
      <c r="B659" s="149"/>
      <c r="C659" s="152"/>
      <c r="D659" s="152"/>
      <c r="E659" s="152"/>
      <c r="F659" s="152"/>
      <c r="G659" s="157"/>
      <c r="H659" s="10"/>
      <c r="I659" s="14"/>
      <c r="J659" s="15"/>
      <c r="K659" s="16"/>
      <c r="L659" s="17"/>
      <c r="M659" s="17"/>
      <c r="N659" s="17"/>
      <c r="O659" s="17"/>
      <c r="P659" s="17"/>
      <c r="Q659" s="17"/>
      <c r="R659" s="17"/>
      <c r="S659" s="17"/>
      <c r="T659" s="17"/>
      <c r="U659" s="17"/>
      <c r="V659" s="17"/>
    </row>
    <row r="660">
      <c r="A660" s="168"/>
      <c r="B660" s="149"/>
      <c r="C660" s="152"/>
      <c r="D660" s="152"/>
      <c r="E660" s="152"/>
      <c r="F660" s="152"/>
      <c r="G660" s="157"/>
      <c r="H660" s="10"/>
      <c r="I660" s="14"/>
      <c r="J660" s="15"/>
      <c r="K660" s="16"/>
      <c r="L660" s="17"/>
      <c r="M660" s="17"/>
      <c r="N660" s="17"/>
      <c r="O660" s="17"/>
      <c r="P660" s="17"/>
      <c r="Q660" s="17"/>
      <c r="R660" s="17"/>
      <c r="S660" s="17"/>
      <c r="T660" s="17"/>
      <c r="U660" s="17"/>
      <c r="V660" s="17"/>
    </row>
    <row r="661">
      <c r="A661" s="168"/>
      <c r="B661" s="149"/>
      <c r="C661" s="152"/>
      <c r="D661" s="152"/>
      <c r="E661" s="152"/>
      <c r="F661" s="152"/>
      <c r="G661" s="157"/>
      <c r="H661" s="10"/>
      <c r="I661" s="14"/>
      <c r="J661" s="15"/>
      <c r="K661" s="16"/>
      <c r="L661" s="17"/>
      <c r="M661" s="17"/>
      <c r="N661" s="17"/>
      <c r="O661" s="17"/>
      <c r="P661" s="17"/>
      <c r="Q661" s="17"/>
      <c r="R661" s="17"/>
      <c r="S661" s="17"/>
      <c r="T661" s="17"/>
      <c r="U661" s="17"/>
      <c r="V661" s="17"/>
    </row>
    <row r="662">
      <c r="A662" s="168"/>
      <c r="B662" s="149"/>
      <c r="C662" s="152"/>
      <c r="D662" s="152"/>
      <c r="E662" s="152"/>
      <c r="F662" s="152"/>
      <c r="G662" s="157"/>
      <c r="H662" s="10"/>
      <c r="I662" s="14"/>
      <c r="J662" s="15"/>
      <c r="K662" s="16"/>
      <c r="L662" s="17"/>
      <c r="M662" s="17"/>
      <c r="N662" s="17"/>
      <c r="O662" s="17"/>
      <c r="P662" s="17"/>
      <c r="Q662" s="17"/>
      <c r="R662" s="17"/>
      <c r="S662" s="17"/>
      <c r="T662" s="17"/>
      <c r="U662" s="17"/>
      <c r="V662" s="17"/>
    </row>
    <row r="663">
      <c r="A663" s="168"/>
      <c r="B663" s="149"/>
      <c r="C663" s="152"/>
      <c r="D663" s="152"/>
      <c r="E663" s="152"/>
      <c r="F663" s="152"/>
      <c r="G663" s="157"/>
      <c r="H663" s="10"/>
      <c r="I663" s="14"/>
      <c r="J663" s="15"/>
      <c r="K663" s="16"/>
      <c r="L663" s="17"/>
      <c r="M663" s="17"/>
      <c r="N663" s="17"/>
      <c r="O663" s="17"/>
      <c r="P663" s="17"/>
      <c r="Q663" s="17"/>
      <c r="R663" s="17"/>
      <c r="S663" s="17"/>
      <c r="T663" s="17"/>
      <c r="U663" s="17"/>
      <c r="V663" s="17"/>
    </row>
    <row r="664">
      <c r="A664" s="168"/>
      <c r="B664" s="149"/>
      <c r="C664" s="152"/>
      <c r="D664" s="152"/>
      <c r="E664" s="152"/>
      <c r="F664" s="152"/>
      <c r="G664" s="157"/>
      <c r="H664" s="10"/>
      <c r="I664" s="14"/>
      <c r="J664" s="15"/>
      <c r="K664" s="16"/>
      <c r="L664" s="17"/>
      <c r="M664" s="17"/>
      <c r="N664" s="17"/>
      <c r="O664" s="17"/>
      <c r="P664" s="17"/>
      <c r="Q664" s="17"/>
      <c r="R664" s="17"/>
      <c r="S664" s="17"/>
      <c r="T664" s="17"/>
      <c r="U664" s="17"/>
      <c r="V664" s="17"/>
    </row>
    <row r="665">
      <c r="A665" s="168"/>
      <c r="B665" s="149"/>
      <c r="C665" s="152"/>
      <c r="D665" s="152"/>
      <c r="E665" s="152"/>
      <c r="F665" s="152"/>
      <c r="G665" s="157"/>
      <c r="H665" s="10"/>
      <c r="I665" s="14"/>
      <c r="J665" s="15"/>
      <c r="K665" s="16"/>
      <c r="L665" s="17"/>
      <c r="M665" s="17"/>
      <c r="N665" s="17"/>
      <c r="O665" s="17"/>
      <c r="P665" s="17"/>
      <c r="Q665" s="17"/>
      <c r="R665" s="17"/>
      <c r="S665" s="17"/>
      <c r="T665" s="17"/>
      <c r="U665" s="17"/>
      <c r="V665" s="17"/>
    </row>
    <row r="666">
      <c r="A666" s="168"/>
      <c r="B666" s="149"/>
      <c r="C666" s="152"/>
      <c r="D666" s="152"/>
      <c r="E666" s="152"/>
      <c r="F666" s="152"/>
      <c r="G666" s="157"/>
      <c r="H666" s="10"/>
      <c r="I666" s="14"/>
      <c r="J666" s="15"/>
      <c r="K666" s="16"/>
      <c r="L666" s="17"/>
      <c r="M666" s="17"/>
      <c r="N666" s="17"/>
      <c r="O666" s="17"/>
      <c r="P666" s="17"/>
      <c r="Q666" s="17"/>
      <c r="R666" s="17"/>
      <c r="S666" s="17"/>
      <c r="T666" s="17"/>
      <c r="U666" s="17"/>
      <c r="V666" s="17"/>
    </row>
    <row r="667">
      <c r="A667" s="168"/>
      <c r="B667" s="149"/>
      <c r="C667" s="152"/>
      <c r="D667" s="152"/>
      <c r="E667" s="152"/>
      <c r="F667" s="152"/>
      <c r="G667" s="157"/>
      <c r="H667" s="10"/>
      <c r="I667" s="14"/>
      <c r="J667" s="15"/>
      <c r="K667" s="16"/>
      <c r="L667" s="17"/>
      <c r="M667" s="17"/>
      <c r="N667" s="17"/>
      <c r="O667" s="17"/>
      <c r="P667" s="17"/>
      <c r="Q667" s="17"/>
      <c r="R667" s="17"/>
      <c r="S667" s="17"/>
      <c r="T667" s="17"/>
      <c r="U667" s="17"/>
      <c r="V667" s="17"/>
    </row>
    <row r="668">
      <c r="A668" s="168"/>
      <c r="B668" s="149"/>
      <c r="C668" s="152"/>
      <c r="D668" s="152"/>
      <c r="E668" s="152"/>
      <c r="F668" s="152"/>
      <c r="G668" s="157"/>
      <c r="H668" s="10"/>
      <c r="I668" s="14"/>
      <c r="J668" s="15"/>
      <c r="K668" s="16"/>
      <c r="L668" s="17"/>
      <c r="M668" s="17"/>
      <c r="N668" s="17"/>
      <c r="O668" s="17"/>
      <c r="P668" s="17"/>
      <c r="Q668" s="17"/>
      <c r="R668" s="17"/>
      <c r="S668" s="17"/>
      <c r="T668" s="17"/>
      <c r="U668" s="17"/>
      <c r="V668" s="17"/>
    </row>
    <row r="669">
      <c r="A669" s="168"/>
      <c r="B669" s="149"/>
      <c r="C669" s="152"/>
      <c r="D669" s="152"/>
      <c r="E669" s="152"/>
      <c r="F669" s="152"/>
      <c r="G669" s="157"/>
      <c r="H669" s="10"/>
      <c r="I669" s="14"/>
      <c r="J669" s="15"/>
      <c r="K669" s="16"/>
      <c r="L669" s="17"/>
      <c r="M669" s="17"/>
      <c r="N669" s="17"/>
      <c r="O669" s="17"/>
      <c r="P669" s="17"/>
      <c r="Q669" s="17"/>
      <c r="R669" s="17"/>
      <c r="S669" s="17"/>
      <c r="T669" s="17"/>
      <c r="U669" s="17"/>
      <c r="V669" s="17"/>
    </row>
    <row r="670">
      <c r="A670" s="168"/>
      <c r="B670" s="149"/>
      <c r="C670" s="152"/>
      <c r="D670" s="152"/>
      <c r="E670" s="152"/>
      <c r="F670" s="152"/>
      <c r="G670" s="157"/>
      <c r="H670" s="10"/>
      <c r="I670" s="14"/>
      <c r="J670" s="15"/>
      <c r="K670" s="16"/>
      <c r="L670" s="17"/>
      <c r="M670" s="17"/>
      <c r="N670" s="17"/>
      <c r="O670" s="17"/>
      <c r="P670" s="17"/>
      <c r="Q670" s="17"/>
      <c r="R670" s="17"/>
      <c r="S670" s="17"/>
      <c r="T670" s="17"/>
      <c r="U670" s="17"/>
      <c r="V670" s="17"/>
    </row>
    <row r="671">
      <c r="A671" s="168"/>
      <c r="B671" s="149"/>
      <c r="C671" s="152"/>
      <c r="D671" s="152"/>
      <c r="E671" s="152"/>
      <c r="F671" s="152"/>
      <c r="G671" s="157"/>
      <c r="H671" s="10"/>
      <c r="I671" s="14"/>
      <c r="J671" s="15"/>
      <c r="K671" s="16"/>
      <c r="L671" s="17"/>
      <c r="M671" s="17"/>
      <c r="N671" s="17"/>
      <c r="O671" s="17"/>
      <c r="P671" s="17"/>
      <c r="Q671" s="17"/>
      <c r="R671" s="17"/>
      <c r="S671" s="17"/>
      <c r="T671" s="17"/>
      <c r="U671" s="17"/>
      <c r="V671" s="17"/>
    </row>
    <row r="672">
      <c r="A672" s="168"/>
      <c r="B672" s="149"/>
      <c r="C672" s="152"/>
      <c r="D672" s="152"/>
      <c r="E672" s="152"/>
      <c r="F672" s="152"/>
      <c r="G672" s="157"/>
      <c r="H672" s="10"/>
      <c r="I672" s="14"/>
      <c r="J672" s="15"/>
      <c r="K672" s="16"/>
      <c r="L672" s="17"/>
      <c r="M672" s="17"/>
      <c r="N672" s="17"/>
      <c r="O672" s="17"/>
      <c r="P672" s="17"/>
      <c r="Q672" s="17"/>
      <c r="R672" s="17"/>
      <c r="S672" s="17"/>
      <c r="T672" s="17"/>
      <c r="U672" s="17"/>
      <c r="V672" s="17"/>
    </row>
    <row r="673">
      <c r="A673" s="168"/>
      <c r="B673" s="149"/>
      <c r="C673" s="152"/>
      <c r="D673" s="152"/>
      <c r="E673" s="152"/>
      <c r="F673" s="152"/>
      <c r="G673" s="157"/>
      <c r="H673" s="10"/>
      <c r="I673" s="14"/>
      <c r="J673" s="15"/>
      <c r="K673" s="16"/>
      <c r="L673" s="17"/>
      <c r="M673" s="17"/>
      <c r="N673" s="17"/>
      <c r="O673" s="17"/>
      <c r="P673" s="17"/>
      <c r="Q673" s="17"/>
      <c r="R673" s="17"/>
      <c r="S673" s="17"/>
      <c r="T673" s="17"/>
      <c r="U673" s="17"/>
      <c r="V673" s="17"/>
    </row>
    <row r="674">
      <c r="A674" s="168"/>
      <c r="B674" s="149"/>
      <c r="C674" s="152"/>
      <c r="D674" s="152"/>
      <c r="E674" s="152"/>
      <c r="F674" s="152"/>
      <c r="G674" s="157"/>
      <c r="H674" s="10"/>
      <c r="I674" s="14"/>
      <c r="J674" s="15"/>
      <c r="K674" s="16"/>
      <c r="L674" s="17"/>
      <c r="M674" s="17"/>
      <c r="N674" s="17"/>
      <c r="O674" s="17"/>
      <c r="P674" s="17"/>
      <c r="Q674" s="17"/>
      <c r="R674" s="17"/>
      <c r="S674" s="17"/>
      <c r="T674" s="17"/>
      <c r="U674" s="17"/>
      <c r="V674" s="17"/>
    </row>
    <row r="675">
      <c r="A675" s="168"/>
      <c r="B675" s="149"/>
      <c r="C675" s="152"/>
      <c r="D675" s="152"/>
      <c r="E675" s="152"/>
      <c r="F675" s="152"/>
      <c r="G675" s="157"/>
      <c r="H675" s="10"/>
      <c r="I675" s="14"/>
      <c r="J675" s="15"/>
      <c r="K675" s="16"/>
      <c r="L675" s="17"/>
      <c r="M675" s="17"/>
      <c r="N675" s="17"/>
      <c r="O675" s="17"/>
      <c r="P675" s="17"/>
      <c r="Q675" s="17"/>
      <c r="R675" s="17"/>
      <c r="S675" s="17"/>
      <c r="T675" s="17"/>
      <c r="U675" s="17"/>
      <c r="V675" s="17"/>
    </row>
    <row r="676">
      <c r="A676" s="168"/>
      <c r="B676" s="149"/>
      <c r="C676" s="152"/>
      <c r="D676" s="152"/>
      <c r="E676" s="152"/>
      <c r="F676" s="152"/>
      <c r="G676" s="157"/>
      <c r="H676" s="10"/>
      <c r="I676" s="14"/>
      <c r="J676" s="15"/>
      <c r="K676" s="16"/>
      <c r="L676" s="17"/>
      <c r="M676" s="17"/>
      <c r="N676" s="17"/>
      <c r="O676" s="17"/>
      <c r="P676" s="17"/>
      <c r="Q676" s="17"/>
      <c r="R676" s="17"/>
      <c r="S676" s="17"/>
      <c r="T676" s="17"/>
      <c r="U676" s="17"/>
      <c r="V676" s="17"/>
    </row>
    <row r="677">
      <c r="A677" s="168"/>
      <c r="B677" s="149"/>
      <c r="C677" s="152"/>
      <c r="D677" s="152"/>
      <c r="E677" s="152"/>
      <c r="F677" s="152"/>
      <c r="G677" s="157"/>
      <c r="H677" s="10"/>
      <c r="I677" s="14"/>
      <c r="J677" s="15"/>
      <c r="K677" s="16"/>
      <c r="L677" s="17"/>
      <c r="M677" s="17"/>
      <c r="N677" s="17"/>
      <c r="O677" s="17"/>
      <c r="P677" s="17"/>
      <c r="Q677" s="17"/>
      <c r="R677" s="17"/>
      <c r="S677" s="17"/>
      <c r="T677" s="17"/>
      <c r="U677" s="17"/>
      <c r="V677" s="17"/>
    </row>
    <row r="678">
      <c r="A678" s="168"/>
      <c r="B678" s="149"/>
      <c r="C678" s="152"/>
      <c r="D678" s="152"/>
      <c r="E678" s="152"/>
      <c r="F678" s="152"/>
      <c r="G678" s="157"/>
      <c r="H678" s="10"/>
      <c r="I678" s="14"/>
      <c r="J678" s="15"/>
      <c r="K678" s="16"/>
      <c r="L678" s="17"/>
      <c r="M678" s="17"/>
      <c r="N678" s="17"/>
      <c r="O678" s="17"/>
      <c r="P678" s="17"/>
      <c r="Q678" s="17"/>
      <c r="R678" s="17"/>
      <c r="S678" s="17"/>
      <c r="T678" s="17"/>
      <c r="U678" s="17"/>
      <c r="V678" s="17"/>
    </row>
    <row r="679">
      <c r="A679" s="168"/>
      <c r="B679" s="149"/>
      <c r="C679" s="152"/>
      <c r="D679" s="152"/>
      <c r="E679" s="152"/>
      <c r="F679" s="152"/>
      <c r="G679" s="157"/>
      <c r="H679" s="10"/>
      <c r="I679" s="14"/>
      <c r="J679" s="15"/>
      <c r="K679" s="16"/>
      <c r="L679" s="17"/>
      <c r="M679" s="17"/>
      <c r="N679" s="17"/>
      <c r="O679" s="17"/>
      <c r="P679" s="17"/>
      <c r="Q679" s="17"/>
      <c r="R679" s="17"/>
      <c r="S679" s="17"/>
      <c r="T679" s="17"/>
      <c r="U679" s="17"/>
      <c r="V679" s="17"/>
    </row>
    <row r="680">
      <c r="A680" s="168"/>
      <c r="B680" s="149"/>
      <c r="C680" s="152"/>
      <c r="D680" s="152"/>
      <c r="E680" s="152"/>
      <c r="F680" s="152"/>
      <c r="G680" s="157"/>
      <c r="H680" s="10"/>
      <c r="I680" s="14"/>
      <c r="J680" s="15"/>
      <c r="K680" s="16"/>
      <c r="L680" s="17"/>
      <c r="M680" s="17"/>
      <c r="N680" s="17"/>
      <c r="O680" s="17"/>
      <c r="P680" s="17"/>
      <c r="Q680" s="17"/>
      <c r="R680" s="17"/>
      <c r="S680" s="17"/>
      <c r="T680" s="17"/>
      <c r="U680" s="17"/>
      <c r="V680" s="17"/>
    </row>
    <row r="681">
      <c r="A681" s="168"/>
      <c r="B681" s="149"/>
      <c r="C681" s="152"/>
      <c r="D681" s="152"/>
      <c r="E681" s="152"/>
      <c r="F681" s="152"/>
      <c r="G681" s="157"/>
      <c r="H681" s="10"/>
      <c r="I681" s="14"/>
      <c r="J681" s="15"/>
      <c r="K681" s="16"/>
      <c r="L681" s="17"/>
      <c r="M681" s="17"/>
      <c r="N681" s="17"/>
      <c r="O681" s="17"/>
      <c r="P681" s="17"/>
      <c r="Q681" s="17"/>
      <c r="R681" s="17"/>
      <c r="S681" s="17"/>
      <c r="T681" s="17"/>
      <c r="U681" s="17"/>
      <c r="V681" s="17"/>
    </row>
    <row r="682">
      <c r="A682" s="168"/>
      <c r="B682" s="149"/>
      <c r="C682" s="152"/>
      <c r="D682" s="152"/>
      <c r="E682" s="152"/>
      <c r="F682" s="152"/>
      <c r="G682" s="157"/>
      <c r="H682" s="10"/>
      <c r="I682" s="14"/>
      <c r="J682" s="15"/>
      <c r="K682" s="16"/>
      <c r="L682" s="17"/>
      <c r="M682" s="17"/>
      <c r="N682" s="17"/>
      <c r="O682" s="17"/>
      <c r="P682" s="17"/>
      <c r="Q682" s="17"/>
      <c r="R682" s="17"/>
      <c r="S682" s="17"/>
      <c r="T682" s="17"/>
      <c r="U682" s="17"/>
      <c r="V682" s="17"/>
    </row>
    <row r="683">
      <c r="A683" s="168"/>
      <c r="B683" s="149"/>
      <c r="C683" s="152"/>
      <c r="D683" s="152"/>
      <c r="E683" s="152"/>
      <c r="F683" s="152"/>
      <c r="G683" s="157"/>
      <c r="H683" s="10"/>
      <c r="I683" s="14"/>
      <c r="J683" s="15"/>
      <c r="K683" s="16"/>
      <c r="L683" s="17"/>
      <c r="M683" s="17"/>
      <c r="N683" s="17"/>
      <c r="O683" s="17"/>
      <c r="P683" s="17"/>
      <c r="Q683" s="17"/>
      <c r="R683" s="17"/>
      <c r="S683" s="17"/>
      <c r="T683" s="17"/>
      <c r="U683" s="17"/>
      <c r="V683" s="17"/>
    </row>
    <row r="684">
      <c r="A684" s="168"/>
      <c r="B684" s="149"/>
      <c r="C684" s="152"/>
      <c r="D684" s="152"/>
      <c r="E684" s="152"/>
      <c r="F684" s="152"/>
      <c r="G684" s="157"/>
      <c r="H684" s="10"/>
      <c r="I684" s="14"/>
      <c r="J684" s="15"/>
      <c r="K684" s="16"/>
      <c r="L684" s="17"/>
      <c r="M684" s="17"/>
      <c r="N684" s="17"/>
      <c r="O684" s="17"/>
      <c r="P684" s="17"/>
      <c r="Q684" s="17"/>
      <c r="R684" s="17"/>
      <c r="S684" s="17"/>
      <c r="T684" s="17"/>
      <c r="U684" s="17"/>
      <c r="V684" s="17"/>
    </row>
    <row r="685">
      <c r="A685" s="168"/>
      <c r="B685" s="149"/>
      <c r="C685" s="152"/>
      <c r="D685" s="152"/>
      <c r="E685" s="152"/>
      <c r="F685" s="152"/>
      <c r="G685" s="157"/>
      <c r="H685" s="10"/>
      <c r="I685" s="14"/>
      <c r="J685" s="15"/>
      <c r="K685" s="16"/>
      <c r="L685" s="17"/>
      <c r="M685" s="17"/>
      <c r="N685" s="17"/>
      <c r="O685" s="17"/>
      <c r="P685" s="17"/>
      <c r="Q685" s="17"/>
      <c r="R685" s="17"/>
      <c r="S685" s="17"/>
      <c r="T685" s="17"/>
      <c r="U685" s="17"/>
      <c r="V685" s="17"/>
    </row>
    <row r="686">
      <c r="A686" s="168"/>
      <c r="B686" s="149"/>
      <c r="C686" s="152"/>
      <c r="D686" s="152"/>
      <c r="E686" s="152"/>
      <c r="F686" s="152"/>
      <c r="G686" s="157"/>
      <c r="H686" s="10"/>
      <c r="I686" s="14"/>
      <c r="J686" s="15"/>
      <c r="K686" s="16"/>
      <c r="L686" s="17"/>
      <c r="M686" s="17"/>
      <c r="N686" s="17"/>
      <c r="O686" s="17"/>
      <c r="P686" s="17"/>
      <c r="Q686" s="17"/>
      <c r="R686" s="17"/>
      <c r="S686" s="17"/>
      <c r="T686" s="17"/>
      <c r="U686" s="17"/>
      <c r="V686" s="17"/>
    </row>
    <row r="687">
      <c r="A687" s="168"/>
      <c r="B687" s="149"/>
      <c r="C687" s="152"/>
      <c r="D687" s="152"/>
      <c r="E687" s="152"/>
      <c r="F687" s="152"/>
      <c r="G687" s="157"/>
      <c r="H687" s="10"/>
      <c r="I687" s="14"/>
      <c r="J687" s="15"/>
      <c r="K687" s="16"/>
      <c r="L687" s="17"/>
      <c r="M687" s="17"/>
      <c r="N687" s="17"/>
      <c r="O687" s="17"/>
      <c r="P687" s="17"/>
      <c r="Q687" s="17"/>
      <c r="R687" s="17"/>
      <c r="S687" s="17"/>
      <c r="T687" s="17"/>
      <c r="U687" s="17"/>
      <c r="V687" s="17"/>
    </row>
    <row r="688">
      <c r="A688" s="168"/>
      <c r="B688" s="149"/>
      <c r="C688" s="152"/>
      <c r="D688" s="152"/>
      <c r="E688" s="152"/>
      <c r="F688" s="152"/>
      <c r="G688" s="157"/>
      <c r="H688" s="10"/>
      <c r="I688" s="14"/>
      <c r="J688" s="15"/>
      <c r="K688" s="16"/>
      <c r="L688" s="17"/>
      <c r="M688" s="17"/>
      <c r="N688" s="17"/>
      <c r="O688" s="17"/>
      <c r="P688" s="17"/>
      <c r="Q688" s="17"/>
      <c r="R688" s="17"/>
      <c r="S688" s="17"/>
      <c r="T688" s="17"/>
      <c r="U688" s="17"/>
      <c r="V688" s="17"/>
    </row>
    <row r="689">
      <c r="A689" s="168"/>
      <c r="B689" s="149"/>
      <c r="C689" s="152"/>
      <c r="D689" s="152"/>
      <c r="E689" s="152"/>
      <c r="F689" s="152"/>
      <c r="G689" s="157"/>
      <c r="H689" s="10"/>
      <c r="I689" s="14"/>
      <c r="J689" s="15"/>
      <c r="K689" s="16"/>
      <c r="L689" s="17"/>
      <c r="M689" s="17"/>
      <c r="N689" s="17"/>
      <c r="O689" s="17"/>
      <c r="P689" s="17"/>
      <c r="Q689" s="17"/>
      <c r="R689" s="17"/>
      <c r="S689" s="17"/>
      <c r="T689" s="17"/>
      <c r="U689" s="17"/>
      <c r="V689" s="17"/>
    </row>
    <row r="690">
      <c r="A690" s="168"/>
      <c r="B690" s="149"/>
      <c r="C690" s="152"/>
      <c r="D690" s="152"/>
      <c r="E690" s="152"/>
      <c r="F690" s="152"/>
      <c r="G690" s="157"/>
      <c r="H690" s="10"/>
      <c r="I690" s="14"/>
      <c r="J690" s="15"/>
      <c r="K690" s="16"/>
      <c r="L690" s="17"/>
      <c r="M690" s="17"/>
      <c r="N690" s="17"/>
      <c r="O690" s="17"/>
      <c r="P690" s="17"/>
      <c r="Q690" s="17"/>
      <c r="R690" s="17"/>
      <c r="S690" s="17"/>
      <c r="T690" s="17"/>
      <c r="U690" s="17"/>
      <c r="V690" s="17"/>
    </row>
    <row r="691">
      <c r="A691" s="168"/>
      <c r="B691" s="149"/>
      <c r="C691" s="152"/>
      <c r="D691" s="152"/>
      <c r="E691" s="152"/>
      <c r="F691" s="152"/>
      <c r="G691" s="157"/>
      <c r="H691" s="10"/>
      <c r="I691" s="14"/>
      <c r="J691" s="15"/>
      <c r="K691" s="16"/>
      <c r="L691" s="17"/>
      <c r="M691" s="17"/>
      <c r="N691" s="17"/>
      <c r="O691" s="17"/>
      <c r="P691" s="17"/>
      <c r="Q691" s="17"/>
      <c r="R691" s="17"/>
      <c r="S691" s="17"/>
      <c r="T691" s="17"/>
      <c r="U691" s="17"/>
      <c r="V691" s="17"/>
    </row>
    <row r="692">
      <c r="A692" s="168"/>
      <c r="B692" s="149"/>
      <c r="C692" s="152"/>
      <c r="D692" s="152"/>
      <c r="E692" s="152"/>
      <c r="F692" s="152"/>
      <c r="G692" s="157"/>
      <c r="H692" s="10"/>
      <c r="I692" s="14"/>
      <c r="J692" s="15"/>
      <c r="K692" s="16"/>
      <c r="L692" s="17"/>
      <c r="M692" s="17"/>
      <c r="N692" s="17"/>
      <c r="O692" s="17"/>
      <c r="P692" s="17"/>
      <c r="Q692" s="17"/>
      <c r="R692" s="17"/>
      <c r="S692" s="17"/>
      <c r="T692" s="17"/>
      <c r="U692" s="17"/>
      <c r="V692" s="17"/>
    </row>
    <row r="693">
      <c r="A693" s="168"/>
      <c r="B693" s="149"/>
      <c r="C693" s="152"/>
      <c r="D693" s="152"/>
      <c r="E693" s="152"/>
      <c r="F693" s="152"/>
      <c r="G693" s="157"/>
      <c r="H693" s="10"/>
      <c r="I693" s="14"/>
      <c r="J693" s="15"/>
      <c r="K693" s="16"/>
      <c r="L693" s="17"/>
      <c r="M693" s="17"/>
      <c r="N693" s="17"/>
      <c r="O693" s="17"/>
      <c r="P693" s="17"/>
      <c r="Q693" s="17"/>
      <c r="R693" s="17"/>
      <c r="S693" s="17"/>
      <c r="T693" s="17"/>
      <c r="U693" s="17"/>
      <c r="V693" s="17"/>
    </row>
    <row r="694">
      <c r="A694" s="168"/>
      <c r="B694" s="149"/>
      <c r="C694" s="152"/>
      <c r="D694" s="152"/>
      <c r="E694" s="152"/>
      <c r="F694" s="152"/>
      <c r="G694" s="157"/>
      <c r="H694" s="10"/>
      <c r="I694" s="14"/>
      <c r="J694" s="15"/>
      <c r="K694" s="16"/>
      <c r="L694" s="17"/>
      <c r="M694" s="17"/>
      <c r="N694" s="17"/>
      <c r="O694" s="17"/>
      <c r="P694" s="17"/>
      <c r="Q694" s="17"/>
      <c r="R694" s="17"/>
      <c r="S694" s="17"/>
      <c r="T694" s="17"/>
      <c r="U694" s="17"/>
      <c r="V694" s="17"/>
    </row>
    <row r="695">
      <c r="A695" s="168"/>
      <c r="B695" s="149"/>
      <c r="C695" s="152"/>
      <c r="D695" s="152"/>
      <c r="E695" s="152"/>
      <c r="F695" s="152"/>
      <c r="G695" s="157"/>
      <c r="H695" s="10"/>
      <c r="I695" s="14"/>
      <c r="J695" s="15"/>
      <c r="K695" s="16"/>
      <c r="L695" s="17"/>
      <c r="M695" s="17"/>
      <c r="N695" s="17"/>
      <c r="O695" s="17"/>
      <c r="P695" s="17"/>
      <c r="Q695" s="17"/>
      <c r="R695" s="17"/>
      <c r="S695" s="17"/>
      <c r="T695" s="17"/>
      <c r="U695" s="17"/>
      <c r="V695" s="17"/>
    </row>
    <row r="696">
      <c r="A696" s="168"/>
      <c r="B696" s="149"/>
      <c r="C696" s="152"/>
      <c r="D696" s="152"/>
      <c r="E696" s="152"/>
      <c r="F696" s="152"/>
      <c r="G696" s="157"/>
      <c r="H696" s="10"/>
      <c r="I696" s="14"/>
      <c r="J696" s="15"/>
      <c r="K696" s="16"/>
      <c r="L696" s="17"/>
      <c r="M696" s="17"/>
      <c r="N696" s="17"/>
      <c r="O696" s="17"/>
      <c r="P696" s="17"/>
      <c r="Q696" s="17"/>
      <c r="R696" s="17"/>
      <c r="S696" s="17"/>
      <c r="T696" s="17"/>
      <c r="U696" s="17"/>
      <c r="V696" s="17"/>
    </row>
    <row r="697">
      <c r="A697" s="168"/>
      <c r="B697" s="149"/>
      <c r="C697" s="152"/>
      <c r="D697" s="152"/>
      <c r="E697" s="152"/>
      <c r="F697" s="152"/>
      <c r="G697" s="157"/>
      <c r="H697" s="10"/>
      <c r="I697" s="14"/>
      <c r="J697" s="15"/>
      <c r="K697" s="16"/>
      <c r="L697" s="17"/>
      <c r="M697" s="17"/>
      <c r="N697" s="17"/>
      <c r="O697" s="17"/>
      <c r="P697" s="17"/>
      <c r="Q697" s="17"/>
      <c r="R697" s="17"/>
      <c r="S697" s="17"/>
      <c r="T697" s="17"/>
      <c r="U697" s="17"/>
      <c r="V697" s="17"/>
    </row>
    <row r="698">
      <c r="A698" s="168"/>
      <c r="B698" s="149"/>
      <c r="C698" s="152"/>
      <c r="D698" s="152"/>
      <c r="E698" s="152"/>
      <c r="F698" s="152"/>
      <c r="G698" s="157"/>
      <c r="H698" s="10"/>
      <c r="I698" s="14"/>
      <c r="J698" s="15"/>
      <c r="K698" s="16"/>
      <c r="L698" s="17"/>
      <c r="M698" s="17"/>
      <c r="N698" s="17"/>
      <c r="O698" s="17"/>
      <c r="P698" s="17"/>
      <c r="Q698" s="17"/>
      <c r="R698" s="17"/>
      <c r="S698" s="17"/>
      <c r="T698" s="17"/>
      <c r="U698" s="17"/>
      <c r="V698" s="17"/>
    </row>
    <row r="699">
      <c r="A699" s="168"/>
      <c r="B699" s="149"/>
      <c r="C699" s="152"/>
      <c r="D699" s="152"/>
      <c r="E699" s="152"/>
      <c r="F699" s="152"/>
      <c r="G699" s="157"/>
      <c r="H699" s="10"/>
      <c r="I699" s="14"/>
      <c r="J699" s="15"/>
      <c r="K699" s="16"/>
      <c r="L699" s="17"/>
      <c r="M699" s="17"/>
      <c r="N699" s="17"/>
      <c r="O699" s="17"/>
      <c r="P699" s="17"/>
      <c r="Q699" s="17"/>
      <c r="R699" s="17"/>
      <c r="S699" s="17"/>
      <c r="T699" s="17"/>
      <c r="U699" s="17"/>
      <c r="V699" s="17"/>
    </row>
    <row r="700">
      <c r="A700" s="168"/>
      <c r="B700" s="149"/>
      <c r="C700" s="152"/>
      <c r="D700" s="152"/>
      <c r="E700" s="152"/>
      <c r="F700" s="152"/>
      <c r="G700" s="157"/>
      <c r="H700" s="10"/>
      <c r="I700" s="14"/>
      <c r="J700" s="15"/>
      <c r="K700" s="16"/>
      <c r="L700" s="17"/>
      <c r="M700" s="17"/>
      <c r="N700" s="17"/>
      <c r="O700" s="17"/>
      <c r="P700" s="17"/>
      <c r="Q700" s="17"/>
      <c r="R700" s="17"/>
      <c r="S700" s="17"/>
      <c r="T700" s="17"/>
      <c r="U700" s="17"/>
      <c r="V700" s="17"/>
    </row>
    <row r="701">
      <c r="A701" s="168"/>
      <c r="B701" s="149"/>
      <c r="C701" s="152"/>
      <c r="D701" s="152"/>
      <c r="E701" s="152"/>
      <c r="F701" s="152"/>
      <c r="G701" s="157"/>
      <c r="H701" s="10"/>
      <c r="I701" s="14"/>
      <c r="J701" s="15"/>
      <c r="K701" s="16"/>
      <c r="L701" s="17"/>
      <c r="M701" s="17"/>
      <c r="N701" s="17"/>
      <c r="O701" s="17"/>
      <c r="P701" s="17"/>
      <c r="Q701" s="17"/>
      <c r="R701" s="17"/>
      <c r="S701" s="17"/>
      <c r="T701" s="17"/>
      <c r="U701" s="17"/>
      <c r="V701" s="17"/>
    </row>
    <row r="702">
      <c r="A702" s="168"/>
      <c r="B702" s="149"/>
      <c r="C702" s="152"/>
      <c r="D702" s="152"/>
      <c r="E702" s="152"/>
      <c r="F702" s="152"/>
      <c r="G702" s="157"/>
      <c r="H702" s="10"/>
      <c r="I702" s="14"/>
      <c r="J702" s="15"/>
      <c r="K702" s="16"/>
      <c r="L702" s="17"/>
      <c r="M702" s="17"/>
      <c r="N702" s="17"/>
      <c r="O702" s="17"/>
      <c r="P702" s="17"/>
      <c r="Q702" s="17"/>
      <c r="R702" s="17"/>
      <c r="S702" s="17"/>
      <c r="T702" s="17"/>
      <c r="U702" s="17"/>
      <c r="V702" s="17"/>
    </row>
    <row r="703">
      <c r="A703" s="168"/>
      <c r="B703" s="149"/>
      <c r="C703" s="152"/>
      <c r="D703" s="152"/>
      <c r="E703" s="152"/>
      <c r="F703" s="152"/>
      <c r="G703" s="157"/>
      <c r="H703" s="10"/>
      <c r="I703" s="14"/>
      <c r="J703" s="15"/>
      <c r="K703" s="16"/>
      <c r="L703" s="17"/>
      <c r="M703" s="17"/>
      <c r="N703" s="17"/>
      <c r="O703" s="17"/>
      <c r="P703" s="17"/>
      <c r="Q703" s="17"/>
      <c r="R703" s="17"/>
      <c r="S703" s="17"/>
      <c r="T703" s="17"/>
      <c r="U703" s="17"/>
      <c r="V703" s="17"/>
    </row>
    <row r="704">
      <c r="A704" s="168"/>
      <c r="B704" s="149"/>
      <c r="C704" s="152"/>
      <c r="D704" s="152"/>
      <c r="E704" s="152"/>
      <c r="F704" s="152"/>
      <c r="G704" s="157"/>
      <c r="H704" s="10"/>
      <c r="I704" s="14"/>
      <c r="J704" s="15"/>
      <c r="K704" s="16"/>
      <c r="L704" s="17"/>
      <c r="M704" s="17"/>
      <c r="N704" s="17"/>
      <c r="O704" s="17"/>
      <c r="P704" s="17"/>
      <c r="Q704" s="17"/>
      <c r="R704" s="17"/>
      <c r="S704" s="17"/>
      <c r="T704" s="17"/>
      <c r="U704" s="17"/>
      <c r="V704" s="17"/>
    </row>
    <row r="705">
      <c r="A705" s="168"/>
      <c r="B705" s="149"/>
      <c r="C705" s="152"/>
      <c r="D705" s="152"/>
      <c r="E705" s="152"/>
      <c r="F705" s="152"/>
      <c r="G705" s="157"/>
      <c r="H705" s="10"/>
      <c r="I705" s="14"/>
      <c r="J705" s="15"/>
      <c r="K705" s="16"/>
      <c r="L705" s="17"/>
      <c r="M705" s="17"/>
      <c r="N705" s="17"/>
      <c r="O705" s="17"/>
      <c r="P705" s="17"/>
      <c r="Q705" s="17"/>
      <c r="R705" s="17"/>
      <c r="S705" s="17"/>
      <c r="T705" s="17"/>
      <c r="U705" s="17"/>
      <c r="V705" s="17"/>
    </row>
    <row r="706">
      <c r="A706" s="168"/>
      <c r="B706" s="149"/>
      <c r="C706" s="152"/>
      <c r="D706" s="152"/>
      <c r="E706" s="152"/>
      <c r="F706" s="152"/>
      <c r="G706" s="157"/>
      <c r="H706" s="10"/>
      <c r="I706" s="14"/>
      <c r="J706" s="15"/>
      <c r="K706" s="16"/>
      <c r="L706" s="17"/>
      <c r="M706" s="17"/>
      <c r="N706" s="17"/>
      <c r="O706" s="17"/>
      <c r="P706" s="17"/>
      <c r="Q706" s="17"/>
      <c r="R706" s="17"/>
      <c r="S706" s="17"/>
      <c r="T706" s="17"/>
      <c r="U706" s="17"/>
      <c r="V706" s="17"/>
    </row>
    <row r="707">
      <c r="A707" s="168"/>
      <c r="B707" s="149"/>
      <c r="C707" s="152"/>
      <c r="D707" s="152"/>
      <c r="E707" s="152"/>
      <c r="F707" s="152"/>
      <c r="G707" s="157"/>
      <c r="H707" s="10"/>
      <c r="I707" s="14"/>
      <c r="J707" s="15"/>
      <c r="K707" s="16"/>
      <c r="L707" s="17"/>
      <c r="M707" s="17"/>
      <c r="N707" s="17"/>
      <c r="O707" s="17"/>
      <c r="P707" s="17"/>
      <c r="Q707" s="17"/>
      <c r="R707" s="17"/>
      <c r="S707" s="17"/>
      <c r="T707" s="17"/>
      <c r="U707" s="17"/>
      <c r="V707" s="17"/>
    </row>
    <row r="708">
      <c r="A708" s="168"/>
      <c r="B708" s="149"/>
      <c r="C708" s="152"/>
      <c r="D708" s="152"/>
      <c r="E708" s="152"/>
      <c r="F708" s="152"/>
      <c r="G708" s="157"/>
      <c r="H708" s="10"/>
      <c r="I708" s="14"/>
      <c r="J708" s="15"/>
      <c r="K708" s="16"/>
      <c r="L708" s="17"/>
      <c r="M708" s="17"/>
      <c r="N708" s="17"/>
      <c r="O708" s="17"/>
      <c r="P708" s="17"/>
      <c r="Q708" s="17"/>
      <c r="R708" s="17"/>
      <c r="S708" s="17"/>
      <c r="T708" s="17"/>
      <c r="U708" s="17"/>
      <c r="V708" s="17"/>
    </row>
    <row r="709">
      <c r="A709" s="168"/>
      <c r="B709" s="149"/>
      <c r="C709" s="152"/>
      <c r="D709" s="152"/>
      <c r="E709" s="152"/>
      <c r="F709" s="152"/>
      <c r="G709" s="157"/>
      <c r="H709" s="10"/>
      <c r="I709" s="14"/>
      <c r="J709" s="15"/>
      <c r="K709" s="16"/>
      <c r="L709" s="17"/>
      <c r="M709" s="17"/>
      <c r="N709" s="17"/>
      <c r="O709" s="17"/>
      <c r="P709" s="17"/>
      <c r="Q709" s="17"/>
      <c r="R709" s="17"/>
      <c r="S709" s="17"/>
      <c r="T709" s="17"/>
      <c r="U709" s="17"/>
      <c r="V709" s="17"/>
    </row>
    <row r="710">
      <c r="A710" s="168"/>
      <c r="B710" s="149"/>
      <c r="C710" s="152"/>
      <c r="D710" s="152"/>
      <c r="E710" s="152"/>
      <c r="F710" s="152"/>
      <c r="G710" s="157"/>
      <c r="H710" s="10"/>
      <c r="I710" s="14"/>
      <c r="J710" s="15"/>
      <c r="K710" s="16"/>
      <c r="L710" s="17"/>
      <c r="M710" s="17"/>
      <c r="N710" s="17"/>
      <c r="O710" s="17"/>
      <c r="P710" s="17"/>
      <c r="Q710" s="17"/>
      <c r="R710" s="17"/>
      <c r="S710" s="17"/>
      <c r="T710" s="17"/>
      <c r="U710" s="17"/>
      <c r="V710" s="17"/>
    </row>
    <row r="711">
      <c r="A711" s="168"/>
      <c r="B711" s="149"/>
      <c r="C711" s="152"/>
      <c r="D711" s="152"/>
      <c r="E711" s="152"/>
      <c r="F711" s="152"/>
      <c r="G711" s="157"/>
      <c r="H711" s="10"/>
      <c r="I711" s="14"/>
      <c r="J711" s="15"/>
      <c r="K711" s="16"/>
      <c r="L711" s="17"/>
      <c r="M711" s="17"/>
      <c r="N711" s="17"/>
      <c r="O711" s="17"/>
      <c r="P711" s="17"/>
      <c r="Q711" s="17"/>
      <c r="R711" s="17"/>
      <c r="S711" s="17"/>
      <c r="T711" s="17"/>
      <c r="U711" s="17"/>
      <c r="V711" s="17"/>
    </row>
    <row r="712">
      <c r="A712" s="168"/>
      <c r="B712" s="149"/>
      <c r="C712" s="152"/>
      <c r="D712" s="152"/>
      <c r="E712" s="152"/>
      <c r="F712" s="152"/>
      <c r="G712" s="157"/>
      <c r="H712" s="10"/>
      <c r="I712" s="14"/>
      <c r="J712" s="15"/>
      <c r="K712" s="16"/>
      <c r="L712" s="17"/>
      <c r="M712" s="17"/>
      <c r="N712" s="17"/>
      <c r="O712" s="17"/>
      <c r="P712" s="17"/>
      <c r="Q712" s="17"/>
      <c r="R712" s="17"/>
      <c r="S712" s="17"/>
      <c r="T712" s="17"/>
      <c r="U712" s="17"/>
      <c r="V712" s="17"/>
    </row>
    <row r="713">
      <c r="A713" s="168"/>
      <c r="B713" s="149"/>
      <c r="C713" s="152"/>
      <c r="D713" s="152"/>
      <c r="E713" s="152"/>
      <c r="F713" s="152"/>
      <c r="G713" s="157"/>
      <c r="H713" s="10"/>
      <c r="I713" s="14"/>
      <c r="J713" s="15"/>
      <c r="K713" s="16"/>
      <c r="L713" s="17"/>
      <c r="M713" s="17"/>
      <c r="N713" s="17"/>
      <c r="O713" s="17"/>
      <c r="P713" s="17"/>
      <c r="Q713" s="17"/>
      <c r="R713" s="17"/>
      <c r="S713" s="17"/>
      <c r="T713" s="17"/>
      <c r="U713" s="17"/>
      <c r="V713" s="17"/>
    </row>
    <row r="714">
      <c r="A714" s="168"/>
      <c r="B714" s="149"/>
      <c r="C714" s="152"/>
      <c r="D714" s="152"/>
      <c r="E714" s="152"/>
      <c r="F714" s="152"/>
      <c r="G714" s="157"/>
      <c r="H714" s="10"/>
      <c r="I714" s="14"/>
      <c r="J714" s="15"/>
      <c r="K714" s="16"/>
      <c r="L714" s="17"/>
      <c r="M714" s="17"/>
      <c r="N714" s="17"/>
      <c r="O714" s="17"/>
      <c r="P714" s="17"/>
      <c r="Q714" s="17"/>
      <c r="R714" s="17"/>
      <c r="S714" s="17"/>
      <c r="T714" s="17"/>
      <c r="U714" s="17"/>
      <c r="V714" s="17"/>
    </row>
    <row r="715">
      <c r="A715" s="168"/>
      <c r="B715" s="149"/>
      <c r="C715" s="152"/>
      <c r="D715" s="152"/>
      <c r="E715" s="152"/>
      <c r="F715" s="152"/>
      <c r="G715" s="157"/>
      <c r="H715" s="10"/>
      <c r="I715" s="14"/>
      <c r="J715" s="15"/>
      <c r="K715" s="16"/>
      <c r="L715" s="17"/>
      <c r="M715" s="17"/>
      <c r="N715" s="17"/>
      <c r="O715" s="17"/>
      <c r="P715" s="17"/>
      <c r="Q715" s="17"/>
      <c r="R715" s="17"/>
      <c r="S715" s="17"/>
      <c r="T715" s="17"/>
      <c r="U715" s="17"/>
      <c r="V715" s="17"/>
    </row>
    <row r="716">
      <c r="A716" s="168"/>
      <c r="B716" s="149"/>
      <c r="C716" s="152"/>
      <c r="D716" s="152"/>
      <c r="E716" s="152"/>
      <c r="F716" s="152"/>
      <c r="G716" s="157"/>
      <c r="H716" s="10"/>
      <c r="I716" s="14"/>
      <c r="J716" s="15"/>
      <c r="K716" s="16"/>
      <c r="L716" s="17"/>
      <c r="M716" s="17"/>
      <c r="N716" s="17"/>
      <c r="O716" s="17"/>
      <c r="P716" s="17"/>
      <c r="Q716" s="17"/>
      <c r="R716" s="17"/>
      <c r="S716" s="17"/>
      <c r="T716" s="17"/>
      <c r="U716" s="17"/>
      <c r="V716" s="17"/>
    </row>
    <row r="717">
      <c r="A717" s="168"/>
      <c r="B717" s="149"/>
      <c r="C717" s="152"/>
      <c r="D717" s="152"/>
      <c r="E717" s="152"/>
      <c r="F717" s="152"/>
      <c r="G717" s="157"/>
      <c r="H717" s="10"/>
      <c r="I717" s="14"/>
      <c r="J717" s="15"/>
      <c r="K717" s="16"/>
      <c r="L717" s="17"/>
      <c r="M717" s="17"/>
      <c r="N717" s="17"/>
      <c r="O717" s="17"/>
      <c r="P717" s="17"/>
      <c r="Q717" s="17"/>
      <c r="R717" s="17"/>
      <c r="S717" s="17"/>
      <c r="T717" s="17"/>
      <c r="U717" s="17"/>
      <c r="V717" s="17"/>
    </row>
    <row r="718">
      <c r="A718" s="168"/>
      <c r="B718" s="149"/>
      <c r="C718" s="152"/>
      <c r="D718" s="152"/>
      <c r="E718" s="152"/>
      <c r="F718" s="152"/>
      <c r="G718" s="157"/>
      <c r="H718" s="10"/>
      <c r="I718" s="14"/>
      <c r="J718" s="15"/>
      <c r="K718" s="16"/>
      <c r="L718" s="17"/>
      <c r="M718" s="17"/>
      <c r="N718" s="17"/>
      <c r="O718" s="17"/>
      <c r="P718" s="17"/>
      <c r="Q718" s="17"/>
      <c r="R718" s="17"/>
      <c r="S718" s="17"/>
      <c r="T718" s="17"/>
      <c r="U718" s="17"/>
      <c r="V718" s="17"/>
    </row>
    <row r="719">
      <c r="A719" s="168"/>
      <c r="B719" s="149"/>
      <c r="C719" s="152"/>
      <c r="D719" s="152"/>
      <c r="E719" s="152"/>
      <c r="F719" s="152"/>
      <c r="G719" s="157"/>
      <c r="H719" s="10"/>
      <c r="I719" s="14"/>
      <c r="J719" s="15"/>
      <c r="K719" s="16"/>
      <c r="L719" s="17"/>
      <c r="M719" s="17"/>
      <c r="N719" s="17"/>
      <c r="O719" s="17"/>
      <c r="P719" s="17"/>
      <c r="Q719" s="17"/>
      <c r="R719" s="17"/>
      <c r="S719" s="17"/>
      <c r="T719" s="17"/>
      <c r="U719" s="17"/>
      <c r="V719" s="17"/>
    </row>
    <row r="720">
      <c r="A720" s="168"/>
      <c r="B720" s="149"/>
      <c r="C720" s="152"/>
      <c r="D720" s="152"/>
      <c r="E720" s="152"/>
      <c r="F720" s="152"/>
      <c r="G720" s="157"/>
      <c r="H720" s="10"/>
      <c r="I720" s="14"/>
      <c r="J720" s="15"/>
      <c r="K720" s="16"/>
      <c r="L720" s="17"/>
      <c r="M720" s="17"/>
      <c r="N720" s="17"/>
      <c r="O720" s="17"/>
      <c r="P720" s="17"/>
      <c r="Q720" s="17"/>
      <c r="R720" s="17"/>
      <c r="S720" s="17"/>
      <c r="T720" s="17"/>
      <c r="U720" s="17"/>
      <c r="V720" s="17"/>
    </row>
    <row r="721">
      <c r="A721" s="168"/>
      <c r="B721" s="149"/>
      <c r="C721" s="152"/>
      <c r="D721" s="152"/>
      <c r="E721" s="152"/>
      <c r="F721" s="152"/>
      <c r="G721" s="157"/>
      <c r="H721" s="10"/>
      <c r="I721" s="14"/>
      <c r="J721" s="15"/>
      <c r="K721" s="16"/>
      <c r="L721" s="17"/>
      <c r="M721" s="17"/>
      <c r="N721" s="17"/>
      <c r="O721" s="17"/>
      <c r="P721" s="17"/>
      <c r="Q721" s="17"/>
      <c r="R721" s="17"/>
      <c r="S721" s="17"/>
      <c r="T721" s="17"/>
      <c r="U721" s="17"/>
      <c r="V721" s="17"/>
    </row>
    <row r="722">
      <c r="A722" s="168"/>
      <c r="B722" s="149"/>
      <c r="C722" s="152"/>
      <c r="D722" s="152"/>
      <c r="E722" s="152"/>
      <c r="F722" s="152"/>
      <c r="G722" s="157"/>
      <c r="H722" s="10"/>
      <c r="I722" s="14"/>
      <c r="J722" s="15"/>
      <c r="K722" s="16"/>
      <c r="L722" s="17"/>
      <c r="M722" s="17"/>
      <c r="N722" s="17"/>
      <c r="O722" s="17"/>
      <c r="P722" s="17"/>
      <c r="Q722" s="17"/>
      <c r="R722" s="17"/>
      <c r="S722" s="17"/>
      <c r="T722" s="17"/>
      <c r="U722" s="17"/>
      <c r="V722" s="17"/>
    </row>
    <row r="723">
      <c r="A723" s="168"/>
      <c r="B723" s="149"/>
      <c r="C723" s="152"/>
      <c r="D723" s="152"/>
      <c r="E723" s="152"/>
      <c r="F723" s="152"/>
      <c r="G723" s="157"/>
      <c r="H723" s="10"/>
      <c r="I723" s="14"/>
      <c r="J723" s="15"/>
      <c r="K723" s="16"/>
      <c r="L723" s="17"/>
      <c r="M723" s="17"/>
      <c r="N723" s="17"/>
      <c r="O723" s="17"/>
      <c r="P723" s="17"/>
      <c r="Q723" s="17"/>
      <c r="R723" s="17"/>
      <c r="S723" s="17"/>
      <c r="T723" s="17"/>
      <c r="U723" s="17"/>
      <c r="V723" s="17"/>
    </row>
    <row r="724">
      <c r="A724" s="168"/>
      <c r="B724" s="149"/>
      <c r="C724" s="152"/>
      <c r="D724" s="152"/>
      <c r="E724" s="152"/>
      <c r="F724" s="152"/>
      <c r="G724" s="157"/>
      <c r="H724" s="10"/>
      <c r="I724" s="14"/>
      <c r="J724" s="15"/>
      <c r="K724" s="16"/>
      <c r="L724" s="17"/>
      <c r="M724" s="17"/>
      <c r="N724" s="17"/>
      <c r="O724" s="17"/>
      <c r="P724" s="17"/>
      <c r="Q724" s="17"/>
      <c r="R724" s="17"/>
      <c r="S724" s="17"/>
      <c r="T724" s="17"/>
      <c r="U724" s="17"/>
      <c r="V724" s="17"/>
    </row>
    <row r="725">
      <c r="A725" s="168"/>
      <c r="B725" s="149"/>
      <c r="C725" s="152"/>
      <c r="D725" s="152"/>
      <c r="E725" s="152"/>
      <c r="F725" s="152"/>
      <c r="G725" s="157"/>
      <c r="H725" s="10"/>
      <c r="I725" s="14"/>
      <c r="J725" s="15"/>
      <c r="K725" s="16"/>
      <c r="L725" s="17"/>
      <c r="M725" s="17"/>
      <c r="N725" s="17"/>
      <c r="O725" s="17"/>
      <c r="P725" s="17"/>
      <c r="Q725" s="17"/>
      <c r="R725" s="17"/>
      <c r="S725" s="17"/>
      <c r="T725" s="17"/>
      <c r="U725" s="17"/>
      <c r="V725" s="17"/>
    </row>
    <row r="726">
      <c r="A726" s="168"/>
      <c r="B726" s="149"/>
      <c r="C726" s="152"/>
      <c r="D726" s="152"/>
      <c r="E726" s="152"/>
      <c r="F726" s="152"/>
      <c r="G726" s="157"/>
      <c r="H726" s="10"/>
      <c r="I726" s="14"/>
      <c r="J726" s="15"/>
      <c r="K726" s="16"/>
      <c r="L726" s="17"/>
      <c r="M726" s="17"/>
      <c r="N726" s="17"/>
      <c r="O726" s="17"/>
      <c r="P726" s="17"/>
      <c r="Q726" s="17"/>
      <c r="R726" s="17"/>
      <c r="S726" s="17"/>
      <c r="T726" s="17"/>
      <c r="U726" s="17"/>
      <c r="V726" s="17"/>
    </row>
    <row r="727">
      <c r="A727" s="168"/>
      <c r="B727" s="149"/>
      <c r="C727" s="152"/>
      <c r="D727" s="152"/>
      <c r="E727" s="152"/>
      <c r="F727" s="152"/>
      <c r="G727" s="157"/>
      <c r="H727" s="10"/>
      <c r="I727" s="14"/>
      <c r="J727" s="15"/>
      <c r="K727" s="16"/>
      <c r="L727" s="17"/>
      <c r="M727" s="17"/>
      <c r="N727" s="17"/>
      <c r="O727" s="17"/>
      <c r="P727" s="17"/>
      <c r="Q727" s="17"/>
      <c r="R727" s="17"/>
      <c r="S727" s="17"/>
      <c r="T727" s="17"/>
      <c r="U727" s="17"/>
      <c r="V727" s="17"/>
    </row>
    <row r="728">
      <c r="A728" s="168"/>
      <c r="B728" s="149"/>
      <c r="C728" s="152"/>
      <c r="D728" s="152"/>
      <c r="E728" s="152"/>
      <c r="F728" s="152"/>
      <c r="G728" s="157"/>
      <c r="H728" s="10"/>
      <c r="I728" s="14"/>
      <c r="J728" s="15"/>
      <c r="K728" s="16"/>
      <c r="L728" s="17"/>
      <c r="M728" s="17"/>
      <c r="N728" s="17"/>
      <c r="O728" s="17"/>
      <c r="P728" s="17"/>
      <c r="Q728" s="17"/>
      <c r="R728" s="17"/>
      <c r="S728" s="17"/>
      <c r="T728" s="17"/>
      <c r="U728" s="17"/>
      <c r="V728" s="17"/>
    </row>
    <row r="729">
      <c r="A729" s="168"/>
      <c r="B729" s="149"/>
      <c r="C729" s="152"/>
      <c r="D729" s="152"/>
      <c r="E729" s="152"/>
      <c r="F729" s="152"/>
      <c r="G729" s="157"/>
      <c r="H729" s="10"/>
      <c r="I729" s="14"/>
      <c r="J729" s="15"/>
      <c r="K729" s="16"/>
      <c r="L729" s="17"/>
      <c r="M729" s="17"/>
      <c r="N729" s="17"/>
      <c r="O729" s="17"/>
      <c r="P729" s="17"/>
      <c r="Q729" s="17"/>
      <c r="R729" s="17"/>
      <c r="S729" s="17"/>
      <c r="T729" s="17"/>
      <c r="U729" s="17"/>
      <c r="V729" s="17"/>
    </row>
    <row r="730">
      <c r="A730" s="168"/>
      <c r="B730" s="149"/>
      <c r="C730" s="152"/>
      <c r="D730" s="152"/>
      <c r="E730" s="152"/>
      <c r="F730" s="152"/>
      <c r="G730" s="157"/>
      <c r="H730" s="10"/>
      <c r="I730" s="14"/>
      <c r="J730" s="15"/>
      <c r="K730" s="16"/>
      <c r="L730" s="17"/>
      <c r="M730" s="17"/>
      <c r="N730" s="17"/>
      <c r="O730" s="17"/>
      <c r="P730" s="17"/>
      <c r="Q730" s="17"/>
      <c r="R730" s="17"/>
      <c r="S730" s="17"/>
      <c r="T730" s="17"/>
      <c r="U730" s="17"/>
      <c r="V730" s="17"/>
    </row>
    <row r="731">
      <c r="A731" s="168"/>
      <c r="B731" s="149"/>
      <c r="C731" s="152"/>
      <c r="D731" s="152"/>
      <c r="E731" s="152"/>
      <c r="F731" s="152"/>
      <c r="G731" s="157"/>
      <c r="H731" s="10"/>
      <c r="I731" s="14"/>
      <c r="J731" s="15"/>
      <c r="K731" s="16"/>
      <c r="L731" s="17"/>
      <c r="M731" s="17"/>
      <c r="N731" s="17"/>
      <c r="O731" s="17"/>
      <c r="P731" s="17"/>
      <c r="Q731" s="17"/>
      <c r="R731" s="17"/>
      <c r="S731" s="17"/>
      <c r="T731" s="17"/>
      <c r="U731" s="17"/>
      <c r="V731" s="17"/>
    </row>
    <row r="732">
      <c r="A732" s="168"/>
      <c r="B732" s="149"/>
      <c r="C732" s="152"/>
      <c r="D732" s="152"/>
      <c r="E732" s="152"/>
      <c r="F732" s="152"/>
      <c r="G732" s="157"/>
      <c r="H732" s="10"/>
      <c r="I732" s="14"/>
      <c r="J732" s="15"/>
      <c r="K732" s="16"/>
      <c r="L732" s="17"/>
      <c r="M732" s="17"/>
      <c r="N732" s="17"/>
      <c r="O732" s="17"/>
      <c r="P732" s="17"/>
      <c r="Q732" s="17"/>
      <c r="R732" s="17"/>
      <c r="S732" s="17"/>
      <c r="T732" s="17"/>
      <c r="U732" s="17"/>
      <c r="V732" s="17"/>
    </row>
    <row r="733">
      <c r="A733" s="168"/>
      <c r="B733" s="149"/>
      <c r="C733" s="152"/>
      <c r="D733" s="152"/>
      <c r="E733" s="152"/>
      <c r="F733" s="152"/>
      <c r="G733" s="157"/>
      <c r="H733" s="10"/>
      <c r="I733" s="14"/>
      <c r="J733" s="15"/>
      <c r="K733" s="16"/>
      <c r="L733" s="17"/>
      <c r="M733" s="17"/>
      <c r="N733" s="17"/>
      <c r="O733" s="17"/>
      <c r="P733" s="17"/>
      <c r="Q733" s="17"/>
      <c r="R733" s="17"/>
      <c r="S733" s="17"/>
      <c r="T733" s="17"/>
      <c r="U733" s="17"/>
      <c r="V733" s="17"/>
    </row>
    <row r="734">
      <c r="A734" s="168"/>
      <c r="B734" s="149"/>
      <c r="C734" s="152"/>
      <c r="D734" s="152"/>
      <c r="E734" s="152"/>
      <c r="F734" s="152"/>
      <c r="G734" s="157"/>
      <c r="H734" s="10"/>
      <c r="I734" s="14"/>
      <c r="J734" s="15"/>
      <c r="K734" s="16"/>
      <c r="L734" s="17"/>
      <c r="M734" s="17"/>
      <c r="N734" s="17"/>
      <c r="O734" s="17"/>
      <c r="P734" s="17"/>
      <c r="Q734" s="17"/>
      <c r="R734" s="17"/>
      <c r="S734" s="17"/>
      <c r="T734" s="17"/>
      <c r="U734" s="17"/>
      <c r="V734" s="17"/>
    </row>
    <row r="735">
      <c r="A735" s="168"/>
      <c r="B735" s="149"/>
      <c r="C735" s="152"/>
      <c r="D735" s="152"/>
      <c r="E735" s="152"/>
      <c r="F735" s="152"/>
      <c r="G735" s="157"/>
      <c r="H735" s="10"/>
      <c r="I735" s="14"/>
      <c r="J735" s="15"/>
      <c r="K735" s="16"/>
      <c r="L735" s="17"/>
      <c r="M735" s="17"/>
      <c r="N735" s="17"/>
      <c r="O735" s="17"/>
      <c r="P735" s="17"/>
      <c r="Q735" s="17"/>
      <c r="R735" s="17"/>
      <c r="S735" s="17"/>
      <c r="T735" s="17"/>
      <c r="U735" s="17"/>
      <c r="V735" s="17"/>
    </row>
    <row r="736">
      <c r="A736" s="168"/>
      <c r="B736" s="149"/>
      <c r="C736" s="152"/>
      <c r="D736" s="152"/>
      <c r="E736" s="152"/>
      <c r="F736" s="152"/>
      <c r="G736" s="157"/>
      <c r="H736" s="10"/>
      <c r="I736" s="14"/>
      <c r="J736" s="15"/>
      <c r="K736" s="16"/>
      <c r="L736" s="17"/>
      <c r="M736" s="17"/>
      <c r="N736" s="17"/>
      <c r="O736" s="17"/>
      <c r="P736" s="17"/>
      <c r="Q736" s="17"/>
      <c r="R736" s="17"/>
      <c r="S736" s="17"/>
      <c r="T736" s="17"/>
      <c r="U736" s="17"/>
      <c r="V736" s="17"/>
    </row>
    <row r="737">
      <c r="A737" s="168"/>
      <c r="B737" s="149"/>
      <c r="C737" s="152"/>
      <c r="D737" s="152"/>
      <c r="E737" s="152"/>
      <c r="F737" s="152"/>
      <c r="G737" s="157"/>
      <c r="H737" s="10"/>
      <c r="I737" s="14"/>
      <c r="J737" s="15"/>
      <c r="K737" s="16"/>
      <c r="L737" s="17"/>
      <c r="M737" s="17"/>
      <c r="N737" s="17"/>
      <c r="O737" s="17"/>
      <c r="P737" s="17"/>
      <c r="Q737" s="17"/>
      <c r="R737" s="17"/>
      <c r="S737" s="17"/>
      <c r="T737" s="17"/>
      <c r="U737" s="17"/>
      <c r="V737" s="17"/>
    </row>
    <row r="738">
      <c r="A738" s="168"/>
      <c r="B738" s="149"/>
      <c r="C738" s="152"/>
      <c r="D738" s="152"/>
      <c r="E738" s="152"/>
      <c r="F738" s="152"/>
      <c r="G738" s="157"/>
      <c r="H738" s="10"/>
      <c r="I738" s="14"/>
      <c r="J738" s="15"/>
      <c r="K738" s="16"/>
      <c r="L738" s="17"/>
      <c r="M738" s="17"/>
      <c r="N738" s="17"/>
      <c r="O738" s="17"/>
      <c r="P738" s="17"/>
      <c r="Q738" s="17"/>
      <c r="R738" s="17"/>
      <c r="S738" s="17"/>
      <c r="T738" s="17"/>
      <c r="U738" s="17"/>
      <c r="V738" s="17"/>
    </row>
    <row r="739">
      <c r="A739" s="168"/>
      <c r="B739" s="149"/>
      <c r="C739" s="152"/>
      <c r="D739" s="152"/>
      <c r="E739" s="152"/>
      <c r="F739" s="152"/>
      <c r="G739" s="157"/>
      <c r="H739" s="10"/>
      <c r="I739" s="14"/>
      <c r="J739" s="15"/>
      <c r="K739" s="16"/>
      <c r="L739" s="17"/>
      <c r="M739" s="17"/>
      <c r="N739" s="17"/>
      <c r="O739" s="17"/>
      <c r="P739" s="17"/>
      <c r="Q739" s="17"/>
      <c r="R739" s="17"/>
      <c r="S739" s="17"/>
      <c r="T739" s="17"/>
      <c r="U739" s="17"/>
      <c r="V739" s="17"/>
    </row>
    <row r="740">
      <c r="A740" s="168"/>
      <c r="B740" s="149"/>
      <c r="C740" s="152"/>
      <c r="D740" s="152"/>
      <c r="E740" s="152"/>
      <c r="F740" s="152"/>
      <c r="G740" s="157"/>
      <c r="H740" s="10"/>
      <c r="I740" s="14"/>
      <c r="J740" s="15"/>
      <c r="K740" s="16"/>
      <c r="L740" s="17"/>
      <c r="M740" s="17"/>
      <c r="N740" s="17"/>
      <c r="O740" s="17"/>
      <c r="P740" s="17"/>
      <c r="Q740" s="17"/>
      <c r="R740" s="17"/>
      <c r="S740" s="17"/>
      <c r="T740" s="17"/>
      <c r="U740" s="17"/>
      <c r="V740" s="17"/>
    </row>
    <row r="741">
      <c r="A741" s="168"/>
      <c r="B741" s="149"/>
      <c r="C741" s="152"/>
      <c r="D741" s="152"/>
      <c r="E741" s="152"/>
      <c r="F741" s="152"/>
      <c r="G741" s="157"/>
      <c r="H741" s="10"/>
      <c r="I741" s="14"/>
      <c r="J741" s="15"/>
      <c r="K741" s="16"/>
      <c r="L741" s="17"/>
      <c r="M741" s="17"/>
      <c r="N741" s="17"/>
      <c r="O741" s="17"/>
      <c r="P741" s="17"/>
      <c r="Q741" s="17"/>
      <c r="R741" s="17"/>
      <c r="S741" s="17"/>
      <c r="T741" s="17"/>
      <c r="U741" s="17"/>
      <c r="V741" s="17"/>
    </row>
    <row r="742">
      <c r="A742" s="168"/>
      <c r="B742" s="149"/>
      <c r="C742" s="152"/>
      <c r="D742" s="152"/>
      <c r="E742" s="152"/>
      <c r="F742" s="152"/>
      <c r="G742" s="157"/>
      <c r="H742" s="10"/>
      <c r="I742" s="14"/>
      <c r="J742" s="15"/>
      <c r="K742" s="16"/>
      <c r="L742" s="17"/>
      <c r="M742" s="17"/>
      <c r="N742" s="17"/>
      <c r="O742" s="17"/>
      <c r="P742" s="17"/>
      <c r="Q742" s="17"/>
      <c r="R742" s="17"/>
      <c r="S742" s="17"/>
      <c r="T742" s="17"/>
      <c r="U742" s="17"/>
      <c r="V742" s="17"/>
    </row>
    <row r="743">
      <c r="A743" s="168"/>
      <c r="B743" s="149"/>
      <c r="C743" s="152"/>
      <c r="D743" s="152"/>
      <c r="E743" s="152"/>
      <c r="F743" s="152"/>
      <c r="G743" s="157"/>
      <c r="H743" s="10"/>
      <c r="I743" s="14"/>
      <c r="J743" s="15"/>
      <c r="K743" s="16"/>
      <c r="L743" s="17"/>
      <c r="M743" s="17"/>
      <c r="N743" s="17"/>
      <c r="O743" s="17"/>
      <c r="P743" s="17"/>
      <c r="Q743" s="17"/>
      <c r="R743" s="17"/>
      <c r="S743" s="17"/>
      <c r="T743" s="17"/>
      <c r="U743" s="17"/>
      <c r="V743" s="17"/>
    </row>
    <row r="744">
      <c r="A744" s="168"/>
      <c r="B744" s="149"/>
      <c r="C744" s="152"/>
      <c r="D744" s="152"/>
      <c r="E744" s="152"/>
      <c r="F744" s="152"/>
      <c r="G744" s="157"/>
      <c r="H744" s="10"/>
      <c r="I744" s="14"/>
      <c r="J744" s="15"/>
      <c r="K744" s="16"/>
      <c r="L744" s="17"/>
      <c r="M744" s="17"/>
      <c r="N744" s="17"/>
      <c r="O744" s="17"/>
      <c r="P744" s="17"/>
      <c r="Q744" s="17"/>
      <c r="R744" s="17"/>
      <c r="S744" s="17"/>
      <c r="T744" s="17"/>
      <c r="U744" s="17"/>
      <c r="V744" s="17"/>
    </row>
    <row r="745">
      <c r="A745" s="168"/>
      <c r="B745" s="149"/>
      <c r="C745" s="152"/>
      <c r="D745" s="152"/>
      <c r="E745" s="152"/>
      <c r="F745" s="152"/>
      <c r="G745" s="157"/>
      <c r="H745" s="10"/>
      <c r="I745" s="14"/>
      <c r="J745" s="15"/>
      <c r="K745" s="16"/>
      <c r="L745" s="17"/>
      <c r="M745" s="17"/>
      <c r="N745" s="17"/>
      <c r="O745" s="17"/>
      <c r="P745" s="17"/>
      <c r="Q745" s="17"/>
      <c r="R745" s="17"/>
      <c r="S745" s="17"/>
      <c r="T745" s="17"/>
      <c r="U745" s="17"/>
      <c r="V745" s="17"/>
    </row>
    <row r="746">
      <c r="A746" s="168"/>
      <c r="B746" s="149"/>
      <c r="C746" s="152"/>
      <c r="D746" s="152"/>
      <c r="E746" s="152"/>
      <c r="F746" s="152"/>
      <c r="G746" s="157"/>
      <c r="H746" s="10"/>
      <c r="I746" s="14"/>
      <c r="J746" s="15"/>
      <c r="K746" s="16"/>
      <c r="L746" s="17"/>
      <c r="M746" s="17"/>
      <c r="N746" s="17"/>
      <c r="O746" s="17"/>
      <c r="P746" s="17"/>
      <c r="Q746" s="17"/>
      <c r="R746" s="17"/>
      <c r="S746" s="17"/>
      <c r="T746" s="17"/>
      <c r="U746" s="17"/>
      <c r="V746" s="17"/>
    </row>
    <row r="747">
      <c r="A747" s="168"/>
      <c r="B747" s="149"/>
      <c r="C747" s="152"/>
      <c r="D747" s="152"/>
      <c r="E747" s="152"/>
      <c r="F747" s="152"/>
      <c r="G747" s="157"/>
      <c r="H747" s="10"/>
      <c r="I747" s="14"/>
      <c r="J747" s="15"/>
      <c r="K747" s="16"/>
      <c r="L747" s="17"/>
      <c r="M747" s="17"/>
      <c r="N747" s="17"/>
      <c r="O747" s="17"/>
      <c r="P747" s="17"/>
      <c r="Q747" s="17"/>
      <c r="R747" s="17"/>
      <c r="S747" s="17"/>
      <c r="T747" s="17"/>
      <c r="U747" s="17"/>
      <c r="V747" s="17"/>
    </row>
    <row r="748">
      <c r="A748" s="168"/>
      <c r="B748" s="149"/>
      <c r="C748" s="152"/>
      <c r="D748" s="152"/>
      <c r="E748" s="152"/>
      <c r="F748" s="152"/>
      <c r="G748" s="157"/>
      <c r="H748" s="10"/>
      <c r="I748" s="14"/>
      <c r="J748" s="15"/>
      <c r="K748" s="16"/>
      <c r="L748" s="17"/>
      <c r="M748" s="17"/>
      <c r="N748" s="17"/>
      <c r="O748" s="17"/>
      <c r="P748" s="17"/>
      <c r="Q748" s="17"/>
      <c r="R748" s="17"/>
      <c r="S748" s="17"/>
      <c r="T748" s="17"/>
      <c r="U748" s="17"/>
      <c r="V748" s="17"/>
    </row>
    <row r="749">
      <c r="A749" s="168"/>
      <c r="B749" s="149"/>
      <c r="C749" s="152"/>
      <c r="D749" s="152"/>
      <c r="E749" s="152"/>
      <c r="F749" s="152"/>
      <c r="G749" s="157"/>
      <c r="H749" s="10"/>
      <c r="I749" s="14"/>
      <c r="J749" s="15"/>
      <c r="K749" s="16"/>
      <c r="L749" s="17"/>
      <c r="M749" s="17"/>
      <c r="N749" s="17"/>
      <c r="O749" s="17"/>
      <c r="P749" s="17"/>
      <c r="Q749" s="17"/>
      <c r="R749" s="17"/>
      <c r="S749" s="17"/>
      <c r="T749" s="17"/>
      <c r="U749" s="17"/>
      <c r="V749" s="17"/>
    </row>
    <row r="750">
      <c r="A750" s="168"/>
      <c r="B750" s="149"/>
      <c r="C750" s="152"/>
      <c r="D750" s="152"/>
      <c r="E750" s="152"/>
      <c r="F750" s="152"/>
      <c r="G750" s="157"/>
      <c r="H750" s="10"/>
      <c r="I750" s="14"/>
      <c r="J750" s="15"/>
      <c r="K750" s="16"/>
      <c r="L750" s="17"/>
      <c r="M750" s="17"/>
      <c r="N750" s="17"/>
      <c r="O750" s="17"/>
      <c r="P750" s="17"/>
      <c r="Q750" s="17"/>
      <c r="R750" s="17"/>
      <c r="S750" s="17"/>
      <c r="T750" s="17"/>
      <c r="U750" s="17"/>
      <c r="V750" s="17"/>
    </row>
    <row r="751">
      <c r="A751" s="168"/>
      <c r="B751" s="149"/>
      <c r="C751" s="152"/>
      <c r="D751" s="152"/>
      <c r="E751" s="152"/>
      <c r="F751" s="152"/>
      <c r="G751" s="157"/>
      <c r="H751" s="10"/>
      <c r="I751" s="14"/>
      <c r="J751" s="15"/>
      <c r="K751" s="16"/>
      <c r="L751" s="17"/>
      <c r="M751" s="17"/>
      <c r="N751" s="17"/>
      <c r="O751" s="17"/>
      <c r="P751" s="17"/>
      <c r="Q751" s="17"/>
      <c r="R751" s="17"/>
      <c r="S751" s="17"/>
      <c r="T751" s="17"/>
      <c r="U751" s="17"/>
      <c r="V751" s="17"/>
    </row>
    <row r="752">
      <c r="A752" s="168"/>
      <c r="B752" s="149"/>
      <c r="C752" s="152"/>
      <c r="D752" s="152"/>
      <c r="E752" s="152"/>
      <c r="F752" s="152"/>
      <c r="G752" s="157"/>
      <c r="H752" s="10"/>
      <c r="I752" s="14"/>
      <c r="J752" s="15"/>
      <c r="K752" s="16"/>
      <c r="L752" s="17"/>
      <c r="M752" s="17"/>
      <c r="N752" s="17"/>
      <c r="O752" s="17"/>
      <c r="P752" s="17"/>
      <c r="Q752" s="17"/>
      <c r="R752" s="17"/>
      <c r="S752" s="17"/>
      <c r="T752" s="17"/>
      <c r="U752" s="17"/>
      <c r="V752" s="17"/>
    </row>
    <row r="753">
      <c r="A753" s="168"/>
      <c r="B753" s="149"/>
      <c r="C753" s="152"/>
      <c r="D753" s="152"/>
      <c r="E753" s="152"/>
      <c r="F753" s="152"/>
      <c r="G753" s="157"/>
      <c r="H753" s="10"/>
      <c r="I753" s="14"/>
      <c r="J753" s="15"/>
      <c r="K753" s="16"/>
      <c r="L753" s="17"/>
      <c r="M753" s="17"/>
      <c r="N753" s="17"/>
      <c r="O753" s="17"/>
      <c r="P753" s="17"/>
      <c r="Q753" s="17"/>
      <c r="R753" s="17"/>
      <c r="S753" s="17"/>
      <c r="T753" s="17"/>
      <c r="U753" s="17"/>
      <c r="V753" s="17"/>
    </row>
    <row r="754">
      <c r="A754" s="168"/>
      <c r="B754" s="149"/>
      <c r="C754" s="152"/>
      <c r="D754" s="152"/>
      <c r="E754" s="152"/>
      <c r="F754" s="152"/>
      <c r="G754" s="157"/>
      <c r="H754" s="10"/>
      <c r="I754" s="14"/>
      <c r="J754" s="15"/>
      <c r="K754" s="16"/>
      <c r="L754" s="17"/>
      <c r="M754" s="17"/>
      <c r="N754" s="17"/>
      <c r="O754" s="17"/>
      <c r="P754" s="17"/>
      <c r="Q754" s="17"/>
      <c r="R754" s="17"/>
      <c r="S754" s="17"/>
      <c r="T754" s="17"/>
      <c r="U754" s="17"/>
      <c r="V754" s="17"/>
    </row>
    <row r="755">
      <c r="A755" s="168"/>
      <c r="B755" s="149"/>
      <c r="C755" s="152"/>
      <c r="D755" s="152"/>
      <c r="E755" s="152"/>
      <c r="F755" s="152"/>
      <c r="G755" s="157"/>
      <c r="H755" s="10"/>
      <c r="I755" s="14"/>
      <c r="J755" s="15"/>
      <c r="K755" s="16"/>
      <c r="L755" s="17"/>
      <c r="M755" s="17"/>
      <c r="N755" s="17"/>
      <c r="O755" s="17"/>
      <c r="P755" s="17"/>
      <c r="Q755" s="17"/>
      <c r="R755" s="17"/>
      <c r="S755" s="17"/>
      <c r="T755" s="17"/>
      <c r="U755" s="17"/>
      <c r="V755" s="17"/>
    </row>
    <row r="756">
      <c r="A756" s="168"/>
      <c r="B756" s="149"/>
      <c r="C756" s="152"/>
      <c r="D756" s="152"/>
      <c r="E756" s="152"/>
      <c r="F756" s="152"/>
      <c r="G756" s="157"/>
      <c r="H756" s="10"/>
      <c r="I756" s="14"/>
      <c r="J756" s="15"/>
      <c r="K756" s="16"/>
      <c r="L756" s="17"/>
      <c r="M756" s="17"/>
      <c r="N756" s="17"/>
      <c r="O756" s="17"/>
      <c r="P756" s="17"/>
      <c r="Q756" s="17"/>
      <c r="R756" s="17"/>
      <c r="S756" s="17"/>
      <c r="T756" s="17"/>
      <c r="U756" s="17"/>
      <c r="V756" s="17"/>
    </row>
    <row r="757">
      <c r="A757" s="168"/>
      <c r="B757" s="149"/>
      <c r="C757" s="152"/>
      <c r="D757" s="152"/>
      <c r="E757" s="152"/>
      <c r="F757" s="152"/>
      <c r="G757" s="157"/>
      <c r="H757" s="10"/>
      <c r="I757" s="14"/>
      <c r="J757" s="15"/>
      <c r="K757" s="16"/>
      <c r="L757" s="17"/>
      <c r="M757" s="17"/>
      <c r="N757" s="17"/>
      <c r="O757" s="17"/>
      <c r="P757" s="17"/>
      <c r="Q757" s="17"/>
      <c r="R757" s="17"/>
      <c r="S757" s="17"/>
      <c r="T757" s="17"/>
      <c r="U757" s="17"/>
      <c r="V757" s="17"/>
    </row>
    <row r="758">
      <c r="A758" s="168"/>
      <c r="B758" s="149"/>
      <c r="C758" s="152"/>
      <c r="D758" s="152"/>
      <c r="E758" s="152"/>
      <c r="F758" s="152"/>
      <c r="G758" s="157"/>
      <c r="H758" s="10"/>
      <c r="I758" s="14"/>
      <c r="J758" s="15"/>
      <c r="K758" s="16"/>
      <c r="L758" s="17"/>
      <c r="M758" s="17"/>
      <c r="N758" s="17"/>
      <c r="O758" s="17"/>
      <c r="P758" s="17"/>
      <c r="Q758" s="17"/>
      <c r="R758" s="17"/>
      <c r="S758" s="17"/>
      <c r="T758" s="17"/>
      <c r="U758" s="17"/>
      <c r="V758" s="17"/>
    </row>
    <row r="759">
      <c r="A759" s="168"/>
      <c r="B759" s="149"/>
      <c r="C759" s="152"/>
      <c r="D759" s="152"/>
      <c r="E759" s="152"/>
      <c r="F759" s="152"/>
      <c r="G759" s="157"/>
      <c r="H759" s="10"/>
      <c r="I759" s="14"/>
      <c r="J759" s="15"/>
      <c r="K759" s="16"/>
      <c r="L759" s="17"/>
      <c r="M759" s="17"/>
      <c r="N759" s="17"/>
      <c r="O759" s="17"/>
      <c r="P759" s="17"/>
      <c r="Q759" s="17"/>
      <c r="R759" s="17"/>
      <c r="S759" s="17"/>
      <c r="T759" s="17"/>
      <c r="U759" s="17"/>
      <c r="V759" s="17"/>
    </row>
    <row r="760">
      <c r="A760" s="168"/>
      <c r="B760" s="149"/>
      <c r="C760" s="152"/>
      <c r="D760" s="152"/>
      <c r="E760" s="152"/>
      <c r="F760" s="152"/>
      <c r="G760" s="157"/>
      <c r="H760" s="10"/>
      <c r="I760" s="14"/>
      <c r="J760" s="15"/>
      <c r="K760" s="16"/>
      <c r="L760" s="17"/>
      <c r="M760" s="17"/>
      <c r="N760" s="17"/>
      <c r="O760" s="17"/>
      <c r="P760" s="17"/>
      <c r="Q760" s="17"/>
      <c r="R760" s="17"/>
      <c r="S760" s="17"/>
      <c r="T760" s="17"/>
      <c r="U760" s="17"/>
      <c r="V760" s="17"/>
    </row>
    <row r="761">
      <c r="A761" s="168"/>
      <c r="B761" s="149"/>
      <c r="C761" s="152"/>
      <c r="D761" s="152"/>
      <c r="E761" s="152"/>
      <c r="F761" s="152"/>
      <c r="G761" s="157"/>
      <c r="H761" s="10"/>
      <c r="I761" s="14"/>
      <c r="J761" s="15"/>
      <c r="K761" s="16"/>
      <c r="L761" s="17"/>
      <c r="M761" s="17"/>
      <c r="N761" s="17"/>
      <c r="O761" s="17"/>
      <c r="P761" s="17"/>
      <c r="Q761" s="17"/>
      <c r="R761" s="17"/>
      <c r="S761" s="17"/>
      <c r="T761" s="17"/>
      <c r="U761" s="17"/>
      <c r="V761" s="17"/>
    </row>
    <row r="762">
      <c r="A762" s="168"/>
      <c r="B762" s="149"/>
      <c r="C762" s="152"/>
      <c r="D762" s="152"/>
      <c r="E762" s="152"/>
      <c r="F762" s="152"/>
      <c r="G762" s="157"/>
      <c r="H762" s="10"/>
      <c r="I762" s="14"/>
      <c r="J762" s="15"/>
      <c r="K762" s="16"/>
      <c r="L762" s="17"/>
      <c r="M762" s="17"/>
      <c r="N762" s="17"/>
      <c r="O762" s="17"/>
      <c r="P762" s="17"/>
      <c r="Q762" s="17"/>
      <c r="R762" s="17"/>
      <c r="S762" s="17"/>
      <c r="T762" s="17"/>
      <c r="U762" s="17"/>
      <c r="V762" s="17"/>
    </row>
    <row r="763">
      <c r="A763" s="168"/>
      <c r="B763" s="149"/>
      <c r="C763" s="152"/>
      <c r="D763" s="152"/>
      <c r="E763" s="152"/>
      <c r="F763" s="152"/>
      <c r="G763" s="157"/>
      <c r="H763" s="10"/>
      <c r="I763" s="14"/>
      <c r="J763" s="15"/>
      <c r="K763" s="16"/>
      <c r="L763" s="17"/>
      <c r="M763" s="17"/>
      <c r="N763" s="17"/>
      <c r="O763" s="17"/>
      <c r="P763" s="17"/>
      <c r="Q763" s="17"/>
      <c r="R763" s="17"/>
      <c r="S763" s="17"/>
      <c r="T763" s="17"/>
      <c r="U763" s="17"/>
      <c r="V763" s="17"/>
    </row>
    <row r="764">
      <c r="A764" s="168"/>
      <c r="B764" s="149"/>
      <c r="C764" s="152"/>
      <c r="D764" s="152"/>
      <c r="E764" s="152"/>
      <c r="F764" s="152"/>
      <c r="G764" s="157"/>
      <c r="H764" s="10"/>
      <c r="I764" s="14"/>
      <c r="J764" s="15"/>
      <c r="K764" s="16"/>
      <c r="L764" s="17"/>
      <c r="M764" s="17"/>
      <c r="N764" s="17"/>
      <c r="O764" s="17"/>
      <c r="P764" s="17"/>
      <c r="Q764" s="17"/>
      <c r="R764" s="17"/>
      <c r="S764" s="17"/>
      <c r="T764" s="17"/>
      <c r="U764" s="17"/>
      <c r="V764" s="17"/>
    </row>
    <row r="765">
      <c r="A765" s="168"/>
      <c r="B765" s="149"/>
      <c r="C765" s="152"/>
      <c r="D765" s="152"/>
      <c r="E765" s="152"/>
      <c r="F765" s="152"/>
      <c r="G765" s="157"/>
      <c r="H765" s="10"/>
      <c r="I765" s="14"/>
      <c r="J765" s="15"/>
      <c r="K765" s="16"/>
      <c r="L765" s="17"/>
      <c r="M765" s="17"/>
      <c r="N765" s="17"/>
      <c r="O765" s="17"/>
      <c r="P765" s="17"/>
      <c r="Q765" s="17"/>
      <c r="R765" s="17"/>
      <c r="S765" s="17"/>
      <c r="T765" s="17"/>
      <c r="U765" s="17"/>
      <c r="V765" s="17"/>
    </row>
    <row r="766">
      <c r="A766" s="168"/>
      <c r="B766" s="149"/>
      <c r="C766" s="152"/>
      <c r="D766" s="152"/>
      <c r="E766" s="152"/>
      <c r="F766" s="152"/>
      <c r="G766" s="157"/>
      <c r="H766" s="10"/>
      <c r="I766" s="14"/>
      <c r="J766" s="15"/>
      <c r="K766" s="16"/>
      <c r="L766" s="17"/>
      <c r="M766" s="17"/>
      <c r="N766" s="17"/>
      <c r="O766" s="17"/>
      <c r="P766" s="17"/>
      <c r="Q766" s="17"/>
      <c r="R766" s="17"/>
      <c r="S766" s="17"/>
      <c r="T766" s="17"/>
      <c r="U766" s="17"/>
      <c r="V766" s="17"/>
    </row>
    <row r="767">
      <c r="A767" s="168"/>
      <c r="B767" s="149"/>
      <c r="C767" s="152"/>
      <c r="D767" s="152"/>
      <c r="E767" s="152"/>
      <c r="F767" s="152"/>
      <c r="G767" s="157"/>
      <c r="H767" s="10"/>
      <c r="I767" s="14"/>
      <c r="J767" s="15"/>
      <c r="K767" s="16"/>
      <c r="L767" s="17"/>
      <c r="M767" s="17"/>
      <c r="N767" s="17"/>
      <c r="O767" s="17"/>
      <c r="P767" s="17"/>
      <c r="Q767" s="17"/>
      <c r="R767" s="17"/>
      <c r="S767" s="17"/>
      <c r="T767" s="17"/>
      <c r="U767" s="17"/>
      <c r="V767" s="17"/>
    </row>
    <row r="768">
      <c r="A768" s="168"/>
      <c r="B768" s="149"/>
      <c r="C768" s="152"/>
      <c r="D768" s="152"/>
      <c r="E768" s="152"/>
      <c r="F768" s="152"/>
      <c r="G768" s="157"/>
      <c r="H768" s="10"/>
      <c r="I768" s="14"/>
      <c r="J768" s="15"/>
      <c r="K768" s="16"/>
      <c r="L768" s="17"/>
      <c r="M768" s="17"/>
      <c r="N768" s="17"/>
      <c r="O768" s="17"/>
      <c r="P768" s="17"/>
      <c r="Q768" s="17"/>
      <c r="R768" s="17"/>
      <c r="S768" s="17"/>
      <c r="T768" s="17"/>
      <c r="U768" s="17"/>
      <c r="V768" s="17"/>
    </row>
    <row r="769">
      <c r="A769" s="168"/>
      <c r="B769" s="149"/>
      <c r="C769" s="152"/>
      <c r="D769" s="152"/>
      <c r="E769" s="152"/>
      <c r="F769" s="152"/>
      <c r="G769" s="157"/>
      <c r="H769" s="10"/>
      <c r="I769" s="14"/>
      <c r="J769" s="15"/>
      <c r="K769" s="16"/>
      <c r="L769" s="17"/>
      <c r="M769" s="17"/>
      <c r="N769" s="17"/>
      <c r="O769" s="17"/>
      <c r="P769" s="17"/>
      <c r="Q769" s="17"/>
      <c r="R769" s="17"/>
      <c r="S769" s="17"/>
      <c r="T769" s="17"/>
      <c r="U769" s="17"/>
      <c r="V769" s="17"/>
    </row>
    <row r="770">
      <c r="A770" s="168"/>
      <c r="B770" s="149"/>
      <c r="C770" s="152"/>
      <c r="D770" s="152"/>
      <c r="E770" s="152"/>
      <c r="F770" s="152"/>
      <c r="G770" s="157"/>
      <c r="H770" s="10"/>
      <c r="I770" s="14"/>
      <c r="J770" s="15"/>
      <c r="K770" s="16"/>
      <c r="L770" s="17"/>
      <c r="M770" s="17"/>
      <c r="N770" s="17"/>
      <c r="O770" s="17"/>
      <c r="P770" s="17"/>
      <c r="Q770" s="17"/>
      <c r="R770" s="17"/>
      <c r="S770" s="17"/>
      <c r="T770" s="17"/>
      <c r="U770" s="17"/>
      <c r="V770" s="17"/>
    </row>
    <row r="771">
      <c r="A771" s="168"/>
      <c r="B771" s="149"/>
      <c r="C771" s="152"/>
      <c r="D771" s="152"/>
      <c r="E771" s="152"/>
      <c r="F771" s="152"/>
      <c r="G771" s="157"/>
      <c r="H771" s="10"/>
      <c r="I771" s="14"/>
      <c r="J771" s="15"/>
      <c r="K771" s="16"/>
      <c r="L771" s="17"/>
      <c r="M771" s="17"/>
      <c r="N771" s="17"/>
      <c r="O771" s="17"/>
      <c r="P771" s="17"/>
      <c r="Q771" s="17"/>
      <c r="R771" s="17"/>
      <c r="S771" s="17"/>
      <c r="T771" s="17"/>
      <c r="U771" s="17"/>
      <c r="V771" s="17"/>
    </row>
    <row r="772">
      <c r="A772" s="168"/>
      <c r="B772" s="149"/>
      <c r="C772" s="152"/>
      <c r="D772" s="152"/>
      <c r="E772" s="152"/>
      <c r="F772" s="152"/>
      <c r="G772" s="157"/>
      <c r="H772" s="10"/>
      <c r="I772" s="14"/>
      <c r="J772" s="15"/>
      <c r="K772" s="16"/>
      <c r="L772" s="17"/>
      <c r="M772" s="17"/>
      <c r="N772" s="17"/>
      <c r="O772" s="17"/>
      <c r="P772" s="17"/>
      <c r="Q772" s="17"/>
      <c r="R772" s="17"/>
      <c r="S772" s="17"/>
      <c r="T772" s="17"/>
      <c r="U772" s="17"/>
      <c r="V772" s="17"/>
    </row>
    <row r="773">
      <c r="A773" s="168"/>
      <c r="B773" s="149"/>
      <c r="C773" s="152"/>
      <c r="D773" s="152"/>
      <c r="E773" s="152"/>
      <c r="F773" s="152"/>
      <c r="G773" s="157"/>
      <c r="H773" s="10"/>
      <c r="I773" s="14"/>
      <c r="J773" s="15"/>
      <c r="K773" s="16"/>
      <c r="L773" s="17"/>
      <c r="M773" s="17"/>
      <c r="N773" s="17"/>
      <c r="O773" s="17"/>
      <c r="P773" s="17"/>
      <c r="Q773" s="17"/>
      <c r="R773" s="17"/>
      <c r="S773" s="17"/>
      <c r="T773" s="17"/>
      <c r="U773" s="17"/>
      <c r="V773" s="17"/>
    </row>
    <row r="774">
      <c r="A774" s="168"/>
      <c r="B774" s="149"/>
      <c r="C774" s="152"/>
      <c r="D774" s="152"/>
      <c r="E774" s="152"/>
      <c r="F774" s="152"/>
      <c r="G774" s="157"/>
      <c r="H774" s="10"/>
      <c r="I774" s="14"/>
      <c r="J774" s="15"/>
      <c r="K774" s="16"/>
      <c r="L774" s="17"/>
      <c r="M774" s="17"/>
      <c r="N774" s="17"/>
      <c r="O774" s="17"/>
      <c r="P774" s="17"/>
      <c r="Q774" s="17"/>
      <c r="R774" s="17"/>
      <c r="S774" s="17"/>
      <c r="T774" s="17"/>
      <c r="U774" s="17"/>
      <c r="V774" s="17"/>
    </row>
    <row r="775">
      <c r="A775" s="168"/>
      <c r="B775" s="149"/>
      <c r="C775" s="152"/>
      <c r="D775" s="152"/>
      <c r="E775" s="152"/>
      <c r="F775" s="152"/>
      <c r="G775" s="157"/>
      <c r="H775" s="10"/>
      <c r="I775" s="14"/>
      <c r="J775" s="15"/>
      <c r="K775" s="16"/>
      <c r="L775" s="17"/>
      <c r="M775" s="17"/>
      <c r="N775" s="17"/>
      <c r="O775" s="17"/>
      <c r="P775" s="17"/>
      <c r="Q775" s="17"/>
      <c r="R775" s="17"/>
      <c r="S775" s="17"/>
      <c r="T775" s="17"/>
      <c r="U775" s="17"/>
      <c r="V775" s="17"/>
    </row>
    <row r="776">
      <c r="A776" s="168"/>
      <c r="B776" s="149"/>
      <c r="C776" s="152"/>
      <c r="D776" s="152"/>
      <c r="E776" s="152"/>
      <c r="F776" s="152"/>
      <c r="G776" s="157"/>
      <c r="H776" s="10"/>
      <c r="I776" s="14"/>
      <c r="J776" s="15"/>
      <c r="K776" s="16"/>
      <c r="L776" s="17"/>
      <c r="M776" s="17"/>
      <c r="N776" s="17"/>
      <c r="O776" s="17"/>
      <c r="P776" s="17"/>
      <c r="Q776" s="17"/>
      <c r="R776" s="17"/>
      <c r="S776" s="17"/>
      <c r="T776" s="17"/>
      <c r="U776" s="17"/>
      <c r="V776" s="17"/>
    </row>
    <row r="777">
      <c r="A777" s="168"/>
      <c r="B777" s="149"/>
      <c r="C777" s="152"/>
      <c r="D777" s="152"/>
      <c r="E777" s="152"/>
      <c r="F777" s="152"/>
      <c r="G777" s="157"/>
      <c r="H777" s="10"/>
      <c r="I777" s="14"/>
      <c r="J777" s="15"/>
      <c r="K777" s="16"/>
      <c r="L777" s="17"/>
      <c r="M777" s="17"/>
      <c r="N777" s="17"/>
      <c r="O777" s="17"/>
      <c r="P777" s="17"/>
      <c r="Q777" s="17"/>
      <c r="R777" s="17"/>
      <c r="S777" s="17"/>
      <c r="T777" s="17"/>
      <c r="U777" s="17"/>
      <c r="V777" s="17"/>
    </row>
    <row r="778">
      <c r="A778" s="168"/>
      <c r="B778" s="149"/>
      <c r="C778" s="152"/>
      <c r="D778" s="152"/>
      <c r="E778" s="152"/>
      <c r="F778" s="152"/>
      <c r="G778" s="157"/>
      <c r="H778" s="10"/>
      <c r="I778" s="14"/>
      <c r="J778" s="15"/>
      <c r="K778" s="16"/>
      <c r="L778" s="17"/>
      <c r="M778" s="17"/>
      <c r="N778" s="17"/>
      <c r="O778" s="17"/>
      <c r="P778" s="17"/>
      <c r="Q778" s="17"/>
      <c r="R778" s="17"/>
      <c r="S778" s="17"/>
      <c r="T778" s="17"/>
      <c r="U778" s="17"/>
      <c r="V778" s="17"/>
    </row>
    <row r="779">
      <c r="A779" s="168"/>
      <c r="B779" s="149"/>
      <c r="C779" s="152"/>
      <c r="D779" s="152"/>
      <c r="E779" s="152"/>
      <c r="F779" s="152"/>
      <c r="G779" s="157"/>
      <c r="H779" s="10"/>
      <c r="I779" s="14"/>
      <c r="J779" s="15"/>
      <c r="K779" s="16"/>
      <c r="L779" s="17"/>
      <c r="M779" s="17"/>
      <c r="N779" s="17"/>
      <c r="O779" s="17"/>
      <c r="P779" s="17"/>
      <c r="Q779" s="17"/>
      <c r="R779" s="17"/>
      <c r="S779" s="17"/>
      <c r="T779" s="17"/>
      <c r="U779" s="17"/>
      <c r="V779" s="17"/>
    </row>
    <row r="780">
      <c r="A780" s="168"/>
      <c r="B780" s="149"/>
      <c r="C780" s="152"/>
      <c r="D780" s="152"/>
      <c r="E780" s="152"/>
      <c r="F780" s="152"/>
      <c r="G780" s="157"/>
      <c r="H780" s="10"/>
      <c r="I780" s="14"/>
      <c r="J780" s="15"/>
      <c r="K780" s="16"/>
      <c r="L780" s="17"/>
      <c r="M780" s="17"/>
      <c r="N780" s="17"/>
      <c r="O780" s="17"/>
      <c r="P780" s="17"/>
      <c r="Q780" s="17"/>
      <c r="R780" s="17"/>
      <c r="S780" s="17"/>
      <c r="T780" s="17"/>
      <c r="U780" s="17"/>
      <c r="V780" s="17"/>
    </row>
    <row r="781">
      <c r="A781" s="168"/>
      <c r="B781" s="149"/>
      <c r="C781" s="152"/>
      <c r="D781" s="152"/>
      <c r="E781" s="152"/>
      <c r="F781" s="152"/>
      <c r="G781" s="157"/>
      <c r="H781" s="10"/>
      <c r="I781" s="14"/>
      <c r="J781" s="15"/>
      <c r="K781" s="16"/>
      <c r="L781" s="17"/>
      <c r="M781" s="17"/>
      <c r="N781" s="17"/>
      <c r="O781" s="17"/>
      <c r="P781" s="17"/>
      <c r="Q781" s="17"/>
      <c r="R781" s="17"/>
      <c r="S781" s="17"/>
      <c r="T781" s="17"/>
      <c r="U781" s="17"/>
      <c r="V781" s="17"/>
    </row>
    <row r="782">
      <c r="A782" s="168"/>
      <c r="B782" s="149"/>
      <c r="C782" s="152"/>
      <c r="D782" s="152"/>
      <c r="E782" s="152"/>
      <c r="F782" s="152"/>
      <c r="G782" s="157"/>
      <c r="H782" s="10"/>
      <c r="I782" s="14"/>
      <c r="J782" s="15"/>
      <c r="K782" s="16"/>
      <c r="L782" s="17"/>
      <c r="M782" s="17"/>
      <c r="N782" s="17"/>
      <c r="O782" s="17"/>
      <c r="P782" s="17"/>
      <c r="Q782" s="17"/>
      <c r="R782" s="17"/>
      <c r="S782" s="17"/>
      <c r="T782" s="17"/>
      <c r="U782" s="17"/>
      <c r="V782" s="17"/>
    </row>
    <row r="783">
      <c r="A783" s="168"/>
      <c r="B783" s="149"/>
      <c r="C783" s="152"/>
      <c r="D783" s="152"/>
      <c r="E783" s="152"/>
      <c r="F783" s="152"/>
      <c r="G783" s="157"/>
      <c r="H783" s="10"/>
      <c r="I783" s="14"/>
      <c r="J783" s="15"/>
      <c r="K783" s="16"/>
      <c r="L783" s="17"/>
      <c r="M783" s="17"/>
      <c r="N783" s="17"/>
      <c r="O783" s="17"/>
      <c r="P783" s="17"/>
      <c r="Q783" s="17"/>
      <c r="R783" s="17"/>
      <c r="S783" s="17"/>
      <c r="T783" s="17"/>
      <c r="U783" s="17"/>
      <c r="V783" s="17"/>
    </row>
    <row r="784">
      <c r="A784" s="168"/>
      <c r="B784" s="149"/>
      <c r="C784" s="152"/>
      <c r="D784" s="152"/>
      <c r="E784" s="152"/>
      <c r="F784" s="152"/>
      <c r="G784" s="157"/>
      <c r="H784" s="10"/>
      <c r="I784" s="14"/>
      <c r="J784" s="15"/>
      <c r="K784" s="16"/>
      <c r="L784" s="17"/>
      <c r="M784" s="17"/>
      <c r="N784" s="17"/>
      <c r="O784" s="17"/>
      <c r="P784" s="17"/>
      <c r="Q784" s="17"/>
      <c r="R784" s="17"/>
      <c r="S784" s="17"/>
      <c r="T784" s="17"/>
      <c r="U784" s="17"/>
      <c r="V784" s="17"/>
    </row>
    <row r="785">
      <c r="A785" s="168"/>
      <c r="B785" s="149"/>
      <c r="C785" s="152"/>
      <c r="D785" s="152"/>
      <c r="E785" s="152"/>
      <c r="F785" s="152"/>
      <c r="G785" s="157"/>
      <c r="H785" s="10"/>
      <c r="I785" s="14"/>
      <c r="J785" s="15"/>
      <c r="K785" s="16"/>
      <c r="L785" s="17"/>
      <c r="M785" s="17"/>
      <c r="N785" s="17"/>
      <c r="O785" s="17"/>
      <c r="P785" s="17"/>
      <c r="Q785" s="17"/>
      <c r="R785" s="17"/>
      <c r="S785" s="17"/>
      <c r="T785" s="17"/>
      <c r="U785" s="17"/>
      <c r="V785" s="17"/>
    </row>
    <row r="786">
      <c r="A786" s="168"/>
      <c r="B786" s="149"/>
      <c r="C786" s="152"/>
      <c r="D786" s="152"/>
      <c r="E786" s="152"/>
      <c r="F786" s="152"/>
      <c r="G786" s="157"/>
      <c r="H786" s="10"/>
      <c r="I786" s="14"/>
      <c r="J786" s="15"/>
      <c r="K786" s="16"/>
      <c r="L786" s="17"/>
      <c r="M786" s="17"/>
      <c r="N786" s="17"/>
      <c r="O786" s="17"/>
      <c r="P786" s="17"/>
      <c r="Q786" s="17"/>
      <c r="R786" s="17"/>
      <c r="S786" s="17"/>
      <c r="T786" s="17"/>
      <c r="U786" s="17"/>
      <c r="V786" s="17"/>
    </row>
    <row r="787">
      <c r="A787" s="168"/>
      <c r="B787" s="149"/>
      <c r="C787" s="152"/>
      <c r="D787" s="152"/>
      <c r="E787" s="152"/>
      <c r="F787" s="152"/>
      <c r="G787" s="157"/>
      <c r="H787" s="10"/>
      <c r="I787" s="14"/>
      <c r="J787" s="15"/>
      <c r="K787" s="16"/>
      <c r="L787" s="17"/>
      <c r="M787" s="17"/>
      <c r="N787" s="17"/>
      <c r="O787" s="17"/>
      <c r="P787" s="17"/>
      <c r="Q787" s="17"/>
      <c r="R787" s="17"/>
      <c r="S787" s="17"/>
      <c r="T787" s="17"/>
      <c r="U787" s="17"/>
      <c r="V787" s="17"/>
    </row>
    <row r="788">
      <c r="A788" s="168"/>
      <c r="B788" s="149"/>
      <c r="C788" s="152"/>
      <c r="D788" s="152"/>
      <c r="E788" s="152"/>
      <c r="F788" s="152"/>
      <c r="G788" s="157"/>
      <c r="H788" s="10"/>
      <c r="I788" s="14"/>
      <c r="J788" s="15"/>
      <c r="K788" s="16"/>
      <c r="L788" s="17"/>
      <c r="M788" s="17"/>
      <c r="N788" s="17"/>
      <c r="O788" s="17"/>
      <c r="P788" s="17"/>
      <c r="Q788" s="17"/>
      <c r="R788" s="17"/>
      <c r="S788" s="17"/>
      <c r="T788" s="17"/>
      <c r="U788" s="17"/>
      <c r="V788" s="17"/>
    </row>
    <row r="789">
      <c r="A789" s="168"/>
      <c r="B789" s="149"/>
      <c r="C789" s="152"/>
      <c r="D789" s="152"/>
      <c r="E789" s="152"/>
      <c r="F789" s="152"/>
      <c r="G789" s="157"/>
      <c r="H789" s="10"/>
      <c r="I789" s="14"/>
      <c r="J789" s="15"/>
      <c r="K789" s="16"/>
      <c r="L789" s="17"/>
      <c r="M789" s="17"/>
      <c r="N789" s="17"/>
      <c r="O789" s="17"/>
      <c r="P789" s="17"/>
      <c r="Q789" s="17"/>
      <c r="R789" s="17"/>
      <c r="S789" s="17"/>
      <c r="T789" s="17"/>
      <c r="U789" s="17"/>
      <c r="V789" s="17"/>
    </row>
    <row r="790">
      <c r="A790" s="168"/>
      <c r="B790" s="149"/>
      <c r="C790" s="152"/>
      <c r="D790" s="152"/>
      <c r="E790" s="152"/>
      <c r="F790" s="152"/>
      <c r="G790" s="157"/>
      <c r="H790" s="10"/>
      <c r="I790" s="14"/>
      <c r="J790" s="15"/>
      <c r="K790" s="16"/>
      <c r="L790" s="17"/>
      <c r="M790" s="17"/>
      <c r="N790" s="17"/>
      <c r="O790" s="17"/>
      <c r="P790" s="17"/>
      <c r="Q790" s="17"/>
      <c r="R790" s="17"/>
      <c r="S790" s="17"/>
      <c r="T790" s="17"/>
      <c r="U790" s="17"/>
      <c r="V790" s="17"/>
    </row>
    <row r="791">
      <c r="A791" s="168"/>
      <c r="B791" s="149"/>
      <c r="C791" s="152"/>
      <c r="D791" s="152"/>
      <c r="E791" s="152"/>
      <c r="F791" s="152"/>
      <c r="G791" s="157"/>
      <c r="H791" s="10"/>
      <c r="I791" s="14"/>
      <c r="J791" s="15"/>
      <c r="K791" s="16"/>
      <c r="L791" s="17"/>
      <c r="M791" s="17"/>
      <c r="N791" s="17"/>
      <c r="O791" s="17"/>
      <c r="P791" s="17"/>
      <c r="Q791" s="17"/>
      <c r="R791" s="17"/>
      <c r="S791" s="17"/>
      <c r="T791" s="17"/>
      <c r="U791" s="17"/>
      <c r="V791" s="17"/>
    </row>
    <row r="792">
      <c r="A792" s="168"/>
      <c r="B792" s="149"/>
      <c r="C792" s="152"/>
      <c r="D792" s="152"/>
      <c r="E792" s="152"/>
      <c r="F792" s="152"/>
      <c r="G792" s="157"/>
      <c r="H792" s="10"/>
      <c r="I792" s="14"/>
      <c r="J792" s="15"/>
      <c r="K792" s="16"/>
      <c r="L792" s="17"/>
      <c r="M792" s="17"/>
      <c r="N792" s="17"/>
      <c r="O792" s="17"/>
      <c r="P792" s="17"/>
      <c r="Q792" s="17"/>
      <c r="R792" s="17"/>
      <c r="S792" s="17"/>
      <c r="T792" s="17"/>
      <c r="U792" s="17"/>
      <c r="V792" s="17"/>
    </row>
    <row r="793">
      <c r="A793" s="168"/>
      <c r="B793" s="149"/>
      <c r="C793" s="152"/>
      <c r="D793" s="152"/>
      <c r="E793" s="152"/>
      <c r="F793" s="152"/>
      <c r="G793" s="157"/>
      <c r="H793" s="10"/>
      <c r="I793" s="14"/>
      <c r="J793" s="15"/>
      <c r="K793" s="16"/>
      <c r="L793" s="17"/>
      <c r="M793" s="17"/>
      <c r="N793" s="17"/>
      <c r="O793" s="17"/>
      <c r="P793" s="17"/>
      <c r="Q793" s="17"/>
      <c r="R793" s="17"/>
      <c r="S793" s="17"/>
      <c r="T793" s="17"/>
      <c r="U793" s="17"/>
      <c r="V793" s="17"/>
    </row>
    <row r="794">
      <c r="A794" s="168"/>
      <c r="B794" s="149"/>
      <c r="C794" s="152"/>
      <c r="D794" s="152"/>
      <c r="E794" s="152"/>
      <c r="F794" s="152"/>
      <c r="G794" s="157"/>
      <c r="H794" s="10"/>
      <c r="I794" s="14"/>
      <c r="J794" s="15"/>
      <c r="K794" s="16"/>
      <c r="L794" s="17"/>
      <c r="M794" s="17"/>
      <c r="N794" s="17"/>
      <c r="O794" s="17"/>
      <c r="P794" s="17"/>
      <c r="Q794" s="17"/>
      <c r="R794" s="17"/>
      <c r="S794" s="17"/>
      <c r="T794" s="17"/>
      <c r="U794" s="17"/>
      <c r="V794" s="17"/>
    </row>
    <row r="795">
      <c r="A795" s="168"/>
      <c r="B795" s="149"/>
      <c r="C795" s="152"/>
      <c r="D795" s="152"/>
      <c r="E795" s="152"/>
      <c r="F795" s="152"/>
      <c r="G795" s="157"/>
      <c r="H795" s="10"/>
      <c r="I795" s="14"/>
      <c r="J795" s="15"/>
      <c r="K795" s="16"/>
      <c r="L795" s="17"/>
      <c r="M795" s="17"/>
      <c r="N795" s="17"/>
      <c r="O795" s="17"/>
      <c r="P795" s="17"/>
      <c r="Q795" s="17"/>
      <c r="R795" s="17"/>
      <c r="S795" s="17"/>
      <c r="T795" s="17"/>
      <c r="U795" s="17"/>
      <c r="V795" s="17"/>
    </row>
    <row r="796">
      <c r="A796" s="168"/>
      <c r="B796" s="149"/>
      <c r="C796" s="152"/>
      <c r="D796" s="152"/>
      <c r="E796" s="152"/>
      <c r="F796" s="152"/>
      <c r="G796" s="157"/>
      <c r="H796" s="10"/>
      <c r="I796" s="14"/>
      <c r="J796" s="15"/>
      <c r="K796" s="16"/>
      <c r="L796" s="17"/>
      <c r="M796" s="17"/>
      <c r="N796" s="17"/>
      <c r="O796" s="17"/>
      <c r="P796" s="17"/>
      <c r="Q796" s="17"/>
      <c r="R796" s="17"/>
      <c r="S796" s="17"/>
      <c r="T796" s="17"/>
      <c r="U796" s="17"/>
      <c r="V796" s="17"/>
    </row>
    <row r="797">
      <c r="A797" s="168"/>
      <c r="B797" s="149"/>
      <c r="C797" s="152"/>
      <c r="D797" s="152"/>
      <c r="E797" s="152"/>
      <c r="F797" s="152"/>
      <c r="G797" s="157"/>
      <c r="H797" s="10"/>
      <c r="I797" s="14"/>
      <c r="J797" s="15"/>
      <c r="K797" s="16"/>
      <c r="L797" s="17"/>
      <c r="M797" s="17"/>
      <c r="N797" s="17"/>
      <c r="O797" s="17"/>
      <c r="P797" s="17"/>
      <c r="Q797" s="17"/>
      <c r="R797" s="17"/>
      <c r="S797" s="17"/>
      <c r="T797" s="17"/>
      <c r="U797" s="17"/>
      <c r="V797" s="17"/>
    </row>
    <row r="798">
      <c r="A798" s="168"/>
      <c r="B798" s="149"/>
      <c r="C798" s="152"/>
      <c r="D798" s="152"/>
      <c r="E798" s="152"/>
      <c r="F798" s="152"/>
      <c r="G798" s="157"/>
      <c r="H798" s="10"/>
      <c r="I798" s="14"/>
      <c r="J798" s="15"/>
      <c r="K798" s="16"/>
      <c r="L798" s="17"/>
      <c r="M798" s="17"/>
      <c r="N798" s="17"/>
      <c r="O798" s="17"/>
      <c r="P798" s="17"/>
      <c r="Q798" s="17"/>
      <c r="R798" s="17"/>
      <c r="S798" s="17"/>
      <c r="T798" s="17"/>
      <c r="U798" s="17"/>
      <c r="V798" s="17"/>
    </row>
    <row r="799">
      <c r="A799" s="168"/>
      <c r="B799" s="149"/>
      <c r="C799" s="152"/>
      <c r="D799" s="152"/>
      <c r="E799" s="152"/>
      <c r="F799" s="152"/>
      <c r="G799" s="157"/>
      <c r="H799" s="10"/>
      <c r="I799" s="14"/>
      <c r="J799" s="15"/>
      <c r="K799" s="16"/>
      <c r="L799" s="17"/>
      <c r="M799" s="17"/>
      <c r="N799" s="17"/>
      <c r="O799" s="17"/>
      <c r="P799" s="17"/>
      <c r="Q799" s="17"/>
      <c r="R799" s="17"/>
      <c r="S799" s="17"/>
      <c r="T799" s="17"/>
      <c r="U799" s="17"/>
      <c r="V799" s="17"/>
    </row>
    <row r="800">
      <c r="A800" s="168"/>
      <c r="B800" s="149"/>
      <c r="C800" s="152"/>
      <c r="D800" s="152"/>
      <c r="E800" s="152"/>
      <c r="F800" s="152"/>
      <c r="G800" s="157"/>
      <c r="H800" s="10"/>
      <c r="I800" s="14"/>
      <c r="J800" s="15"/>
      <c r="K800" s="16"/>
      <c r="L800" s="17"/>
      <c r="M800" s="17"/>
      <c r="N800" s="17"/>
      <c r="O800" s="17"/>
      <c r="P800" s="17"/>
      <c r="Q800" s="17"/>
      <c r="R800" s="17"/>
      <c r="S800" s="17"/>
      <c r="T800" s="17"/>
      <c r="U800" s="17"/>
      <c r="V800" s="17"/>
    </row>
    <row r="801">
      <c r="A801" s="168"/>
      <c r="B801" s="149"/>
      <c r="C801" s="152"/>
      <c r="D801" s="152"/>
      <c r="E801" s="152"/>
      <c r="F801" s="152"/>
      <c r="G801" s="157"/>
      <c r="H801" s="10"/>
      <c r="I801" s="14"/>
      <c r="J801" s="15"/>
      <c r="K801" s="16"/>
      <c r="L801" s="17"/>
      <c r="M801" s="17"/>
      <c r="N801" s="17"/>
      <c r="O801" s="17"/>
      <c r="P801" s="17"/>
      <c r="Q801" s="17"/>
      <c r="R801" s="17"/>
      <c r="S801" s="17"/>
      <c r="T801" s="17"/>
      <c r="U801" s="17"/>
      <c r="V801" s="17"/>
    </row>
    <row r="802">
      <c r="A802" s="168"/>
      <c r="B802" s="149"/>
      <c r="C802" s="152"/>
      <c r="D802" s="152"/>
      <c r="E802" s="152"/>
      <c r="F802" s="152"/>
      <c r="G802" s="157"/>
      <c r="H802" s="10"/>
      <c r="I802" s="14"/>
      <c r="J802" s="15"/>
      <c r="K802" s="16"/>
      <c r="L802" s="17"/>
      <c r="M802" s="17"/>
      <c r="N802" s="17"/>
      <c r="O802" s="17"/>
      <c r="P802" s="17"/>
      <c r="Q802" s="17"/>
      <c r="R802" s="17"/>
      <c r="S802" s="17"/>
      <c r="T802" s="17"/>
      <c r="U802" s="17"/>
      <c r="V802" s="17"/>
    </row>
    <row r="803">
      <c r="A803" s="168"/>
      <c r="B803" s="149"/>
      <c r="C803" s="152"/>
      <c r="D803" s="152"/>
      <c r="E803" s="152"/>
      <c r="F803" s="152"/>
      <c r="G803" s="157"/>
      <c r="H803" s="10"/>
      <c r="I803" s="14"/>
      <c r="J803" s="15"/>
      <c r="K803" s="16"/>
      <c r="L803" s="17"/>
      <c r="M803" s="17"/>
      <c r="N803" s="17"/>
      <c r="O803" s="17"/>
      <c r="P803" s="17"/>
      <c r="Q803" s="17"/>
      <c r="R803" s="17"/>
      <c r="S803" s="17"/>
      <c r="T803" s="17"/>
      <c r="U803" s="17"/>
      <c r="V803" s="17"/>
    </row>
    <row r="804">
      <c r="A804" s="168"/>
      <c r="B804" s="149"/>
      <c r="C804" s="152"/>
      <c r="D804" s="152"/>
      <c r="E804" s="152"/>
      <c r="F804" s="152"/>
      <c r="G804" s="157"/>
      <c r="H804" s="10"/>
      <c r="I804" s="14"/>
      <c r="J804" s="15"/>
      <c r="K804" s="16"/>
      <c r="L804" s="17"/>
      <c r="M804" s="17"/>
      <c r="N804" s="17"/>
      <c r="O804" s="17"/>
      <c r="P804" s="17"/>
      <c r="Q804" s="17"/>
      <c r="R804" s="17"/>
      <c r="S804" s="17"/>
      <c r="T804" s="17"/>
      <c r="U804" s="17"/>
      <c r="V804" s="17"/>
    </row>
    <row r="805">
      <c r="A805" s="168"/>
      <c r="B805" s="149"/>
      <c r="C805" s="152"/>
      <c r="D805" s="152"/>
      <c r="E805" s="152"/>
      <c r="F805" s="152"/>
      <c r="G805" s="157"/>
      <c r="H805" s="10"/>
      <c r="I805" s="14"/>
      <c r="J805" s="15"/>
      <c r="K805" s="16"/>
      <c r="L805" s="17"/>
      <c r="M805" s="17"/>
      <c r="N805" s="17"/>
      <c r="O805" s="17"/>
      <c r="P805" s="17"/>
      <c r="Q805" s="17"/>
      <c r="R805" s="17"/>
      <c r="S805" s="17"/>
      <c r="T805" s="17"/>
      <c r="U805" s="17"/>
      <c r="V805" s="17"/>
    </row>
    <row r="806">
      <c r="A806" s="168"/>
      <c r="B806" s="149"/>
      <c r="C806" s="152"/>
      <c r="D806" s="152"/>
      <c r="E806" s="152"/>
      <c r="F806" s="152"/>
      <c r="G806" s="157"/>
      <c r="H806" s="10"/>
      <c r="I806" s="14"/>
      <c r="J806" s="15"/>
      <c r="K806" s="16"/>
      <c r="L806" s="17"/>
      <c r="M806" s="17"/>
      <c r="N806" s="17"/>
      <c r="O806" s="17"/>
      <c r="P806" s="17"/>
      <c r="Q806" s="17"/>
      <c r="R806" s="17"/>
      <c r="S806" s="17"/>
      <c r="T806" s="17"/>
      <c r="U806" s="17"/>
      <c r="V806" s="17"/>
    </row>
    <row r="807">
      <c r="A807" s="168"/>
      <c r="B807" s="149"/>
      <c r="C807" s="152"/>
      <c r="D807" s="152"/>
      <c r="E807" s="152"/>
      <c r="F807" s="152"/>
      <c r="G807" s="157"/>
      <c r="H807" s="10"/>
      <c r="I807" s="14"/>
      <c r="J807" s="15"/>
      <c r="K807" s="16"/>
      <c r="L807" s="17"/>
      <c r="M807" s="17"/>
      <c r="N807" s="17"/>
      <c r="O807" s="17"/>
      <c r="P807" s="17"/>
      <c r="Q807" s="17"/>
      <c r="R807" s="17"/>
      <c r="S807" s="17"/>
      <c r="T807" s="17"/>
      <c r="U807" s="17"/>
      <c r="V807" s="17"/>
    </row>
    <row r="808">
      <c r="A808" s="168"/>
      <c r="B808" s="149"/>
      <c r="C808" s="152"/>
      <c r="D808" s="152"/>
      <c r="E808" s="152"/>
      <c r="F808" s="152"/>
      <c r="G808" s="157"/>
      <c r="H808" s="10"/>
      <c r="I808" s="14"/>
      <c r="J808" s="15"/>
      <c r="K808" s="16"/>
      <c r="L808" s="17"/>
      <c r="M808" s="17"/>
      <c r="N808" s="17"/>
      <c r="O808" s="17"/>
      <c r="P808" s="17"/>
      <c r="Q808" s="17"/>
      <c r="R808" s="17"/>
      <c r="S808" s="17"/>
      <c r="T808" s="17"/>
      <c r="U808" s="17"/>
      <c r="V808" s="17"/>
    </row>
    <row r="809">
      <c r="A809" s="168"/>
      <c r="B809" s="149"/>
      <c r="C809" s="152"/>
      <c r="D809" s="152"/>
      <c r="E809" s="152"/>
      <c r="F809" s="152"/>
      <c r="G809" s="157"/>
      <c r="H809" s="10"/>
      <c r="I809" s="14"/>
      <c r="J809" s="15"/>
      <c r="K809" s="16"/>
      <c r="L809" s="17"/>
      <c r="M809" s="17"/>
      <c r="N809" s="17"/>
      <c r="O809" s="17"/>
      <c r="P809" s="17"/>
      <c r="Q809" s="17"/>
      <c r="R809" s="17"/>
      <c r="S809" s="17"/>
      <c r="T809" s="17"/>
      <c r="U809" s="17"/>
      <c r="V809" s="17"/>
    </row>
    <row r="810">
      <c r="A810" s="168"/>
      <c r="B810" s="149"/>
      <c r="C810" s="152"/>
      <c r="D810" s="152"/>
      <c r="E810" s="152"/>
      <c r="F810" s="152"/>
      <c r="G810" s="157"/>
      <c r="H810" s="10"/>
      <c r="I810" s="14"/>
      <c r="J810" s="15"/>
      <c r="K810" s="16"/>
      <c r="L810" s="17"/>
      <c r="M810" s="17"/>
      <c r="N810" s="17"/>
      <c r="O810" s="17"/>
      <c r="P810" s="17"/>
      <c r="Q810" s="17"/>
      <c r="R810" s="17"/>
      <c r="S810" s="17"/>
      <c r="T810" s="17"/>
      <c r="U810" s="17"/>
      <c r="V810" s="17"/>
    </row>
    <row r="811">
      <c r="A811" s="168"/>
      <c r="B811" s="149"/>
      <c r="C811" s="152"/>
      <c r="D811" s="152"/>
      <c r="E811" s="152"/>
      <c r="F811" s="152"/>
      <c r="G811" s="157"/>
      <c r="H811" s="10"/>
      <c r="I811" s="14"/>
      <c r="J811" s="15"/>
      <c r="K811" s="16"/>
      <c r="L811" s="17"/>
      <c r="M811" s="17"/>
      <c r="N811" s="17"/>
      <c r="O811" s="17"/>
      <c r="P811" s="17"/>
      <c r="Q811" s="17"/>
      <c r="R811" s="17"/>
      <c r="S811" s="17"/>
      <c r="T811" s="17"/>
      <c r="U811" s="17"/>
      <c r="V811" s="17"/>
    </row>
    <row r="812">
      <c r="A812" s="168"/>
      <c r="B812" s="149"/>
      <c r="C812" s="152"/>
      <c r="D812" s="152"/>
      <c r="E812" s="152"/>
      <c r="F812" s="152"/>
      <c r="G812" s="157"/>
      <c r="H812" s="10"/>
      <c r="I812" s="14"/>
      <c r="J812" s="15"/>
      <c r="K812" s="16"/>
      <c r="L812" s="17"/>
      <c r="M812" s="17"/>
      <c r="N812" s="17"/>
      <c r="O812" s="17"/>
      <c r="P812" s="17"/>
      <c r="Q812" s="17"/>
      <c r="R812" s="17"/>
      <c r="S812" s="17"/>
      <c r="T812" s="17"/>
      <c r="U812" s="17"/>
      <c r="V812" s="17"/>
    </row>
    <row r="813">
      <c r="A813" s="168"/>
      <c r="B813" s="149"/>
      <c r="C813" s="152"/>
      <c r="D813" s="152"/>
      <c r="E813" s="152"/>
      <c r="F813" s="152"/>
      <c r="G813" s="157"/>
      <c r="H813" s="10"/>
      <c r="I813" s="14"/>
      <c r="J813" s="15"/>
      <c r="K813" s="16"/>
      <c r="L813" s="17"/>
      <c r="M813" s="17"/>
      <c r="N813" s="17"/>
      <c r="O813" s="17"/>
      <c r="P813" s="17"/>
      <c r="Q813" s="17"/>
      <c r="R813" s="17"/>
      <c r="S813" s="17"/>
      <c r="T813" s="17"/>
      <c r="U813" s="17"/>
      <c r="V813" s="17"/>
    </row>
    <row r="814">
      <c r="A814" s="168"/>
      <c r="B814" s="149"/>
      <c r="C814" s="152"/>
      <c r="D814" s="152"/>
      <c r="E814" s="152"/>
      <c r="F814" s="152"/>
      <c r="G814" s="157"/>
      <c r="H814" s="10"/>
      <c r="I814" s="14"/>
      <c r="J814" s="15"/>
      <c r="K814" s="16"/>
      <c r="L814" s="17"/>
      <c r="M814" s="17"/>
      <c r="N814" s="17"/>
      <c r="O814" s="17"/>
      <c r="P814" s="17"/>
      <c r="Q814" s="17"/>
      <c r="R814" s="17"/>
      <c r="S814" s="17"/>
      <c r="T814" s="17"/>
      <c r="U814" s="17"/>
      <c r="V814" s="17"/>
    </row>
    <row r="815">
      <c r="A815" s="168"/>
      <c r="B815" s="149"/>
      <c r="C815" s="152"/>
      <c r="D815" s="152"/>
      <c r="E815" s="152"/>
      <c r="F815" s="152"/>
      <c r="G815" s="157"/>
      <c r="H815" s="10"/>
      <c r="I815" s="14"/>
      <c r="J815" s="15"/>
      <c r="K815" s="16"/>
      <c r="L815" s="17"/>
      <c r="M815" s="17"/>
      <c r="N815" s="17"/>
      <c r="O815" s="17"/>
      <c r="P815" s="17"/>
      <c r="Q815" s="17"/>
      <c r="R815" s="17"/>
      <c r="S815" s="17"/>
      <c r="T815" s="17"/>
      <c r="U815" s="17"/>
      <c r="V815" s="17"/>
    </row>
    <row r="816">
      <c r="A816" s="168"/>
      <c r="B816" s="149"/>
      <c r="C816" s="152"/>
      <c r="D816" s="152"/>
      <c r="E816" s="152"/>
      <c r="F816" s="152"/>
      <c r="G816" s="157"/>
      <c r="H816" s="10"/>
      <c r="I816" s="14"/>
      <c r="J816" s="15"/>
      <c r="K816" s="16"/>
      <c r="L816" s="17"/>
      <c r="M816" s="17"/>
      <c r="N816" s="17"/>
      <c r="O816" s="17"/>
      <c r="P816" s="17"/>
      <c r="Q816" s="17"/>
      <c r="R816" s="17"/>
      <c r="S816" s="17"/>
      <c r="T816" s="17"/>
      <c r="U816" s="17"/>
      <c r="V816" s="17"/>
    </row>
    <row r="817">
      <c r="A817" s="168"/>
      <c r="B817" s="149"/>
      <c r="C817" s="152"/>
      <c r="D817" s="152"/>
      <c r="E817" s="152"/>
      <c r="F817" s="152"/>
      <c r="G817" s="157"/>
      <c r="H817" s="10"/>
      <c r="I817" s="14"/>
      <c r="J817" s="15"/>
      <c r="K817" s="16"/>
      <c r="L817" s="17"/>
      <c r="M817" s="17"/>
      <c r="N817" s="17"/>
      <c r="O817" s="17"/>
      <c r="P817" s="17"/>
      <c r="Q817" s="17"/>
      <c r="R817" s="17"/>
      <c r="S817" s="17"/>
      <c r="T817" s="17"/>
      <c r="U817" s="17"/>
      <c r="V817" s="17"/>
    </row>
    <row r="818">
      <c r="A818" s="168"/>
      <c r="B818" s="149"/>
      <c r="C818" s="152"/>
      <c r="D818" s="152"/>
      <c r="E818" s="152"/>
      <c r="F818" s="152"/>
      <c r="G818" s="157"/>
      <c r="H818" s="10"/>
      <c r="I818" s="14"/>
      <c r="J818" s="15"/>
      <c r="K818" s="16"/>
      <c r="L818" s="17"/>
      <c r="M818" s="17"/>
      <c r="N818" s="17"/>
      <c r="O818" s="17"/>
      <c r="P818" s="17"/>
      <c r="Q818" s="17"/>
      <c r="R818" s="17"/>
      <c r="S818" s="17"/>
      <c r="T818" s="17"/>
      <c r="U818" s="17"/>
      <c r="V818" s="17"/>
    </row>
    <row r="819">
      <c r="A819" s="168"/>
      <c r="B819" s="149"/>
      <c r="C819" s="152"/>
      <c r="D819" s="152"/>
      <c r="E819" s="152"/>
      <c r="F819" s="152"/>
      <c r="G819" s="157"/>
      <c r="H819" s="10"/>
      <c r="I819" s="14"/>
      <c r="J819" s="15"/>
      <c r="K819" s="16"/>
      <c r="L819" s="17"/>
      <c r="M819" s="17"/>
      <c r="N819" s="17"/>
      <c r="O819" s="17"/>
      <c r="P819" s="17"/>
      <c r="Q819" s="17"/>
      <c r="R819" s="17"/>
      <c r="S819" s="17"/>
      <c r="T819" s="17"/>
      <c r="U819" s="17"/>
      <c r="V819" s="17"/>
    </row>
    <row r="820">
      <c r="A820" s="168"/>
      <c r="B820" s="149"/>
      <c r="C820" s="152"/>
      <c r="D820" s="152"/>
      <c r="E820" s="152"/>
      <c r="F820" s="152"/>
      <c r="G820" s="157"/>
      <c r="H820" s="10"/>
      <c r="I820" s="14"/>
      <c r="J820" s="15"/>
      <c r="K820" s="16"/>
      <c r="L820" s="17"/>
      <c r="M820" s="17"/>
      <c r="N820" s="17"/>
      <c r="O820" s="17"/>
      <c r="P820" s="17"/>
      <c r="Q820" s="17"/>
      <c r="R820" s="17"/>
      <c r="S820" s="17"/>
      <c r="T820" s="17"/>
      <c r="U820" s="17"/>
      <c r="V820" s="17"/>
    </row>
    <row r="821">
      <c r="A821" s="168"/>
      <c r="B821" s="149"/>
      <c r="C821" s="152"/>
      <c r="D821" s="152"/>
      <c r="E821" s="152"/>
      <c r="F821" s="152"/>
      <c r="G821" s="157"/>
      <c r="H821" s="10"/>
      <c r="I821" s="14"/>
      <c r="J821" s="15"/>
      <c r="K821" s="16"/>
      <c r="L821" s="17"/>
      <c r="M821" s="17"/>
      <c r="N821" s="17"/>
      <c r="O821" s="17"/>
      <c r="P821" s="17"/>
      <c r="Q821" s="17"/>
      <c r="R821" s="17"/>
      <c r="S821" s="17"/>
      <c r="T821" s="17"/>
      <c r="U821" s="17"/>
      <c r="V821" s="17"/>
    </row>
    <row r="822">
      <c r="A822" s="168"/>
      <c r="B822" s="149"/>
      <c r="C822" s="152"/>
      <c r="D822" s="152"/>
      <c r="E822" s="152"/>
      <c r="F822" s="152"/>
      <c r="G822" s="157"/>
      <c r="H822" s="10"/>
      <c r="I822" s="14"/>
      <c r="J822" s="15"/>
      <c r="K822" s="16"/>
      <c r="L822" s="17"/>
      <c r="M822" s="17"/>
      <c r="N822" s="17"/>
      <c r="O822" s="17"/>
      <c r="P822" s="17"/>
      <c r="Q822" s="17"/>
      <c r="R822" s="17"/>
      <c r="S822" s="17"/>
      <c r="T822" s="17"/>
      <c r="U822" s="17"/>
      <c r="V822" s="17"/>
    </row>
    <row r="823">
      <c r="A823" s="168"/>
      <c r="B823" s="149"/>
      <c r="C823" s="152"/>
      <c r="D823" s="152"/>
      <c r="E823" s="152"/>
      <c r="F823" s="152"/>
      <c r="G823" s="157"/>
      <c r="H823" s="10"/>
      <c r="I823" s="14"/>
      <c r="J823" s="15"/>
      <c r="K823" s="16"/>
      <c r="L823" s="17"/>
      <c r="M823" s="17"/>
      <c r="N823" s="17"/>
      <c r="O823" s="17"/>
      <c r="P823" s="17"/>
      <c r="Q823" s="17"/>
      <c r="R823" s="17"/>
      <c r="S823" s="17"/>
      <c r="T823" s="17"/>
      <c r="U823" s="17"/>
      <c r="V823" s="17"/>
    </row>
    <row r="824">
      <c r="A824" s="168"/>
      <c r="B824" s="149"/>
      <c r="C824" s="152"/>
      <c r="D824" s="152"/>
      <c r="E824" s="152"/>
      <c r="F824" s="152"/>
      <c r="G824" s="157"/>
      <c r="H824" s="10"/>
      <c r="I824" s="14"/>
      <c r="J824" s="15"/>
      <c r="K824" s="16"/>
      <c r="L824" s="17"/>
      <c r="M824" s="17"/>
      <c r="N824" s="17"/>
      <c r="O824" s="17"/>
      <c r="P824" s="17"/>
      <c r="Q824" s="17"/>
      <c r="R824" s="17"/>
      <c r="S824" s="17"/>
      <c r="T824" s="17"/>
      <c r="U824" s="17"/>
      <c r="V824" s="17"/>
    </row>
    <row r="825">
      <c r="A825" s="168"/>
      <c r="B825" s="149"/>
      <c r="C825" s="152"/>
      <c r="D825" s="152"/>
      <c r="E825" s="152"/>
      <c r="F825" s="152"/>
      <c r="G825" s="157"/>
      <c r="H825" s="10"/>
      <c r="I825" s="14"/>
      <c r="J825" s="15"/>
      <c r="K825" s="16"/>
      <c r="L825" s="17"/>
      <c r="M825" s="17"/>
      <c r="N825" s="17"/>
      <c r="O825" s="17"/>
      <c r="P825" s="17"/>
      <c r="Q825" s="17"/>
      <c r="R825" s="17"/>
      <c r="S825" s="17"/>
      <c r="T825" s="17"/>
      <c r="U825" s="17"/>
      <c r="V825" s="17"/>
    </row>
    <row r="826">
      <c r="A826" s="168"/>
      <c r="B826" s="149"/>
      <c r="C826" s="152"/>
      <c r="D826" s="152"/>
      <c r="E826" s="152"/>
      <c r="F826" s="152"/>
      <c r="G826" s="157"/>
      <c r="H826" s="10"/>
      <c r="I826" s="14"/>
      <c r="J826" s="15"/>
      <c r="K826" s="16"/>
      <c r="L826" s="17"/>
      <c r="M826" s="17"/>
      <c r="N826" s="17"/>
      <c r="O826" s="17"/>
      <c r="P826" s="17"/>
      <c r="Q826" s="17"/>
      <c r="R826" s="17"/>
      <c r="S826" s="17"/>
      <c r="T826" s="17"/>
      <c r="U826" s="17"/>
      <c r="V826" s="17"/>
    </row>
    <row r="827">
      <c r="A827" s="168"/>
      <c r="B827" s="149"/>
      <c r="C827" s="152"/>
      <c r="D827" s="152"/>
      <c r="E827" s="152"/>
      <c r="F827" s="152"/>
      <c r="G827" s="157"/>
      <c r="H827" s="10"/>
      <c r="I827" s="14"/>
      <c r="J827" s="15"/>
      <c r="K827" s="16"/>
      <c r="L827" s="17"/>
      <c r="M827" s="17"/>
      <c r="N827" s="17"/>
      <c r="O827" s="17"/>
      <c r="P827" s="17"/>
      <c r="Q827" s="17"/>
      <c r="R827" s="17"/>
      <c r="S827" s="17"/>
      <c r="T827" s="17"/>
      <c r="U827" s="17"/>
      <c r="V827" s="17"/>
    </row>
    <row r="828">
      <c r="A828" s="168"/>
      <c r="B828" s="149"/>
      <c r="C828" s="152"/>
      <c r="D828" s="152"/>
      <c r="E828" s="152"/>
      <c r="F828" s="152"/>
      <c r="G828" s="157"/>
      <c r="H828" s="10"/>
      <c r="I828" s="14"/>
      <c r="J828" s="15"/>
      <c r="K828" s="16"/>
      <c r="L828" s="17"/>
      <c r="M828" s="17"/>
      <c r="N828" s="17"/>
      <c r="O828" s="17"/>
      <c r="P828" s="17"/>
      <c r="Q828" s="17"/>
      <c r="R828" s="17"/>
      <c r="S828" s="17"/>
      <c r="T828" s="17"/>
      <c r="U828" s="17"/>
      <c r="V828" s="17"/>
    </row>
    <row r="829">
      <c r="A829" s="168"/>
      <c r="B829" s="149"/>
      <c r="C829" s="152"/>
      <c r="D829" s="152"/>
      <c r="E829" s="152"/>
      <c r="F829" s="152"/>
      <c r="G829" s="157"/>
      <c r="H829" s="10"/>
      <c r="I829" s="14"/>
      <c r="J829" s="15"/>
      <c r="K829" s="16"/>
      <c r="L829" s="17"/>
      <c r="M829" s="17"/>
      <c r="N829" s="17"/>
      <c r="O829" s="17"/>
      <c r="P829" s="17"/>
      <c r="Q829" s="17"/>
      <c r="R829" s="17"/>
      <c r="S829" s="17"/>
      <c r="T829" s="17"/>
      <c r="U829" s="17"/>
      <c r="V829" s="17"/>
    </row>
    <row r="830">
      <c r="A830" s="168"/>
      <c r="B830" s="149"/>
      <c r="C830" s="152"/>
      <c r="D830" s="152"/>
      <c r="E830" s="152"/>
      <c r="F830" s="152"/>
      <c r="G830" s="157"/>
      <c r="H830" s="10"/>
      <c r="I830" s="14"/>
      <c r="J830" s="15"/>
      <c r="K830" s="16"/>
      <c r="L830" s="17"/>
      <c r="M830" s="17"/>
      <c r="N830" s="17"/>
      <c r="O830" s="17"/>
      <c r="P830" s="17"/>
      <c r="Q830" s="17"/>
      <c r="R830" s="17"/>
      <c r="S830" s="17"/>
      <c r="T830" s="17"/>
      <c r="U830" s="17"/>
      <c r="V830" s="17"/>
    </row>
    <row r="831">
      <c r="A831" s="168"/>
      <c r="B831" s="149"/>
      <c r="C831" s="152"/>
      <c r="D831" s="152"/>
      <c r="E831" s="152"/>
      <c r="F831" s="152"/>
      <c r="G831" s="157"/>
      <c r="H831" s="10"/>
      <c r="I831" s="14"/>
      <c r="J831" s="15"/>
      <c r="K831" s="16"/>
      <c r="L831" s="17"/>
      <c r="M831" s="17"/>
      <c r="N831" s="17"/>
      <c r="O831" s="17"/>
      <c r="P831" s="17"/>
      <c r="Q831" s="17"/>
      <c r="R831" s="17"/>
      <c r="S831" s="17"/>
      <c r="T831" s="17"/>
      <c r="U831" s="17"/>
      <c r="V831" s="17"/>
    </row>
    <row r="832">
      <c r="A832" s="168"/>
      <c r="B832" s="149"/>
      <c r="C832" s="152"/>
      <c r="D832" s="152"/>
      <c r="E832" s="152"/>
      <c r="F832" s="152"/>
      <c r="G832" s="157"/>
      <c r="H832" s="10"/>
      <c r="I832" s="14"/>
      <c r="J832" s="15"/>
      <c r="K832" s="16"/>
      <c r="L832" s="17"/>
      <c r="M832" s="17"/>
      <c r="N832" s="17"/>
      <c r="O832" s="17"/>
      <c r="P832" s="17"/>
      <c r="Q832" s="17"/>
      <c r="R832" s="17"/>
      <c r="S832" s="17"/>
      <c r="T832" s="17"/>
      <c r="U832" s="17"/>
      <c r="V832" s="17"/>
    </row>
    <row r="833">
      <c r="A833" s="168"/>
      <c r="B833" s="149"/>
      <c r="C833" s="152"/>
      <c r="D833" s="152"/>
      <c r="E833" s="152"/>
      <c r="F833" s="152"/>
      <c r="G833" s="157"/>
      <c r="H833" s="10"/>
      <c r="I833" s="14"/>
      <c r="J833" s="15"/>
      <c r="K833" s="16"/>
      <c r="L833" s="17"/>
      <c r="M833" s="17"/>
      <c r="N833" s="17"/>
      <c r="O833" s="17"/>
      <c r="P833" s="17"/>
      <c r="Q833" s="17"/>
      <c r="R833" s="17"/>
      <c r="S833" s="17"/>
      <c r="T833" s="17"/>
      <c r="U833" s="17"/>
      <c r="V833" s="17"/>
    </row>
    <row r="834">
      <c r="A834" s="168"/>
      <c r="B834" s="149"/>
      <c r="C834" s="152"/>
      <c r="D834" s="152"/>
      <c r="E834" s="152"/>
      <c r="F834" s="152"/>
      <c r="G834" s="157"/>
      <c r="H834" s="10"/>
      <c r="I834" s="14"/>
      <c r="J834" s="15"/>
      <c r="K834" s="16"/>
      <c r="L834" s="17"/>
      <c r="M834" s="17"/>
      <c r="N834" s="17"/>
      <c r="O834" s="17"/>
      <c r="P834" s="17"/>
      <c r="Q834" s="17"/>
      <c r="R834" s="17"/>
      <c r="S834" s="17"/>
      <c r="T834" s="17"/>
      <c r="U834" s="17"/>
      <c r="V834" s="17"/>
    </row>
    <row r="835">
      <c r="A835" s="168"/>
      <c r="B835" s="149"/>
      <c r="C835" s="152"/>
      <c r="D835" s="152"/>
      <c r="E835" s="152"/>
      <c r="F835" s="152"/>
      <c r="G835" s="157"/>
      <c r="H835" s="10"/>
      <c r="I835" s="14"/>
      <c r="J835" s="15"/>
      <c r="K835" s="16"/>
      <c r="L835" s="17"/>
      <c r="M835" s="17"/>
      <c r="N835" s="17"/>
      <c r="O835" s="17"/>
      <c r="P835" s="17"/>
      <c r="Q835" s="17"/>
      <c r="R835" s="17"/>
      <c r="S835" s="17"/>
      <c r="T835" s="17"/>
      <c r="U835" s="17"/>
      <c r="V835" s="17"/>
    </row>
    <row r="836">
      <c r="A836" s="168"/>
      <c r="B836" s="149"/>
      <c r="C836" s="152"/>
      <c r="D836" s="152"/>
      <c r="E836" s="152"/>
      <c r="F836" s="152"/>
      <c r="G836" s="157"/>
      <c r="H836" s="10"/>
      <c r="I836" s="14"/>
      <c r="J836" s="15"/>
      <c r="K836" s="16"/>
      <c r="L836" s="17"/>
      <c r="M836" s="17"/>
      <c r="N836" s="17"/>
      <c r="O836" s="17"/>
      <c r="P836" s="17"/>
      <c r="Q836" s="17"/>
      <c r="R836" s="17"/>
      <c r="S836" s="17"/>
      <c r="T836" s="17"/>
      <c r="U836" s="17"/>
      <c r="V836" s="17"/>
    </row>
    <row r="837">
      <c r="A837" s="168"/>
      <c r="B837" s="149"/>
      <c r="C837" s="152"/>
      <c r="D837" s="152"/>
      <c r="E837" s="152"/>
      <c r="F837" s="152"/>
      <c r="G837" s="157"/>
      <c r="H837" s="10"/>
      <c r="I837" s="14"/>
      <c r="J837" s="15"/>
      <c r="K837" s="16"/>
      <c r="L837" s="17"/>
      <c r="M837" s="17"/>
      <c r="N837" s="17"/>
      <c r="O837" s="17"/>
      <c r="P837" s="17"/>
      <c r="Q837" s="17"/>
      <c r="R837" s="17"/>
      <c r="S837" s="17"/>
      <c r="T837" s="17"/>
      <c r="U837" s="17"/>
      <c r="V837" s="17"/>
    </row>
    <row r="838">
      <c r="A838" s="168"/>
      <c r="B838" s="149"/>
      <c r="C838" s="152"/>
      <c r="D838" s="152"/>
      <c r="E838" s="152"/>
      <c r="F838" s="152"/>
      <c r="G838" s="157"/>
      <c r="H838" s="10"/>
      <c r="I838" s="14"/>
      <c r="J838" s="15"/>
      <c r="K838" s="16"/>
      <c r="L838" s="17"/>
      <c r="M838" s="17"/>
      <c r="N838" s="17"/>
      <c r="O838" s="17"/>
      <c r="P838" s="17"/>
      <c r="Q838" s="17"/>
      <c r="R838" s="17"/>
      <c r="S838" s="17"/>
      <c r="T838" s="17"/>
      <c r="U838" s="17"/>
      <c r="V838" s="17"/>
    </row>
    <row r="839">
      <c r="A839" s="168"/>
      <c r="B839" s="149"/>
      <c r="C839" s="152"/>
      <c r="D839" s="152"/>
      <c r="E839" s="152"/>
      <c r="F839" s="152"/>
      <c r="G839" s="157"/>
      <c r="H839" s="10"/>
      <c r="I839" s="14"/>
      <c r="J839" s="15"/>
      <c r="K839" s="16"/>
      <c r="L839" s="17"/>
      <c r="M839" s="17"/>
      <c r="N839" s="17"/>
      <c r="O839" s="17"/>
      <c r="P839" s="17"/>
      <c r="Q839" s="17"/>
      <c r="R839" s="17"/>
      <c r="S839" s="17"/>
      <c r="T839" s="17"/>
      <c r="U839" s="17"/>
      <c r="V839" s="17"/>
    </row>
    <row r="840">
      <c r="A840" s="168"/>
      <c r="B840" s="149"/>
      <c r="C840" s="152"/>
      <c r="D840" s="152"/>
      <c r="E840" s="152"/>
      <c r="F840" s="152"/>
      <c r="G840" s="157"/>
      <c r="H840" s="10"/>
      <c r="I840" s="14"/>
      <c r="J840" s="15"/>
      <c r="K840" s="16"/>
      <c r="L840" s="17"/>
      <c r="M840" s="17"/>
      <c r="N840" s="17"/>
      <c r="O840" s="17"/>
      <c r="P840" s="17"/>
      <c r="Q840" s="17"/>
      <c r="R840" s="17"/>
      <c r="S840" s="17"/>
      <c r="T840" s="17"/>
      <c r="U840" s="17"/>
      <c r="V840" s="17"/>
    </row>
    <row r="841">
      <c r="A841" s="168"/>
      <c r="B841" s="149"/>
      <c r="C841" s="152"/>
      <c r="D841" s="152"/>
      <c r="E841" s="152"/>
      <c r="F841" s="152"/>
      <c r="G841" s="157"/>
      <c r="H841" s="10"/>
      <c r="I841" s="14"/>
      <c r="J841" s="15"/>
      <c r="K841" s="16"/>
      <c r="L841" s="17"/>
      <c r="M841" s="17"/>
      <c r="N841" s="17"/>
      <c r="O841" s="17"/>
      <c r="P841" s="17"/>
      <c r="Q841" s="17"/>
      <c r="R841" s="17"/>
      <c r="S841" s="17"/>
      <c r="T841" s="17"/>
      <c r="U841" s="17"/>
      <c r="V841" s="17"/>
    </row>
    <row r="842">
      <c r="A842" s="168"/>
      <c r="B842" s="149"/>
      <c r="C842" s="152"/>
      <c r="D842" s="152"/>
      <c r="E842" s="152"/>
      <c r="F842" s="152"/>
      <c r="G842" s="157"/>
      <c r="H842" s="10"/>
      <c r="I842" s="14"/>
      <c r="J842" s="15"/>
      <c r="K842" s="16"/>
      <c r="L842" s="17"/>
      <c r="M842" s="17"/>
      <c r="N842" s="17"/>
      <c r="O842" s="17"/>
      <c r="P842" s="17"/>
      <c r="Q842" s="17"/>
      <c r="R842" s="17"/>
      <c r="S842" s="17"/>
      <c r="T842" s="17"/>
      <c r="U842" s="17"/>
      <c r="V842" s="17"/>
    </row>
    <row r="843">
      <c r="A843" s="168"/>
      <c r="B843" s="149"/>
      <c r="C843" s="152"/>
      <c r="D843" s="152"/>
      <c r="E843" s="152"/>
      <c r="F843" s="152"/>
      <c r="G843" s="157"/>
      <c r="H843" s="10"/>
      <c r="I843" s="14"/>
      <c r="J843" s="15"/>
      <c r="K843" s="16"/>
      <c r="L843" s="17"/>
      <c r="M843" s="17"/>
      <c r="N843" s="17"/>
      <c r="O843" s="17"/>
      <c r="P843" s="17"/>
      <c r="Q843" s="17"/>
      <c r="R843" s="17"/>
      <c r="S843" s="17"/>
      <c r="T843" s="17"/>
      <c r="U843" s="17"/>
      <c r="V843" s="17"/>
    </row>
    <row r="844">
      <c r="A844" s="168"/>
      <c r="B844" s="149"/>
      <c r="C844" s="152"/>
      <c r="D844" s="152"/>
      <c r="E844" s="152"/>
      <c r="F844" s="152"/>
      <c r="G844" s="157"/>
      <c r="H844" s="10"/>
      <c r="I844" s="14"/>
      <c r="J844" s="15"/>
      <c r="K844" s="16"/>
      <c r="L844" s="17"/>
      <c r="M844" s="17"/>
      <c r="N844" s="17"/>
      <c r="O844" s="17"/>
      <c r="P844" s="17"/>
      <c r="Q844" s="17"/>
      <c r="R844" s="17"/>
      <c r="S844" s="17"/>
      <c r="T844" s="17"/>
      <c r="U844" s="17"/>
      <c r="V844" s="17"/>
    </row>
    <row r="845">
      <c r="A845" s="168"/>
      <c r="B845" s="149"/>
      <c r="C845" s="152"/>
      <c r="D845" s="152"/>
      <c r="E845" s="152"/>
      <c r="F845" s="152"/>
      <c r="G845" s="157"/>
      <c r="H845" s="10"/>
      <c r="I845" s="14"/>
      <c r="J845" s="15"/>
      <c r="K845" s="16"/>
      <c r="L845" s="17"/>
      <c r="M845" s="17"/>
      <c r="N845" s="17"/>
      <c r="O845" s="17"/>
      <c r="P845" s="17"/>
      <c r="Q845" s="17"/>
      <c r="R845" s="17"/>
      <c r="S845" s="17"/>
      <c r="T845" s="17"/>
      <c r="U845" s="17"/>
      <c r="V845" s="17"/>
    </row>
    <row r="846">
      <c r="A846" s="168"/>
      <c r="B846" s="149"/>
      <c r="C846" s="152"/>
      <c r="D846" s="152"/>
      <c r="E846" s="152"/>
      <c r="F846" s="152"/>
      <c r="G846" s="157"/>
      <c r="H846" s="10"/>
      <c r="I846" s="14"/>
      <c r="J846" s="15"/>
      <c r="K846" s="16"/>
      <c r="L846" s="17"/>
      <c r="M846" s="17"/>
      <c r="N846" s="17"/>
      <c r="O846" s="17"/>
      <c r="P846" s="17"/>
      <c r="Q846" s="17"/>
      <c r="R846" s="17"/>
      <c r="S846" s="17"/>
      <c r="T846" s="17"/>
      <c r="U846" s="17"/>
      <c r="V846" s="17"/>
    </row>
    <row r="847">
      <c r="A847" s="168"/>
      <c r="B847" s="149"/>
      <c r="C847" s="152"/>
      <c r="D847" s="152"/>
      <c r="E847" s="152"/>
      <c r="F847" s="152"/>
      <c r="G847" s="157"/>
      <c r="H847" s="10"/>
      <c r="I847" s="14"/>
      <c r="J847" s="15"/>
      <c r="K847" s="16"/>
      <c r="L847" s="17"/>
      <c r="M847" s="17"/>
      <c r="N847" s="17"/>
      <c r="O847" s="17"/>
      <c r="P847" s="17"/>
      <c r="Q847" s="17"/>
      <c r="R847" s="17"/>
      <c r="S847" s="17"/>
      <c r="T847" s="17"/>
      <c r="U847" s="17"/>
      <c r="V847" s="17"/>
    </row>
    <row r="848">
      <c r="A848" s="168"/>
      <c r="B848" s="149"/>
      <c r="C848" s="152"/>
      <c r="D848" s="152"/>
      <c r="E848" s="152"/>
      <c r="F848" s="152"/>
      <c r="G848" s="157"/>
      <c r="H848" s="10"/>
      <c r="I848" s="14"/>
      <c r="J848" s="15"/>
      <c r="K848" s="16"/>
      <c r="L848" s="17"/>
      <c r="M848" s="17"/>
      <c r="N848" s="17"/>
      <c r="O848" s="17"/>
      <c r="P848" s="17"/>
      <c r="Q848" s="17"/>
      <c r="R848" s="17"/>
      <c r="S848" s="17"/>
      <c r="T848" s="17"/>
      <c r="U848" s="17"/>
      <c r="V848" s="17"/>
    </row>
    <row r="849">
      <c r="A849" s="168"/>
      <c r="B849" s="149"/>
      <c r="C849" s="152"/>
      <c r="D849" s="152"/>
      <c r="E849" s="152"/>
      <c r="F849" s="152"/>
      <c r="G849" s="157"/>
      <c r="H849" s="10"/>
      <c r="I849" s="14"/>
      <c r="J849" s="15"/>
      <c r="K849" s="16"/>
      <c r="L849" s="17"/>
      <c r="M849" s="17"/>
      <c r="N849" s="17"/>
      <c r="O849" s="17"/>
      <c r="P849" s="17"/>
      <c r="Q849" s="17"/>
      <c r="R849" s="17"/>
      <c r="S849" s="17"/>
      <c r="T849" s="17"/>
      <c r="U849" s="17"/>
      <c r="V849" s="17"/>
    </row>
    <row r="850">
      <c r="A850" s="168"/>
      <c r="B850" s="149"/>
      <c r="C850" s="152"/>
      <c r="D850" s="152"/>
      <c r="E850" s="152"/>
      <c r="F850" s="152"/>
      <c r="G850" s="157"/>
      <c r="H850" s="10"/>
      <c r="I850" s="14"/>
      <c r="J850" s="15"/>
      <c r="K850" s="16"/>
      <c r="L850" s="17"/>
      <c r="M850" s="17"/>
      <c r="N850" s="17"/>
      <c r="O850" s="17"/>
      <c r="P850" s="17"/>
      <c r="Q850" s="17"/>
      <c r="R850" s="17"/>
      <c r="S850" s="17"/>
      <c r="T850" s="17"/>
      <c r="U850" s="17"/>
      <c r="V850" s="17"/>
    </row>
    <row r="851">
      <c r="A851" s="168"/>
      <c r="B851" s="149"/>
      <c r="C851" s="152"/>
      <c r="D851" s="152"/>
      <c r="E851" s="152"/>
      <c r="F851" s="152"/>
      <c r="G851" s="157"/>
      <c r="H851" s="10"/>
      <c r="I851" s="14"/>
      <c r="J851" s="15"/>
      <c r="K851" s="16"/>
      <c r="L851" s="17"/>
      <c r="M851" s="17"/>
      <c r="N851" s="17"/>
      <c r="O851" s="17"/>
      <c r="P851" s="17"/>
      <c r="Q851" s="17"/>
      <c r="R851" s="17"/>
      <c r="S851" s="17"/>
      <c r="T851" s="17"/>
      <c r="U851" s="17"/>
      <c r="V851" s="17"/>
    </row>
    <row r="852">
      <c r="A852" s="168"/>
      <c r="B852" s="149"/>
      <c r="C852" s="152"/>
      <c r="D852" s="152"/>
      <c r="E852" s="152"/>
      <c r="F852" s="152"/>
      <c r="G852" s="157"/>
      <c r="H852" s="10"/>
      <c r="I852" s="14"/>
      <c r="J852" s="15"/>
      <c r="K852" s="16"/>
      <c r="L852" s="17"/>
      <c r="M852" s="17"/>
      <c r="N852" s="17"/>
      <c r="O852" s="17"/>
      <c r="P852" s="17"/>
      <c r="Q852" s="17"/>
      <c r="R852" s="17"/>
      <c r="S852" s="17"/>
      <c r="T852" s="17"/>
      <c r="U852" s="17"/>
      <c r="V852" s="17"/>
    </row>
    <row r="853">
      <c r="A853" s="168"/>
      <c r="B853" s="149"/>
      <c r="C853" s="152"/>
      <c r="D853" s="152"/>
      <c r="E853" s="152"/>
      <c r="F853" s="152"/>
      <c r="G853" s="157"/>
      <c r="H853" s="10"/>
      <c r="I853" s="14"/>
      <c r="J853" s="15"/>
      <c r="K853" s="16"/>
      <c r="L853" s="17"/>
      <c r="M853" s="17"/>
      <c r="N853" s="17"/>
      <c r="O853" s="17"/>
      <c r="P853" s="17"/>
      <c r="Q853" s="17"/>
      <c r="R853" s="17"/>
      <c r="S853" s="17"/>
      <c r="T853" s="17"/>
      <c r="U853" s="17"/>
      <c r="V853" s="17"/>
    </row>
    <row r="854">
      <c r="A854" s="168"/>
      <c r="B854" s="149"/>
      <c r="C854" s="152"/>
      <c r="D854" s="152"/>
      <c r="E854" s="152"/>
      <c r="F854" s="152"/>
      <c r="G854" s="157"/>
      <c r="H854" s="10"/>
      <c r="I854" s="14"/>
      <c r="J854" s="15"/>
      <c r="K854" s="16"/>
      <c r="L854" s="17"/>
      <c r="M854" s="17"/>
      <c r="N854" s="17"/>
      <c r="O854" s="17"/>
      <c r="P854" s="17"/>
      <c r="Q854" s="17"/>
      <c r="R854" s="17"/>
      <c r="S854" s="17"/>
      <c r="T854" s="17"/>
      <c r="U854" s="17"/>
      <c r="V854" s="17"/>
    </row>
    <row r="855">
      <c r="A855" s="168"/>
      <c r="B855" s="149"/>
      <c r="C855" s="152"/>
      <c r="D855" s="152"/>
      <c r="E855" s="152"/>
      <c r="F855" s="152"/>
      <c r="G855" s="157"/>
      <c r="H855" s="10"/>
      <c r="I855" s="14"/>
      <c r="J855" s="15"/>
      <c r="K855" s="16"/>
      <c r="L855" s="17"/>
      <c r="M855" s="17"/>
      <c r="N855" s="17"/>
      <c r="O855" s="17"/>
      <c r="P855" s="17"/>
      <c r="Q855" s="17"/>
      <c r="R855" s="17"/>
      <c r="S855" s="17"/>
      <c r="T855" s="17"/>
      <c r="U855" s="17"/>
      <c r="V855" s="17"/>
    </row>
    <row r="856">
      <c r="A856" s="168"/>
      <c r="B856" s="149"/>
      <c r="C856" s="152"/>
      <c r="D856" s="152"/>
      <c r="E856" s="152"/>
      <c r="F856" s="152"/>
      <c r="G856" s="157"/>
      <c r="H856" s="10"/>
      <c r="I856" s="14"/>
      <c r="J856" s="15"/>
      <c r="K856" s="16"/>
      <c r="L856" s="17"/>
      <c r="M856" s="17"/>
      <c r="N856" s="17"/>
      <c r="O856" s="17"/>
      <c r="P856" s="17"/>
      <c r="Q856" s="17"/>
      <c r="R856" s="17"/>
      <c r="S856" s="17"/>
      <c r="T856" s="17"/>
      <c r="U856" s="17"/>
      <c r="V856" s="17"/>
    </row>
    <row r="857">
      <c r="A857" s="168"/>
      <c r="B857" s="149"/>
      <c r="C857" s="152"/>
      <c r="D857" s="152"/>
      <c r="E857" s="152"/>
      <c r="F857" s="152"/>
      <c r="G857" s="157"/>
      <c r="H857" s="10"/>
      <c r="I857" s="14"/>
      <c r="J857" s="15"/>
      <c r="K857" s="16"/>
      <c r="L857" s="17"/>
      <c r="M857" s="17"/>
      <c r="N857" s="17"/>
      <c r="O857" s="17"/>
      <c r="P857" s="17"/>
      <c r="Q857" s="17"/>
      <c r="R857" s="17"/>
      <c r="S857" s="17"/>
      <c r="T857" s="17"/>
      <c r="U857" s="17"/>
      <c r="V857" s="17"/>
    </row>
    <row r="858">
      <c r="A858" s="168"/>
      <c r="B858" s="149"/>
      <c r="C858" s="152"/>
      <c r="D858" s="152"/>
      <c r="E858" s="152"/>
      <c r="F858" s="152"/>
      <c r="G858" s="157"/>
      <c r="H858" s="10"/>
      <c r="I858" s="14"/>
      <c r="J858" s="15"/>
      <c r="K858" s="16"/>
      <c r="L858" s="17"/>
      <c r="M858" s="17"/>
      <c r="N858" s="17"/>
      <c r="O858" s="17"/>
      <c r="P858" s="17"/>
      <c r="Q858" s="17"/>
      <c r="R858" s="17"/>
      <c r="S858" s="17"/>
      <c r="T858" s="17"/>
      <c r="U858" s="17"/>
      <c r="V858" s="17"/>
    </row>
    <row r="859">
      <c r="A859" s="168"/>
      <c r="B859" s="149"/>
      <c r="C859" s="152"/>
      <c r="D859" s="152"/>
      <c r="E859" s="152"/>
      <c r="F859" s="152"/>
      <c r="G859" s="157"/>
      <c r="H859" s="10"/>
      <c r="I859" s="14"/>
      <c r="J859" s="15"/>
      <c r="K859" s="16"/>
      <c r="L859" s="17"/>
      <c r="M859" s="17"/>
      <c r="N859" s="17"/>
      <c r="O859" s="17"/>
      <c r="P859" s="17"/>
      <c r="Q859" s="17"/>
      <c r="R859" s="17"/>
      <c r="S859" s="17"/>
      <c r="T859" s="17"/>
      <c r="U859" s="17"/>
      <c r="V859" s="17"/>
    </row>
    <row r="860">
      <c r="A860" s="168"/>
      <c r="B860" s="149"/>
      <c r="C860" s="152"/>
      <c r="D860" s="152"/>
      <c r="E860" s="152"/>
      <c r="F860" s="152"/>
      <c r="G860" s="157"/>
      <c r="H860" s="10"/>
      <c r="I860" s="14"/>
      <c r="J860" s="15"/>
      <c r="K860" s="16"/>
      <c r="L860" s="17"/>
      <c r="M860" s="17"/>
      <c r="N860" s="17"/>
      <c r="O860" s="17"/>
      <c r="P860" s="17"/>
      <c r="Q860" s="17"/>
      <c r="R860" s="17"/>
      <c r="S860" s="17"/>
      <c r="T860" s="17"/>
      <c r="U860" s="17"/>
      <c r="V860" s="17"/>
    </row>
    <row r="861">
      <c r="A861" s="168"/>
      <c r="B861" s="149"/>
      <c r="C861" s="152"/>
      <c r="D861" s="152"/>
      <c r="E861" s="152"/>
      <c r="F861" s="152"/>
      <c r="G861" s="157"/>
      <c r="H861" s="10"/>
      <c r="I861" s="14"/>
      <c r="J861" s="15"/>
      <c r="K861" s="16"/>
      <c r="L861" s="17"/>
      <c r="M861" s="17"/>
      <c r="N861" s="17"/>
      <c r="O861" s="17"/>
      <c r="P861" s="17"/>
      <c r="Q861" s="17"/>
      <c r="R861" s="17"/>
      <c r="S861" s="17"/>
      <c r="T861" s="17"/>
      <c r="U861" s="17"/>
      <c r="V861" s="17"/>
    </row>
    <row r="862">
      <c r="A862" s="168"/>
      <c r="B862" s="149"/>
      <c r="C862" s="152"/>
      <c r="D862" s="152"/>
      <c r="E862" s="152"/>
      <c r="F862" s="152"/>
      <c r="G862" s="157"/>
      <c r="H862" s="10"/>
      <c r="I862" s="14"/>
      <c r="J862" s="15"/>
      <c r="K862" s="16"/>
      <c r="L862" s="17"/>
      <c r="M862" s="17"/>
      <c r="N862" s="17"/>
      <c r="O862" s="17"/>
      <c r="P862" s="17"/>
      <c r="Q862" s="17"/>
      <c r="R862" s="17"/>
      <c r="S862" s="17"/>
      <c r="T862" s="17"/>
      <c r="U862" s="17"/>
      <c r="V862" s="17"/>
    </row>
    <row r="863">
      <c r="A863" s="168"/>
      <c r="B863" s="149"/>
      <c r="C863" s="152"/>
      <c r="D863" s="152"/>
      <c r="E863" s="152"/>
      <c r="F863" s="152"/>
      <c r="G863" s="157"/>
      <c r="H863" s="10"/>
      <c r="I863" s="14"/>
      <c r="J863" s="15"/>
      <c r="K863" s="16"/>
      <c r="L863" s="17"/>
      <c r="M863" s="17"/>
      <c r="N863" s="17"/>
      <c r="O863" s="17"/>
      <c r="P863" s="17"/>
      <c r="Q863" s="17"/>
      <c r="R863" s="17"/>
      <c r="S863" s="17"/>
      <c r="T863" s="17"/>
      <c r="U863" s="17"/>
      <c r="V863" s="17"/>
    </row>
    <row r="864">
      <c r="A864" s="168"/>
      <c r="B864" s="149"/>
      <c r="C864" s="152"/>
      <c r="D864" s="152"/>
      <c r="E864" s="152"/>
      <c r="F864" s="152"/>
      <c r="G864" s="157"/>
      <c r="H864" s="10"/>
      <c r="I864" s="14"/>
      <c r="J864" s="15"/>
      <c r="K864" s="16"/>
      <c r="L864" s="17"/>
      <c r="M864" s="17"/>
      <c r="N864" s="17"/>
      <c r="O864" s="17"/>
      <c r="P864" s="17"/>
      <c r="Q864" s="17"/>
      <c r="R864" s="17"/>
      <c r="S864" s="17"/>
      <c r="T864" s="17"/>
      <c r="U864" s="17"/>
      <c r="V864" s="17"/>
    </row>
    <row r="865">
      <c r="A865" s="168"/>
      <c r="B865" s="149"/>
      <c r="C865" s="152"/>
      <c r="D865" s="152"/>
      <c r="E865" s="152"/>
      <c r="F865" s="152"/>
      <c r="G865" s="157"/>
      <c r="H865" s="10"/>
      <c r="I865" s="14"/>
      <c r="J865" s="15"/>
      <c r="K865" s="16"/>
      <c r="L865" s="17"/>
      <c r="M865" s="17"/>
      <c r="N865" s="17"/>
      <c r="O865" s="17"/>
      <c r="P865" s="17"/>
      <c r="Q865" s="17"/>
      <c r="R865" s="17"/>
      <c r="S865" s="17"/>
      <c r="T865" s="17"/>
      <c r="U865" s="17"/>
      <c r="V865" s="17"/>
    </row>
    <row r="866">
      <c r="A866" s="168"/>
      <c r="B866" s="149"/>
      <c r="C866" s="152"/>
      <c r="D866" s="152"/>
      <c r="E866" s="152"/>
      <c r="F866" s="152"/>
      <c r="G866" s="157"/>
      <c r="H866" s="10"/>
      <c r="I866" s="14"/>
      <c r="J866" s="15"/>
      <c r="K866" s="16"/>
      <c r="L866" s="17"/>
      <c r="M866" s="17"/>
      <c r="N866" s="17"/>
      <c r="O866" s="17"/>
      <c r="P866" s="17"/>
      <c r="Q866" s="17"/>
      <c r="R866" s="17"/>
      <c r="S866" s="17"/>
      <c r="T866" s="17"/>
      <c r="U866" s="17"/>
      <c r="V866" s="17"/>
    </row>
    <row r="867">
      <c r="A867" s="168"/>
      <c r="B867" s="149"/>
      <c r="C867" s="152"/>
      <c r="D867" s="152"/>
      <c r="E867" s="152"/>
      <c r="F867" s="152"/>
      <c r="G867" s="157"/>
      <c r="H867" s="10"/>
      <c r="I867" s="14"/>
      <c r="J867" s="15"/>
      <c r="K867" s="16"/>
      <c r="L867" s="17"/>
      <c r="M867" s="17"/>
      <c r="N867" s="17"/>
      <c r="O867" s="17"/>
      <c r="P867" s="17"/>
      <c r="Q867" s="17"/>
      <c r="R867" s="17"/>
      <c r="S867" s="17"/>
      <c r="T867" s="17"/>
      <c r="U867" s="17"/>
      <c r="V867" s="17"/>
    </row>
    <row r="868">
      <c r="A868" s="168"/>
      <c r="B868" s="149"/>
      <c r="C868" s="152"/>
      <c r="D868" s="152"/>
      <c r="E868" s="152"/>
      <c r="F868" s="152"/>
      <c r="G868" s="157"/>
      <c r="H868" s="10"/>
      <c r="I868" s="14"/>
      <c r="J868" s="15"/>
      <c r="K868" s="16"/>
      <c r="L868" s="17"/>
      <c r="M868" s="17"/>
      <c r="N868" s="17"/>
      <c r="O868" s="17"/>
      <c r="P868" s="17"/>
      <c r="Q868" s="17"/>
      <c r="R868" s="17"/>
      <c r="S868" s="17"/>
      <c r="T868" s="17"/>
      <c r="U868" s="17"/>
      <c r="V868" s="17"/>
    </row>
    <row r="869">
      <c r="A869" s="168"/>
      <c r="B869" s="149"/>
      <c r="C869" s="152"/>
      <c r="D869" s="152"/>
      <c r="E869" s="152"/>
      <c r="F869" s="152"/>
      <c r="G869" s="157"/>
      <c r="H869" s="10"/>
      <c r="I869" s="14"/>
      <c r="J869" s="15"/>
      <c r="K869" s="16"/>
      <c r="L869" s="17"/>
      <c r="M869" s="17"/>
      <c r="N869" s="17"/>
      <c r="O869" s="17"/>
      <c r="P869" s="17"/>
      <c r="Q869" s="17"/>
      <c r="R869" s="17"/>
      <c r="S869" s="17"/>
      <c r="T869" s="17"/>
      <c r="U869" s="17"/>
      <c r="V869" s="17"/>
    </row>
    <row r="870">
      <c r="A870" s="168"/>
      <c r="B870" s="149"/>
      <c r="C870" s="152"/>
      <c r="D870" s="152"/>
      <c r="E870" s="152"/>
      <c r="F870" s="152"/>
      <c r="G870" s="157"/>
      <c r="H870" s="10"/>
      <c r="I870" s="14"/>
      <c r="J870" s="15"/>
      <c r="K870" s="16"/>
      <c r="L870" s="17"/>
      <c r="M870" s="17"/>
      <c r="N870" s="17"/>
      <c r="O870" s="17"/>
      <c r="P870" s="17"/>
      <c r="Q870" s="17"/>
      <c r="R870" s="17"/>
      <c r="S870" s="17"/>
      <c r="T870" s="17"/>
      <c r="U870" s="17"/>
      <c r="V870" s="17"/>
    </row>
    <row r="871">
      <c r="A871" s="168"/>
      <c r="B871" s="149"/>
      <c r="C871" s="152"/>
      <c r="D871" s="152"/>
      <c r="E871" s="152"/>
      <c r="F871" s="152"/>
      <c r="G871" s="157"/>
      <c r="H871" s="10"/>
      <c r="I871" s="14"/>
      <c r="J871" s="15"/>
      <c r="K871" s="16"/>
      <c r="L871" s="17"/>
      <c r="M871" s="17"/>
      <c r="N871" s="17"/>
      <c r="O871" s="17"/>
      <c r="P871" s="17"/>
      <c r="Q871" s="17"/>
      <c r="R871" s="17"/>
      <c r="S871" s="17"/>
      <c r="T871" s="17"/>
      <c r="U871" s="17"/>
      <c r="V871" s="17"/>
    </row>
    <row r="872">
      <c r="A872" s="168"/>
      <c r="B872" s="149"/>
      <c r="C872" s="152"/>
      <c r="D872" s="152"/>
      <c r="E872" s="152"/>
      <c r="F872" s="152"/>
      <c r="G872" s="157"/>
      <c r="H872" s="10"/>
      <c r="I872" s="14"/>
      <c r="J872" s="15"/>
      <c r="K872" s="16"/>
      <c r="L872" s="17"/>
      <c r="M872" s="17"/>
      <c r="N872" s="17"/>
      <c r="O872" s="17"/>
      <c r="P872" s="17"/>
      <c r="Q872" s="17"/>
      <c r="R872" s="17"/>
      <c r="S872" s="17"/>
      <c r="T872" s="17"/>
      <c r="U872" s="17"/>
      <c r="V872" s="17"/>
    </row>
    <row r="873">
      <c r="A873" s="168"/>
      <c r="B873" s="149"/>
      <c r="C873" s="152"/>
      <c r="D873" s="152"/>
      <c r="E873" s="152"/>
      <c r="F873" s="152"/>
      <c r="G873" s="157"/>
      <c r="H873" s="10"/>
      <c r="I873" s="14"/>
      <c r="J873" s="15"/>
      <c r="K873" s="16"/>
      <c r="L873" s="17"/>
      <c r="M873" s="17"/>
      <c r="N873" s="17"/>
      <c r="O873" s="17"/>
      <c r="P873" s="17"/>
      <c r="Q873" s="17"/>
      <c r="R873" s="17"/>
      <c r="S873" s="17"/>
      <c r="T873" s="17"/>
      <c r="U873" s="17"/>
      <c r="V873" s="17"/>
    </row>
    <row r="874">
      <c r="A874" s="168"/>
      <c r="B874" s="149"/>
      <c r="C874" s="152"/>
      <c r="D874" s="152"/>
      <c r="E874" s="152"/>
      <c r="F874" s="152"/>
      <c r="G874" s="157"/>
      <c r="H874" s="10"/>
      <c r="I874" s="14"/>
      <c r="J874" s="15"/>
      <c r="K874" s="16"/>
      <c r="L874" s="17"/>
      <c r="M874" s="17"/>
      <c r="N874" s="17"/>
      <c r="O874" s="17"/>
      <c r="P874" s="17"/>
      <c r="Q874" s="17"/>
      <c r="R874" s="17"/>
      <c r="S874" s="17"/>
      <c r="T874" s="17"/>
      <c r="U874" s="17"/>
      <c r="V874" s="17"/>
    </row>
    <row r="875">
      <c r="A875" s="168"/>
      <c r="B875" s="149"/>
      <c r="C875" s="152"/>
      <c r="D875" s="152"/>
      <c r="E875" s="152"/>
      <c r="F875" s="152"/>
      <c r="G875" s="157"/>
      <c r="H875" s="10"/>
      <c r="I875" s="14"/>
      <c r="J875" s="15"/>
      <c r="K875" s="16"/>
      <c r="L875" s="17"/>
      <c r="M875" s="17"/>
      <c r="N875" s="17"/>
      <c r="O875" s="17"/>
      <c r="P875" s="17"/>
      <c r="Q875" s="17"/>
      <c r="R875" s="17"/>
      <c r="S875" s="17"/>
      <c r="T875" s="17"/>
      <c r="U875" s="17"/>
      <c r="V875" s="17"/>
    </row>
    <row r="876">
      <c r="A876" s="168"/>
      <c r="B876" s="149"/>
      <c r="C876" s="152"/>
      <c r="D876" s="152"/>
      <c r="E876" s="152"/>
      <c r="F876" s="152"/>
      <c r="G876" s="157"/>
      <c r="H876" s="10"/>
      <c r="I876" s="14"/>
      <c r="J876" s="15"/>
      <c r="K876" s="16"/>
      <c r="L876" s="17"/>
      <c r="M876" s="17"/>
      <c r="N876" s="17"/>
      <c r="O876" s="17"/>
      <c r="P876" s="17"/>
      <c r="Q876" s="17"/>
      <c r="R876" s="17"/>
      <c r="S876" s="17"/>
      <c r="T876" s="17"/>
      <c r="U876" s="17"/>
      <c r="V876" s="17"/>
    </row>
    <row r="877">
      <c r="A877" s="168"/>
      <c r="B877" s="149"/>
      <c r="C877" s="152"/>
      <c r="D877" s="152"/>
      <c r="E877" s="152"/>
      <c r="F877" s="152"/>
      <c r="G877" s="157"/>
      <c r="H877" s="10"/>
      <c r="I877" s="14"/>
      <c r="J877" s="15"/>
      <c r="K877" s="16"/>
      <c r="L877" s="17"/>
      <c r="M877" s="17"/>
      <c r="N877" s="17"/>
      <c r="O877" s="17"/>
      <c r="P877" s="17"/>
      <c r="Q877" s="17"/>
      <c r="R877" s="17"/>
      <c r="S877" s="17"/>
      <c r="T877" s="17"/>
      <c r="U877" s="17"/>
      <c r="V877" s="17"/>
    </row>
    <row r="878">
      <c r="A878" s="168"/>
      <c r="B878" s="149"/>
      <c r="C878" s="152"/>
      <c r="D878" s="152"/>
      <c r="E878" s="152"/>
      <c r="F878" s="152"/>
      <c r="G878" s="157"/>
      <c r="H878" s="10"/>
      <c r="I878" s="14"/>
      <c r="J878" s="15"/>
      <c r="K878" s="16"/>
      <c r="L878" s="17"/>
      <c r="M878" s="17"/>
      <c r="N878" s="17"/>
      <c r="O878" s="17"/>
      <c r="P878" s="17"/>
      <c r="Q878" s="17"/>
      <c r="R878" s="17"/>
      <c r="S878" s="17"/>
      <c r="T878" s="17"/>
      <c r="U878" s="17"/>
      <c r="V878" s="17"/>
    </row>
    <row r="879">
      <c r="A879" s="168"/>
      <c r="B879" s="149"/>
      <c r="C879" s="152"/>
      <c r="D879" s="152"/>
      <c r="E879" s="152"/>
      <c r="F879" s="152"/>
      <c r="G879" s="157"/>
      <c r="H879" s="10"/>
      <c r="I879" s="14"/>
      <c r="J879" s="15"/>
      <c r="K879" s="16"/>
      <c r="L879" s="17"/>
      <c r="M879" s="17"/>
      <c r="N879" s="17"/>
      <c r="O879" s="17"/>
      <c r="P879" s="17"/>
      <c r="Q879" s="17"/>
      <c r="R879" s="17"/>
      <c r="S879" s="17"/>
      <c r="T879" s="17"/>
      <c r="U879" s="17"/>
      <c r="V879" s="17"/>
    </row>
    <row r="880">
      <c r="A880" s="168"/>
      <c r="B880" s="149"/>
      <c r="C880" s="152"/>
      <c r="D880" s="152"/>
      <c r="E880" s="152"/>
      <c r="F880" s="152"/>
      <c r="G880" s="157"/>
      <c r="H880" s="10"/>
      <c r="I880" s="14"/>
      <c r="J880" s="15"/>
      <c r="K880" s="16"/>
      <c r="L880" s="17"/>
      <c r="M880" s="17"/>
      <c r="N880" s="17"/>
      <c r="O880" s="17"/>
      <c r="P880" s="17"/>
      <c r="Q880" s="17"/>
      <c r="R880" s="17"/>
      <c r="S880" s="17"/>
      <c r="T880" s="17"/>
      <c r="U880" s="17"/>
      <c r="V880" s="17"/>
    </row>
    <row r="881">
      <c r="A881" s="168"/>
      <c r="B881" s="149"/>
      <c r="C881" s="152"/>
      <c r="D881" s="152"/>
      <c r="E881" s="152"/>
      <c r="F881" s="152"/>
      <c r="G881" s="157"/>
      <c r="H881" s="10"/>
      <c r="I881" s="14"/>
      <c r="J881" s="15"/>
      <c r="K881" s="16"/>
      <c r="L881" s="17"/>
      <c r="M881" s="17"/>
      <c r="N881" s="17"/>
      <c r="O881" s="17"/>
      <c r="P881" s="17"/>
      <c r="Q881" s="17"/>
      <c r="R881" s="17"/>
      <c r="S881" s="17"/>
      <c r="T881" s="17"/>
      <c r="U881" s="17"/>
      <c r="V881" s="17"/>
    </row>
    <row r="882">
      <c r="A882" s="168"/>
      <c r="B882" s="149"/>
      <c r="C882" s="152"/>
      <c r="D882" s="152"/>
      <c r="E882" s="152"/>
      <c r="F882" s="152"/>
      <c r="G882" s="157"/>
      <c r="H882" s="10"/>
      <c r="I882" s="14"/>
      <c r="J882" s="15"/>
      <c r="K882" s="16"/>
      <c r="L882" s="17"/>
      <c r="M882" s="17"/>
      <c r="N882" s="17"/>
      <c r="O882" s="17"/>
      <c r="P882" s="17"/>
      <c r="Q882" s="17"/>
      <c r="R882" s="17"/>
      <c r="S882" s="17"/>
      <c r="T882" s="17"/>
      <c r="U882" s="17"/>
      <c r="V882" s="17"/>
    </row>
    <row r="883">
      <c r="A883" s="168"/>
      <c r="B883" s="149"/>
      <c r="C883" s="152"/>
      <c r="D883" s="152"/>
      <c r="E883" s="152"/>
      <c r="F883" s="152"/>
      <c r="G883" s="157"/>
      <c r="H883" s="10"/>
      <c r="I883" s="14"/>
      <c r="J883" s="15"/>
      <c r="K883" s="16"/>
      <c r="L883" s="17"/>
      <c r="M883" s="17"/>
      <c r="N883" s="17"/>
      <c r="O883" s="17"/>
      <c r="P883" s="17"/>
      <c r="Q883" s="17"/>
      <c r="R883" s="17"/>
      <c r="S883" s="17"/>
      <c r="T883" s="17"/>
      <c r="U883" s="17"/>
      <c r="V883" s="17"/>
    </row>
    <row r="884">
      <c r="A884" s="168"/>
      <c r="B884" s="149"/>
      <c r="C884" s="152"/>
      <c r="D884" s="152"/>
      <c r="E884" s="152"/>
      <c r="F884" s="152"/>
      <c r="G884" s="157"/>
      <c r="H884" s="10"/>
      <c r="I884" s="14"/>
      <c r="J884" s="15"/>
      <c r="K884" s="16"/>
      <c r="L884" s="17"/>
      <c r="M884" s="17"/>
      <c r="N884" s="17"/>
      <c r="O884" s="17"/>
      <c r="P884" s="17"/>
      <c r="Q884" s="17"/>
      <c r="R884" s="17"/>
      <c r="S884" s="17"/>
      <c r="T884" s="17"/>
      <c r="U884" s="17"/>
      <c r="V884" s="17"/>
    </row>
    <row r="885">
      <c r="A885" s="168"/>
      <c r="B885" s="149"/>
      <c r="C885" s="152"/>
      <c r="D885" s="152"/>
      <c r="E885" s="152"/>
      <c r="F885" s="152"/>
      <c r="G885" s="157"/>
      <c r="H885" s="10"/>
      <c r="I885" s="14"/>
      <c r="J885" s="15"/>
      <c r="K885" s="16"/>
      <c r="L885" s="17"/>
      <c r="M885" s="17"/>
      <c r="N885" s="17"/>
      <c r="O885" s="17"/>
      <c r="P885" s="17"/>
      <c r="Q885" s="17"/>
      <c r="R885" s="17"/>
      <c r="S885" s="17"/>
      <c r="T885" s="17"/>
      <c r="U885" s="17"/>
      <c r="V885" s="17"/>
    </row>
    <row r="886">
      <c r="A886" s="168"/>
      <c r="B886" s="149"/>
      <c r="C886" s="152"/>
      <c r="D886" s="152"/>
      <c r="E886" s="152"/>
      <c r="F886" s="152"/>
      <c r="G886" s="157"/>
      <c r="H886" s="10"/>
      <c r="I886" s="14"/>
      <c r="J886" s="15"/>
      <c r="K886" s="16"/>
      <c r="L886" s="17"/>
      <c r="M886" s="17"/>
      <c r="N886" s="17"/>
      <c r="O886" s="17"/>
      <c r="P886" s="17"/>
      <c r="Q886" s="17"/>
      <c r="R886" s="17"/>
      <c r="S886" s="17"/>
      <c r="T886" s="17"/>
      <c r="U886" s="17"/>
      <c r="V886" s="17"/>
    </row>
    <row r="887">
      <c r="A887" s="168"/>
      <c r="B887" s="149"/>
      <c r="C887" s="152"/>
      <c r="D887" s="152"/>
      <c r="E887" s="152"/>
      <c r="F887" s="152"/>
      <c r="G887" s="157"/>
      <c r="H887" s="10"/>
      <c r="I887" s="14"/>
      <c r="J887" s="15"/>
      <c r="K887" s="16"/>
      <c r="L887" s="17"/>
      <c r="M887" s="17"/>
      <c r="N887" s="17"/>
      <c r="O887" s="17"/>
      <c r="P887" s="17"/>
      <c r="Q887" s="17"/>
      <c r="R887" s="17"/>
      <c r="S887" s="17"/>
      <c r="T887" s="17"/>
      <c r="U887" s="17"/>
      <c r="V887" s="17"/>
    </row>
    <row r="888">
      <c r="A888" s="168"/>
      <c r="B888" s="149"/>
      <c r="C888" s="152"/>
      <c r="D888" s="152"/>
      <c r="E888" s="152"/>
      <c r="F888" s="152"/>
      <c r="G888" s="157"/>
      <c r="H888" s="10"/>
      <c r="I888" s="14"/>
      <c r="J888" s="15"/>
      <c r="K888" s="16"/>
      <c r="L888" s="17"/>
      <c r="M888" s="17"/>
      <c r="N888" s="17"/>
      <c r="O888" s="17"/>
      <c r="P888" s="17"/>
      <c r="Q888" s="17"/>
      <c r="R888" s="17"/>
      <c r="S888" s="17"/>
      <c r="T888" s="17"/>
      <c r="U888" s="17"/>
      <c r="V888" s="17"/>
    </row>
    <row r="889">
      <c r="A889" s="168"/>
      <c r="B889" s="149"/>
      <c r="C889" s="152"/>
      <c r="D889" s="152"/>
      <c r="E889" s="152"/>
      <c r="F889" s="152"/>
      <c r="G889" s="157"/>
      <c r="H889" s="10"/>
      <c r="I889" s="14"/>
      <c r="J889" s="15"/>
      <c r="K889" s="16"/>
      <c r="L889" s="17"/>
      <c r="M889" s="17"/>
      <c r="N889" s="17"/>
      <c r="O889" s="17"/>
      <c r="P889" s="17"/>
      <c r="Q889" s="17"/>
      <c r="R889" s="17"/>
      <c r="S889" s="17"/>
      <c r="T889" s="17"/>
      <c r="U889" s="17"/>
      <c r="V889" s="17"/>
    </row>
    <row r="890">
      <c r="A890" s="168"/>
      <c r="B890" s="149"/>
      <c r="C890" s="152"/>
      <c r="D890" s="152"/>
      <c r="E890" s="152"/>
      <c r="F890" s="152"/>
      <c r="G890" s="157"/>
      <c r="H890" s="10"/>
      <c r="I890" s="14"/>
      <c r="J890" s="15"/>
      <c r="K890" s="16"/>
      <c r="L890" s="17"/>
      <c r="M890" s="17"/>
      <c r="N890" s="17"/>
      <c r="O890" s="17"/>
      <c r="P890" s="17"/>
      <c r="Q890" s="17"/>
      <c r="R890" s="17"/>
      <c r="S890" s="17"/>
      <c r="T890" s="17"/>
      <c r="U890" s="17"/>
      <c r="V890" s="17"/>
    </row>
    <row r="891">
      <c r="A891" s="168"/>
      <c r="B891" s="149"/>
      <c r="C891" s="152"/>
      <c r="D891" s="152"/>
      <c r="E891" s="152"/>
      <c r="F891" s="152"/>
      <c r="G891" s="157"/>
      <c r="H891" s="10"/>
      <c r="I891" s="14"/>
      <c r="J891" s="15"/>
      <c r="K891" s="16"/>
      <c r="L891" s="17"/>
      <c r="M891" s="17"/>
      <c r="N891" s="17"/>
      <c r="O891" s="17"/>
      <c r="P891" s="17"/>
      <c r="Q891" s="17"/>
      <c r="R891" s="17"/>
      <c r="S891" s="17"/>
      <c r="T891" s="17"/>
      <c r="U891" s="17"/>
      <c r="V891" s="17"/>
    </row>
    <row r="892">
      <c r="A892" s="168"/>
      <c r="B892" s="149"/>
      <c r="C892" s="152"/>
      <c r="D892" s="152"/>
      <c r="E892" s="152"/>
      <c r="F892" s="152"/>
      <c r="G892" s="157"/>
      <c r="H892" s="10"/>
      <c r="I892" s="14"/>
      <c r="J892" s="15"/>
      <c r="K892" s="16"/>
      <c r="L892" s="17"/>
      <c r="M892" s="17"/>
      <c r="N892" s="17"/>
      <c r="O892" s="17"/>
      <c r="P892" s="17"/>
      <c r="Q892" s="17"/>
      <c r="R892" s="17"/>
      <c r="S892" s="17"/>
      <c r="T892" s="17"/>
      <c r="U892" s="17"/>
      <c r="V892" s="17"/>
    </row>
    <row r="893">
      <c r="A893" s="168"/>
      <c r="B893" s="149"/>
      <c r="C893" s="152"/>
      <c r="D893" s="152"/>
      <c r="E893" s="152"/>
      <c r="F893" s="152"/>
      <c r="G893" s="157"/>
      <c r="H893" s="10"/>
      <c r="I893" s="14"/>
      <c r="J893" s="15"/>
      <c r="K893" s="16"/>
      <c r="L893" s="17"/>
      <c r="M893" s="17"/>
      <c r="N893" s="17"/>
      <c r="O893" s="17"/>
      <c r="P893" s="17"/>
      <c r="Q893" s="17"/>
      <c r="R893" s="17"/>
      <c r="S893" s="17"/>
      <c r="T893" s="17"/>
      <c r="U893" s="17"/>
      <c r="V893" s="17"/>
    </row>
    <row r="894">
      <c r="A894" s="168"/>
      <c r="B894" s="149"/>
      <c r="C894" s="152"/>
      <c r="D894" s="152"/>
      <c r="E894" s="152"/>
      <c r="F894" s="152"/>
      <c r="G894" s="157"/>
      <c r="H894" s="10"/>
      <c r="I894" s="14"/>
      <c r="J894" s="15"/>
      <c r="K894" s="16"/>
      <c r="L894" s="17"/>
      <c r="M894" s="17"/>
      <c r="N894" s="17"/>
      <c r="O894" s="17"/>
      <c r="P894" s="17"/>
      <c r="Q894" s="17"/>
      <c r="R894" s="17"/>
      <c r="S894" s="17"/>
      <c r="T894" s="17"/>
      <c r="U894" s="17"/>
      <c r="V894" s="17"/>
    </row>
    <row r="895">
      <c r="A895" s="168"/>
      <c r="B895" s="149"/>
      <c r="C895" s="152"/>
      <c r="D895" s="152"/>
      <c r="E895" s="152"/>
      <c r="F895" s="152"/>
      <c r="G895" s="157"/>
      <c r="H895" s="10"/>
      <c r="I895" s="14"/>
      <c r="J895" s="15"/>
      <c r="K895" s="16"/>
      <c r="L895" s="17"/>
      <c r="M895" s="17"/>
      <c r="N895" s="17"/>
      <c r="O895" s="17"/>
      <c r="P895" s="17"/>
      <c r="Q895" s="17"/>
      <c r="R895" s="17"/>
      <c r="S895" s="17"/>
      <c r="T895" s="17"/>
      <c r="U895" s="17"/>
      <c r="V895" s="17"/>
    </row>
    <row r="896">
      <c r="A896" s="168"/>
      <c r="B896" s="149"/>
      <c r="C896" s="152"/>
      <c r="D896" s="152"/>
      <c r="E896" s="152"/>
      <c r="F896" s="152"/>
      <c r="G896" s="157"/>
      <c r="H896" s="10"/>
      <c r="I896" s="14"/>
      <c r="J896" s="15"/>
      <c r="K896" s="16"/>
      <c r="L896" s="17"/>
      <c r="M896" s="17"/>
      <c r="N896" s="17"/>
      <c r="O896" s="17"/>
      <c r="P896" s="17"/>
      <c r="Q896" s="17"/>
      <c r="R896" s="17"/>
      <c r="S896" s="17"/>
      <c r="T896" s="17"/>
      <c r="U896" s="17"/>
      <c r="V896" s="17"/>
    </row>
    <row r="897">
      <c r="A897" s="168"/>
      <c r="B897" s="149"/>
      <c r="C897" s="152"/>
      <c r="D897" s="152"/>
      <c r="E897" s="152"/>
      <c r="F897" s="152"/>
      <c r="G897" s="157"/>
      <c r="H897" s="10"/>
      <c r="I897" s="14"/>
      <c r="J897" s="15"/>
      <c r="K897" s="16"/>
      <c r="L897" s="17"/>
      <c r="M897" s="17"/>
      <c r="N897" s="17"/>
      <c r="O897" s="17"/>
      <c r="P897" s="17"/>
      <c r="Q897" s="17"/>
      <c r="R897" s="17"/>
      <c r="S897" s="17"/>
      <c r="T897" s="17"/>
      <c r="U897" s="17"/>
      <c r="V897" s="17"/>
    </row>
    <row r="898">
      <c r="A898" s="168"/>
      <c r="B898" s="149"/>
      <c r="C898" s="152"/>
      <c r="D898" s="152"/>
      <c r="E898" s="152"/>
      <c r="F898" s="152"/>
      <c r="G898" s="157"/>
      <c r="H898" s="10"/>
      <c r="I898" s="14"/>
      <c r="J898" s="15"/>
      <c r="K898" s="16"/>
      <c r="L898" s="17"/>
      <c r="M898" s="17"/>
      <c r="N898" s="17"/>
      <c r="O898" s="17"/>
      <c r="P898" s="17"/>
      <c r="Q898" s="17"/>
      <c r="R898" s="17"/>
      <c r="S898" s="17"/>
      <c r="T898" s="17"/>
      <c r="U898" s="17"/>
      <c r="V898" s="17"/>
    </row>
    <row r="899">
      <c r="A899" s="168"/>
      <c r="B899" s="149"/>
      <c r="C899" s="152"/>
      <c r="D899" s="152"/>
      <c r="E899" s="152"/>
      <c r="F899" s="152"/>
      <c r="G899" s="157"/>
      <c r="H899" s="10"/>
      <c r="I899" s="14"/>
      <c r="J899" s="15"/>
      <c r="K899" s="16"/>
      <c r="L899" s="17"/>
      <c r="M899" s="17"/>
      <c r="N899" s="17"/>
      <c r="O899" s="17"/>
      <c r="P899" s="17"/>
      <c r="Q899" s="17"/>
      <c r="R899" s="17"/>
      <c r="S899" s="17"/>
      <c r="T899" s="17"/>
      <c r="U899" s="17"/>
      <c r="V899" s="17"/>
    </row>
    <row r="900">
      <c r="A900" s="168"/>
      <c r="B900" s="149"/>
      <c r="C900" s="152"/>
      <c r="D900" s="152"/>
      <c r="E900" s="152"/>
      <c r="F900" s="152"/>
      <c r="G900" s="157"/>
      <c r="H900" s="10"/>
      <c r="I900" s="14"/>
      <c r="J900" s="15"/>
      <c r="K900" s="16"/>
      <c r="L900" s="17"/>
      <c r="M900" s="17"/>
      <c r="N900" s="17"/>
      <c r="O900" s="17"/>
      <c r="P900" s="17"/>
      <c r="Q900" s="17"/>
      <c r="R900" s="17"/>
      <c r="S900" s="17"/>
      <c r="T900" s="17"/>
      <c r="U900" s="17"/>
      <c r="V900" s="17"/>
    </row>
    <row r="901">
      <c r="A901" s="168"/>
      <c r="B901" s="149"/>
      <c r="C901" s="152"/>
      <c r="D901" s="152"/>
      <c r="E901" s="152"/>
      <c r="F901" s="152"/>
      <c r="G901" s="157"/>
      <c r="H901" s="10"/>
      <c r="I901" s="14"/>
      <c r="J901" s="15"/>
      <c r="K901" s="16"/>
      <c r="L901" s="17"/>
      <c r="M901" s="17"/>
      <c r="N901" s="17"/>
      <c r="O901" s="17"/>
      <c r="P901" s="17"/>
      <c r="Q901" s="17"/>
      <c r="R901" s="17"/>
      <c r="S901" s="17"/>
      <c r="T901" s="17"/>
      <c r="U901" s="17"/>
      <c r="V901" s="17"/>
    </row>
    <row r="902">
      <c r="A902" s="168"/>
      <c r="B902" s="149"/>
      <c r="C902" s="152"/>
      <c r="D902" s="152"/>
      <c r="E902" s="152"/>
      <c r="F902" s="152"/>
      <c r="G902" s="157"/>
      <c r="H902" s="10"/>
      <c r="I902" s="14"/>
      <c r="J902" s="15"/>
      <c r="K902" s="16"/>
      <c r="L902" s="17"/>
      <c r="M902" s="17"/>
      <c r="N902" s="17"/>
      <c r="O902" s="17"/>
      <c r="P902" s="17"/>
      <c r="Q902" s="17"/>
      <c r="R902" s="17"/>
      <c r="S902" s="17"/>
      <c r="T902" s="17"/>
      <c r="U902" s="17"/>
      <c r="V902" s="17"/>
    </row>
    <row r="903">
      <c r="A903" s="168"/>
      <c r="B903" s="149"/>
      <c r="C903" s="152"/>
      <c r="D903" s="152"/>
      <c r="E903" s="152"/>
      <c r="F903" s="152"/>
      <c r="G903" s="157"/>
      <c r="H903" s="10"/>
      <c r="I903" s="14"/>
      <c r="J903" s="15"/>
      <c r="K903" s="16"/>
      <c r="L903" s="17"/>
      <c r="M903" s="17"/>
      <c r="N903" s="17"/>
      <c r="O903" s="17"/>
      <c r="P903" s="17"/>
      <c r="Q903" s="17"/>
      <c r="R903" s="17"/>
      <c r="S903" s="17"/>
      <c r="T903" s="17"/>
      <c r="U903" s="17"/>
      <c r="V903" s="17"/>
    </row>
    <row r="904">
      <c r="A904" s="168"/>
      <c r="B904" s="149"/>
      <c r="C904" s="152"/>
      <c r="D904" s="152"/>
      <c r="E904" s="152"/>
      <c r="F904" s="152"/>
      <c r="G904" s="157"/>
      <c r="H904" s="10"/>
      <c r="I904" s="14"/>
      <c r="J904" s="15"/>
      <c r="K904" s="16"/>
      <c r="L904" s="17"/>
      <c r="M904" s="17"/>
      <c r="N904" s="17"/>
      <c r="O904" s="17"/>
      <c r="P904" s="17"/>
      <c r="Q904" s="17"/>
      <c r="R904" s="17"/>
      <c r="S904" s="17"/>
      <c r="T904" s="17"/>
      <c r="U904" s="17"/>
      <c r="V904" s="17"/>
    </row>
    <row r="905">
      <c r="A905" s="168"/>
      <c r="B905" s="149"/>
      <c r="C905" s="152"/>
      <c r="D905" s="152"/>
      <c r="E905" s="152"/>
      <c r="F905" s="152"/>
      <c r="G905" s="157"/>
      <c r="H905" s="10"/>
      <c r="I905" s="14"/>
      <c r="J905" s="15"/>
      <c r="K905" s="16"/>
      <c r="L905" s="17"/>
      <c r="M905" s="17"/>
      <c r="N905" s="17"/>
      <c r="O905" s="17"/>
      <c r="P905" s="17"/>
      <c r="Q905" s="17"/>
      <c r="R905" s="17"/>
      <c r="S905" s="17"/>
      <c r="T905" s="17"/>
      <c r="U905" s="17"/>
      <c r="V905" s="17"/>
    </row>
    <row r="906">
      <c r="A906" s="168"/>
      <c r="B906" s="149"/>
      <c r="C906" s="152"/>
      <c r="D906" s="152"/>
      <c r="E906" s="152"/>
      <c r="F906" s="152"/>
      <c r="G906" s="157"/>
      <c r="H906" s="10"/>
      <c r="I906" s="14"/>
      <c r="J906" s="15"/>
      <c r="K906" s="16"/>
      <c r="L906" s="17"/>
      <c r="M906" s="17"/>
      <c r="N906" s="17"/>
      <c r="O906" s="17"/>
      <c r="P906" s="17"/>
      <c r="Q906" s="17"/>
      <c r="R906" s="17"/>
      <c r="S906" s="17"/>
      <c r="T906" s="17"/>
      <c r="U906" s="17"/>
      <c r="V906" s="17"/>
    </row>
    <row r="907">
      <c r="A907" s="168"/>
      <c r="B907" s="149"/>
      <c r="C907" s="152"/>
      <c r="D907" s="152"/>
      <c r="E907" s="152"/>
      <c r="F907" s="152"/>
      <c r="G907" s="157"/>
      <c r="H907" s="10"/>
      <c r="I907" s="14"/>
      <c r="J907" s="15"/>
      <c r="K907" s="16"/>
      <c r="L907" s="17"/>
      <c r="M907" s="17"/>
      <c r="N907" s="17"/>
      <c r="O907" s="17"/>
      <c r="P907" s="17"/>
      <c r="Q907" s="17"/>
      <c r="R907" s="17"/>
      <c r="S907" s="17"/>
      <c r="T907" s="17"/>
      <c r="U907" s="17"/>
      <c r="V907" s="17"/>
    </row>
    <row r="908">
      <c r="A908" s="168"/>
      <c r="B908" s="149"/>
      <c r="C908" s="152"/>
      <c r="D908" s="152"/>
      <c r="E908" s="152"/>
      <c r="F908" s="152"/>
      <c r="G908" s="157"/>
      <c r="H908" s="10"/>
      <c r="I908" s="14"/>
      <c r="J908" s="15"/>
      <c r="K908" s="16"/>
      <c r="L908" s="17"/>
      <c r="M908" s="17"/>
      <c r="N908" s="17"/>
      <c r="O908" s="17"/>
      <c r="P908" s="17"/>
      <c r="Q908" s="17"/>
      <c r="R908" s="17"/>
      <c r="S908" s="17"/>
      <c r="T908" s="17"/>
      <c r="U908" s="17"/>
      <c r="V908" s="17"/>
    </row>
    <row r="909">
      <c r="A909" s="168"/>
      <c r="B909" s="149"/>
      <c r="C909" s="152"/>
      <c r="D909" s="152"/>
      <c r="E909" s="152"/>
      <c r="F909" s="152"/>
      <c r="G909" s="157"/>
      <c r="H909" s="10"/>
      <c r="I909" s="14"/>
      <c r="J909" s="15"/>
      <c r="K909" s="16"/>
      <c r="L909" s="17"/>
      <c r="M909" s="17"/>
      <c r="N909" s="17"/>
      <c r="O909" s="17"/>
      <c r="P909" s="17"/>
      <c r="Q909" s="17"/>
      <c r="R909" s="17"/>
      <c r="S909" s="17"/>
      <c r="T909" s="17"/>
      <c r="U909" s="17"/>
      <c r="V909" s="17"/>
    </row>
    <row r="910">
      <c r="A910" s="168"/>
      <c r="B910" s="149"/>
      <c r="C910" s="152"/>
      <c r="D910" s="152"/>
      <c r="E910" s="152"/>
      <c r="F910" s="152"/>
      <c r="G910" s="157"/>
      <c r="H910" s="10"/>
      <c r="I910" s="14"/>
      <c r="J910" s="15"/>
      <c r="K910" s="16"/>
      <c r="L910" s="17"/>
      <c r="M910" s="17"/>
      <c r="N910" s="17"/>
      <c r="O910" s="17"/>
      <c r="P910" s="17"/>
      <c r="Q910" s="17"/>
      <c r="R910" s="17"/>
      <c r="S910" s="17"/>
      <c r="T910" s="17"/>
      <c r="U910" s="17"/>
      <c r="V910" s="17"/>
    </row>
    <row r="911">
      <c r="A911" s="168"/>
      <c r="B911" s="149"/>
      <c r="C911" s="152"/>
      <c r="D911" s="152"/>
      <c r="E911" s="152"/>
      <c r="F911" s="152"/>
      <c r="G911" s="157"/>
      <c r="H911" s="10"/>
      <c r="I911" s="14"/>
      <c r="J911" s="15"/>
      <c r="K911" s="16"/>
      <c r="L911" s="17"/>
      <c r="M911" s="17"/>
      <c r="N911" s="17"/>
      <c r="O911" s="17"/>
      <c r="P911" s="17"/>
      <c r="Q911" s="17"/>
      <c r="R911" s="17"/>
      <c r="S911" s="17"/>
      <c r="T911" s="17"/>
      <c r="U911" s="17"/>
      <c r="V911" s="17"/>
    </row>
    <row r="912">
      <c r="A912" s="168"/>
      <c r="B912" s="149"/>
      <c r="C912" s="152"/>
      <c r="D912" s="152"/>
      <c r="E912" s="152"/>
      <c r="F912" s="152"/>
      <c r="G912" s="157"/>
      <c r="H912" s="10"/>
      <c r="I912" s="14"/>
      <c r="J912" s="15"/>
      <c r="K912" s="16"/>
      <c r="L912" s="17"/>
      <c r="M912" s="17"/>
      <c r="N912" s="17"/>
      <c r="O912" s="17"/>
      <c r="P912" s="17"/>
      <c r="Q912" s="17"/>
      <c r="R912" s="17"/>
      <c r="S912" s="17"/>
      <c r="T912" s="17"/>
      <c r="U912" s="17"/>
      <c r="V912" s="17"/>
    </row>
    <row r="913">
      <c r="A913" s="168"/>
      <c r="B913" s="149"/>
      <c r="C913" s="152"/>
      <c r="D913" s="152"/>
      <c r="E913" s="152"/>
      <c r="F913" s="152"/>
      <c r="G913" s="157"/>
      <c r="H913" s="10"/>
      <c r="I913" s="14"/>
      <c r="J913" s="15"/>
      <c r="K913" s="16"/>
      <c r="L913" s="17"/>
      <c r="M913" s="17"/>
      <c r="N913" s="17"/>
      <c r="O913" s="17"/>
      <c r="P913" s="17"/>
      <c r="Q913" s="17"/>
      <c r="R913" s="17"/>
      <c r="S913" s="17"/>
      <c r="T913" s="17"/>
      <c r="U913" s="17"/>
      <c r="V913" s="17"/>
    </row>
    <row r="914">
      <c r="A914" s="168"/>
      <c r="B914" s="149"/>
      <c r="C914" s="152"/>
      <c r="D914" s="152"/>
      <c r="E914" s="152"/>
      <c r="F914" s="152"/>
      <c r="G914" s="157"/>
      <c r="H914" s="10"/>
      <c r="I914" s="14"/>
      <c r="J914" s="15"/>
      <c r="K914" s="16"/>
      <c r="L914" s="17"/>
      <c r="M914" s="17"/>
      <c r="N914" s="17"/>
      <c r="O914" s="17"/>
      <c r="P914" s="17"/>
      <c r="Q914" s="17"/>
      <c r="R914" s="17"/>
      <c r="S914" s="17"/>
      <c r="T914" s="17"/>
      <c r="U914" s="17"/>
      <c r="V914" s="17"/>
    </row>
    <row r="915">
      <c r="A915" s="168"/>
      <c r="B915" s="149"/>
      <c r="C915" s="152"/>
      <c r="D915" s="152"/>
      <c r="E915" s="152"/>
      <c r="F915" s="152"/>
      <c r="G915" s="157"/>
      <c r="H915" s="10"/>
      <c r="I915" s="14"/>
      <c r="J915" s="15"/>
      <c r="K915" s="16"/>
      <c r="L915" s="17"/>
      <c r="M915" s="17"/>
      <c r="N915" s="17"/>
      <c r="O915" s="17"/>
      <c r="P915" s="17"/>
      <c r="Q915" s="17"/>
      <c r="R915" s="17"/>
      <c r="S915" s="17"/>
      <c r="T915" s="17"/>
      <c r="U915" s="17"/>
      <c r="V915" s="17"/>
    </row>
    <row r="916">
      <c r="A916" s="168"/>
      <c r="B916" s="149"/>
      <c r="C916" s="152"/>
      <c r="D916" s="152"/>
      <c r="E916" s="152"/>
      <c r="F916" s="152"/>
      <c r="G916" s="157"/>
      <c r="H916" s="10"/>
      <c r="I916" s="14"/>
      <c r="J916" s="15"/>
      <c r="K916" s="16"/>
      <c r="L916" s="17"/>
      <c r="M916" s="17"/>
      <c r="N916" s="17"/>
      <c r="O916" s="17"/>
      <c r="P916" s="17"/>
      <c r="Q916" s="17"/>
      <c r="R916" s="17"/>
      <c r="S916" s="17"/>
      <c r="T916" s="17"/>
      <c r="U916" s="17"/>
      <c r="V916" s="17"/>
    </row>
    <row r="917">
      <c r="A917" s="168"/>
      <c r="B917" s="149"/>
      <c r="C917" s="152"/>
      <c r="D917" s="152"/>
      <c r="E917" s="152"/>
      <c r="F917" s="152"/>
      <c r="G917" s="157"/>
      <c r="H917" s="10"/>
      <c r="I917" s="14"/>
      <c r="J917" s="15"/>
      <c r="K917" s="16"/>
      <c r="L917" s="17"/>
      <c r="M917" s="17"/>
      <c r="N917" s="17"/>
      <c r="O917" s="17"/>
      <c r="P917" s="17"/>
      <c r="Q917" s="17"/>
      <c r="R917" s="17"/>
      <c r="S917" s="17"/>
      <c r="T917" s="17"/>
      <c r="U917" s="17"/>
      <c r="V917" s="17"/>
    </row>
    <row r="918">
      <c r="A918" s="168"/>
      <c r="B918" s="149"/>
      <c r="C918" s="152"/>
      <c r="D918" s="152"/>
      <c r="E918" s="152"/>
      <c r="F918" s="152"/>
      <c r="G918" s="157"/>
      <c r="H918" s="10"/>
      <c r="I918" s="14"/>
      <c r="J918" s="15"/>
      <c r="K918" s="16"/>
      <c r="L918" s="17"/>
      <c r="M918" s="17"/>
      <c r="N918" s="17"/>
      <c r="O918" s="17"/>
      <c r="P918" s="17"/>
      <c r="Q918" s="17"/>
      <c r="R918" s="17"/>
      <c r="S918" s="17"/>
      <c r="T918" s="17"/>
      <c r="U918" s="17"/>
      <c r="V918" s="17"/>
    </row>
    <row r="919">
      <c r="A919" s="168"/>
      <c r="B919" s="149"/>
      <c r="C919" s="152"/>
      <c r="D919" s="152"/>
      <c r="E919" s="152"/>
      <c r="F919" s="152"/>
      <c r="G919" s="157"/>
      <c r="H919" s="10"/>
      <c r="I919" s="14"/>
      <c r="J919" s="15"/>
      <c r="K919" s="16"/>
      <c r="L919" s="17"/>
      <c r="M919" s="17"/>
      <c r="N919" s="17"/>
      <c r="O919" s="17"/>
      <c r="P919" s="17"/>
      <c r="Q919" s="17"/>
      <c r="R919" s="17"/>
      <c r="S919" s="17"/>
      <c r="T919" s="17"/>
      <c r="U919" s="17"/>
      <c r="V919" s="17"/>
    </row>
    <row r="920">
      <c r="A920" s="168"/>
      <c r="B920" s="149"/>
      <c r="C920" s="152"/>
      <c r="D920" s="152"/>
      <c r="E920" s="152"/>
      <c r="F920" s="152"/>
      <c r="G920" s="157"/>
      <c r="H920" s="10"/>
      <c r="I920" s="14"/>
      <c r="J920" s="15"/>
      <c r="K920" s="16"/>
      <c r="L920" s="17"/>
      <c r="M920" s="17"/>
      <c r="N920" s="17"/>
      <c r="O920" s="17"/>
      <c r="P920" s="17"/>
      <c r="Q920" s="17"/>
      <c r="R920" s="17"/>
      <c r="S920" s="17"/>
      <c r="T920" s="17"/>
      <c r="U920" s="17"/>
      <c r="V920" s="17"/>
    </row>
    <row r="921">
      <c r="A921" s="168"/>
      <c r="B921" s="149"/>
      <c r="C921" s="152"/>
      <c r="D921" s="152"/>
      <c r="E921" s="152"/>
      <c r="F921" s="152"/>
      <c r="G921" s="157"/>
      <c r="H921" s="10"/>
      <c r="I921" s="14"/>
      <c r="J921" s="15"/>
      <c r="K921" s="16"/>
      <c r="L921" s="17"/>
      <c r="M921" s="17"/>
      <c r="N921" s="17"/>
      <c r="O921" s="17"/>
      <c r="P921" s="17"/>
      <c r="Q921" s="17"/>
      <c r="R921" s="17"/>
      <c r="S921" s="17"/>
      <c r="T921" s="17"/>
      <c r="U921" s="17"/>
      <c r="V921" s="17"/>
    </row>
    <row r="922">
      <c r="A922" s="168"/>
      <c r="B922" s="149"/>
      <c r="C922" s="152"/>
      <c r="D922" s="152"/>
      <c r="E922" s="152"/>
      <c r="F922" s="152"/>
      <c r="G922" s="157"/>
      <c r="H922" s="10"/>
      <c r="I922" s="14"/>
      <c r="J922" s="15"/>
      <c r="K922" s="16"/>
      <c r="L922" s="17"/>
      <c r="M922" s="17"/>
      <c r="N922" s="17"/>
      <c r="O922" s="17"/>
      <c r="P922" s="17"/>
      <c r="Q922" s="17"/>
      <c r="R922" s="17"/>
      <c r="S922" s="17"/>
      <c r="T922" s="17"/>
      <c r="U922" s="17"/>
      <c r="V922" s="17"/>
    </row>
    <row r="923">
      <c r="A923" s="168"/>
      <c r="B923" s="149"/>
      <c r="C923" s="152"/>
      <c r="D923" s="152"/>
      <c r="E923" s="152"/>
      <c r="F923" s="152"/>
      <c r="G923" s="157"/>
      <c r="H923" s="10"/>
      <c r="I923" s="14"/>
      <c r="J923" s="15"/>
      <c r="K923" s="16"/>
      <c r="L923" s="17"/>
      <c r="M923" s="17"/>
      <c r="N923" s="17"/>
      <c r="O923" s="17"/>
      <c r="P923" s="17"/>
      <c r="Q923" s="17"/>
      <c r="R923" s="17"/>
      <c r="S923" s="17"/>
      <c r="T923" s="17"/>
      <c r="U923" s="17"/>
      <c r="V923" s="17"/>
    </row>
    <row r="924">
      <c r="A924" s="168"/>
      <c r="B924" s="149"/>
      <c r="C924" s="152"/>
      <c r="D924" s="152"/>
      <c r="E924" s="152"/>
      <c r="F924" s="152"/>
      <c r="G924" s="157"/>
      <c r="H924" s="10"/>
      <c r="I924" s="14"/>
      <c r="J924" s="15"/>
      <c r="K924" s="16"/>
      <c r="L924" s="17"/>
      <c r="M924" s="17"/>
      <c r="N924" s="17"/>
      <c r="O924" s="17"/>
      <c r="P924" s="17"/>
      <c r="Q924" s="17"/>
      <c r="R924" s="17"/>
      <c r="S924" s="17"/>
      <c r="T924" s="17"/>
      <c r="U924" s="17"/>
      <c r="V924" s="17"/>
    </row>
    <row r="925">
      <c r="A925" s="168"/>
      <c r="B925" s="149"/>
      <c r="C925" s="152"/>
      <c r="D925" s="152"/>
      <c r="E925" s="152"/>
      <c r="F925" s="152"/>
      <c r="G925" s="157"/>
      <c r="H925" s="10"/>
      <c r="I925" s="14"/>
      <c r="J925" s="15"/>
      <c r="K925" s="16"/>
      <c r="L925" s="17"/>
      <c r="M925" s="17"/>
      <c r="N925" s="17"/>
      <c r="O925" s="17"/>
      <c r="P925" s="17"/>
      <c r="Q925" s="17"/>
      <c r="R925" s="17"/>
      <c r="S925" s="17"/>
      <c r="T925" s="17"/>
      <c r="U925" s="17"/>
      <c r="V925" s="17"/>
    </row>
    <row r="926">
      <c r="A926" s="168"/>
      <c r="B926" s="149"/>
      <c r="C926" s="152"/>
      <c r="D926" s="152"/>
      <c r="E926" s="152"/>
      <c r="F926" s="152"/>
      <c r="G926" s="157"/>
      <c r="H926" s="10"/>
      <c r="I926" s="14"/>
      <c r="J926" s="15"/>
      <c r="K926" s="16"/>
      <c r="L926" s="17"/>
      <c r="M926" s="17"/>
      <c r="N926" s="17"/>
      <c r="O926" s="17"/>
      <c r="P926" s="17"/>
      <c r="Q926" s="17"/>
      <c r="R926" s="17"/>
      <c r="S926" s="17"/>
      <c r="T926" s="17"/>
      <c r="U926" s="17"/>
      <c r="V926" s="17"/>
    </row>
    <row r="927">
      <c r="A927" s="168"/>
      <c r="B927" s="149"/>
      <c r="C927" s="152"/>
      <c r="D927" s="152"/>
      <c r="E927" s="152"/>
      <c r="F927" s="152"/>
      <c r="G927" s="157"/>
      <c r="H927" s="10"/>
      <c r="I927" s="14"/>
      <c r="J927" s="15"/>
      <c r="K927" s="16"/>
      <c r="L927" s="17"/>
      <c r="M927" s="17"/>
      <c r="N927" s="17"/>
      <c r="O927" s="17"/>
      <c r="P927" s="17"/>
      <c r="Q927" s="17"/>
      <c r="R927" s="17"/>
      <c r="S927" s="17"/>
      <c r="T927" s="17"/>
      <c r="U927" s="17"/>
      <c r="V927" s="17"/>
    </row>
    <row r="928">
      <c r="A928" s="168"/>
      <c r="B928" s="149"/>
      <c r="C928" s="152"/>
      <c r="D928" s="152"/>
      <c r="E928" s="152"/>
      <c r="F928" s="152"/>
      <c r="G928" s="157"/>
      <c r="H928" s="10"/>
      <c r="I928" s="14"/>
      <c r="J928" s="15"/>
      <c r="K928" s="16"/>
      <c r="L928" s="17"/>
      <c r="M928" s="17"/>
      <c r="N928" s="17"/>
      <c r="O928" s="17"/>
      <c r="P928" s="17"/>
      <c r="Q928" s="17"/>
      <c r="R928" s="17"/>
      <c r="S928" s="17"/>
      <c r="T928" s="17"/>
      <c r="U928" s="17"/>
      <c r="V928" s="17"/>
    </row>
    <row r="929">
      <c r="A929" s="168"/>
      <c r="B929" s="149"/>
      <c r="C929" s="152"/>
      <c r="D929" s="152"/>
      <c r="E929" s="152"/>
      <c r="F929" s="152"/>
      <c r="G929" s="157"/>
      <c r="H929" s="10"/>
      <c r="I929" s="14"/>
      <c r="J929" s="15"/>
      <c r="K929" s="16"/>
      <c r="L929" s="17"/>
      <c r="M929" s="17"/>
      <c r="N929" s="17"/>
      <c r="O929" s="17"/>
      <c r="P929" s="17"/>
      <c r="Q929" s="17"/>
      <c r="R929" s="17"/>
      <c r="S929" s="17"/>
      <c r="T929" s="17"/>
      <c r="U929" s="17"/>
      <c r="V929" s="17"/>
    </row>
    <row r="930">
      <c r="A930" s="168"/>
      <c r="B930" s="149"/>
      <c r="C930" s="152"/>
      <c r="D930" s="152"/>
      <c r="E930" s="152"/>
      <c r="F930" s="152"/>
      <c r="G930" s="157"/>
      <c r="H930" s="10"/>
      <c r="I930" s="14"/>
      <c r="J930" s="15"/>
      <c r="K930" s="16"/>
      <c r="L930" s="17"/>
      <c r="M930" s="17"/>
      <c r="N930" s="17"/>
      <c r="O930" s="17"/>
      <c r="P930" s="17"/>
      <c r="Q930" s="17"/>
      <c r="R930" s="17"/>
      <c r="S930" s="17"/>
      <c r="T930" s="17"/>
      <c r="U930" s="17"/>
      <c r="V930" s="17"/>
    </row>
    <row r="931">
      <c r="A931" s="168"/>
      <c r="B931" s="149"/>
      <c r="C931" s="152"/>
      <c r="D931" s="152"/>
      <c r="E931" s="152"/>
      <c r="F931" s="152"/>
      <c r="G931" s="157"/>
      <c r="H931" s="10"/>
      <c r="I931" s="14"/>
      <c r="J931" s="15"/>
      <c r="K931" s="16"/>
      <c r="L931" s="17"/>
      <c r="M931" s="17"/>
      <c r="N931" s="17"/>
      <c r="O931" s="17"/>
      <c r="P931" s="17"/>
      <c r="Q931" s="17"/>
      <c r="R931" s="17"/>
      <c r="S931" s="17"/>
      <c r="T931" s="17"/>
      <c r="U931" s="17"/>
      <c r="V931" s="17"/>
    </row>
    <row r="932">
      <c r="A932" s="168"/>
      <c r="B932" s="149"/>
      <c r="C932" s="152"/>
      <c r="D932" s="152"/>
      <c r="E932" s="152"/>
      <c r="F932" s="152"/>
      <c r="G932" s="157"/>
      <c r="H932" s="10"/>
      <c r="I932" s="14"/>
      <c r="J932" s="15"/>
      <c r="K932" s="16"/>
      <c r="L932" s="17"/>
      <c r="M932" s="17"/>
      <c r="N932" s="17"/>
      <c r="O932" s="17"/>
      <c r="P932" s="17"/>
      <c r="Q932" s="17"/>
      <c r="R932" s="17"/>
      <c r="S932" s="17"/>
      <c r="T932" s="17"/>
      <c r="U932" s="17"/>
      <c r="V932" s="17"/>
    </row>
    <row r="933">
      <c r="A933" s="168"/>
      <c r="B933" s="149"/>
      <c r="C933" s="152"/>
      <c r="D933" s="152"/>
      <c r="E933" s="152"/>
      <c r="F933" s="152"/>
      <c r="G933" s="157"/>
      <c r="H933" s="10"/>
      <c r="I933" s="14"/>
      <c r="J933" s="15"/>
      <c r="K933" s="16"/>
      <c r="L933" s="17"/>
      <c r="M933" s="17"/>
      <c r="N933" s="17"/>
      <c r="O933" s="17"/>
      <c r="P933" s="17"/>
      <c r="Q933" s="17"/>
      <c r="R933" s="17"/>
      <c r="S933" s="17"/>
      <c r="T933" s="17"/>
      <c r="U933" s="17"/>
      <c r="V933" s="17"/>
    </row>
    <row r="934">
      <c r="A934" s="168"/>
      <c r="B934" s="149"/>
      <c r="C934" s="152"/>
      <c r="D934" s="152"/>
      <c r="E934" s="152"/>
      <c r="F934" s="152"/>
      <c r="G934" s="157"/>
      <c r="H934" s="10"/>
      <c r="I934" s="14"/>
      <c r="J934" s="15"/>
      <c r="K934" s="16"/>
      <c r="L934" s="17"/>
      <c r="M934" s="17"/>
      <c r="N934" s="17"/>
      <c r="O934" s="17"/>
      <c r="P934" s="17"/>
      <c r="Q934" s="17"/>
      <c r="R934" s="17"/>
      <c r="S934" s="17"/>
      <c r="T934" s="17"/>
      <c r="U934" s="17"/>
      <c r="V934" s="17"/>
    </row>
    <row r="935">
      <c r="A935" s="168"/>
      <c r="B935" s="149"/>
      <c r="C935" s="152"/>
      <c r="D935" s="152"/>
      <c r="E935" s="152"/>
      <c r="F935" s="152"/>
      <c r="G935" s="157"/>
      <c r="H935" s="10"/>
      <c r="I935" s="14"/>
      <c r="J935" s="15"/>
      <c r="K935" s="16"/>
      <c r="L935" s="17"/>
      <c r="M935" s="17"/>
      <c r="N935" s="17"/>
      <c r="O935" s="17"/>
      <c r="P935" s="17"/>
      <c r="Q935" s="17"/>
      <c r="R935" s="17"/>
      <c r="S935" s="17"/>
      <c r="T935" s="17"/>
      <c r="U935" s="17"/>
      <c r="V935" s="17"/>
    </row>
    <row r="936">
      <c r="A936" s="168"/>
      <c r="B936" s="149"/>
      <c r="C936" s="152"/>
      <c r="D936" s="152"/>
      <c r="E936" s="152"/>
      <c r="F936" s="152"/>
      <c r="G936" s="157"/>
      <c r="H936" s="10"/>
      <c r="I936" s="14"/>
      <c r="J936" s="15"/>
      <c r="K936" s="16"/>
      <c r="L936" s="17"/>
      <c r="M936" s="17"/>
      <c r="N936" s="17"/>
      <c r="O936" s="17"/>
      <c r="P936" s="17"/>
      <c r="Q936" s="17"/>
      <c r="R936" s="17"/>
      <c r="S936" s="17"/>
      <c r="T936" s="17"/>
      <c r="U936" s="17"/>
      <c r="V936" s="17"/>
    </row>
    <row r="937">
      <c r="A937" s="168"/>
      <c r="B937" s="149"/>
      <c r="C937" s="152"/>
      <c r="D937" s="152"/>
      <c r="E937" s="152"/>
      <c r="F937" s="152"/>
      <c r="G937" s="157"/>
      <c r="H937" s="10"/>
      <c r="I937" s="14"/>
      <c r="J937" s="15"/>
      <c r="K937" s="16"/>
      <c r="L937" s="17"/>
      <c r="M937" s="17"/>
      <c r="N937" s="17"/>
      <c r="O937" s="17"/>
      <c r="P937" s="17"/>
      <c r="Q937" s="17"/>
      <c r="R937" s="17"/>
      <c r="S937" s="17"/>
      <c r="T937" s="17"/>
      <c r="U937" s="17"/>
      <c r="V937" s="17"/>
    </row>
    <row r="938">
      <c r="A938" s="168"/>
      <c r="B938" s="149"/>
      <c r="C938" s="152"/>
      <c r="D938" s="152"/>
      <c r="E938" s="152"/>
      <c r="F938" s="152"/>
      <c r="G938" s="157"/>
      <c r="H938" s="10"/>
      <c r="I938" s="14"/>
      <c r="J938" s="15"/>
      <c r="K938" s="16"/>
      <c r="L938" s="17"/>
      <c r="M938" s="17"/>
      <c r="N938" s="17"/>
      <c r="O938" s="17"/>
      <c r="P938" s="17"/>
      <c r="Q938" s="17"/>
      <c r="R938" s="17"/>
      <c r="S938" s="17"/>
      <c r="T938" s="17"/>
      <c r="U938" s="17"/>
      <c r="V938" s="17"/>
    </row>
    <row r="939">
      <c r="A939" s="168"/>
      <c r="B939" s="149"/>
      <c r="C939" s="152"/>
      <c r="D939" s="152"/>
      <c r="E939" s="152"/>
      <c r="F939" s="152"/>
      <c r="G939" s="157"/>
      <c r="H939" s="10"/>
      <c r="I939" s="14"/>
      <c r="J939" s="15"/>
      <c r="K939" s="16"/>
      <c r="L939" s="17"/>
      <c r="M939" s="17"/>
      <c r="N939" s="17"/>
      <c r="O939" s="17"/>
      <c r="P939" s="17"/>
      <c r="Q939" s="17"/>
      <c r="R939" s="17"/>
      <c r="S939" s="17"/>
      <c r="T939" s="17"/>
      <c r="U939" s="17"/>
      <c r="V939" s="17"/>
    </row>
    <row r="940">
      <c r="A940" s="168"/>
      <c r="B940" s="149"/>
      <c r="C940" s="152"/>
      <c r="D940" s="152"/>
      <c r="E940" s="152"/>
      <c r="F940" s="152"/>
      <c r="G940" s="157"/>
      <c r="H940" s="10"/>
      <c r="I940" s="14"/>
      <c r="J940" s="15"/>
      <c r="K940" s="16"/>
      <c r="L940" s="17"/>
      <c r="M940" s="17"/>
      <c r="N940" s="17"/>
      <c r="O940" s="17"/>
      <c r="P940" s="17"/>
      <c r="Q940" s="17"/>
      <c r="R940" s="17"/>
      <c r="S940" s="17"/>
      <c r="T940" s="17"/>
      <c r="U940" s="17"/>
      <c r="V940" s="17"/>
    </row>
    <row r="941">
      <c r="A941" s="168"/>
      <c r="B941" s="149"/>
      <c r="C941" s="152"/>
      <c r="D941" s="152"/>
      <c r="E941" s="152"/>
      <c r="F941" s="152"/>
      <c r="G941" s="157"/>
      <c r="H941" s="10"/>
      <c r="I941" s="14"/>
      <c r="J941" s="15"/>
      <c r="K941" s="16"/>
      <c r="L941" s="17"/>
      <c r="M941" s="17"/>
      <c r="N941" s="17"/>
      <c r="O941" s="17"/>
      <c r="P941" s="17"/>
      <c r="Q941" s="17"/>
      <c r="R941" s="17"/>
      <c r="S941" s="17"/>
      <c r="T941" s="17"/>
      <c r="U941" s="17"/>
      <c r="V941" s="17"/>
    </row>
    <row r="942">
      <c r="A942" s="168"/>
      <c r="B942" s="149"/>
      <c r="C942" s="152"/>
      <c r="D942" s="152"/>
      <c r="E942" s="152"/>
      <c r="F942" s="152"/>
      <c r="G942" s="157"/>
      <c r="H942" s="10"/>
      <c r="I942" s="14"/>
      <c r="J942" s="15"/>
      <c r="K942" s="16"/>
      <c r="L942" s="17"/>
      <c r="M942" s="17"/>
      <c r="N942" s="17"/>
      <c r="O942" s="17"/>
      <c r="P942" s="17"/>
      <c r="Q942" s="17"/>
      <c r="R942" s="17"/>
      <c r="S942" s="17"/>
      <c r="T942" s="17"/>
      <c r="U942" s="17"/>
      <c r="V942" s="17"/>
    </row>
    <row r="943">
      <c r="A943" s="168"/>
      <c r="B943" s="149"/>
      <c r="C943" s="152"/>
      <c r="D943" s="152"/>
      <c r="E943" s="152"/>
      <c r="F943" s="152"/>
      <c r="G943" s="157"/>
      <c r="H943" s="10"/>
      <c r="I943" s="14"/>
      <c r="J943" s="15"/>
      <c r="K943" s="16"/>
      <c r="L943" s="17"/>
      <c r="M943" s="17"/>
      <c r="N943" s="17"/>
      <c r="O943" s="17"/>
      <c r="P943" s="17"/>
      <c r="Q943" s="17"/>
      <c r="R943" s="17"/>
      <c r="S943" s="17"/>
      <c r="T943" s="17"/>
      <c r="U943" s="17"/>
      <c r="V943" s="17"/>
    </row>
    <row r="944">
      <c r="A944" s="168"/>
      <c r="B944" s="149"/>
      <c r="C944" s="152"/>
      <c r="D944" s="152"/>
      <c r="E944" s="152"/>
      <c r="F944" s="152"/>
      <c r="G944" s="157"/>
      <c r="H944" s="10"/>
      <c r="I944" s="14"/>
      <c r="J944" s="15"/>
      <c r="K944" s="16"/>
      <c r="L944" s="17"/>
      <c r="M944" s="17"/>
      <c r="N944" s="17"/>
      <c r="O944" s="17"/>
      <c r="P944" s="17"/>
      <c r="Q944" s="17"/>
      <c r="R944" s="17"/>
      <c r="S944" s="17"/>
      <c r="T944" s="17"/>
      <c r="U944" s="17"/>
      <c r="V944" s="17"/>
    </row>
    <row r="945">
      <c r="A945" s="168"/>
      <c r="B945" s="149"/>
      <c r="C945" s="152"/>
      <c r="D945" s="152"/>
      <c r="E945" s="152"/>
      <c r="F945" s="152"/>
      <c r="G945" s="157"/>
      <c r="H945" s="10"/>
      <c r="I945" s="14"/>
      <c r="J945" s="15"/>
      <c r="K945" s="16"/>
      <c r="L945" s="17"/>
      <c r="M945" s="17"/>
      <c r="N945" s="17"/>
      <c r="O945" s="17"/>
      <c r="P945" s="17"/>
      <c r="Q945" s="17"/>
      <c r="R945" s="17"/>
      <c r="S945" s="17"/>
      <c r="T945" s="17"/>
      <c r="U945" s="17"/>
      <c r="V945" s="17"/>
    </row>
    <row r="946">
      <c r="A946" s="168"/>
      <c r="B946" s="149"/>
      <c r="C946" s="152"/>
      <c r="D946" s="152"/>
      <c r="E946" s="152"/>
      <c r="F946" s="152"/>
      <c r="G946" s="157"/>
      <c r="H946" s="10"/>
      <c r="I946" s="14"/>
      <c r="J946" s="15"/>
      <c r="K946" s="16"/>
      <c r="L946" s="17"/>
      <c r="M946" s="17"/>
      <c r="N946" s="17"/>
      <c r="O946" s="17"/>
      <c r="P946" s="17"/>
      <c r="Q946" s="17"/>
      <c r="R946" s="17"/>
      <c r="S946" s="17"/>
      <c r="T946" s="17"/>
      <c r="U946" s="17"/>
      <c r="V946" s="17"/>
    </row>
    <row r="947">
      <c r="A947" s="168"/>
      <c r="B947" s="149"/>
      <c r="C947" s="152"/>
      <c r="D947" s="152"/>
      <c r="E947" s="152"/>
      <c r="F947" s="152"/>
      <c r="G947" s="157"/>
      <c r="H947" s="10"/>
      <c r="I947" s="14"/>
      <c r="J947" s="15"/>
      <c r="K947" s="16"/>
      <c r="L947" s="17"/>
      <c r="M947" s="17"/>
      <c r="N947" s="17"/>
      <c r="O947" s="17"/>
      <c r="P947" s="17"/>
      <c r="Q947" s="17"/>
      <c r="R947" s="17"/>
      <c r="S947" s="17"/>
      <c r="T947" s="17"/>
      <c r="U947" s="17"/>
      <c r="V947" s="17"/>
    </row>
    <row r="948">
      <c r="A948" s="168"/>
      <c r="B948" s="149"/>
      <c r="C948" s="152"/>
      <c r="D948" s="152"/>
      <c r="E948" s="152"/>
      <c r="F948" s="152"/>
      <c r="G948" s="157"/>
      <c r="H948" s="10"/>
      <c r="I948" s="14"/>
      <c r="J948" s="15"/>
      <c r="K948" s="16"/>
      <c r="L948" s="17"/>
      <c r="M948" s="17"/>
      <c r="N948" s="17"/>
      <c r="O948" s="17"/>
      <c r="P948" s="17"/>
      <c r="Q948" s="17"/>
      <c r="R948" s="17"/>
      <c r="S948" s="17"/>
      <c r="T948" s="17"/>
      <c r="U948" s="17"/>
      <c r="V948" s="17"/>
    </row>
    <row r="949">
      <c r="A949" s="168"/>
      <c r="B949" s="149"/>
      <c r="C949" s="152"/>
      <c r="D949" s="152"/>
      <c r="E949" s="152"/>
      <c r="F949" s="152"/>
      <c r="G949" s="157"/>
      <c r="H949" s="10"/>
      <c r="I949" s="14"/>
      <c r="J949" s="15"/>
      <c r="K949" s="16"/>
      <c r="L949" s="17"/>
      <c r="M949" s="17"/>
      <c r="N949" s="17"/>
      <c r="O949" s="17"/>
      <c r="P949" s="17"/>
      <c r="Q949" s="17"/>
      <c r="R949" s="17"/>
      <c r="S949" s="17"/>
      <c r="T949" s="17"/>
      <c r="U949" s="17"/>
      <c r="V949" s="17"/>
    </row>
    <row r="950">
      <c r="A950" s="168"/>
      <c r="B950" s="149"/>
      <c r="C950" s="152"/>
      <c r="D950" s="152"/>
      <c r="E950" s="152"/>
      <c r="F950" s="152"/>
      <c r="G950" s="157"/>
      <c r="H950" s="10"/>
      <c r="I950" s="14"/>
      <c r="J950" s="15"/>
      <c r="K950" s="16"/>
      <c r="L950" s="17"/>
      <c r="M950" s="17"/>
      <c r="N950" s="17"/>
      <c r="O950" s="17"/>
      <c r="P950" s="17"/>
      <c r="Q950" s="17"/>
      <c r="R950" s="17"/>
      <c r="S950" s="17"/>
      <c r="T950" s="17"/>
      <c r="U950" s="17"/>
      <c r="V950" s="17"/>
    </row>
    <row r="951">
      <c r="A951" s="168"/>
      <c r="B951" s="149"/>
      <c r="C951" s="152"/>
      <c r="D951" s="152"/>
      <c r="E951" s="152"/>
      <c r="F951" s="152"/>
      <c r="G951" s="157"/>
      <c r="H951" s="10"/>
      <c r="I951" s="14"/>
      <c r="J951" s="15"/>
      <c r="K951" s="16"/>
      <c r="L951" s="17"/>
      <c r="M951" s="17"/>
      <c r="N951" s="17"/>
      <c r="O951" s="17"/>
      <c r="P951" s="17"/>
      <c r="Q951" s="17"/>
      <c r="R951" s="17"/>
      <c r="S951" s="17"/>
      <c r="T951" s="17"/>
      <c r="U951" s="17"/>
      <c r="V951" s="17"/>
    </row>
    <row r="952">
      <c r="A952" s="168"/>
      <c r="B952" s="149"/>
      <c r="C952" s="152"/>
      <c r="D952" s="152"/>
      <c r="E952" s="152"/>
      <c r="F952" s="152"/>
      <c r="G952" s="157"/>
      <c r="H952" s="10"/>
      <c r="I952" s="14"/>
      <c r="J952" s="15"/>
      <c r="K952" s="16"/>
      <c r="L952" s="17"/>
      <c r="M952" s="17"/>
      <c r="N952" s="17"/>
      <c r="O952" s="17"/>
      <c r="P952" s="17"/>
      <c r="Q952" s="17"/>
      <c r="R952" s="17"/>
      <c r="S952" s="17"/>
      <c r="T952" s="17"/>
      <c r="U952" s="17"/>
      <c r="V952" s="17"/>
    </row>
    <row r="953">
      <c r="A953" s="168"/>
      <c r="B953" s="149"/>
      <c r="C953" s="152"/>
      <c r="D953" s="152"/>
      <c r="E953" s="152"/>
      <c r="F953" s="152"/>
      <c r="G953" s="157"/>
      <c r="H953" s="10"/>
      <c r="I953" s="14"/>
      <c r="J953" s="15"/>
      <c r="K953" s="16"/>
      <c r="L953" s="17"/>
      <c r="M953" s="17"/>
      <c r="N953" s="17"/>
      <c r="O953" s="17"/>
      <c r="P953" s="17"/>
      <c r="Q953" s="17"/>
      <c r="R953" s="17"/>
      <c r="S953" s="17"/>
      <c r="T953" s="17"/>
      <c r="U953" s="17"/>
      <c r="V953" s="17"/>
    </row>
    <row r="954">
      <c r="A954" s="168"/>
      <c r="B954" s="149"/>
      <c r="C954" s="152"/>
      <c r="D954" s="152"/>
      <c r="E954" s="152"/>
      <c r="F954" s="152"/>
      <c r="G954" s="157"/>
      <c r="H954" s="10"/>
      <c r="I954" s="14"/>
      <c r="J954" s="15"/>
      <c r="K954" s="16"/>
      <c r="L954" s="17"/>
      <c r="M954" s="17"/>
      <c r="N954" s="17"/>
      <c r="O954" s="17"/>
      <c r="P954" s="17"/>
      <c r="Q954" s="17"/>
      <c r="R954" s="17"/>
      <c r="S954" s="17"/>
      <c r="T954" s="17"/>
      <c r="U954" s="17"/>
      <c r="V954" s="17"/>
    </row>
    <row r="955">
      <c r="A955" s="168"/>
      <c r="B955" s="149"/>
      <c r="C955" s="152"/>
      <c r="D955" s="152"/>
      <c r="E955" s="152"/>
      <c r="F955" s="152"/>
      <c r="G955" s="157"/>
      <c r="H955" s="10"/>
      <c r="I955" s="14"/>
      <c r="J955" s="15"/>
      <c r="K955" s="16"/>
      <c r="L955" s="17"/>
      <c r="M955" s="17"/>
      <c r="N955" s="17"/>
      <c r="O955" s="17"/>
      <c r="P955" s="17"/>
      <c r="Q955" s="17"/>
      <c r="R955" s="17"/>
      <c r="S955" s="17"/>
      <c r="T955" s="17"/>
      <c r="U955" s="17"/>
      <c r="V955" s="17"/>
    </row>
    <row r="956">
      <c r="A956" s="168"/>
      <c r="B956" s="149"/>
      <c r="C956" s="152"/>
      <c r="D956" s="152"/>
      <c r="E956" s="152"/>
      <c r="F956" s="152"/>
      <c r="G956" s="157"/>
      <c r="H956" s="10"/>
      <c r="I956" s="14"/>
      <c r="J956" s="15"/>
      <c r="K956" s="16"/>
      <c r="L956" s="17"/>
      <c r="M956" s="17"/>
      <c r="N956" s="17"/>
      <c r="O956" s="17"/>
      <c r="P956" s="17"/>
      <c r="Q956" s="17"/>
      <c r="R956" s="17"/>
      <c r="S956" s="17"/>
      <c r="T956" s="17"/>
      <c r="U956" s="17"/>
      <c r="V956" s="17"/>
    </row>
    <row r="957">
      <c r="A957" s="168"/>
      <c r="B957" s="149"/>
      <c r="C957" s="152"/>
      <c r="D957" s="152"/>
      <c r="E957" s="152"/>
      <c r="F957" s="152"/>
      <c r="G957" s="157"/>
      <c r="H957" s="10"/>
      <c r="I957" s="14"/>
      <c r="J957" s="15"/>
      <c r="K957" s="16"/>
      <c r="L957" s="17"/>
      <c r="M957" s="17"/>
      <c r="N957" s="17"/>
      <c r="O957" s="17"/>
      <c r="P957" s="17"/>
      <c r="Q957" s="17"/>
      <c r="R957" s="17"/>
      <c r="S957" s="17"/>
      <c r="T957" s="17"/>
      <c r="U957" s="17"/>
      <c r="V957" s="17"/>
    </row>
    <row r="958">
      <c r="A958" s="168"/>
      <c r="B958" s="149"/>
      <c r="C958" s="152"/>
      <c r="D958" s="152"/>
      <c r="E958" s="152"/>
      <c r="F958" s="152"/>
      <c r="G958" s="157"/>
      <c r="H958" s="10"/>
      <c r="I958" s="14"/>
      <c r="J958" s="15"/>
      <c r="K958" s="16"/>
      <c r="L958" s="17"/>
      <c r="M958" s="17"/>
      <c r="N958" s="17"/>
      <c r="O958" s="17"/>
      <c r="P958" s="17"/>
      <c r="Q958" s="17"/>
      <c r="R958" s="17"/>
      <c r="S958" s="17"/>
      <c r="T958" s="17"/>
      <c r="U958" s="17"/>
      <c r="V958" s="17"/>
    </row>
    <row r="959">
      <c r="A959" s="168"/>
      <c r="B959" s="149"/>
      <c r="C959" s="152"/>
      <c r="D959" s="152"/>
      <c r="E959" s="152"/>
      <c r="F959" s="152"/>
      <c r="G959" s="157"/>
      <c r="H959" s="10"/>
      <c r="I959" s="14"/>
      <c r="J959" s="15"/>
      <c r="K959" s="16"/>
      <c r="L959" s="17"/>
      <c r="M959" s="17"/>
      <c r="N959" s="17"/>
      <c r="O959" s="17"/>
      <c r="P959" s="17"/>
      <c r="Q959" s="17"/>
      <c r="R959" s="17"/>
      <c r="S959" s="17"/>
      <c r="T959" s="17"/>
      <c r="U959" s="17"/>
      <c r="V959" s="17"/>
    </row>
    <row r="960">
      <c r="A960" s="168"/>
      <c r="B960" s="149"/>
      <c r="C960" s="152"/>
      <c r="D960" s="152"/>
      <c r="E960" s="152"/>
      <c r="F960" s="152"/>
      <c r="G960" s="157"/>
      <c r="H960" s="10"/>
      <c r="I960" s="14"/>
      <c r="J960" s="15"/>
      <c r="K960" s="16"/>
      <c r="L960" s="17"/>
      <c r="M960" s="17"/>
      <c r="N960" s="17"/>
      <c r="O960" s="17"/>
      <c r="P960" s="17"/>
      <c r="Q960" s="17"/>
      <c r="R960" s="17"/>
      <c r="S960" s="17"/>
      <c r="T960" s="17"/>
      <c r="U960" s="17"/>
      <c r="V960" s="17"/>
    </row>
    <row r="961">
      <c r="A961" s="168"/>
      <c r="B961" s="149"/>
      <c r="C961" s="152"/>
      <c r="D961" s="152"/>
      <c r="E961" s="152"/>
      <c r="F961" s="152"/>
      <c r="G961" s="157"/>
      <c r="H961" s="10"/>
      <c r="I961" s="14"/>
      <c r="J961" s="15"/>
      <c r="K961" s="16"/>
      <c r="L961" s="17"/>
      <c r="M961" s="17"/>
      <c r="N961" s="17"/>
      <c r="O961" s="17"/>
      <c r="P961" s="17"/>
      <c r="Q961" s="17"/>
      <c r="R961" s="17"/>
      <c r="S961" s="17"/>
      <c r="T961" s="17"/>
      <c r="U961" s="17"/>
      <c r="V961" s="17"/>
    </row>
    <row r="962">
      <c r="A962" s="168"/>
      <c r="B962" s="149"/>
      <c r="C962" s="152"/>
      <c r="D962" s="152"/>
      <c r="E962" s="152"/>
      <c r="F962" s="152"/>
      <c r="G962" s="157"/>
      <c r="H962" s="10"/>
      <c r="I962" s="14"/>
      <c r="J962" s="15"/>
      <c r="K962" s="16"/>
      <c r="L962" s="17"/>
      <c r="M962" s="17"/>
      <c r="N962" s="17"/>
      <c r="O962" s="17"/>
      <c r="P962" s="17"/>
      <c r="Q962" s="17"/>
      <c r="R962" s="17"/>
      <c r="S962" s="17"/>
      <c r="T962" s="17"/>
      <c r="U962" s="17"/>
      <c r="V962" s="17"/>
    </row>
    <row r="963">
      <c r="A963" s="168"/>
      <c r="B963" s="149"/>
      <c r="C963" s="152"/>
      <c r="D963" s="152"/>
      <c r="E963" s="152"/>
      <c r="F963" s="152"/>
      <c r="G963" s="157"/>
      <c r="H963" s="10"/>
      <c r="I963" s="14"/>
      <c r="J963" s="15"/>
      <c r="K963" s="16"/>
      <c r="L963" s="17"/>
      <c r="M963" s="17"/>
      <c r="N963" s="17"/>
      <c r="O963" s="17"/>
      <c r="P963" s="17"/>
      <c r="Q963" s="17"/>
      <c r="R963" s="17"/>
      <c r="S963" s="17"/>
      <c r="T963" s="17"/>
      <c r="U963" s="17"/>
      <c r="V963" s="17"/>
    </row>
    <row r="964">
      <c r="A964" s="168"/>
      <c r="B964" s="149"/>
      <c r="C964" s="152"/>
      <c r="D964" s="152"/>
      <c r="E964" s="152"/>
      <c r="F964" s="152"/>
      <c r="G964" s="157"/>
      <c r="H964" s="10"/>
      <c r="I964" s="14"/>
      <c r="J964" s="15"/>
      <c r="K964" s="16"/>
      <c r="L964" s="17"/>
      <c r="M964" s="17"/>
      <c r="N964" s="17"/>
      <c r="O964" s="17"/>
      <c r="P964" s="17"/>
      <c r="Q964" s="17"/>
      <c r="R964" s="17"/>
      <c r="S964" s="17"/>
      <c r="T964" s="17"/>
      <c r="U964" s="17"/>
      <c r="V964" s="17"/>
    </row>
    <row r="965">
      <c r="A965" s="168"/>
      <c r="B965" s="149"/>
      <c r="C965" s="152"/>
      <c r="D965" s="152"/>
      <c r="E965" s="152"/>
      <c r="F965" s="152"/>
      <c r="G965" s="157"/>
      <c r="H965" s="10"/>
      <c r="I965" s="14"/>
      <c r="J965" s="15"/>
      <c r="K965" s="16"/>
      <c r="L965" s="17"/>
      <c r="M965" s="17"/>
      <c r="N965" s="17"/>
      <c r="O965" s="17"/>
      <c r="P965" s="17"/>
      <c r="Q965" s="17"/>
      <c r="R965" s="17"/>
      <c r="S965" s="17"/>
      <c r="T965" s="17"/>
      <c r="U965" s="17"/>
      <c r="V965" s="17"/>
    </row>
    <row r="966">
      <c r="A966" s="168"/>
      <c r="B966" s="149"/>
      <c r="C966" s="152"/>
      <c r="D966" s="152"/>
      <c r="E966" s="152"/>
      <c r="F966" s="152"/>
      <c r="G966" s="157"/>
      <c r="H966" s="10"/>
      <c r="I966" s="14"/>
      <c r="J966" s="15"/>
      <c r="K966" s="16"/>
      <c r="L966" s="17"/>
      <c r="M966" s="17"/>
      <c r="N966" s="17"/>
      <c r="O966" s="17"/>
      <c r="P966" s="17"/>
      <c r="Q966" s="17"/>
      <c r="R966" s="17"/>
      <c r="S966" s="17"/>
      <c r="T966" s="17"/>
      <c r="U966" s="17"/>
      <c r="V966" s="17"/>
    </row>
    <row r="967">
      <c r="A967" s="168"/>
      <c r="B967" s="149"/>
      <c r="C967" s="152"/>
      <c r="D967" s="152"/>
      <c r="E967" s="152"/>
      <c r="F967" s="152"/>
      <c r="G967" s="157"/>
      <c r="H967" s="10"/>
      <c r="I967" s="14"/>
      <c r="J967" s="15"/>
      <c r="K967" s="16"/>
      <c r="L967" s="17"/>
      <c r="M967" s="17"/>
      <c r="N967" s="17"/>
      <c r="O967" s="17"/>
      <c r="P967" s="17"/>
      <c r="Q967" s="17"/>
      <c r="R967" s="17"/>
      <c r="S967" s="17"/>
      <c r="T967" s="17"/>
      <c r="U967" s="17"/>
      <c r="V967" s="17"/>
    </row>
    <row r="968">
      <c r="A968" s="168"/>
      <c r="B968" s="149"/>
      <c r="C968" s="152"/>
      <c r="D968" s="152"/>
      <c r="E968" s="152"/>
      <c r="F968" s="152"/>
      <c r="G968" s="157"/>
      <c r="H968" s="10"/>
      <c r="I968" s="14"/>
      <c r="J968" s="15"/>
      <c r="K968" s="16"/>
      <c r="L968" s="17"/>
      <c r="M968" s="17"/>
      <c r="N968" s="17"/>
      <c r="O968" s="17"/>
      <c r="P968" s="17"/>
      <c r="Q968" s="17"/>
      <c r="R968" s="17"/>
      <c r="S968" s="17"/>
      <c r="T968" s="17"/>
      <c r="U968" s="17"/>
      <c r="V968" s="17"/>
    </row>
    <row r="969">
      <c r="A969" s="168"/>
      <c r="B969" s="149"/>
      <c r="C969" s="152"/>
      <c r="D969" s="152"/>
      <c r="E969" s="152"/>
      <c r="F969" s="152"/>
      <c r="G969" s="157"/>
      <c r="H969" s="10"/>
      <c r="I969" s="14"/>
      <c r="J969" s="15"/>
      <c r="K969" s="16"/>
      <c r="L969" s="17"/>
      <c r="M969" s="17"/>
      <c r="N969" s="17"/>
      <c r="O969" s="17"/>
      <c r="P969" s="17"/>
      <c r="Q969" s="17"/>
      <c r="R969" s="17"/>
      <c r="S969" s="17"/>
      <c r="T969" s="17"/>
      <c r="U969" s="17"/>
      <c r="V969" s="17"/>
    </row>
    <row r="970">
      <c r="A970" s="168"/>
      <c r="B970" s="149"/>
      <c r="C970" s="152"/>
      <c r="D970" s="152"/>
      <c r="E970" s="152"/>
      <c r="F970" s="152"/>
      <c r="G970" s="157"/>
      <c r="H970" s="10"/>
      <c r="I970" s="14"/>
      <c r="J970" s="15"/>
      <c r="K970" s="16"/>
      <c r="L970" s="17"/>
      <c r="M970" s="17"/>
      <c r="N970" s="17"/>
      <c r="O970" s="17"/>
      <c r="P970" s="17"/>
      <c r="Q970" s="17"/>
      <c r="R970" s="17"/>
      <c r="S970" s="17"/>
      <c r="T970" s="17"/>
      <c r="U970" s="17"/>
      <c r="V970" s="17"/>
    </row>
    <row r="971">
      <c r="A971" s="168"/>
      <c r="B971" s="149"/>
      <c r="C971" s="152"/>
      <c r="D971" s="152"/>
      <c r="E971" s="152"/>
      <c r="F971" s="152"/>
      <c r="G971" s="157"/>
      <c r="H971" s="10"/>
      <c r="I971" s="14"/>
      <c r="J971" s="15"/>
      <c r="K971" s="16"/>
      <c r="L971" s="17"/>
      <c r="M971" s="17"/>
      <c r="N971" s="17"/>
      <c r="O971" s="17"/>
      <c r="P971" s="17"/>
      <c r="Q971" s="17"/>
      <c r="R971" s="17"/>
      <c r="S971" s="17"/>
      <c r="T971" s="17"/>
      <c r="U971" s="17"/>
      <c r="V971" s="17"/>
    </row>
    <row r="972">
      <c r="A972" s="168"/>
      <c r="B972" s="149"/>
      <c r="C972" s="152"/>
      <c r="D972" s="152"/>
      <c r="E972" s="152"/>
      <c r="F972" s="152"/>
      <c r="G972" s="157"/>
      <c r="H972" s="10"/>
      <c r="I972" s="14"/>
      <c r="J972" s="15"/>
      <c r="K972" s="16"/>
      <c r="L972" s="17"/>
      <c r="M972" s="17"/>
      <c r="N972" s="17"/>
      <c r="O972" s="17"/>
      <c r="P972" s="17"/>
      <c r="Q972" s="17"/>
      <c r="R972" s="17"/>
      <c r="S972" s="17"/>
      <c r="T972" s="17"/>
      <c r="U972" s="17"/>
      <c r="V972" s="17"/>
    </row>
    <row r="973">
      <c r="A973" s="168"/>
      <c r="B973" s="149"/>
      <c r="C973" s="152"/>
      <c r="D973" s="152"/>
      <c r="E973" s="152"/>
      <c r="F973" s="152"/>
      <c r="G973" s="157"/>
      <c r="H973" s="10"/>
      <c r="I973" s="14"/>
      <c r="J973" s="15"/>
      <c r="K973" s="16"/>
      <c r="L973" s="17"/>
      <c r="M973" s="17"/>
      <c r="N973" s="17"/>
      <c r="O973" s="17"/>
      <c r="P973" s="17"/>
      <c r="Q973" s="17"/>
      <c r="R973" s="17"/>
      <c r="S973" s="17"/>
      <c r="T973" s="17"/>
      <c r="U973" s="17"/>
      <c r="V973" s="17"/>
    </row>
    <row r="974">
      <c r="A974" s="168"/>
      <c r="B974" s="149"/>
      <c r="C974" s="152"/>
      <c r="D974" s="152"/>
      <c r="E974" s="152"/>
      <c r="F974" s="152"/>
      <c r="G974" s="157"/>
      <c r="H974" s="10"/>
      <c r="I974" s="14"/>
      <c r="J974" s="15"/>
      <c r="K974" s="16"/>
      <c r="L974" s="17"/>
      <c r="M974" s="17"/>
      <c r="N974" s="17"/>
      <c r="O974" s="17"/>
      <c r="P974" s="17"/>
      <c r="Q974" s="17"/>
      <c r="R974" s="17"/>
      <c r="S974" s="17"/>
      <c r="T974" s="17"/>
      <c r="U974" s="17"/>
      <c r="V974" s="17"/>
    </row>
    <row r="975">
      <c r="A975" s="168"/>
      <c r="B975" s="149"/>
      <c r="C975" s="152"/>
      <c r="D975" s="152"/>
      <c r="E975" s="152"/>
      <c r="F975" s="152"/>
      <c r="G975" s="157"/>
      <c r="H975" s="10"/>
      <c r="I975" s="14"/>
      <c r="J975" s="15"/>
      <c r="K975" s="16"/>
      <c r="L975" s="17"/>
      <c r="M975" s="17"/>
      <c r="N975" s="17"/>
      <c r="O975" s="17"/>
      <c r="P975" s="17"/>
      <c r="Q975" s="17"/>
      <c r="R975" s="17"/>
      <c r="S975" s="17"/>
      <c r="T975" s="17"/>
      <c r="U975" s="17"/>
      <c r="V975" s="17"/>
    </row>
    <row r="976">
      <c r="A976" s="168"/>
      <c r="B976" s="149"/>
      <c r="C976" s="152"/>
      <c r="D976" s="152"/>
      <c r="E976" s="152"/>
      <c r="F976" s="152"/>
      <c r="G976" s="157"/>
      <c r="H976" s="10"/>
      <c r="I976" s="14"/>
      <c r="J976" s="15"/>
      <c r="K976" s="16"/>
      <c r="L976" s="17"/>
      <c r="M976" s="17"/>
      <c r="N976" s="17"/>
      <c r="O976" s="17"/>
      <c r="P976" s="17"/>
      <c r="Q976" s="17"/>
      <c r="R976" s="17"/>
      <c r="S976" s="17"/>
      <c r="T976" s="17"/>
      <c r="U976" s="17"/>
      <c r="V976" s="17"/>
    </row>
    <row r="977">
      <c r="A977" s="168"/>
      <c r="B977" s="149"/>
      <c r="C977" s="152"/>
      <c r="D977" s="152"/>
      <c r="E977" s="152"/>
      <c r="F977" s="152"/>
      <c r="G977" s="157"/>
      <c r="H977" s="10"/>
      <c r="I977" s="14"/>
      <c r="J977" s="15"/>
      <c r="K977" s="16"/>
      <c r="L977" s="17"/>
      <c r="M977" s="17"/>
      <c r="N977" s="17"/>
      <c r="O977" s="17"/>
      <c r="P977" s="17"/>
      <c r="Q977" s="17"/>
      <c r="R977" s="17"/>
      <c r="S977" s="17"/>
      <c r="T977" s="17"/>
      <c r="U977" s="17"/>
      <c r="V977" s="17"/>
    </row>
    <row r="978">
      <c r="A978" s="168"/>
      <c r="B978" s="149"/>
      <c r="C978" s="152"/>
      <c r="D978" s="152"/>
      <c r="E978" s="152"/>
      <c r="F978" s="152"/>
      <c r="G978" s="157"/>
      <c r="H978" s="10"/>
      <c r="I978" s="14"/>
      <c r="J978" s="15"/>
      <c r="K978" s="16"/>
      <c r="L978" s="17"/>
      <c r="M978" s="17"/>
      <c r="N978" s="17"/>
      <c r="O978" s="17"/>
      <c r="P978" s="17"/>
      <c r="Q978" s="17"/>
      <c r="R978" s="17"/>
      <c r="S978" s="17"/>
      <c r="T978" s="17"/>
      <c r="U978" s="17"/>
      <c r="V978" s="17"/>
    </row>
    <row r="979">
      <c r="A979" s="168"/>
      <c r="B979" s="149"/>
      <c r="C979" s="152"/>
      <c r="D979" s="152"/>
      <c r="E979" s="152"/>
      <c r="F979" s="152"/>
      <c r="G979" s="157"/>
      <c r="H979" s="10"/>
      <c r="I979" s="14"/>
      <c r="J979" s="15"/>
      <c r="K979" s="16"/>
      <c r="L979" s="17"/>
      <c r="M979" s="17"/>
      <c r="N979" s="17"/>
      <c r="O979" s="17"/>
      <c r="P979" s="17"/>
      <c r="Q979" s="17"/>
      <c r="R979" s="17"/>
      <c r="S979" s="17"/>
      <c r="T979" s="17"/>
      <c r="U979" s="17"/>
      <c r="V979" s="17"/>
    </row>
    <row r="980">
      <c r="A980" s="168"/>
      <c r="B980" s="149"/>
      <c r="C980" s="152"/>
      <c r="D980" s="152"/>
      <c r="E980" s="152"/>
      <c r="F980" s="152"/>
      <c r="G980" s="157"/>
      <c r="H980" s="10"/>
      <c r="I980" s="14"/>
      <c r="J980" s="15"/>
      <c r="K980" s="16"/>
      <c r="L980" s="17"/>
      <c r="M980" s="17"/>
      <c r="N980" s="17"/>
      <c r="O980" s="17"/>
      <c r="P980" s="17"/>
      <c r="Q980" s="17"/>
      <c r="R980" s="17"/>
      <c r="S980" s="17"/>
      <c r="T980" s="17"/>
      <c r="U980" s="17"/>
      <c r="V980" s="17"/>
    </row>
    <row r="981">
      <c r="A981" s="168"/>
      <c r="B981" s="149"/>
      <c r="C981" s="152"/>
      <c r="D981" s="152"/>
      <c r="E981" s="152"/>
      <c r="F981" s="152"/>
      <c r="G981" s="157"/>
      <c r="H981" s="10"/>
      <c r="I981" s="14"/>
      <c r="J981" s="15"/>
      <c r="K981" s="16"/>
      <c r="L981" s="17"/>
      <c r="M981" s="17"/>
      <c r="N981" s="17"/>
      <c r="O981" s="17"/>
      <c r="P981" s="17"/>
      <c r="Q981" s="17"/>
      <c r="R981" s="17"/>
      <c r="S981" s="17"/>
      <c r="T981" s="17"/>
      <c r="U981" s="17"/>
      <c r="V981" s="17"/>
    </row>
    <row r="982">
      <c r="A982" s="168"/>
      <c r="B982" s="149"/>
      <c r="C982" s="152"/>
      <c r="D982" s="152"/>
      <c r="E982" s="152"/>
      <c r="F982" s="152"/>
      <c r="G982" s="157"/>
      <c r="H982" s="10"/>
      <c r="I982" s="14"/>
      <c r="J982" s="15"/>
      <c r="K982" s="16"/>
      <c r="L982" s="17"/>
      <c r="M982" s="17"/>
      <c r="N982" s="17"/>
      <c r="O982" s="17"/>
      <c r="P982" s="17"/>
      <c r="Q982" s="17"/>
      <c r="R982" s="17"/>
      <c r="S982" s="17"/>
      <c r="T982" s="17"/>
      <c r="U982" s="17"/>
      <c r="V982" s="17"/>
    </row>
    <row r="983">
      <c r="A983" s="168"/>
      <c r="B983" s="149"/>
      <c r="C983" s="152"/>
      <c r="D983" s="152"/>
      <c r="E983" s="152"/>
      <c r="F983" s="152"/>
      <c r="G983" s="157"/>
      <c r="H983" s="10"/>
      <c r="I983" s="14"/>
      <c r="J983" s="15"/>
      <c r="K983" s="16"/>
      <c r="L983" s="17"/>
      <c r="M983" s="17"/>
      <c r="N983" s="17"/>
      <c r="O983" s="17"/>
      <c r="P983" s="17"/>
      <c r="Q983" s="17"/>
      <c r="R983" s="17"/>
      <c r="S983" s="17"/>
      <c r="T983" s="17"/>
      <c r="U983" s="17"/>
      <c r="V983" s="17"/>
    </row>
    <row r="984">
      <c r="A984" s="168"/>
      <c r="B984" s="149"/>
      <c r="C984" s="152"/>
      <c r="D984" s="152"/>
      <c r="E984" s="152"/>
      <c r="F984" s="152"/>
      <c r="G984" s="157"/>
      <c r="H984" s="10"/>
      <c r="I984" s="14"/>
      <c r="J984" s="15"/>
      <c r="K984" s="16"/>
      <c r="L984" s="17"/>
      <c r="M984" s="17"/>
      <c r="N984" s="17"/>
      <c r="O984" s="17"/>
      <c r="P984" s="17"/>
      <c r="Q984" s="17"/>
      <c r="R984" s="17"/>
      <c r="S984" s="17"/>
      <c r="T984" s="17"/>
      <c r="U984" s="17"/>
      <c r="V984" s="17"/>
    </row>
    <row r="985">
      <c r="A985" s="168"/>
      <c r="B985" s="149"/>
      <c r="C985" s="152"/>
      <c r="D985" s="152"/>
      <c r="E985" s="152"/>
      <c r="F985" s="152"/>
      <c r="G985" s="157"/>
      <c r="H985" s="10"/>
      <c r="I985" s="14"/>
      <c r="J985" s="15"/>
      <c r="K985" s="16"/>
      <c r="L985" s="17"/>
      <c r="M985" s="17"/>
      <c r="N985" s="17"/>
      <c r="O985" s="17"/>
      <c r="P985" s="17"/>
      <c r="Q985" s="17"/>
      <c r="R985" s="17"/>
      <c r="S985" s="17"/>
      <c r="T985" s="17"/>
      <c r="U985" s="17"/>
      <c r="V985" s="17"/>
    </row>
    <row r="986">
      <c r="A986" s="168"/>
      <c r="B986" s="149"/>
      <c r="C986" s="152"/>
      <c r="D986" s="152"/>
      <c r="E986" s="152"/>
      <c r="F986" s="152"/>
      <c r="G986" s="157"/>
      <c r="H986" s="10"/>
      <c r="I986" s="14"/>
      <c r="J986" s="15"/>
      <c r="K986" s="16"/>
      <c r="L986" s="17"/>
      <c r="M986" s="17"/>
      <c r="N986" s="17"/>
      <c r="O986" s="17"/>
      <c r="P986" s="17"/>
      <c r="Q986" s="17"/>
      <c r="R986" s="17"/>
      <c r="S986" s="17"/>
      <c r="T986" s="17"/>
      <c r="U986" s="17"/>
      <c r="V986" s="17"/>
    </row>
    <row r="987">
      <c r="A987" s="168"/>
      <c r="B987" s="149"/>
      <c r="C987" s="152"/>
      <c r="D987" s="152"/>
      <c r="E987" s="152"/>
      <c r="F987" s="152"/>
      <c r="G987" s="157"/>
      <c r="H987" s="10"/>
      <c r="I987" s="14"/>
      <c r="J987" s="15"/>
      <c r="K987" s="16"/>
      <c r="L987" s="17"/>
      <c r="M987" s="17"/>
      <c r="N987" s="17"/>
      <c r="O987" s="17"/>
      <c r="P987" s="17"/>
      <c r="Q987" s="17"/>
      <c r="R987" s="17"/>
      <c r="S987" s="17"/>
      <c r="T987" s="17"/>
      <c r="U987" s="17"/>
      <c r="V987" s="17"/>
    </row>
    <row r="988">
      <c r="A988" s="168"/>
      <c r="B988" s="149"/>
      <c r="C988" s="152"/>
      <c r="D988" s="152"/>
      <c r="E988" s="152"/>
      <c r="F988" s="152"/>
      <c r="G988" s="157"/>
      <c r="H988" s="10"/>
      <c r="I988" s="14"/>
      <c r="J988" s="15"/>
      <c r="K988" s="16"/>
      <c r="L988" s="17"/>
      <c r="M988" s="17"/>
      <c r="N988" s="17"/>
      <c r="O988" s="17"/>
      <c r="P988" s="17"/>
      <c r="Q988" s="17"/>
      <c r="R988" s="17"/>
      <c r="S988" s="17"/>
      <c r="T988" s="17"/>
      <c r="U988" s="17"/>
      <c r="V988" s="17"/>
    </row>
    <row r="989">
      <c r="A989" s="168"/>
      <c r="B989" s="149"/>
      <c r="C989" s="152"/>
      <c r="D989" s="152"/>
      <c r="E989" s="152"/>
      <c r="F989" s="152"/>
      <c r="G989" s="157"/>
      <c r="H989" s="10"/>
      <c r="I989" s="14"/>
      <c r="J989" s="15"/>
      <c r="K989" s="16"/>
      <c r="L989" s="17"/>
      <c r="M989" s="17"/>
      <c r="N989" s="17"/>
      <c r="O989" s="17"/>
      <c r="P989" s="17"/>
      <c r="Q989" s="17"/>
      <c r="R989" s="17"/>
      <c r="S989" s="17"/>
      <c r="T989" s="17"/>
      <c r="U989" s="17"/>
      <c r="V989" s="17"/>
    </row>
    <row r="990">
      <c r="A990" s="168"/>
      <c r="B990" s="149"/>
      <c r="C990" s="152"/>
      <c r="D990" s="152"/>
      <c r="E990" s="152"/>
      <c r="F990" s="152"/>
      <c r="G990" s="157"/>
      <c r="H990" s="10"/>
      <c r="I990" s="14"/>
      <c r="J990" s="15"/>
      <c r="K990" s="16"/>
      <c r="L990" s="17"/>
      <c r="M990" s="17"/>
      <c r="N990" s="17"/>
      <c r="O990" s="17"/>
      <c r="P990" s="17"/>
      <c r="Q990" s="17"/>
      <c r="R990" s="17"/>
      <c r="S990" s="17"/>
      <c r="T990" s="17"/>
      <c r="U990" s="17"/>
      <c r="V990" s="17"/>
    </row>
    <row r="991">
      <c r="A991" s="168"/>
      <c r="B991" s="149"/>
      <c r="C991" s="152"/>
      <c r="D991" s="152"/>
      <c r="E991" s="152"/>
      <c r="F991" s="152"/>
      <c r="G991" s="157"/>
      <c r="H991" s="10"/>
      <c r="I991" s="14"/>
      <c r="J991" s="15"/>
      <c r="K991" s="16"/>
      <c r="L991" s="17"/>
      <c r="M991" s="17"/>
      <c r="N991" s="17"/>
      <c r="O991" s="17"/>
      <c r="P991" s="17"/>
      <c r="Q991" s="17"/>
      <c r="R991" s="17"/>
      <c r="S991" s="17"/>
      <c r="T991" s="17"/>
      <c r="U991" s="17"/>
      <c r="V991" s="17"/>
    </row>
    <row r="992">
      <c r="A992" s="168"/>
      <c r="B992" s="149"/>
      <c r="C992" s="152"/>
      <c r="D992" s="152"/>
      <c r="E992" s="152"/>
      <c r="F992" s="152"/>
      <c r="G992" s="157"/>
      <c r="H992" s="10"/>
      <c r="I992" s="14"/>
      <c r="J992" s="15"/>
      <c r="K992" s="16"/>
      <c r="L992" s="17"/>
      <c r="M992" s="17"/>
      <c r="N992" s="17"/>
      <c r="O992" s="17"/>
      <c r="P992" s="17"/>
      <c r="Q992" s="17"/>
      <c r="R992" s="17"/>
      <c r="S992" s="17"/>
      <c r="T992" s="17"/>
      <c r="U992" s="17"/>
      <c r="V992" s="17"/>
    </row>
    <row r="993">
      <c r="A993" s="168"/>
      <c r="B993" s="149"/>
      <c r="C993" s="152"/>
      <c r="D993" s="152"/>
      <c r="E993" s="152"/>
      <c r="F993" s="152"/>
      <c r="G993" s="157"/>
      <c r="H993" s="10"/>
      <c r="I993" s="14"/>
      <c r="J993" s="15"/>
      <c r="K993" s="16"/>
      <c r="L993" s="17"/>
      <c r="M993" s="17"/>
      <c r="N993" s="17"/>
      <c r="O993" s="17"/>
      <c r="P993" s="17"/>
      <c r="Q993" s="17"/>
      <c r="R993" s="17"/>
      <c r="S993" s="17"/>
      <c r="T993" s="17"/>
      <c r="U993" s="17"/>
      <c r="V993" s="17"/>
    </row>
    <row r="994">
      <c r="A994" s="168"/>
      <c r="B994" s="149"/>
      <c r="C994" s="152"/>
      <c r="D994" s="152"/>
      <c r="E994" s="152"/>
      <c r="F994" s="152"/>
      <c r="G994" s="157"/>
      <c r="H994" s="10"/>
      <c r="I994" s="14"/>
      <c r="J994" s="15"/>
      <c r="K994" s="16"/>
      <c r="L994" s="17"/>
      <c r="M994" s="17"/>
      <c r="N994" s="17"/>
      <c r="O994" s="17"/>
      <c r="P994" s="17"/>
      <c r="Q994" s="17"/>
      <c r="R994" s="17"/>
      <c r="S994" s="17"/>
      <c r="T994" s="17"/>
      <c r="U994" s="17"/>
      <c r="V994" s="17"/>
    </row>
    <row r="995">
      <c r="A995" s="168"/>
      <c r="B995" s="149"/>
      <c r="C995" s="152"/>
      <c r="D995" s="152"/>
      <c r="E995" s="152"/>
      <c r="F995" s="152"/>
      <c r="G995" s="157"/>
      <c r="H995" s="10"/>
      <c r="I995" s="14"/>
      <c r="J995" s="15"/>
      <c r="K995" s="16"/>
      <c r="L995" s="17"/>
      <c r="M995" s="17"/>
      <c r="N995" s="17"/>
      <c r="O995" s="17"/>
      <c r="P995" s="17"/>
      <c r="Q995" s="17"/>
      <c r="R995" s="17"/>
      <c r="S995" s="17"/>
      <c r="T995" s="17"/>
      <c r="U995" s="17"/>
      <c r="V995" s="17"/>
    </row>
    <row r="996">
      <c r="A996" s="168"/>
      <c r="B996" s="149"/>
      <c r="C996" s="152"/>
      <c r="D996" s="152"/>
      <c r="E996" s="152"/>
      <c r="F996" s="152"/>
      <c r="G996" s="157"/>
      <c r="H996" s="10"/>
      <c r="I996" s="14"/>
      <c r="J996" s="15"/>
      <c r="K996" s="16"/>
      <c r="L996" s="17"/>
      <c r="M996" s="17"/>
      <c r="N996" s="17"/>
      <c r="O996" s="17"/>
      <c r="P996" s="17"/>
      <c r="Q996" s="17"/>
      <c r="R996" s="17"/>
      <c r="S996" s="17"/>
      <c r="T996" s="17"/>
      <c r="U996" s="17"/>
      <c r="V996" s="17"/>
    </row>
    <row r="997">
      <c r="A997" s="168"/>
      <c r="B997" s="149"/>
      <c r="C997" s="152"/>
      <c r="D997" s="152"/>
      <c r="E997" s="152"/>
      <c r="F997" s="152"/>
      <c r="G997" s="157"/>
      <c r="H997" s="10"/>
      <c r="I997" s="14"/>
      <c r="J997" s="15"/>
      <c r="K997" s="16"/>
      <c r="L997" s="17"/>
      <c r="M997" s="17"/>
      <c r="N997" s="17"/>
      <c r="O997" s="17"/>
      <c r="P997" s="17"/>
      <c r="Q997" s="17"/>
      <c r="R997" s="17"/>
      <c r="S997" s="17"/>
      <c r="T997" s="17"/>
      <c r="U997" s="17"/>
      <c r="V997" s="17"/>
    </row>
    <row r="998">
      <c r="A998" s="168"/>
      <c r="B998" s="149"/>
      <c r="C998" s="152"/>
      <c r="D998" s="152"/>
      <c r="E998" s="152"/>
      <c r="F998" s="152"/>
      <c r="G998" s="157"/>
      <c r="H998" s="10"/>
      <c r="I998" s="14"/>
      <c r="J998" s="15"/>
      <c r="K998" s="16"/>
      <c r="L998" s="17"/>
      <c r="M998" s="17"/>
      <c r="N998" s="17"/>
      <c r="O998" s="17"/>
      <c r="P998" s="17"/>
      <c r="Q998" s="17"/>
      <c r="R998" s="17"/>
      <c r="S998" s="17"/>
      <c r="T998" s="17"/>
      <c r="U998" s="17"/>
      <c r="V998" s="17"/>
    </row>
    <row r="999">
      <c r="A999" s="168"/>
      <c r="B999" s="149"/>
      <c r="C999" s="152"/>
      <c r="D999" s="152"/>
      <c r="E999" s="152"/>
      <c r="F999" s="152"/>
      <c r="G999" s="157"/>
      <c r="H999" s="10"/>
      <c r="I999" s="14"/>
      <c r="J999" s="15"/>
      <c r="K999" s="16"/>
      <c r="L999" s="17"/>
      <c r="M999" s="17"/>
      <c r="N999" s="17"/>
      <c r="O999" s="17"/>
      <c r="P999" s="17"/>
      <c r="Q999" s="17"/>
      <c r="R999" s="17"/>
      <c r="S999" s="17"/>
      <c r="T999" s="17"/>
      <c r="U999" s="17"/>
      <c r="V999" s="17"/>
    </row>
    <row r="1000">
      <c r="A1000" s="168"/>
      <c r="B1000" s="149"/>
      <c r="C1000" s="152"/>
      <c r="D1000" s="152"/>
      <c r="E1000" s="152"/>
      <c r="F1000" s="152"/>
      <c r="G1000" s="157"/>
      <c r="H1000" s="10"/>
      <c r="I1000" s="14"/>
      <c r="J1000" s="15"/>
      <c r="K1000" s="16"/>
      <c r="L1000" s="17"/>
      <c r="M1000" s="17"/>
      <c r="N1000" s="17"/>
      <c r="O1000" s="17"/>
      <c r="P1000" s="17"/>
      <c r="Q1000" s="17"/>
      <c r="R1000" s="17"/>
      <c r="S1000" s="17"/>
      <c r="T1000" s="17"/>
      <c r="U1000" s="17"/>
      <c r="V1000" s="17"/>
    </row>
    <row r="1001">
      <c r="A1001" s="168"/>
      <c r="B1001" s="149"/>
      <c r="C1001" s="152"/>
      <c r="D1001" s="152"/>
      <c r="E1001" s="152"/>
      <c r="F1001" s="152"/>
      <c r="G1001" s="157"/>
      <c r="H1001" s="10"/>
      <c r="I1001" s="14"/>
      <c r="J1001" s="15"/>
      <c r="K1001" s="16"/>
      <c r="L1001" s="17"/>
      <c r="M1001" s="17"/>
      <c r="N1001" s="17"/>
      <c r="O1001" s="17"/>
      <c r="P1001" s="17"/>
      <c r="Q1001" s="17"/>
      <c r="R1001" s="17"/>
      <c r="S1001" s="17"/>
      <c r="T1001" s="17"/>
      <c r="U1001" s="17"/>
      <c r="V1001" s="17"/>
    </row>
    <row r="1002">
      <c r="A1002" s="168"/>
      <c r="B1002" s="149"/>
      <c r="C1002" s="152"/>
      <c r="D1002" s="152"/>
      <c r="E1002" s="152"/>
      <c r="F1002" s="152"/>
      <c r="G1002" s="157"/>
      <c r="H1002" s="10"/>
      <c r="I1002" s="14"/>
      <c r="J1002" s="15"/>
      <c r="K1002" s="16"/>
      <c r="L1002" s="17"/>
      <c r="M1002" s="17"/>
      <c r="N1002" s="17"/>
      <c r="O1002" s="17"/>
      <c r="P1002" s="17"/>
      <c r="Q1002" s="17"/>
      <c r="R1002" s="17"/>
      <c r="S1002" s="17"/>
      <c r="T1002" s="17"/>
      <c r="U1002" s="17"/>
      <c r="V1002" s="17"/>
    </row>
    <row r="1003">
      <c r="A1003" s="168"/>
      <c r="B1003" s="149"/>
      <c r="C1003" s="152"/>
      <c r="D1003" s="152"/>
      <c r="E1003" s="152"/>
      <c r="F1003" s="152"/>
      <c r="G1003" s="157"/>
      <c r="H1003" s="10"/>
      <c r="I1003" s="14"/>
      <c r="J1003" s="15"/>
      <c r="K1003" s="16"/>
      <c r="L1003" s="17"/>
      <c r="M1003" s="17"/>
      <c r="N1003" s="17"/>
      <c r="O1003" s="17"/>
      <c r="P1003" s="17"/>
      <c r="Q1003" s="17"/>
      <c r="R1003" s="17"/>
      <c r="S1003" s="17"/>
      <c r="T1003" s="17"/>
      <c r="U1003" s="17"/>
      <c r="V1003" s="17"/>
    </row>
    <row r="1004">
      <c r="A1004" s="168"/>
      <c r="B1004" s="149"/>
      <c r="C1004" s="152"/>
      <c r="D1004" s="152"/>
      <c r="E1004" s="152"/>
      <c r="F1004" s="152"/>
      <c r="G1004" s="157"/>
      <c r="H1004" s="10"/>
      <c r="I1004" s="14"/>
      <c r="J1004" s="15"/>
      <c r="K1004" s="16"/>
      <c r="L1004" s="17"/>
      <c r="M1004" s="17"/>
      <c r="N1004" s="17"/>
      <c r="O1004" s="17"/>
      <c r="P1004" s="17"/>
      <c r="Q1004" s="17"/>
      <c r="R1004" s="17"/>
      <c r="S1004" s="17"/>
      <c r="T1004" s="17"/>
      <c r="U1004" s="17"/>
      <c r="V1004" s="17"/>
    </row>
    <row r="1005">
      <c r="A1005" s="168"/>
      <c r="B1005" s="149"/>
      <c r="C1005" s="152"/>
      <c r="D1005" s="152"/>
      <c r="E1005" s="152"/>
      <c r="F1005" s="152"/>
      <c r="G1005" s="157"/>
      <c r="H1005" s="10"/>
      <c r="I1005" s="14"/>
      <c r="J1005" s="15"/>
      <c r="K1005" s="16"/>
      <c r="L1005" s="17"/>
      <c r="M1005" s="17"/>
      <c r="N1005" s="17"/>
      <c r="O1005" s="17"/>
      <c r="P1005" s="17"/>
      <c r="Q1005" s="17"/>
      <c r="R1005" s="17"/>
      <c r="S1005" s="17"/>
      <c r="T1005" s="17"/>
      <c r="U1005" s="17"/>
      <c r="V1005" s="17"/>
    </row>
    <row r="1006">
      <c r="A1006" s="168"/>
      <c r="B1006" s="149"/>
      <c r="C1006" s="152"/>
      <c r="D1006" s="152"/>
      <c r="E1006" s="152"/>
      <c r="F1006" s="152"/>
      <c r="G1006" s="157"/>
      <c r="H1006" s="10"/>
      <c r="I1006" s="14"/>
      <c r="J1006" s="15"/>
      <c r="K1006" s="16"/>
      <c r="L1006" s="17"/>
      <c r="M1006" s="17"/>
      <c r="N1006" s="17"/>
      <c r="O1006" s="17"/>
      <c r="P1006" s="17"/>
      <c r="Q1006" s="17"/>
      <c r="R1006" s="17"/>
      <c r="S1006" s="17"/>
      <c r="T1006" s="17"/>
      <c r="U1006" s="17"/>
      <c r="V1006" s="17"/>
    </row>
    <row r="1007">
      <c r="A1007" s="168"/>
      <c r="B1007" s="149"/>
      <c r="C1007" s="152"/>
      <c r="D1007" s="152"/>
      <c r="E1007" s="152"/>
      <c r="F1007" s="152"/>
      <c r="G1007" s="157"/>
      <c r="H1007" s="10"/>
      <c r="I1007" s="14"/>
      <c r="J1007" s="15"/>
      <c r="K1007" s="16"/>
      <c r="L1007" s="17"/>
      <c r="M1007" s="17"/>
      <c r="N1007" s="17"/>
      <c r="O1007" s="17"/>
      <c r="P1007" s="17"/>
      <c r="Q1007" s="17"/>
      <c r="R1007" s="17"/>
      <c r="S1007" s="17"/>
      <c r="T1007" s="17"/>
      <c r="U1007" s="17"/>
      <c r="V1007" s="17"/>
    </row>
    <row r="1008">
      <c r="A1008" s="168"/>
      <c r="B1008" s="149"/>
      <c r="C1008" s="152"/>
      <c r="D1008" s="152"/>
      <c r="E1008" s="152"/>
      <c r="F1008" s="152"/>
      <c r="G1008" s="157"/>
      <c r="H1008" s="10"/>
      <c r="I1008" s="14"/>
      <c r="J1008" s="15"/>
      <c r="K1008" s="16"/>
      <c r="L1008" s="17"/>
      <c r="M1008" s="17"/>
      <c r="N1008" s="17"/>
      <c r="O1008" s="17"/>
      <c r="P1008" s="17"/>
      <c r="Q1008" s="17"/>
      <c r="R1008" s="17"/>
      <c r="S1008" s="17"/>
      <c r="T1008" s="17"/>
      <c r="U1008" s="17"/>
      <c r="V1008" s="17"/>
    </row>
    <row r="1009">
      <c r="A1009" s="168"/>
      <c r="B1009" s="149"/>
      <c r="C1009" s="152"/>
      <c r="D1009" s="152"/>
      <c r="E1009" s="152"/>
      <c r="F1009" s="152"/>
      <c r="G1009" s="157"/>
      <c r="H1009" s="10"/>
      <c r="I1009" s="14"/>
      <c r="J1009" s="15"/>
      <c r="K1009" s="16"/>
      <c r="L1009" s="17"/>
      <c r="M1009" s="17"/>
      <c r="N1009" s="17"/>
      <c r="O1009" s="17"/>
      <c r="P1009" s="17"/>
      <c r="Q1009" s="17"/>
      <c r="R1009" s="17"/>
      <c r="S1009" s="17"/>
      <c r="T1009" s="17"/>
      <c r="U1009" s="17"/>
      <c r="V1009" s="17"/>
    </row>
    <row r="1010">
      <c r="A1010" s="168"/>
      <c r="B1010" s="149"/>
      <c r="C1010" s="152"/>
      <c r="D1010" s="152"/>
      <c r="E1010" s="152"/>
      <c r="F1010" s="152"/>
      <c r="G1010" s="157"/>
      <c r="H1010" s="10"/>
      <c r="I1010" s="14"/>
      <c r="J1010" s="15"/>
      <c r="K1010" s="16"/>
      <c r="L1010" s="17"/>
      <c r="M1010" s="17"/>
      <c r="N1010" s="17"/>
      <c r="O1010" s="17"/>
      <c r="P1010" s="17"/>
      <c r="Q1010" s="17"/>
      <c r="R1010" s="17"/>
      <c r="S1010" s="17"/>
      <c r="T1010" s="17"/>
      <c r="U1010" s="17"/>
      <c r="V1010" s="17"/>
    </row>
    <row r="1011">
      <c r="A1011" s="168"/>
      <c r="B1011" s="149"/>
      <c r="C1011" s="152"/>
      <c r="D1011" s="152"/>
      <c r="E1011" s="152"/>
      <c r="F1011" s="152"/>
      <c r="G1011" s="157"/>
      <c r="H1011" s="10"/>
      <c r="I1011" s="14"/>
      <c r="J1011" s="15"/>
      <c r="K1011" s="16"/>
      <c r="L1011" s="17"/>
      <c r="M1011" s="17"/>
      <c r="N1011" s="17"/>
      <c r="O1011" s="17"/>
      <c r="P1011" s="17"/>
      <c r="Q1011" s="17"/>
      <c r="R1011" s="17"/>
      <c r="S1011" s="17"/>
      <c r="T1011" s="17"/>
      <c r="U1011" s="17"/>
      <c r="V1011" s="17"/>
    </row>
    <row r="1012">
      <c r="A1012" s="168"/>
      <c r="B1012" s="149"/>
      <c r="C1012" s="152"/>
      <c r="D1012" s="152"/>
      <c r="E1012" s="152"/>
      <c r="F1012" s="152"/>
      <c r="G1012" s="157"/>
      <c r="H1012" s="10"/>
      <c r="I1012" s="14"/>
      <c r="J1012" s="15"/>
      <c r="K1012" s="16"/>
      <c r="L1012" s="17"/>
      <c r="M1012" s="17"/>
      <c r="N1012" s="17"/>
      <c r="O1012" s="17"/>
      <c r="P1012" s="17"/>
      <c r="Q1012" s="17"/>
      <c r="R1012" s="17"/>
      <c r="S1012" s="17"/>
      <c r="T1012" s="17"/>
      <c r="U1012" s="17"/>
      <c r="V1012" s="17"/>
    </row>
    <row r="1013">
      <c r="A1013" s="168"/>
      <c r="B1013" s="149"/>
      <c r="C1013" s="152"/>
      <c r="D1013" s="152"/>
      <c r="E1013" s="152"/>
      <c r="F1013" s="152"/>
      <c r="G1013" s="157"/>
      <c r="H1013" s="10"/>
      <c r="I1013" s="14"/>
      <c r="J1013" s="15"/>
      <c r="K1013" s="16"/>
      <c r="L1013" s="17"/>
      <c r="M1013" s="17"/>
      <c r="N1013" s="17"/>
      <c r="O1013" s="17"/>
      <c r="P1013" s="17"/>
      <c r="Q1013" s="17"/>
      <c r="R1013" s="17"/>
      <c r="S1013" s="17"/>
      <c r="T1013" s="17"/>
      <c r="U1013" s="17"/>
      <c r="V1013" s="17"/>
    </row>
    <row r="1014">
      <c r="A1014" s="168"/>
      <c r="B1014" s="149"/>
      <c r="C1014" s="152"/>
      <c r="D1014" s="152"/>
      <c r="E1014" s="152"/>
      <c r="F1014" s="152"/>
      <c r="G1014" s="157"/>
      <c r="H1014" s="10"/>
      <c r="I1014" s="14"/>
      <c r="J1014" s="15"/>
      <c r="K1014" s="16"/>
      <c r="L1014" s="17"/>
      <c r="M1014" s="17"/>
      <c r="N1014" s="17"/>
      <c r="O1014" s="17"/>
      <c r="P1014" s="17"/>
      <c r="Q1014" s="17"/>
      <c r="R1014" s="17"/>
      <c r="S1014" s="17"/>
      <c r="T1014" s="17"/>
      <c r="U1014" s="17"/>
      <c r="V1014" s="17"/>
    </row>
    <row r="1015">
      <c r="A1015" s="168"/>
      <c r="B1015" s="149"/>
      <c r="C1015" s="152"/>
      <c r="D1015" s="152"/>
      <c r="E1015" s="152"/>
      <c r="F1015" s="152"/>
      <c r="G1015" s="157"/>
      <c r="H1015" s="10"/>
      <c r="I1015" s="14"/>
      <c r="J1015" s="15"/>
      <c r="K1015" s="16"/>
      <c r="L1015" s="17"/>
      <c r="M1015" s="17"/>
      <c r="N1015" s="17"/>
      <c r="O1015" s="17"/>
      <c r="P1015" s="17"/>
      <c r="Q1015" s="17"/>
      <c r="R1015" s="17"/>
      <c r="S1015" s="17"/>
      <c r="T1015" s="17"/>
      <c r="U1015" s="17"/>
      <c r="V1015" s="17"/>
    </row>
    <row r="1016">
      <c r="A1016" s="168"/>
      <c r="B1016" s="149"/>
      <c r="C1016" s="152"/>
      <c r="D1016" s="152"/>
      <c r="E1016" s="152"/>
      <c r="F1016" s="152"/>
      <c r="G1016" s="157"/>
      <c r="H1016" s="10"/>
      <c r="I1016" s="14"/>
      <c r="J1016" s="15"/>
      <c r="K1016" s="16"/>
      <c r="L1016" s="17"/>
      <c r="M1016" s="17"/>
      <c r="N1016" s="17"/>
      <c r="O1016" s="17"/>
      <c r="P1016" s="17"/>
      <c r="Q1016" s="17"/>
      <c r="R1016" s="17"/>
      <c r="S1016" s="17"/>
      <c r="T1016" s="17"/>
      <c r="U1016" s="17"/>
      <c r="V1016" s="17"/>
    </row>
    <row r="1017">
      <c r="A1017" s="168"/>
      <c r="B1017" s="149"/>
      <c r="C1017" s="152"/>
      <c r="D1017" s="152"/>
      <c r="E1017" s="152"/>
      <c r="F1017" s="152"/>
      <c r="G1017" s="157"/>
      <c r="H1017" s="10"/>
      <c r="I1017" s="14"/>
      <c r="J1017" s="15"/>
      <c r="K1017" s="16"/>
      <c r="L1017" s="17"/>
      <c r="M1017" s="17"/>
      <c r="N1017" s="17"/>
      <c r="O1017" s="17"/>
      <c r="P1017" s="17"/>
      <c r="Q1017" s="17"/>
      <c r="R1017" s="17"/>
      <c r="S1017" s="17"/>
      <c r="T1017" s="17"/>
      <c r="U1017" s="17"/>
      <c r="V1017" s="17"/>
    </row>
    <row r="1018">
      <c r="A1018" s="168"/>
      <c r="B1018" s="149"/>
      <c r="C1018" s="152"/>
      <c r="D1018" s="152"/>
      <c r="E1018" s="152"/>
      <c r="F1018" s="152"/>
      <c r="G1018" s="157"/>
      <c r="H1018" s="10"/>
      <c r="I1018" s="14"/>
      <c r="J1018" s="15"/>
      <c r="K1018" s="16"/>
      <c r="L1018" s="17"/>
      <c r="M1018" s="17"/>
      <c r="N1018" s="17"/>
      <c r="O1018" s="17"/>
      <c r="P1018" s="17"/>
      <c r="Q1018" s="17"/>
      <c r="R1018" s="17"/>
      <c r="S1018" s="17"/>
      <c r="T1018" s="17"/>
      <c r="U1018" s="17"/>
      <c r="V1018" s="17"/>
    </row>
    <row r="1019">
      <c r="A1019" s="17"/>
      <c r="B1019" s="17"/>
      <c r="C1019" s="17"/>
      <c r="D1019" s="169"/>
      <c r="E1019" s="169"/>
      <c r="F1019" s="169"/>
      <c r="G1019" s="156"/>
      <c r="H1019" s="156"/>
      <c r="I1019" s="17"/>
      <c r="J1019" s="15"/>
      <c r="K1019" s="16"/>
      <c r="L1019" s="17"/>
      <c r="M1019" s="17"/>
      <c r="N1019" s="17"/>
      <c r="O1019" s="17"/>
      <c r="P1019" s="17"/>
      <c r="Q1019" s="17"/>
      <c r="R1019" s="17"/>
      <c r="S1019" s="17"/>
      <c r="T1019" s="17"/>
      <c r="U1019" s="17"/>
      <c r="V1019" s="17"/>
    </row>
    <row r="1020">
      <c r="A1020" s="17"/>
      <c r="B1020" s="17"/>
      <c r="C1020" s="17"/>
      <c r="D1020" s="169"/>
      <c r="E1020" s="169"/>
      <c r="F1020" s="169"/>
      <c r="G1020" s="156"/>
      <c r="H1020" s="156"/>
      <c r="I1020" s="17"/>
      <c r="J1020" s="15"/>
      <c r="K1020" s="16"/>
      <c r="L1020" s="17"/>
      <c r="M1020" s="17"/>
      <c r="N1020" s="17"/>
      <c r="O1020" s="17"/>
      <c r="P1020" s="17"/>
      <c r="Q1020" s="17"/>
      <c r="R1020" s="17"/>
      <c r="S1020" s="17"/>
      <c r="T1020" s="17"/>
      <c r="U1020" s="17"/>
      <c r="V1020" s="17"/>
    </row>
    <row r="1021">
      <c r="A1021" s="17"/>
      <c r="B1021" s="17"/>
      <c r="C1021" s="17"/>
      <c r="D1021" s="169"/>
      <c r="E1021" s="169"/>
      <c r="F1021" s="169"/>
      <c r="G1021" s="156"/>
      <c r="H1021" s="156"/>
      <c r="I1021" s="17"/>
      <c r="J1021" s="15"/>
      <c r="K1021" s="16"/>
      <c r="L1021" s="17"/>
      <c r="M1021" s="17"/>
      <c r="N1021" s="17"/>
      <c r="O1021" s="17"/>
      <c r="P1021" s="17"/>
      <c r="Q1021" s="17"/>
      <c r="R1021" s="17"/>
      <c r="S1021" s="17"/>
      <c r="T1021" s="17"/>
      <c r="U1021" s="17"/>
      <c r="V1021" s="17"/>
    </row>
    <row r="1022">
      <c r="A1022" s="17"/>
      <c r="B1022" s="17"/>
      <c r="C1022" s="17"/>
      <c r="D1022" s="169"/>
      <c r="E1022" s="169"/>
      <c r="F1022" s="169"/>
      <c r="G1022" s="156"/>
      <c r="H1022" s="156"/>
      <c r="I1022" s="17"/>
      <c r="J1022" s="15"/>
      <c r="K1022" s="16"/>
      <c r="L1022" s="17"/>
      <c r="M1022" s="17"/>
      <c r="N1022" s="17"/>
      <c r="O1022" s="17"/>
      <c r="P1022" s="17"/>
      <c r="Q1022" s="17"/>
      <c r="R1022" s="17"/>
      <c r="S1022" s="17"/>
      <c r="T1022" s="17"/>
      <c r="U1022" s="17"/>
      <c r="V1022" s="17"/>
    </row>
  </sheetData>
  <customSheetViews>
    <customSheetView guid="{A859DBA1-A43E-436E-9070-9BA6AEDC559F}" filter="1" showAutoFilter="1">
      <autoFilter ref="$A$1:$V$443"/>
    </customSheetView>
  </customSheetViews>
  <mergeCells count="163">
    <mergeCell ref="H18:H42"/>
    <mergeCell ref="I18:I42"/>
    <mergeCell ref="J18:J42"/>
    <mergeCell ref="K18:K42"/>
    <mergeCell ref="J1:K1"/>
    <mergeCell ref="A18:A42"/>
    <mergeCell ref="C18:C42"/>
    <mergeCell ref="D18:D42"/>
    <mergeCell ref="E18:E42"/>
    <mergeCell ref="F18:F42"/>
    <mergeCell ref="G18:G42"/>
    <mergeCell ref="E58:E59"/>
    <mergeCell ref="F58:F59"/>
    <mergeCell ref="J58:J59"/>
    <mergeCell ref="K58:K59"/>
    <mergeCell ref="A52:A54"/>
    <mergeCell ref="C52:C54"/>
    <mergeCell ref="E52:E54"/>
    <mergeCell ref="F52:F54"/>
    <mergeCell ref="H52:H54"/>
    <mergeCell ref="A58:A59"/>
    <mergeCell ref="C58:C59"/>
    <mergeCell ref="A65:A66"/>
    <mergeCell ref="C65:C66"/>
    <mergeCell ref="E65:E66"/>
    <mergeCell ref="C82:C84"/>
    <mergeCell ref="E82:E84"/>
    <mergeCell ref="G82:G84"/>
    <mergeCell ref="H82:H84"/>
    <mergeCell ref="A82:A84"/>
    <mergeCell ref="C89:C90"/>
    <mergeCell ref="E89:E90"/>
    <mergeCell ref="F89:F90"/>
    <mergeCell ref="G89:G90"/>
    <mergeCell ref="H89:H90"/>
    <mergeCell ref="I89:I90"/>
    <mergeCell ref="A89:A90"/>
    <mergeCell ref="A98:A103"/>
    <mergeCell ref="C98:C103"/>
    <mergeCell ref="E98:E103"/>
    <mergeCell ref="F98:F103"/>
    <mergeCell ref="G98:G103"/>
    <mergeCell ref="A104:A105"/>
    <mergeCell ref="B106:B107"/>
    <mergeCell ref="C106:C107"/>
    <mergeCell ref="E106:E107"/>
    <mergeCell ref="F106:F107"/>
    <mergeCell ref="G106:G107"/>
    <mergeCell ref="H106:H107"/>
    <mergeCell ref="I106:I107"/>
    <mergeCell ref="F113:F116"/>
    <mergeCell ref="G113:G115"/>
    <mergeCell ref="H113:H116"/>
    <mergeCell ref="C113:C116"/>
    <mergeCell ref="C121:C127"/>
    <mergeCell ref="E121:E127"/>
    <mergeCell ref="F121:F127"/>
    <mergeCell ref="A106:A107"/>
    <mergeCell ref="A109:A110"/>
    <mergeCell ref="E109:E110"/>
    <mergeCell ref="F109:F110"/>
    <mergeCell ref="A113:A115"/>
    <mergeCell ref="E113:E116"/>
    <mergeCell ref="A121:A127"/>
    <mergeCell ref="A133:A136"/>
    <mergeCell ref="C133:C135"/>
    <mergeCell ref="E133:E135"/>
    <mergeCell ref="F133:F135"/>
    <mergeCell ref="C143:C144"/>
    <mergeCell ref="E143:E144"/>
    <mergeCell ref="F143:F144"/>
    <mergeCell ref="C194:C199"/>
    <mergeCell ref="C203:C204"/>
    <mergeCell ref="C168:C173"/>
    <mergeCell ref="C176:C180"/>
    <mergeCell ref="C181:C182"/>
    <mergeCell ref="C184:C186"/>
    <mergeCell ref="C190:C191"/>
    <mergeCell ref="D194:D199"/>
    <mergeCell ref="E194:E199"/>
    <mergeCell ref="A176:A180"/>
    <mergeCell ref="A181:A182"/>
    <mergeCell ref="A184:A187"/>
    <mergeCell ref="A190:A191"/>
    <mergeCell ref="A194:A199"/>
    <mergeCell ref="A203:A204"/>
    <mergeCell ref="A209:A210"/>
    <mergeCell ref="A257:A259"/>
    <mergeCell ref="A261:A263"/>
    <mergeCell ref="A272:A273"/>
    <mergeCell ref="A280:A287"/>
    <mergeCell ref="A301:A323"/>
    <mergeCell ref="C301:C323"/>
    <mergeCell ref="A217:A219"/>
    <mergeCell ref="A222:A224"/>
    <mergeCell ref="A226:A227"/>
    <mergeCell ref="A228:A229"/>
    <mergeCell ref="A238:A239"/>
    <mergeCell ref="A249:A250"/>
    <mergeCell ref="A253:A255"/>
    <mergeCell ref="F217:F219"/>
    <mergeCell ref="F222:F224"/>
    <mergeCell ref="A214:A216"/>
    <mergeCell ref="C214:C216"/>
    <mergeCell ref="H214:H216"/>
    <mergeCell ref="I214:I216"/>
    <mergeCell ref="C217:C219"/>
    <mergeCell ref="G217:G219"/>
    <mergeCell ref="C222:C224"/>
    <mergeCell ref="H261:H263"/>
    <mergeCell ref="I261:I263"/>
    <mergeCell ref="G301:G323"/>
    <mergeCell ref="C272:C273"/>
    <mergeCell ref="G272:G273"/>
    <mergeCell ref="C249:C250"/>
    <mergeCell ref="C253:C255"/>
    <mergeCell ref="D253:D255"/>
    <mergeCell ref="E253:E255"/>
    <mergeCell ref="I253:I255"/>
    <mergeCell ref="C261:C263"/>
    <mergeCell ref="D261:D263"/>
    <mergeCell ref="F148:F150"/>
    <mergeCell ref="F161:F163"/>
    <mergeCell ref="F168:F173"/>
    <mergeCell ref="F194:F199"/>
    <mergeCell ref="A143:A144"/>
    <mergeCell ref="A148:A150"/>
    <mergeCell ref="C148:C150"/>
    <mergeCell ref="E148:E150"/>
    <mergeCell ref="G148:G150"/>
    <mergeCell ref="H148:H150"/>
    <mergeCell ref="G161:G162"/>
    <mergeCell ref="H168:H173"/>
    <mergeCell ref="I168:I173"/>
    <mergeCell ref="A161:A163"/>
    <mergeCell ref="C162:C163"/>
    <mergeCell ref="E162:E163"/>
    <mergeCell ref="A168:A173"/>
    <mergeCell ref="E168:E173"/>
    <mergeCell ref="G168:G173"/>
    <mergeCell ref="G176:G177"/>
    <mergeCell ref="G184:G186"/>
    <mergeCell ref="H184:H186"/>
    <mergeCell ref="G190:G191"/>
    <mergeCell ref="H194:H199"/>
    <mergeCell ref="I194:I199"/>
    <mergeCell ref="G196:G198"/>
    <mergeCell ref="G203:G204"/>
    <mergeCell ref="H203:H204"/>
    <mergeCell ref="E176:E180"/>
    <mergeCell ref="F176:F180"/>
    <mergeCell ref="H178:H180"/>
    <mergeCell ref="E181:E182"/>
    <mergeCell ref="F181:F182"/>
    <mergeCell ref="E184:E186"/>
    <mergeCell ref="F184:F186"/>
    <mergeCell ref="C226:C227"/>
    <mergeCell ref="G226:G227"/>
    <mergeCell ref="H226:H227"/>
    <mergeCell ref="E228:E229"/>
    <mergeCell ref="H228:H229"/>
    <mergeCell ref="C238:C239"/>
    <mergeCell ref="D249:D250"/>
  </mergeCells>
  <conditionalFormatting sqref="E1:E1022">
    <cfRule type="containsText" dxfId="0" priority="1" operator="containsText" text="不要">
      <formula>NOT(ISERROR(SEARCH(("不要"),(E1))))</formula>
    </cfRule>
  </conditionalFormatting>
  <dataValidations>
    <dataValidation type="list" allowBlank="1" showErrorMessage="1" sqref="J18 J58 J67:J81 J137:J142 J145:J150 J176:J180 J230:J237 J240:J248 J253:J256 J280:J300 J324:J1022">
      <formula1>"○,○※,×"</formula1>
    </dataValidation>
  </dataValidations>
  <hyperlinks>
    <hyperlink display="コピーライト一覧はここ&#10;上記になければ基本ルール通り作成してください。" location="'LINEコピーライト一覧'!A1" ref="H45"/>
    <hyperlink display="■オーバーラップ_特殊コピーライト一覧&#10;&#10;【通常ルール】&#10;ボンデジ作品、BLTL作品につきましては&#10;すべて「（C）作家名／オーバーラップ」にて統一。（「／」は全角で統一）&#10;(「LiQulle（リキューレ）」作品も上記ルールが適用されます)&#10;&#10;単話、もしくはBLTL作品については&#10;(C)漫画著者・原作者／オーバーラップ&#10;&#10;単行本（BLTL以外）の場合は&#10;(C)著者名　(C)原作者名／オーバーラップ&#10;&#10;②他版元合同の場合は、表記を合わせる。&#10;&#10;③オーバーラップ書籍コミカライズ作品（C）表記&#10;(C)漫画著者 (C)原作者／オーバーラップ&#10;※キャラクター原案の表記は不要&#10;&#10;※(C)漫画著者■(C)原作者／オーバーラップ&#10;■＝全角スペース　&#10;※複数作品使用の際は、各作品で使用するスペースが全角と半角で混ざらないように、全角スペースで統一してください。" location="'オーバーラップ_コピーライト一覧'!A1" ref="G91"/>
    <hyperlink display="スクウェア・エニックス&#10;&#10;■バナー内にタイトル名記載必須&#10;&#10;上記になければタイトル詳細のあらすじ内参照" location="'スクエニコピーライト一覧'!A1" ref="G139"/>
    <hyperlink display="コピーライト一覧&#10;書影のみ使用なら事前確認不要" location="'ヒーローズコピーライト一覧'!A1" ref="H174"/>
    <hyperlink r:id="rId1" location="slide=id.g347ea5e10b4_0_0" ref="E256"/>
    <hyperlink display="・アダルト媒体での出稿はNG。&#10;・制作不可タイトルあり（下記シートに記載以外の作品は制作OKになりました。）&#10;　⇒外部出稿NGタイトルシート参照" location="'外部出稿用NGタイトル'!A1" ref="H338"/>
    <hyperlink r:id="rId2" ref="H347"/>
  </hyperlinks>
  <printOptions/>
  <pageMargins bottom="0.75" footer="0.0" header="0.0" left="0.7" right="0.7" top="0.75"/>
  <pageSetup orientation="landscape"/>
  <drawing r:id="rId3"/>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FF00"/>
    <pageSetUpPr/>
  </sheetPr>
  <sheetViews>
    <sheetView workbookViewId="0">
      <pane ySplit="2.0" topLeftCell="A3" activePane="bottomLeft" state="frozen"/>
      <selection activeCell="B4" sqref="B4" pane="bottomLeft"/>
    </sheetView>
  </sheetViews>
  <sheetFormatPr customHeight="1" defaultColWidth="14.43" defaultRowHeight="15.0"/>
  <cols>
    <col customWidth="1" min="1" max="1" width="32.57"/>
    <col customWidth="1" min="2" max="2" width="12.14"/>
    <col customWidth="1" min="3" max="3" width="9.29"/>
    <col customWidth="1" min="4" max="4" width="37.57"/>
    <col customWidth="1" min="5" max="5" width="103.57"/>
    <col customWidth="1" min="6" max="6" width="84.57"/>
    <col customWidth="1" min="7" max="26" width="6.57"/>
  </cols>
  <sheetData>
    <row r="1" ht="15.75" customHeight="1">
      <c r="A1" s="170" t="s">
        <v>0</v>
      </c>
      <c r="B1" s="171"/>
      <c r="C1" s="172"/>
      <c r="D1" s="173"/>
      <c r="E1" s="174"/>
      <c r="F1" s="174"/>
      <c r="G1" s="175"/>
      <c r="H1" s="175"/>
      <c r="I1" s="175"/>
      <c r="J1" s="175"/>
      <c r="K1" s="175"/>
      <c r="L1" s="175"/>
      <c r="M1" s="175"/>
      <c r="N1" s="175"/>
      <c r="O1" s="175"/>
      <c r="P1" s="175"/>
      <c r="Q1" s="175"/>
      <c r="R1" s="175"/>
      <c r="S1" s="175"/>
      <c r="T1" s="175"/>
      <c r="U1" s="175"/>
      <c r="V1" s="175"/>
      <c r="W1" s="175"/>
      <c r="X1" s="175"/>
      <c r="Y1" s="175"/>
      <c r="Z1" s="175"/>
    </row>
    <row r="2" ht="25.5" customHeight="1">
      <c r="A2" s="176" t="s">
        <v>1</v>
      </c>
      <c r="B2" s="177" t="s">
        <v>2</v>
      </c>
      <c r="C2" s="178" t="s">
        <v>3</v>
      </c>
      <c r="D2" s="179" t="s">
        <v>4</v>
      </c>
      <c r="E2" s="176" t="s">
        <v>5</v>
      </c>
      <c r="F2" s="176" t="s">
        <v>6</v>
      </c>
      <c r="G2" s="180"/>
      <c r="H2" s="180"/>
      <c r="I2" s="180"/>
      <c r="J2" s="180"/>
      <c r="K2" s="180"/>
      <c r="L2" s="180"/>
      <c r="M2" s="180"/>
      <c r="N2" s="180"/>
      <c r="O2" s="180"/>
      <c r="P2" s="180"/>
      <c r="Q2" s="180"/>
      <c r="R2" s="180"/>
      <c r="S2" s="180"/>
      <c r="T2" s="180"/>
      <c r="U2" s="180"/>
      <c r="V2" s="180"/>
      <c r="W2" s="180"/>
      <c r="X2" s="180"/>
      <c r="Y2" s="180"/>
      <c r="Z2" s="180"/>
    </row>
    <row r="3">
      <c r="A3" s="181" t="s">
        <v>7</v>
      </c>
      <c r="B3" s="182">
        <v>43916.0</v>
      </c>
      <c r="C3" s="183"/>
      <c r="D3" s="184"/>
      <c r="E3" s="185" t="s">
        <v>8</v>
      </c>
      <c r="F3" s="186" t="s">
        <v>9</v>
      </c>
      <c r="G3" s="175"/>
      <c r="H3" s="175"/>
      <c r="I3" s="175"/>
      <c r="J3" s="175"/>
      <c r="K3" s="175"/>
      <c r="L3" s="175"/>
      <c r="M3" s="175"/>
      <c r="N3" s="175"/>
      <c r="O3" s="175"/>
      <c r="P3" s="175"/>
      <c r="Q3" s="175"/>
      <c r="R3" s="175"/>
      <c r="S3" s="175"/>
      <c r="T3" s="175"/>
      <c r="U3" s="175"/>
      <c r="V3" s="175"/>
      <c r="W3" s="175"/>
      <c r="X3" s="175"/>
      <c r="Y3" s="175"/>
      <c r="Z3" s="175"/>
    </row>
    <row r="4">
      <c r="A4" s="181" t="s">
        <v>7</v>
      </c>
      <c r="B4" s="182">
        <v>43963.0</v>
      </c>
      <c r="C4" s="183"/>
      <c r="D4" s="184"/>
      <c r="E4" s="187" t="s">
        <v>10</v>
      </c>
      <c r="F4" s="188" t="s">
        <v>11</v>
      </c>
      <c r="G4" s="175"/>
      <c r="H4" s="175"/>
      <c r="I4" s="175"/>
      <c r="J4" s="175"/>
      <c r="K4" s="175"/>
      <c r="L4" s="175"/>
      <c r="M4" s="175"/>
      <c r="N4" s="175"/>
      <c r="O4" s="175"/>
      <c r="P4" s="175"/>
      <c r="Q4" s="175"/>
      <c r="R4" s="175"/>
      <c r="S4" s="175"/>
      <c r="T4" s="175"/>
      <c r="U4" s="175"/>
      <c r="V4" s="175"/>
      <c r="W4" s="175"/>
      <c r="X4" s="175"/>
      <c r="Y4" s="175"/>
      <c r="Z4" s="175"/>
    </row>
    <row r="5">
      <c r="A5" s="181" t="s">
        <v>7</v>
      </c>
      <c r="B5" s="189">
        <v>44965.0</v>
      </c>
      <c r="C5" s="183"/>
      <c r="D5" s="184"/>
      <c r="E5" s="190" t="s">
        <v>12</v>
      </c>
      <c r="F5" s="191" t="s">
        <v>13</v>
      </c>
      <c r="G5" s="175"/>
      <c r="H5" s="175"/>
      <c r="I5" s="175"/>
      <c r="J5" s="175"/>
      <c r="K5" s="175"/>
      <c r="L5" s="175"/>
      <c r="M5" s="175"/>
      <c r="N5" s="175"/>
      <c r="O5" s="175"/>
      <c r="P5" s="175"/>
      <c r="Q5" s="175"/>
      <c r="R5" s="175"/>
      <c r="S5" s="175"/>
      <c r="T5" s="175"/>
      <c r="U5" s="175"/>
      <c r="V5" s="175"/>
      <c r="W5" s="175"/>
      <c r="X5" s="175"/>
      <c r="Y5" s="175"/>
      <c r="Z5" s="175"/>
    </row>
    <row r="6">
      <c r="A6" s="192" t="s">
        <v>14</v>
      </c>
      <c r="B6" s="189">
        <v>45624.0</v>
      </c>
      <c r="C6" s="183"/>
      <c r="D6" s="184"/>
      <c r="E6" s="193" t="s">
        <v>15</v>
      </c>
      <c r="F6" s="194" t="s">
        <v>16</v>
      </c>
      <c r="G6" s="175"/>
      <c r="H6" s="175"/>
      <c r="I6" s="175"/>
      <c r="J6" s="175"/>
      <c r="K6" s="175"/>
      <c r="L6" s="175"/>
      <c r="M6" s="175"/>
      <c r="N6" s="175"/>
      <c r="O6" s="175"/>
      <c r="P6" s="175"/>
      <c r="Q6" s="175"/>
      <c r="R6" s="175"/>
      <c r="S6" s="175"/>
      <c r="T6" s="175"/>
      <c r="U6" s="175"/>
      <c r="V6" s="175"/>
      <c r="W6" s="175"/>
      <c r="X6" s="175"/>
      <c r="Y6" s="175"/>
      <c r="Z6" s="175"/>
    </row>
    <row r="7">
      <c r="A7" s="188"/>
      <c r="B7" s="195"/>
      <c r="C7" s="183"/>
      <c r="D7" s="184"/>
      <c r="E7" s="196"/>
      <c r="F7" s="188"/>
      <c r="G7" s="175"/>
      <c r="H7" s="175"/>
      <c r="I7" s="175"/>
      <c r="J7" s="175"/>
      <c r="K7" s="175"/>
      <c r="L7" s="175"/>
      <c r="M7" s="175"/>
      <c r="N7" s="175"/>
      <c r="O7" s="175"/>
      <c r="P7" s="175"/>
      <c r="Q7" s="175"/>
      <c r="R7" s="175"/>
      <c r="S7" s="175"/>
      <c r="T7" s="175"/>
      <c r="U7" s="175"/>
      <c r="V7" s="175"/>
      <c r="W7" s="175"/>
      <c r="X7" s="175"/>
      <c r="Y7" s="175"/>
      <c r="Z7" s="175"/>
    </row>
    <row r="8">
      <c r="A8" s="197" t="s">
        <v>17</v>
      </c>
      <c r="B8" s="198">
        <v>44272.0</v>
      </c>
      <c r="C8" s="183"/>
      <c r="D8" s="199" t="s">
        <v>18</v>
      </c>
      <c r="E8" s="199" t="s">
        <v>19</v>
      </c>
      <c r="F8" s="186"/>
      <c r="G8" s="175"/>
      <c r="H8" s="175"/>
      <c r="I8" s="175"/>
      <c r="J8" s="175"/>
      <c r="K8" s="175"/>
      <c r="L8" s="175"/>
      <c r="M8" s="175"/>
      <c r="N8" s="175"/>
      <c r="O8" s="175"/>
      <c r="P8" s="175"/>
      <c r="Q8" s="175"/>
      <c r="R8" s="175"/>
      <c r="S8" s="175"/>
      <c r="T8" s="175"/>
      <c r="U8" s="175"/>
      <c r="V8" s="175"/>
      <c r="W8" s="175"/>
      <c r="X8" s="175"/>
      <c r="Y8" s="175"/>
      <c r="Z8" s="175"/>
    </row>
    <row r="9">
      <c r="A9" s="188"/>
      <c r="B9" s="195"/>
      <c r="C9" s="183"/>
      <c r="D9" s="196"/>
      <c r="E9" s="196"/>
      <c r="F9" s="188"/>
      <c r="G9" s="175"/>
      <c r="H9" s="175"/>
      <c r="I9" s="175"/>
      <c r="J9" s="175"/>
      <c r="K9" s="175"/>
      <c r="L9" s="175"/>
      <c r="M9" s="175"/>
      <c r="N9" s="175"/>
      <c r="O9" s="175"/>
      <c r="P9" s="175"/>
      <c r="Q9" s="175"/>
      <c r="R9" s="175"/>
      <c r="S9" s="175"/>
      <c r="T9" s="175"/>
      <c r="U9" s="175"/>
      <c r="V9" s="175"/>
      <c r="W9" s="175"/>
      <c r="X9" s="175"/>
      <c r="Y9" s="175"/>
      <c r="Z9" s="175"/>
    </row>
    <row r="10">
      <c r="A10" s="200" t="s">
        <v>20</v>
      </c>
      <c r="B10" s="195">
        <v>43909.0</v>
      </c>
      <c r="C10" s="183">
        <v>122219.0</v>
      </c>
      <c r="D10" s="196" t="s">
        <v>21</v>
      </c>
      <c r="E10" s="196" t="s">
        <v>22</v>
      </c>
      <c r="F10" s="188"/>
      <c r="G10" s="175"/>
      <c r="H10" s="175"/>
      <c r="I10" s="175"/>
      <c r="J10" s="175"/>
      <c r="K10" s="175"/>
      <c r="L10" s="175"/>
      <c r="M10" s="175"/>
      <c r="N10" s="175"/>
      <c r="O10" s="175"/>
      <c r="P10" s="175"/>
      <c r="Q10" s="175"/>
      <c r="R10" s="175"/>
      <c r="S10" s="175"/>
      <c r="T10" s="175"/>
      <c r="U10" s="175"/>
      <c r="V10" s="175"/>
      <c r="W10" s="175"/>
      <c r="X10" s="175"/>
      <c r="Y10" s="175"/>
      <c r="Z10" s="175"/>
    </row>
    <row r="11">
      <c r="A11" s="200" t="s">
        <v>20</v>
      </c>
      <c r="B11" s="182">
        <v>43970.0</v>
      </c>
      <c r="C11" s="201">
        <v>189732.0</v>
      </c>
      <c r="D11" s="196" t="s">
        <v>23</v>
      </c>
      <c r="E11" s="202" t="s">
        <v>24</v>
      </c>
      <c r="F11" s="188"/>
      <c r="G11" s="175"/>
      <c r="H11" s="175"/>
      <c r="I11" s="175"/>
      <c r="J11" s="175"/>
      <c r="K11" s="175"/>
      <c r="L11" s="175"/>
      <c r="M11" s="175"/>
      <c r="N11" s="175"/>
      <c r="O11" s="175"/>
      <c r="P11" s="175"/>
      <c r="Q11" s="175"/>
      <c r="R11" s="175"/>
      <c r="S11" s="175"/>
      <c r="T11" s="175"/>
      <c r="U11" s="175"/>
      <c r="V11" s="175"/>
      <c r="W11" s="175"/>
      <c r="X11" s="175"/>
      <c r="Y11" s="175"/>
      <c r="Z11" s="175"/>
    </row>
    <row r="12">
      <c r="A12" s="200" t="s">
        <v>20</v>
      </c>
      <c r="B12" s="189">
        <v>45002.0</v>
      </c>
      <c r="C12" s="203">
        <v>231613.0</v>
      </c>
      <c r="D12" s="204" t="s">
        <v>25</v>
      </c>
      <c r="E12" s="205" t="s">
        <v>26</v>
      </c>
      <c r="F12" s="188"/>
      <c r="G12" s="175"/>
      <c r="H12" s="175"/>
      <c r="I12" s="175"/>
      <c r="J12" s="175"/>
      <c r="K12" s="175"/>
      <c r="L12" s="175"/>
      <c r="M12" s="175"/>
      <c r="N12" s="175"/>
      <c r="O12" s="175"/>
      <c r="P12" s="175"/>
      <c r="Q12" s="175"/>
      <c r="R12" s="175"/>
      <c r="S12" s="175"/>
      <c r="T12" s="175"/>
      <c r="U12" s="175"/>
      <c r="V12" s="175"/>
      <c r="W12" s="175"/>
      <c r="X12" s="175"/>
      <c r="Y12" s="175"/>
      <c r="Z12" s="175"/>
    </row>
    <row r="13">
      <c r="A13" s="200" t="s">
        <v>20</v>
      </c>
      <c r="B13" s="189">
        <v>45852.0</v>
      </c>
      <c r="C13" s="203">
        <v>310661.0</v>
      </c>
      <c r="D13" s="204" t="s">
        <v>27</v>
      </c>
      <c r="E13" s="204" t="s">
        <v>28</v>
      </c>
      <c r="F13" s="188"/>
      <c r="G13" s="175"/>
      <c r="H13" s="175"/>
      <c r="I13" s="175"/>
      <c r="J13" s="175"/>
      <c r="K13" s="175"/>
      <c r="L13" s="175"/>
      <c r="M13" s="175"/>
      <c r="N13" s="175"/>
      <c r="O13" s="175"/>
      <c r="P13" s="175"/>
      <c r="Q13" s="175"/>
      <c r="R13" s="175"/>
      <c r="S13" s="175"/>
      <c r="T13" s="175"/>
      <c r="U13" s="175"/>
      <c r="V13" s="175"/>
      <c r="W13" s="175"/>
      <c r="X13" s="175"/>
      <c r="Y13" s="175"/>
      <c r="Z13" s="175"/>
    </row>
    <row r="14">
      <c r="A14" s="200" t="s">
        <v>20</v>
      </c>
      <c r="B14" s="189">
        <v>46044.0</v>
      </c>
      <c r="C14" s="203">
        <v>344611.0</v>
      </c>
      <c r="D14" s="204" t="s">
        <v>29</v>
      </c>
      <c r="E14" s="185" t="s">
        <v>30</v>
      </c>
      <c r="F14" s="206" t="s">
        <v>31</v>
      </c>
      <c r="G14" s="175"/>
      <c r="H14" s="175"/>
      <c r="I14" s="175"/>
      <c r="J14" s="175"/>
      <c r="K14" s="175"/>
      <c r="L14" s="175"/>
      <c r="M14" s="175"/>
      <c r="N14" s="175"/>
      <c r="O14" s="175"/>
      <c r="P14" s="175"/>
      <c r="Q14" s="175"/>
      <c r="R14" s="175"/>
      <c r="S14" s="175"/>
      <c r="T14" s="175"/>
      <c r="U14" s="175"/>
      <c r="V14" s="175"/>
      <c r="W14" s="175"/>
      <c r="X14" s="175"/>
      <c r="Y14" s="175"/>
      <c r="Z14" s="175"/>
    </row>
    <row r="15">
      <c r="A15" s="188"/>
      <c r="B15" s="182"/>
      <c r="C15" s="183"/>
      <c r="D15" s="196"/>
      <c r="E15" s="187"/>
      <c r="F15" s="188"/>
      <c r="G15" s="175"/>
      <c r="H15" s="175"/>
      <c r="I15" s="175"/>
      <c r="J15" s="175"/>
      <c r="K15" s="175"/>
      <c r="L15" s="175"/>
      <c r="M15" s="175"/>
      <c r="N15" s="175"/>
      <c r="O15" s="175"/>
      <c r="P15" s="175"/>
      <c r="Q15" s="175"/>
      <c r="R15" s="175"/>
      <c r="S15" s="175"/>
      <c r="T15" s="175"/>
      <c r="U15" s="175"/>
      <c r="V15" s="175"/>
      <c r="W15" s="175"/>
      <c r="X15" s="175"/>
      <c r="Y15" s="175"/>
      <c r="Z15" s="175"/>
    </row>
    <row r="16">
      <c r="A16" s="200" t="s">
        <v>32</v>
      </c>
      <c r="B16" s="182">
        <v>43909.0</v>
      </c>
      <c r="C16" s="183"/>
      <c r="D16" s="196" t="s">
        <v>33</v>
      </c>
      <c r="E16" s="187" t="s">
        <v>34</v>
      </c>
      <c r="F16" s="188"/>
      <c r="G16" s="175"/>
      <c r="H16" s="175"/>
      <c r="I16" s="175"/>
      <c r="J16" s="175"/>
      <c r="K16" s="175"/>
      <c r="L16" s="175"/>
      <c r="M16" s="175"/>
      <c r="N16" s="175"/>
      <c r="O16" s="175"/>
      <c r="P16" s="175"/>
      <c r="Q16" s="175"/>
      <c r="R16" s="175"/>
      <c r="S16" s="175"/>
      <c r="T16" s="175"/>
      <c r="U16" s="175"/>
      <c r="V16" s="175"/>
      <c r="W16" s="175"/>
      <c r="X16" s="175"/>
      <c r="Y16" s="175"/>
      <c r="Z16" s="175"/>
    </row>
    <row r="17">
      <c r="A17" s="187"/>
      <c r="B17" s="182"/>
      <c r="C17" s="183"/>
      <c r="D17" s="184"/>
      <c r="E17" s="187"/>
      <c r="F17" s="187"/>
      <c r="G17" s="175"/>
      <c r="H17" s="175"/>
      <c r="I17" s="175"/>
      <c r="J17" s="175"/>
      <c r="K17" s="175"/>
      <c r="L17" s="175"/>
      <c r="M17" s="175"/>
      <c r="N17" s="175"/>
      <c r="O17" s="175"/>
      <c r="P17" s="175"/>
      <c r="Q17" s="175"/>
      <c r="R17" s="175"/>
      <c r="S17" s="175"/>
      <c r="T17" s="175"/>
      <c r="U17" s="175"/>
      <c r="V17" s="175"/>
      <c r="W17" s="175"/>
      <c r="X17" s="175"/>
      <c r="Y17" s="175"/>
      <c r="Z17" s="175"/>
    </row>
    <row r="18">
      <c r="A18" s="181" t="s">
        <v>35</v>
      </c>
      <c r="B18" s="182">
        <v>43924.0</v>
      </c>
      <c r="C18" s="183"/>
      <c r="D18" s="184"/>
      <c r="E18" s="187" t="s">
        <v>36</v>
      </c>
      <c r="F18" s="187" t="s">
        <v>37</v>
      </c>
      <c r="G18" s="175"/>
      <c r="H18" s="175"/>
      <c r="I18" s="175"/>
      <c r="J18" s="175"/>
      <c r="K18" s="175"/>
      <c r="L18" s="175"/>
      <c r="M18" s="175"/>
      <c r="N18" s="175"/>
      <c r="O18" s="175"/>
      <c r="P18" s="175"/>
      <c r="Q18" s="175"/>
      <c r="R18" s="175"/>
      <c r="S18" s="175"/>
      <c r="T18" s="175"/>
      <c r="U18" s="175"/>
      <c r="V18" s="175"/>
      <c r="W18" s="175"/>
      <c r="X18" s="175"/>
      <c r="Y18" s="175"/>
      <c r="Z18" s="175"/>
    </row>
    <row r="19">
      <c r="A19" s="188"/>
      <c r="B19" s="207"/>
      <c r="C19" s="208"/>
      <c r="D19" s="209"/>
      <c r="E19" s="210"/>
      <c r="F19" s="211"/>
      <c r="G19" s="175"/>
      <c r="H19" s="175"/>
      <c r="I19" s="175"/>
      <c r="J19" s="175"/>
      <c r="K19" s="175"/>
      <c r="L19" s="175"/>
      <c r="M19" s="175"/>
      <c r="N19" s="175"/>
      <c r="O19" s="175"/>
      <c r="P19" s="175"/>
      <c r="Q19" s="175"/>
      <c r="R19" s="175"/>
      <c r="S19" s="175"/>
      <c r="T19" s="175"/>
      <c r="U19" s="175"/>
      <c r="V19" s="175"/>
      <c r="W19" s="175"/>
      <c r="X19" s="175"/>
      <c r="Y19" s="175"/>
      <c r="Z19" s="175"/>
    </row>
    <row r="20">
      <c r="A20" s="212" t="s">
        <v>38</v>
      </c>
      <c r="B20" s="213">
        <v>43963.0</v>
      </c>
      <c r="C20" s="183">
        <v>199227.0</v>
      </c>
      <c r="D20" s="214" t="s">
        <v>39</v>
      </c>
      <c r="E20" s="215" t="s">
        <v>40</v>
      </c>
      <c r="F20" s="216" t="s">
        <v>41</v>
      </c>
      <c r="G20" s="175"/>
      <c r="H20" s="175"/>
      <c r="I20" s="175"/>
      <c r="J20" s="175"/>
      <c r="K20" s="175"/>
      <c r="L20" s="175"/>
      <c r="M20" s="175"/>
      <c r="N20" s="175"/>
      <c r="O20" s="175"/>
      <c r="P20" s="175"/>
      <c r="Q20" s="175"/>
      <c r="R20" s="175"/>
      <c r="S20" s="175"/>
      <c r="T20" s="175"/>
      <c r="U20" s="175"/>
      <c r="V20" s="175"/>
      <c r="W20" s="175"/>
      <c r="X20" s="175"/>
      <c r="Y20" s="175"/>
      <c r="Z20" s="175"/>
    </row>
    <row r="21">
      <c r="A21" s="217"/>
      <c r="B21" s="218">
        <v>45631.0</v>
      </c>
      <c r="C21" s="219">
        <v>243475.0</v>
      </c>
      <c r="D21" s="220" t="s">
        <v>42</v>
      </c>
      <c r="E21" s="199" t="s">
        <v>43</v>
      </c>
      <c r="F21" s="174"/>
      <c r="G21" s="175"/>
      <c r="H21" s="175"/>
      <c r="I21" s="175"/>
      <c r="J21" s="175"/>
      <c r="K21" s="175"/>
      <c r="L21" s="175"/>
      <c r="M21" s="175"/>
      <c r="N21" s="175"/>
      <c r="O21" s="175"/>
      <c r="P21" s="175"/>
      <c r="Q21" s="175"/>
      <c r="R21" s="175"/>
      <c r="S21" s="175"/>
      <c r="T21" s="175"/>
      <c r="U21" s="175"/>
      <c r="V21" s="175"/>
      <c r="W21" s="175"/>
      <c r="X21" s="175"/>
      <c r="Y21" s="175"/>
      <c r="Z21" s="175"/>
    </row>
    <row r="22">
      <c r="A22" s="221"/>
      <c r="B22" s="218">
        <v>45273.0</v>
      </c>
      <c r="C22" s="219">
        <v>243475.0</v>
      </c>
      <c r="D22" s="220" t="s">
        <v>42</v>
      </c>
      <c r="E22" s="199" t="s">
        <v>44</v>
      </c>
      <c r="F22" s="188"/>
      <c r="G22" s="175"/>
      <c r="H22" s="175"/>
      <c r="I22" s="175"/>
      <c r="J22" s="175"/>
      <c r="K22" s="175"/>
      <c r="L22" s="175"/>
      <c r="M22" s="175"/>
      <c r="N22" s="175"/>
      <c r="O22" s="175"/>
      <c r="P22" s="175"/>
      <c r="Q22" s="175"/>
      <c r="R22" s="175"/>
      <c r="S22" s="175"/>
      <c r="T22" s="175"/>
      <c r="U22" s="175"/>
      <c r="V22" s="175"/>
      <c r="W22" s="175"/>
      <c r="X22" s="175"/>
      <c r="Y22" s="175"/>
      <c r="Z22" s="175"/>
    </row>
    <row r="23">
      <c r="A23" s="188"/>
      <c r="B23" s="207"/>
      <c r="C23" s="208"/>
      <c r="D23" s="209"/>
      <c r="E23" s="210"/>
      <c r="F23" s="188"/>
      <c r="G23" s="175"/>
      <c r="H23" s="175"/>
      <c r="I23" s="175"/>
      <c r="J23" s="175"/>
      <c r="K23" s="175"/>
      <c r="L23" s="175"/>
      <c r="M23" s="175"/>
      <c r="N23" s="175"/>
      <c r="O23" s="175"/>
      <c r="P23" s="175"/>
      <c r="Q23" s="175"/>
      <c r="R23" s="175"/>
      <c r="S23" s="175"/>
      <c r="T23" s="175"/>
      <c r="U23" s="175"/>
      <c r="V23" s="175"/>
      <c r="W23" s="175"/>
      <c r="X23" s="175"/>
      <c r="Y23" s="175"/>
      <c r="Z23" s="175"/>
    </row>
    <row r="24">
      <c r="A24" s="222" t="s">
        <v>45</v>
      </c>
      <c r="B24" s="182">
        <v>43987.0</v>
      </c>
      <c r="C24" s="183"/>
      <c r="D24" s="196" t="s">
        <v>46</v>
      </c>
      <c r="E24" s="196" t="s">
        <v>47</v>
      </c>
      <c r="F24" s="188"/>
      <c r="G24" s="175"/>
      <c r="H24" s="175"/>
      <c r="I24" s="175"/>
      <c r="J24" s="175"/>
      <c r="K24" s="175"/>
      <c r="L24" s="175"/>
      <c r="M24" s="175"/>
      <c r="N24" s="175"/>
      <c r="O24" s="175"/>
      <c r="P24" s="175"/>
      <c r="Q24" s="175"/>
      <c r="R24" s="175"/>
      <c r="S24" s="175"/>
      <c r="T24" s="175"/>
      <c r="U24" s="175"/>
      <c r="V24" s="175"/>
      <c r="W24" s="175"/>
      <c r="X24" s="175"/>
      <c r="Y24" s="175"/>
      <c r="Z24" s="175"/>
    </row>
    <row r="25">
      <c r="A25" s="222" t="s">
        <v>45</v>
      </c>
      <c r="B25" s="189">
        <v>45162.0</v>
      </c>
      <c r="C25" s="203">
        <v>209544.0</v>
      </c>
      <c r="D25" s="223" t="s">
        <v>48</v>
      </c>
      <c r="E25" s="224" t="s">
        <v>49</v>
      </c>
      <c r="F25" s="186" t="s">
        <v>50</v>
      </c>
      <c r="G25" s="175"/>
      <c r="H25" s="175"/>
      <c r="I25" s="175"/>
      <c r="J25" s="175"/>
      <c r="K25" s="175"/>
      <c r="L25" s="175"/>
      <c r="M25" s="175"/>
      <c r="N25" s="175"/>
      <c r="O25" s="175"/>
      <c r="P25" s="175"/>
      <c r="Q25" s="175"/>
      <c r="R25" s="175"/>
      <c r="S25" s="175"/>
      <c r="T25" s="175"/>
      <c r="U25" s="175"/>
      <c r="V25" s="175"/>
      <c r="W25" s="175"/>
      <c r="X25" s="175"/>
      <c r="Y25" s="175"/>
      <c r="Z25" s="175"/>
    </row>
    <row r="26">
      <c r="A26" s="222" t="s">
        <v>45</v>
      </c>
      <c r="B26" s="189">
        <v>45162.0</v>
      </c>
      <c r="C26" s="203">
        <v>208567.0</v>
      </c>
      <c r="D26" s="223" t="s">
        <v>51</v>
      </c>
      <c r="E26" s="224" t="s">
        <v>52</v>
      </c>
      <c r="F26" s="186" t="s">
        <v>53</v>
      </c>
      <c r="G26" s="175"/>
      <c r="H26" s="175"/>
      <c r="I26" s="175"/>
      <c r="J26" s="175"/>
      <c r="K26" s="175"/>
      <c r="L26" s="175"/>
      <c r="M26" s="175"/>
      <c r="N26" s="175"/>
      <c r="O26" s="175"/>
      <c r="P26" s="175"/>
      <c r="Q26" s="175"/>
      <c r="R26" s="175"/>
      <c r="S26" s="175"/>
      <c r="T26" s="175"/>
      <c r="U26" s="175"/>
      <c r="V26" s="175"/>
      <c r="W26" s="175"/>
      <c r="X26" s="175"/>
      <c r="Y26" s="175"/>
      <c r="Z26" s="175"/>
    </row>
    <row r="27">
      <c r="A27" s="222" t="s">
        <v>45</v>
      </c>
      <c r="B27" s="189">
        <v>45162.0</v>
      </c>
      <c r="C27" s="203" t="s">
        <v>54</v>
      </c>
      <c r="D27" s="223" t="s">
        <v>55</v>
      </c>
      <c r="E27" s="224" t="s">
        <v>56</v>
      </c>
      <c r="F27" s="186" t="s">
        <v>57</v>
      </c>
      <c r="G27" s="175"/>
      <c r="H27" s="175"/>
      <c r="I27" s="175"/>
      <c r="J27" s="175"/>
      <c r="K27" s="175"/>
      <c r="L27" s="175"/>
      <c r="M27" s="175"/>
      <c r="N27" s="175"/>
      <c r="O27" s="175"/>
      <c r="P27" s="175"/>
      <c r="Q27" s="175"/>
      <c r="R27" s="175"/>
      <c r="S27" s="175"/>
      <c r="T27" s="175"/>
      <c r="U27" s="175"/>
      <c r="V27" s="175"/>
      <c r="W27" s="175"/>
      <c r="X27" s="175"/>
      <c r="Y27" s="175"/>
      <c r="Z27" s="175"/>
    </row>
    <row r="28">
      <c r="A28" s="222" t="s">
        <v>45</v>
      </c>
      <c r="B28" s="189">
        <v>45162.0</v>
      </c>
      <c r="C28" s="203" t="s">
        <v>58</v>
      </c>
      <c r="D28" s="223" t="s">
        <v>59</v>
      </c>
      <c r="E28" s="224" t="s">
        <v>60</v>
      </c>
      <c r="F28" s="186" t="s">
        <v>61</v>
      </c>
      <c r="G28" s="175"/>
      <c r="H28" s="175"/>
      <c r="I28" s="175"/>
      <c r="J28" s="175"/>
      <c r="K28" s="175"/>
      <c r="L28" s="175"/>
      <c r="M28" s="175"/>
      <c r="N28" s="175"/>
      <c r="O28" s="175"/>
      <c r="P28" s="175"/>
      <c r="Q28" s="175"/>
      <c r="R28" s="175"/>
      <c r="S28" s="175"/>
      <c r="T28" s="175"/>
      <c r="U28" s="175"/>
      <c r="V28" s="175"/>
      <c r="W28" s="175"/>
      <c r="X28" s="175"/>
      <c r="Y28" s="175"/>
      <c r="Z28" s="175"/>
    </row>
    <row r="29" ht="108.0" customHeight="1">
      <c r="A29" s="225" t="s">
        <v>45</v>
      </c>
      <c r="B29" s="189">
        <v>45946.0</v>
      </c>
      <c r="C29" s="203">
        <v>306542.0</v>
      </c>
      <c r="D29" s="223" t="s">
        <v>62</v>
      </c>
      <c r="E29" s="220" t="s">
        <v>63</v>
      </c>
      <c r="F29" s="186"/>
      <c r="G29" s="175"/>
      <c r="H29" s="175"/>
      <c r="I29" s="175"/>
      <c r="J29" s="175"/>
      <c r="K29" s="175"/>
      <c r="L29" s="175"/>
      <c r="M29" s="175"/>
      <c r="N29" s="175"/>
      <c r="O29" s="175"/>
      <c r="P29" s="175"/>
      <c r="Q29" s="175"/>
      <c r="R29" s="175"/>
      <c r="S29" s="175"/>
      <c r="T29" s="175"/>
      <c r="U29" s="175"/>
      <c r="V29" s="175"/>
      <c r="W29" s="175"/>
      <c r="X29" s="175"/>
      <c r="Y29" s="175"/>
      <c r="Z29" s="175"/>
    </row>
    <row r="30">
      <c r="A30" s="188"/>
      <c r="B30" s="207"/>
      <c r="C30" s="208"/>
      <c r="D30" s="209"/>
      <c r="E30" s="210"/>
      <c r="F30" s="188"/>
      <c r="G30" s="175"/>
      <c r="H30" s="175"/>
      <c r="I30" s="175"/>
      <c r="J30" s="175"/>
      <c r="K30" s="175"/>
      <c r="L30" s="175"/>
      <c r="M30" s="175"/>
      <c r="N30" s="175"/>
      <c r="O30" s="175"/>
      <c r="P30" s="175"/>
      <c r="Q30" s="175"/>
      <c r="R30" s="175"/>
      <c r="S30" s="175"/>
      <c r="T30" s="175"/>
      <c r="U30" s="175"/>
      <c r="V30" s="175"/>
      <c r="W30" s="175"/>
      <c r="X30" s="175"/>
      <c r="Y30" s="175"/>
      <c r="Z30" s="175"/>
    </row>
    <row r="31">
      <c r="A31" s="181" t="s">
        <v>64</v>
      </c>
      <c r="B31" s="182">
        <v>43994.0</v>
      </c>
      <c r="C31" s="208"/>
      <c r="D31" s="202" t="s">
        <v>65</v>
      </c>
      <c r="E31" s="196" t="s">
        <v>66</v>
      </c>
      <c r="F31" s="188"/>
      <c r="G31" s="175"/>
      <c r="H31" s="175"/>
      <c r="I31" s="175"/>
      <c r="J31" s="175"/>
      <c r="K31" s="175"/>
      <c r="L31" s="175"/>
      <c r="M31" s="175"/>
      <c r="N31" s="175"/>
      <c r="O31" s="175"/>
      <c r="P31" s="175"/>
      <c r="Q31" s="175"/>
      <c r="R31" s="175"/>
      <c r="S31" s="175"/>
      <c r="T31" s="175"/>
      <c r="U31" s="175"/>
      <c r="V31" s="175"/>
      <c r="W31" s="175"/>
      <c r="X31" s="175"/>
      <c r="Y31" s="175"/>
      <c r="Z31" s="175"/>
    </row>
    <row r="32">
      <c r="A32" s="192" t="s">
        <v>67</v>
      </c>
      <c r="B32" s="198">
        <v>44357.0</v>
      </c>
      <c r="C32" s="203">
        <v>211288.0</v>
      </c>
      <c r="D32" s="223" t="s">
        <v>68</v>
      </c>
      <c r="E32" s="204" t="s">
        <v>69</v>
      </c>
      <c r="F32" s="188"/>
      <c r="G32" s="175"/>
      <c r="H32" s="175"/>
      <c r="I32" s="175"/>
      <c r="J32" s="175"/>
      <c r="K32" s="175"/>
      <c r="L32" s="175"/>
      <c r="M32" s="175"/>
      <c r="N32" s="175"/>
      <c r="O32" s="175"/>
      <c r="P32" s="175"/>
      <c r="Q32" s="175"/>
      <c r="R32" s="175"/>
      <c r="S32" s="175"/>
      <c r="T32" s="175"/>
      <c r="U32" s="175"/>
      <c r="V32" s="175"/>
      <c r="W32" s="175"/>
      <c r="X32" s="175"/>
      <c r="Y32" s="175"/>
      <c r="Z32" s="175"/>
    </row>
    <row r="33">
      <c r="A33" s="226"/>
      <c r="B33" s="195"/>
      <c r="C33" s="208"/>
      <c r="D33" s="209"/>
      <c r="E33" s="227"/>
      <c r="F33" s="188"/>
      <c r="G33" s="175"/>
      <c r="H33" s="175"/>
      <c r="I33" s="175"/>
      <c r="J33" s="175"/>
      <c r="K33" s="175"/>
      <c r="L33" s="175"/>
      <c r="M33" s="175"/>
      <c r="N33" s="175"/>
      <c r="O33" s="175"/>
      <c r="P33" s="175"/>
      <c r="Q33" s="175"/>
      <c r="R33" s="175"/>
      <c r="S33" s="175"/>
      <c r="T33" s="175"/>
      <c r="U33" s="175"/>
      <c r="V33" s="175"/>
      <c r="W33" s="175"/>
      <c r="X33" s="175"/>
      <c r="Y33" s="175"/>
      <c r="Z33" s="175"/>
    </row>
    <row r="34">
      <c r="A34" s="200" t="s">
        <v>70</v>
      </c>
      <c r="B34" s="195">
        <v>43909.0</v>
      </c>
      <c r="C34" s="208"/>
      <c r="D34" s="209"/>
      <c r="E34" s="227" t="s">
        <v>71</v>
      </c>
      <c r="F34" s="188"/>
      <c r="G34" s="175"/>
      <c r="H34" s="175"/>
      <c r="I34" s="175"/>
      <c r="J34" s="175"/>
      <c r="K34" s="175"/>
      <c r="L34" s="175"/>
      <c r="M34" s="175"/>
      <c r="N34" s="175"/>
      <c r="O34" s="175"/>
      <c r="P34" s="175"/>
      <c r="Q34" s="175"/>
      <c r="R34" s="175"/>
      <c r="S34" s="175"/>
      <c r="T34" s="175"/>
      <c r="U34" s="175"/>
      <c r="V34" s="175"/>
      <c r="W34" s="175"/>
      <c r="X34" s="175"/>
      <c r="Y34" s="175"/>
      <c r="Z34" s="175"/>
    </row>
    <row r="35">
      <c r="A35" s="188"/>
      <c r="B35" s="195"/>
      <c r="C35" s="183"/>
      <c r="D35" s="184"/>
      <c r="E35" s="188"/>
      <c r="F35" s="188"/>
      <c r="G35" s="175"/>
      <c r="H35" s="175"/>
      <c r="I35" s="175"/>
      <c r="J35" s="175"/>
      <c r="K35" s="175"/>
      <c r="L35" s="175"/>
      <c r="M35" s="175"/>
      <c r="N35" s="175"/>
      <c r="O35" s="175"/>
      <c r="P35" s="175"/>
      <c r="Q35" s="175"/>
      <c r="R35" s="175"/>
      <c r="S35" s="175"/>
      <c r="T35" s="175"/>
      <c r="U35" s="175"/>
      <c r="V35" s="175"/>
      <c r="W35" s="175"/>
      <c r="X35" s="175"/>
      <c r="Y35" s="175"/>
      <c r="Z35" s="175"/>
    </row>
    <row r="36">
      <c r="A36" s="181" t="s">
        <v>72</v>
      </c>
      <c r="B36" s="182">
        <v>44014.0</v>
      </c>
      <c r="C36" s="201">
        <v>193389.0</v>
      </c>
      <c r="D36" s="196" t="s">
        <v>73</v>
      </c>
      <c r="E36" s="187" t="s">
        <v>74</v>
      </c>
      <c r="F36" s="228" t="s">
        <v>75</v>
      </c>
      <c r="G36" s="175"/>
      <c r="H36" s="175"/>
      <c r="I36" s="175"/>
      <c r="J36" s="175"/>
      <c r="K36" s="175"/>
      <c r="L36" s="175"/>
      <c r="M36" s="175"/>
      <c r="N36" s="175"/>
      <c r="O36" s="175"/>
      <c r="P36" s="175"/>
      <c r="Q36" s="175"/>
      <c r="R36" s="175"/>
      <c r="S36" s="175"/>
      <c r="T36" s="175"/>
      <c r="U36" s="175"/>
      <c r="V36" s="175"/>
      <c r="W36" s="175"/>
      <c r="X36" s="175"/>
      <c r="Y36" s="175"/>
      <c r="Z36" s="175"/>
    </row>
    <row r="37">
      <c r="A37" s="229" t="s">
        <v>72</v>
      </c>
      <c r="B37" s="189">
        <v>45608.0</v>
      </c>
      <c r="C37" s="183"/>
      <c r="D37" s="230" t="s">
        <v>76</v>
      </c>
      <c r="E37" s="185" t="s">
        <v>77</v>
      </c>
      <c r="F37" s="174"/>
      <c r="G37" s="231"/>
      <c r="H37" s="231"/>
      <c r="I37" s="231"/>
      <c r="J37" s="231"/>
      <c r="K37" s="231"/>
      <c r="L37" s="231"/>
      <c r="M37" s="231"/>
      <c r="N37" s="231"/>
      <c r="O37" s="231"/>
      <c r="P37" s="231"/>
      <c r="Q37" s="231"/>
      <c r="R37" s="231"/>
      <c r="S37" s="231"/>
      <c r="T37" s="231"/>
      <c r="U37" s="231"/>
      <c r="V37" s="231"/>
      <c r="W37" s="231"/>
      <c r="X37" s="231"/>
      <c r="Y37" s="231"/>
      <c r="Z37" s="231"/>
    </row>
    <row r="38">
      <c r="A38" s="187"/>
      <c r="B38" s="182"/>
      <c r="C38" s="183"/>
      <c r="D38" s="184"/>
      <c r="E38" s="187"/>
      <c r="F38" s="174"/>
      <c r="G38" s="231"/>
      <c r="H38" s="231"/>
      <c r="I38" s="231"/>
      <c r="J38" s="231"/>
      <c r="K38" s="231"/>
      <c r="L38" s="231"/>
      <c r="M38" s="231"/>
      <c r="N38" s="231"/>
      <c r="O38" s="231"/>
      <c r="P38" s="231"/>
      <c r="Q38" s="231"/>
      <c r="R38" s="231"/>
      <c r="S38" s="231"/>
      <c r="T38" s="231"/>
      <c r="U38" s="231"/>
      <c r="V38" s="231"/>
      <c r="W38" s="231"/>
      <c r="X38" s="231"/>
      <c r="Y38" s="231"/>
      <c r="Z38" s="231"/>
    </row>
    <row r="39">
      <c r="A39" s="229" t="s">
        <v>78</v>
      </c>
      <c r="B39" s="189">
        <v>44174.0</v>
      </c>
      <c r="C39" s="183"/>
      <c r="D39" s="223" t="s">
        <v>7</v>
      </c>
      <c r="E39" s="185" t="s">
        <v>79</v>
      </c>
      <c r="F39" s="174"/>
      <c r="G39" s="231"/>
      <c r="H39" s="231"/>
      <c r="I39" s="231"/>
      <c r="J39" s="231"/>
      <c r="K39" s="231"/>
      <c r="L39" s="231"/>
      <c r="M39" s="231"/>
      <c r="N39" s="231"/>
      <c r="O39" s="231"/>
      <c r="P39" s="231"/>
      <c r="Q39" s="231"/>
      <c r="R39" s="231"/>
      <c r="S39" s="231"/>
      <c r="T39" s="231"/>
      <c r="U39" s="231"/>
      <c r="V39" s="231"/>
      <c r="W39" s="231"/>
      <c r="X39" s="231"/>
      <c r="Y39" s="231"/>
      <c r="Z39" s="231"/>
    </row>
    <row r="40">
      <c r="A40" s="187"/>
      <c r="B40" s="182"/>
      <c r="C40" s="183"/>
      <c r="D40" s="184"/>
      <c r="E40" s="187"/>
      <c r="F40" s="188"/>
      <c r="G40" s="231"/>
      <c r="H40" s="231"/>
      <c r="I40" s="231"/>
      <c r="J40" s="231"/>
      <c r="K40" s="231"/>
      <c r="L40" s="231"/>
      <c r="M40" s="231"/>
      <c r="N40" s="231"/>
      <c r="O40" s="231"/>
      <c r="P40" s="231"/>
      <c r="Q40" s="231"/>
      <c r="R40" s="231"/>
      <c r="S40" s="231"/>
      <c r="T40" s="231"/>
      <c r="U40" s="231"/>
      <c r="V40" s="231"/>
      <c r="W40" s="231"/>
      <c r="X40" s="231"/>
      <c r="Y40" s="231"/>
      <c r="Z40" s="231"/>
    </row>
    <row r="41">
      <c r="A41" s="181" t="s">
        <v>80</v>
      </c>
      <c r="B41" s="182">
        <v>43969.0</v>
      </c>
      <c r="C41" s="183"/>
      <c r="D41" s="223" t="s">
        <v>7</v>
      </c>
      <c r="E41" s="187" t="s">
        <v>81</v>
      </c>
      <c r="F41" s="188"/>
      <c r="G41" s="231"/>
      <c r="H41" s="231"/>
      <c r="I41" s="231"/>
      <c r="J41" s="231"/>
      <c r="K41" s="231"/>
      <c r="L41" s="231"/>
      <c r="M41" s="231"/>
      <c r="N41" s="231"/>
      <c r="O41" s="231"/>
      <c r="P41" s="231"/>
      <c r="Q41" s="231"/>
      <c r="R41" s="231"/>
      <c r="S41" s="231"/>
      <c r="T41" s="231"/>
      <c r="U41" s="231"/>
      <c r="V41" s="231"/>
      <c r="W41" s="231"/>
      <c r="X41" s="231"/>
      <c r="Y41" s="231"/>
      <c r="Z41" s="231"/>
    </row>
    <row r="42">
      <c r="A42" s="188"/>
      <c r="B42" s="195"/>
      <c r="C42" s="183"/>
      <c r="D42" s="184"/>
      <c r="E42" s="188"/>
      <c r="F42" s="188"/>
      <c r="G42" s="175"/>
      <c r="H42" s="175"/>
      <c r="I42" s="175"/>
      <c r="J42" s="175"/>
      <c r="K42" s="175"/>
      <c r="L42" s="175"/>
      <c r="M42" s="175"/>
      <c r="N42" s="175"/>
      <c r="O42" s="175"/>
      <c r="P42" s="175"/>
      <c r="Q42" s="175"/>
      <c r="R42" s="175"/>
      <c r="S42" s="175"/>
      <c r="T42" s="175"/>
      <c r="U42" s="175"/>
      <c r="V42" s="175"/>
      <c r="W42" s="175"/>
      <c r="X42" s="175"/>
      <c r="Y42" s="175"/>
      <c r="Z42" s="175"/>
    </row>
    <row r="43">
      <c r="A43" s="200" t="s">
        <v>82</v>
      </c>
      <c r="B43" s="195">
        <v>43908.0</v>
      </c>
      <c r="C43" s="183"/>
      <c r="D43" s="223" t="s">
        <v>7</v>
      </c>
      <c r="E43" s="186" t="s">
        <v>83</v>
      </c>
      <c r="F43" s="188"/>
      <c r="G43" s="175"/>
      <c r="H43" s="175"/>
      <c r="I43" s="175"/>
      <c r="J43" s="175"/>
      <c r="K43" s="175"/>
      <c r="L43" s="175"/>
      <c r="M43" s="175"/>
      <c r="N43" s="175"/>
      <c r="O43" s="175"/>
      <c r="P43" s="175"/>
      <c r="Q43" s="175"/>
      <c r="R43" s="175"/>
      <c r="S43" s="175"/>
      <c r="T43" s="175"/>
      <c r="U43" s="175"/>
      <c r="V43" s="175"/>
      <c r="W43" s="175"/>
      <c r="X43" s="175"/>
      <c r="Y43" s="175"/>
      <c r="Z43" s="175"/>
    </row>
    <row r="44">
      <c r="A44" s="188"/>
      <c r="B44" s="195"/>
      <c r="C44" s="183"/>
      <c r="D44" s="232"/>
      <c r="E44" s="188"/>
      <c r="F44" s="188"/>
      <c r="G44" s="175"/>
      <c r="H44" s="175"/>
      <c r="I44" s="175"/>
      <c r="J44" s="175"/>
      <c r="K44" s="175"/>
      <c r="L44" s="175"/>
      <c r="M44" s="175"/>
      <c r="N44" s="175"/>
      <c r="O44" s="175"/>
      <c r="P44" s="175"/>
      <c r="Q44" s="175"/>
      <c r="R44" s="175"/>
      <c r="S44" s="175"/>
      <c r="T44" s="175"/>
      <c r="U44" s="175"/>
      <c r="V44" s="175"/>
      <c r="W44" s="175"/>
      <c r="X44" s="175"/>
      <c r="Y44" s="175"/>
      <c r="Z44" s="175"/>
    </row>
    <row r="45">
      <c r="A45" s="200" t="s">
        <v>84</v>
      </c>
      <c r="B45" s="195">
        <v>43909.0</v>
      </c>
      <c r="C45" s="183"/>
      <c r="D45" s="232" t="s">
        <v>85</v>
      </c>
      <c r="E45" s="188" t="s">
        <v>86</v>
      </c>
      <c r="F45" s="188"/>
      <c r="G45" s="175"/>
      <c r="H45" s="175"/>
      <c r="I45" s="175"/>
      <c r="J45" s="175"/>
      <c r="K45" s="175"/>
      <c r="L45" s="175"/>
      <c r="M45" s="175"/>
      <c r="N45" s="175"/>
      <c r="O45" s="175"/>
      <c r="P45" s="175"/>
      <c r="Q45" s="175"/>
      <c r="R45" s="175"/>
      <c r="S45" s="175"/>
      <c r="T45" s="175"/>
      <c r="U45" s="175"/>
      <c r="V45" s="175"/>
      <c r="W45" s="175"/>
      <c r="X45" s="175"/>
      <c r="Y45" s="175"/>
      <c r="Z45" s="175"/>
    </row>
    <row r="46">
      <c r="A46" s="200" t="s">
        <v>84</v>
      </c>
      <c r="B46" s="195">
        <v>43909.0</v>
      </c>
      <c r="C46" s="183"/>
      <c r="D46" s="232" t="s">
        <v>87</v>
      </c>
      <c r="E46" s="188" t="s">
        <v>88</v>
      </c>
      <c r="F46" s="188"/>
      <c r="G46" s="175"/>
      <c r="H46" s="175"/>
      <c r="I46" s="175"/>
      <c r="J46" s="175"/>
      <c r="K46" s="175"/>
      <c r="L46" s="175"/>
      <c r="M46" s="175"/>
      <c r="N46" s="175"/>
      <c r="O46" s="175"/>
      <c r="P46" s="175"/>
      <c r="Q46" s="175"/>
      <c r="R46" s="175"/>
      <c r="S46" s="175"/>
      <c r="T46" s="175"/>
      <c r="U46" s="175"/>
      <c r="V46" s="175"/>
      <c r="W46" s="175"/>
      <c r="X46" s="175"/>
      <c r="Y46" s="175"/>
      <c r="Z46" s="175"/>
    </row>
    <row r="47">
      <c r="A47" s="188"/>
      <c r="B47" s="195"/>
      <c r="C47" s="183"/>
      <c r="D47" s="184"/>
      <c r="E47" s="188"/>
      <c r="F47" s="188"/>
      <c r="G47" s="175"/>
      <c r="H47" s="175"/>
      <c r="I47" s="175"/>
      <c r="J47" s="175"/>
      <c r="K47" s="175"/>
      <c r="L47" s="175"/>
      <c r="M47" s="175"/>
      <c r="N47" s="175"/>
      <c r="O47" s="175"/>
      <c r="P47" s="175"/>
      <c r="Q47" s="175"/>
      <c r="R47" s="175"/>
      <c r="S47" s="175"/>
      <c r="T47" s="175"/>
      <c r="U47" s="175"/>
      <c r="V47" s="175"/>
      <c r="W47" s="175"/>
      <c r="X47" s="175"/>
      <c r="Y47" s="175"/>
      <c r="Z47" s="175"/>
    </row>
    <row r="48">
      <c r="A48" s="200" t="s">
        <v>89</v>
      </c>
      <c r="B48" s="195">
        <v>43908.0</v>
      </c>
      <c r="C48" s="183"/>
      <c r="D48" s="184"/>
      <c r="E48" s="188" t="s">
        <v>90</v>
      </c>
      <c r="F48" s="188" t="s">
        <v>11</v>
      </c>
      <c r="G48" s="175"/>
      <c r="H48" s="175"/>
      <c r="I48" s="175"/>
      <c r="J48" s="175"/>
      <c r="K48" s="175"/>
      <c r="L48" s="175"/>
      <c r="M48" s="175"/>
      <c r="N48" s="175"/>
      <c r="O48" s="175"/>
      <c r="P48" s="175"/>
      <c r="Q48" s="175"/>
      <c r="R48" s="175"/>
      <c r="S48" s="175"/>
      <c r="T48" s="175"/>
      <c r="U48" s="175"/>
      <c r="V48" s="175"/>
      <c r="W48" s="175"/>
      <c r="X48" s="175"/>
      <c r="Y48" s="175"/>
      <c r="Z48" s="175"/>
    </row>
    <row r="49">
      <c r="A49" s="200" t="s">
        <v>89</v>
      </c>
      <c r="B49" s="189">
        <v>44061.0</v>
      </c>
      <c r="C49" s="183"/>
      <c r="D49" s="204" t="s">
        <v>91</v>
      </c>
      <c r="E49" s="185" t="s">
        <v>92</v>
      </c>
      <c r="F49" s="188"/>
      <c r="G49" s="175"/>
      <c r="H49" s="175"/>
      <c r="I49" s="175"/>
      <c r="J49" s="175"/>
      <c r="K49" s="175"/>
      <c r="L49" s="175"/>
      <c r="M49" s="175"/>
      <c r="N49" s="175"/>
      <c r="O49" s="175"/>
      <c r="P49" s="175"/>
      <c r="Q49" s="175"/>
      <c r="R49" s="175"/>
      <c r="S49" s="175"/>
      <c r="T49" s="175"/>
      <c r="U49" s="175"/>
      <c r="V49" s="175"/>
      <c r="W49" s="175"/>
      <c r="X49" s="175"/>
      <c r="Y49" s="175"/>
      <c r="Z49" s="175"/>
    </row>
    <row r="50">
      <c r="A50" s="197" t="s">
        <v>89</v>
      </c>
      <c r="B50" s="189">
        <v>44103.0</v>
      </c>
      <c r="C50" s="183"/>
      <c r="D50" s="204" t="s">
        <v>93</v>
      </c>
      <c r="E50" s="205" t="s">
        <v>94</v>
      </c>
      <c r="F50" s="188"/>
      <c r="G50" s="175"/>
      <c r="H50" s="175"/>
      <c r="I50" s="175"/>
      <c r="J50" s="175"/>
      <c r="K50" s="175"/>
      <c r="L50" s="175"/>
      <c r="M50" s="175"/>
      <c r="N50" s="175"/>
      <c r="O50" s="175"/>
      <c r="P50" s="175"/>
      <c r="Q50" s="175"/>
      <c r="R50" s="175"/>
      <c r="S50" s="175"/>
      <c r="T50" s="175"/>
      <c r="U50" s="175"/>
      <c r="V50" s="175"/>
      <c r="W50" s="175"/>
      <c r="X50" s="175"/>
      <c r="Y50" s="175"/>
      <c r="Z50" s="175"/>
    </row>
    <row r="51">
      <c r="A51" s="197" t="s">
        <v>89</v>
      </c>
      <c r="B51" s="233">
        <v>44047.0</v>
      </c>
      <c r="C51" s="234">
        <v>177963.0</v>
      </c>
      <c r="D51" s="235" t="s">
        <v>95</v>
      </c>
      <c r="E51" s="187" t="s">
        <v>96</v>
      </c>
      <c r="F51" s="236"/>
      <c r="G51" s="237"/>
      <c r="H51" s="237"/>
      <c r="I51" s="237"/>
      <c r="J51" s="237"/>
      <c r="K51" s="237"/>
      <c r="L51" s="237"/>
      <c r="M51" s="237"/>
      <c r="N51" s="237"/>
      <c r="O51" s="237"/>
      <c r="P51" s="237"/>
      <c r="Q51" s="237"/>
      <c r="R51" s="237"/>
      <c r="S51" s="237"/>
      <c r="T51" s="237"/>
      <c r="U51" s="237"/>
      <c r="V51" s="237"/>
      <c r="W51" s="237"/>
      <c r="X51" s="237"/>
      <c r="Y51" s="237"/>
      <c r="Z51" s="237"/>
    </row>
    <row r="52">
      <c r="A52" s="238" t="s">
        <v>89</v>
      </c>
      <c r="B52" s="198">
        <v>45498.0</v>
      </c>
      <c r="C52" s="183"/>
      <c r="D52" s="223" t="s">
        <v>97</v>
      </c>
      <c r="E52" s="186" t="s">
        <v>98</v>
      </c>
      <c r="F52" s="188"/>
      <c r="G52" s="175"/>
      <c r="H52" s="175"/>
      <c r="I52" s="175"/>
      <c r="J52" s="175"/>
      <c r="K52" s="175"/>
      <c r="L52" s="175"/>
      <c r="M52" s="175"/>
      <c r="N52" s="175"/>
      <c r="O52" s="175"/>
      <c r="P52" s="175"/>
      <c r="Q52" s="175"/>
      <c r="R52" s="175"/>
      <c r="S52" s="175"/>
      <c r="T52" s="175"/>
      <c r="U52" s="175"/>
      <c r="V52" s="175"/>
      <c r="W52" s="175"/>
      <c r="X52" s="175"/>
      <c r="Y52" s="175"/>
      <c r="Z52" s="175"/>
    </row>
    <row r="53">
      <c r="A53" s="239"/>
      <c r="B53" s="195"/>
      <c r="C53" s="183"/>
      <c r="D53" s="184"/>
      <c r="E53" s="188"/>
      <c r="F53" s="188"/>
      <c r="G53" s="175"/>
      <c r="H53" s="175"/>
      <c r="I53" s="175"/>
      <c r="J53" s="175"/>
      <c r="K53" s="175"/>
      <c r="L53" s="175"/>
      <c r="M53" s="175"/>
      <c r="N53" s="175"/>
      <c r="O53" s="175"/>
      <c r="P53" s="175"/>
      <c r="Q53" s="175"/>
      <c r="R53" s="175"/>
      <c r="S53" s="175"/>
      <c r="T53" s="175"/>
      <c r="U53" s="175"/>
      <c r="V53" s="175"/>
      <c r="W53" s="175"/>
      <c r="X53" s="175"/>
      <c r="Y53" s="175"/>
      <c r="Z53" s="175"/>
    </row>
    <row r="54">
      <c r="A54" s="240" t="s">
        <v>99</v>
      </c>
      <c r="B54" s="195">
        <v>43908.0</v>
      </c>
      <c r="C54" s="183"/>
      <c r="D54" s="184"/>
      <c r="E54" s="188" t="s">
        <v>83</v>
      </c>
      <c r="F54" s="188"/>
      <c r="G54" s="175"/>
      <c r="H54" s="175"/>
      <c r="I54" s="175"/>
      <c r="J54" s="175"/>
      <c r="K54" s="175"/>
      <c r="L54" s="175"/>
      <c r="M54" s="175"/>
      <c r="N54" s="175"/>
      <c r="O54" s="175"/>
      <c r="P54" s="175"/>
      <c r="Q54" s="175"/>
      <c r="R54" s="175"/>
      <c r="S54" s="175"/>
      <c r="T54" s="175"/>
      <c r="U54" s="175"/>
      <c r="V54" s="175"/>
      <c r="W54" s="175"/>
      <c r="X54" s="175"/>
      <c r="Y54" s="175"/>
      <c r="Z54" s="175"/>
    </row>
    <row r="55">
      <c r="A55" s="217"/>
      <c r="B55" s="195">
        <v>43908.0</v>
      </c>
      <c r="C55" s="183"/>
      <c r="D55" s="184"/>
      <c r="E55" s="187" t="s">
        <v>90</v>
      </c>
      <c r="F55" s="188" t="s">
        <v>11</v>
      </c>
      <c r="G55" s="175"/>
      <c r="H55" s="175"/>
      <c r="I55" s="175"/>
      <c r="J55" s="175"/>
      <c r="K55" s="175"/>
      <c r="L55" s="175"/>
      <c r="M55" s="175"/>
      <c r="N55" s="175"/>
      <c r="O55" s="175"/>
      <c r="P55" s="175"/>
      <c r="Q55" s="175"/>
      <c r="R55" s="175"/>
      <c r="S55" s="175"/>
      <c r="T55" s="175"/>
      <c r="U55" s="175"/>
      <c r="V55" s="175"/>
      <c r="W55" s="175"/>
      <c r="X55" s="175"/>
      <c r="Y55" s="175"/>
      <c r="Z55" s="175"/>
    </row>
    <row r="56">
      <c r="A56" s="217"/>
      <c r="B56" s="195">
        <v>43908.0</v>
      </c>
      <c r="C56" s="183"/>
      <c r="D56" s="184"/>
      <c r="E56" s="241" t="s">
        <v>100</v>
      </c>
      <c r="F56" s="188" t="s">
        <v>101</v>
      </c>
      <c r="G56" s="175"/>
      <c r="H56" s="175"/>
      <c r="I56" s="175"/>
      <c r="J56" s="175"/>
      <c r="K56" s="175"/>
      <c r="L56" s="175"/>
      <c r="M56" s="175"/>
      <c r="N56" s="175"/>
      <c r="O56" s="175"/>
      <c r="P56" s="175"/>
      <c r="Q56" s="175"/>
      <c r="R56" s="175"/>
      <c r="S56" s="175"/>
      <c r="T56" s="175"/>
      <c r="U56" s="175"/>
      <c r="V56" s="175"/>
      <c r="W56" s="175"/>
      <c r="X56" s="175"/>
      <c r="Y56" s="175"/>
      <c r="Z56" s="175"/>
    </row>
    <row r="57">
      <c r="A57" s="217"/>
      <c r="B57" s="182">
        <v>43914.0</v>
      </c>
      <c r="C57" s="183"/>
      <c r="D57" s="184"/>
      <c r="E57" s="242" t="s">
        <v>102</v>
      </c>
      <c r="F57" s="187" t="s">
        <v>103</v>
      </c>
      <c r="G57" s="175"/>
      <c r="H57" s="175"/>
      <c r="I57" s="175"/>
      <c r="J57" s="175"/>
      <c r="K57" s="175"/>
      <c r="L57" s="175"/>
      <c r="M57" s="175"/>
      <c r="N57" s="175"/>
      <c r="O57" s="175"/>
      <c r="P57" s="175"/>
      <c r="Q57" s="175"/>
      <c r="R57" s="175"/>
      <c r="S57" s="175"/>
      <c r="T57" s="175"/>
      <c r="U57" s="175"/>
      <c r="V57" s="175"/>
      <c r="W57" s="175"/>
      <c r="X57" s="175"/>
      <c r="Y57" s="175"/>
      <c r="Z57" s="175"/>
    </row>
    <row r="58">
      <c r="A58" s="217"/>
      <c r="B58" s="182">
        <v>43943.0</v>
      </c>
      <c r="C58" s="183"/>
      <c r="D58" s="184"/>
      <c r="E58" s="187" t="s">
        <v>104</v>
      </c>
      <c r="F58" s="187" t="s">
        <v>105</v>
      </c>
      <c r="G58" s="175"/>
      <c r="H58" s="175"/>
      <c r="I58" s="175"/>
      <c r="J58" s="175"/>
      <c r="K58" s="175"/>
      <c r="L58" s="175"/>
      <c r="M58" s="175"/>
      <c r="N58" s="175"/>
      <c r="O58" s="175"/>
      <c r="P58" s="175"/>
      <c r="Q58" s="175"/>
      <c r="R58" s="175"/>
      <c r="S58" s="175"/>
      <c r="T58" s="175"/>
      <c r="U58" s="175"/>
      <c r="V58" s="175"/>
      <c r="W58" s="175"/>
      <c r="X58" s="175"/>
      <c r="Y58" s="175"/>
      <c r="Z58" s="175"/>
    </row>
    <row r="59">
      <c r="A59" s="217"/>
      <c r="B59" s="182">
        <v>43965.0</v>
      </c>
      <c r="C59" s="183"/>
      <c r="D59" s="184"/>
      <c r="E59" s="241" t="s">
        <v>106</v>
      </c>
      <c r="F59" s="188"/>
      <c r="G59" s="175"/>
      <c r="H59" s="175"/>
      <c r="I59" s="175"/>
      <c r="J59" s="175"/>
      <c r="K59" s="175"/>
      <c r="L59" s="175"/>
      <c r="M59" s="175"/>
      <c r="N59" s="175"/>
      <c r="O59" s="175"/>
      <c r="P59" s="175"/>
      <c r="Q59" s="175"/>
      <c r="R59" s="175"/>
      <c r="S59" s="175"/>
      <c r="T59" s="175"/>
      <c r="U59" s="175"/>
      <c r="V59" s="175"/>
      <c r="W59" s="175"/>
      <c r="X59" s="175"/>
      <c r="Y59" s="175"/>
      <c r="Z59" s="175"/>
    </row>
    <row r="60">
      <c r="A60" s="217"/>
      <c r="B60" s="243">
        <v>44201.0</v>
      </c>
      <c r="C60" s="244"/>
      <c r="D60" s="245" t="s">
        <v>107</v>
      </c>
      <c r="E60" s="205" t="s">
        <v>108</v>
      </c>
      <c r="F60" s="236"/>
      <c r="G60" s="237"/>
      <c r="H60" s="237"/>
      <c r="I60" s="237"/>
      <c r="J60" s="237"/>
      <c r="K60" s="237"/>
      <c r="L60" s="237"/>
      <c r="M60" s="237"/>
      <c r="N60" s="237"/>
      <c r="O60" s="237"/>
      <c r="P60" s="237"/>
      <c r="Q60" s="237"/>
      <c r="R60" s="237"/>
      <c r="S60" s="237"/>
      <c r="T60" s="237"/>
      <c r="U60" s="237"/>
      <c r="V60" s="237"/>
      <c r="W60" s="237"/>
      <c r="X60" s="237"/>
      <c r="Y60" s="237"/>
      <c r="Z60" s="237"/>
    </row>
    <row r="61">
      <c r="A61" s="217"/>
      <c r="B61" s="246">
        <v>45016.0</v>
      </c>
      <c r="C61" s="172"/>
      <c r="D61" s="247"/>
      <c r="E61" s="186" t="s">
        <v>109</v>
      </c>
      <c r="F61" s="186" t="s">
        <v>110</v>
      </c>
      <c r="G61" s="175"/>
      <c r="H61" s="175"/>
      <c r="I61" s="175"/>
      <c r="J61" s="175"/>
      <c r="K61" s="175"/>
      <c r="L61" s="175"/>
      <c r="M61" s="175"/>
      <c r="N61" s="175"/>
      <c r="O61" s="175"/>
      <c r="P61" s="175"/>
      <c r="Q61" s="175"/>
      <c r="R61" s="175"/>
      <c r="S61" s="175"/>
      <c r="T61" s="175"/>
      <c r="U61" s="175"/>
      <c r="V61" s="175"/>
      <c r="W61" s="175"/>
      <c r="X61" s="175"/>
      <c r="Y61" s="175"/>
      <c r="Z61" s="175"/>
    </row>
    <row r="62">
      <c r="A62" s="217"/>
      <c r="B62" s="246">
        <v>45476.0</v>
      </c>
      <c r="C62" s="172"/>
      <c r="D62" s="248" t="s">
        <v>111</v>
      </c>
      <c r="E62" s="186" t="s">
        <v>112</v>
      </c>
      <c r="F62" s="188"/>
      <c r="G62" s="175"/>
      <c r="H62" s="175"/>
      <c r="I62" s="175"/>
      <c r="J62" s="175"/>
      <c r="K62" s="175"/>
      <c r="L62" s="175"/>
      <c r="M62" s="175"/>
      <c r="N62" s="175"/>
      <c r="O62" s="175"/>
      <c r="P62" s="175"/>
      <c r="Q62" s="175"/>
      <c r="R62" s="175"/>
      <c r="S62" s="175"/>
      <c r="T62" s="175"/>
      <c r="U62" s="175"/>
      <c r="V62" s="175"/>
      <c r="W62" s="175"/>
      <c r="X62" s="175"/>
      <c r="Y62" s="175"/>
      <c r="Z62" s="175"/>
    </row>
    <row r="63" ht="15.75" customHeight="1">
      <c r="A63" s="217"/>
      <c r="B63" s="198">
        <v>45251.0</v>
      </c>
      <c r="C63" s="203">
        <v>280755.0</v>
      </c>
      <c r="D63" s="223" t="s">
        <v>113</v>
      </c>
      <c r="E63" s="186" t="s">
        <v>114</v>
      </c>
      <c r="F63" s="188"/>
      <c r="G63" s="175"/>
      <c r="H63" s="175"/>
      <c r="I63" s="175"/>
      <c r="J63" s="175"/>
      <c r="K63" s="175"/>
      <c r="L63" s="175"/>
      <c r="M63" s="175"/>
      <c r="N63" s="175"/>
      <c r="O63" s="175"/>
      <c r="P63" s="175"/>
      <c r="Q63" s="175"/>
      <c r="R63" s="175"/>
      <c r="S63" s="175"/>
      <c r="T63" s="175"/>
      <c r="U63" s="175"/>
      <c r="V63" s="175"/>
      <c r="W63" s="175"/>
      <c r="X63" s="175"/>
      <c r="Y63" s="175"/>
      <c r="Z63" s="175"/>
    </row>
    <row r="64">
      <c r="A64" s="217"/>
      <c r="B64" s="246">
        <v>45702.0</v>
      </c>
      <c r="C64" s="249">
        <v>310224.0</v>
      </c>
      <c r="D64" s="223" t="s">
        <v>115</v>
      </c>
      <c r="E64" s="186" t="s">
        <v>116</v>
      </c>
      <c r="F64" s="188"/>
      <c r="G64" s="175"/>
      <c r="H64" s="175"/>
      <c r="I64" s="175"/>
      <c r="J64" s="175"/>
      <c r="K64" s="175"/>
      <c r="L64" s="175"/>
      <c r="M64" s="175"/>
      <c r="N64" s="175"/>
      <c r="O64" s="175"/>
      <c r="P64" s="175"/>
      <c r="Q64" s="175"/>
      <c r="R64" s="175"/>
      <c r="S64" s="175"/>
      <c r="T64" s="175"/>
      <c r="U64" s="175"/>
      <c r="V64" s="175"/>
      <c r="W64" s="175"/>
      <c r="X64" s="175"/>
      <c r="Y64" s="175"/>
      <c r="Z64" s="175"/>
    </row>
    <row r="65">
      <c r="A65" s="221"/>
      <c r="B65" s="246">
        <v>45737.0</v>
      </c>
      <c r="C65" s="183"/>
      <c r="D65" s="223" t="s">
        <v>117</v>
      </c>
      <c r="E65" s="186" t="s">
        <v>118</v>
      </c>
      <c r="F65" s="186" t="s">
        <v>119</v>
      </c>
      <c r="G65" s="175"/>
      <c r="H65" s="175"/>
      <c r="I65" s="175"/>
      <c r="J65" s="175"/>
      <c r="K65" s="175"/>
      <c r="L65" s="175"/>
      <c r="M65" s="175"/>
      <c r="N65" s="175"/>
      <c r="O65" s="175"/>
      <c r="P65" s="175"/>
      <c r="Q65" s="175"/>
      <c r="R65" s="175"/>
      <c r="S65" s="175"/>
      <c r="T65" s="175"/>
      <c r="U65" s="175"/>
      <c r="V65" s="175"/>
      <c r="W65" s="175"/>
      <c r="X65" s="175"/>
      <c r="Y65" s="175"/>
      <c r="Z65" s="175"/>
    </row>
    <row r="66">
      <c r="A66" s="188"/>
      <c r="B66" s="250"/>
      <c r="C66" s="183"/>
      <c r="D66" s="232"/>
      <c r="E66" s="188"/>
      <c r="F66" s="188"/>
      <c r="G66" s="175"/>
      <c r="H66" s="175"/>
      <c r="I66" s="175"/>
      <c r="J66" s="175"/>
      <c r="K66" s="175"/>
      <c r="L66" s="175"/>
      <c r="M66" s="175"/>
      <c r="N66" s="175"/>
      <c r="O66" s="175"/>
      <c r="P66" s="175"/>
      <c r="Q66" s="175"/>
      <c r="R66" s="175"/>
      <c r="S66" s="175"/>
      <c r="T66" s="175"/>
      <c r="U66" s="175"/>
      <c r="V66" s="175"/>
      <c r="W66" s="175"/>
      <c r="X66" s="175"/>
      <c r="Y66" s="175"/>
      <c r="Z66" s="175"/>
    </row>
    <row r="67">
      <c r="A67" s="188"/>
      <c r="B67" s="250"/>
      <c r="C67" s="183"/>
      <c r="D67" s="232"/>
      <c r="E67" s="188"/>
      <c r="F67" s="188"/>
      <c r="G67" s="175"/>
      <c r="H67" s="175"/>
      <c r="I67" s="175"/>
      <c r="J67" s="175"/>
      <c r="K67" s="175"/>
      <c r="L67" s="175"/>
      <c r="M67" s="175"/>
      <c r="N67" s="175"/>
      <c r="O67" s="175"/>
      <c r="P67" s="175"/>
      <c r="Q67" s="175"/>
      <c r="R67" s="175"/>
      <c r="S67" s="175"/>
      <c r="T67" s="175"/>
      <c r="U67" s="175"/>
      <c r="V67" s="175"/>
      <c r="W67" s="175"/>
      <c r="X67" s="175"/>
      <c r="Y67" s="175"/>
      <c r="Z67" s="175"/>
    </row>
    <row r="68">
      <c r="A68" s="188"/>
      <c r="B68" s="250"/>
      <c r="C68" s="183"/>
      <c r="D68" s="232"/>
      <c r="E68" s="188"/>
      <c r="F68" s="188"/>
      <c r="G68" s="175"/>
      <c r="H68" s="175"/>
      <c r="I68" s="175"/>
      <c r="J68" s="175"/>
      <c r="K68" s="175"/>
      <c r="L68" s="175"/>
      <c r="M68" s="175"/>
      <c r="N68" s="175"/>
      <c r="O68" s="175"/>
      <c r="P68" s="175"/>
      <c r="Q68" s="175"/>
      <c r="R68" s="175"/>
      <c r="S68" s="175"/>
      <c r="T68" s="175"/>
      <c r="U68" s="175"/>
      <c r="V68" s="175"/>
      <c r="W68" s="175"/>
      <c r="X68" s="175"/>
      <c r="Y68" s="175"/>
      <c r="Z68" s="175"/>
    </row>
    <row r="69">
      <c r="A69" s="251" t="s">
        <v>120</v>
      </c>
      <c r="B69" s="182">
        <v>44014.0</v>
      </c>
      <c r="C69" s="183"/>
      <c r="D69" s="196" t="s">
        <v>121</v>
      </c>
      <c r="E69" s="187" t="s">
        <v>122</v>
      </c>
      <c r="F69" s="228" t="s">
        <v>123</v>
      </c>
      <c r="G69" s="175"/>
      <c r="H69" s="175"/>
      <c r="I69" s="175"/>
      <c r="J69" s="175"/>
      <c r="K69" s="175"/>
      <c r="L69" s="175"/>
      <c r="M69" s="175"/>
      <c r="N69" s="175"/>
      <c r="O69" s="175"/>
      <c r="P69" s="175"/>
      <c r="Q69" s="175"/>
      <c r="R69" s="175"/>
      <c r="S69" s="175"/>
      <c r="T69" s="175"/>
      <c r="U69" s="175"/>
      <c r="V69" s="175"/>
      <c r="W69" s="175"/>
      <c r="X69" s="175"/>
      <c r="Y69" s="175"/>
      <c r="Z69" s="175"/>
    </row>
    <row r="70">
      <c r="A70" s="221"/>
      <c r="B70" s="246">
        <v>45832.0</v>
      </c>
      <c r="C70" s="203">
        <v>278732.0</v>
      </c>
      <c r="D70" s="223" t="s">
        <v>124</v>
      </c>
      <c r="E70" s="186" t="s">
        <v>125</v>
      </c>
      <c r="F70" s="174"/>
      <c r="G70" s="175"/>
      <c r="H70" s="175"/>
      <c r="I70" s="175"/>
      <c r="J70" s="175"/>
      <c r="K70" s="175"/>
      <c r="L70" s="175"/>
      <c r="M70" s="175"/>
      <c r="N70" s="175"/>
      <c r="O70" s="175"/>
      <c r="P70" s="175"/>
      <c r="Q70" s="175"/>
      <c r="R70" s="175"/>
      <c r="S70" s="175"/>
      <c r="T70" s="175"/>
      <c r="U70" s="175"/>
      <c r="V70" s="175"/>
      <c r="W70" s="175"/>
      <c r="X70" s="175"/>
      <c r="Y70" s="175"/>
      <c r="Z70" s="175"/>
    </row>
    <row r="71" ht="178.5" customHeight="1">
      <c r="A71" s="192"/>
      <c r="B71" s="246">
        <v>46132.0</v>
      </c>
      <c r="C71" s="249">
        <v>354285.0</v>
      </c>
      <c r="D71" s="223" t="s">
        <v>126</v>
      </c>
      <c r="E71" s="186" t="s">
        <v>127</v>
      </c>
      <c r="F71" s="188"/>
      <c r="G71" s="175"/>
      <c r="H71" s="175"/>
      <c r="I71" s="175"/>
      <c r="J71" s="175"/>
      <c r="K71" s="175"/>
      <c r="L71" s="175"/>
      <c r="M71" s="175"/>
      <c r="N71" s="175"/>
      <c r="O71" s="175"/>
      <c r="P71" s="175"/>
      <c r="Q71" s="175"/>
      <c r="R71" s="175"/>
      <c r="S71" s="175"/>
      <c r="T71" s="175"/>
      <c r="U71" s="175"/>
      <c r="V71" s="175"/>
      <c r="W71" s="175"/>
      <c r="X71" s="175"/>
      <c r="Y71" s="175"/>
      <c r="Z71" s="175"/>
    </row>
    <row r="72">
      <c r="A72" s="188"/>
      <c r="B72" s="250"/>
      <c r="C72" s="183"/>
      <c r="D72" s="232"/>
      <c r="E72" s="188"/>
      <c r="F72" s="188"/>
      <c r="G72" s="175"/>
      <c r="H72" s="175"/>
      <c r="I72" s="175"/>
      <c r="J72" s="175"/>
      <c r="K72" s="175"/>
      <c r="L72" s="175"/>
      <c r="M72" s="175"/>
      <c r="N72" s="175"/>
      <c r="O72" s="175"/>
      <c r="P72" s="175"/>
      <c r="Q72" s="175"/>
      <c r="R72" s="175"/>
      <c r="S72" s="175"/>
      <c r="T72" s="175"/>
      <c r="U72" s="175"/>
      <c r="V72" s="175"/>
      <c r="W72" s="175"/>
      <c r="X72" s="175"/>
      <c r="Y72" s="175"/>
      <c r="Z72" s="175"/>
    </row>
    <row r="73">
      <c r="A73" s="197" t="s">
        <v>128</v>
      </c>
      <c r="B73" s="246">
        <v>44106.0</v>
      </c>
      <c r="C73" s="183"/>
      <c r="D73" s="232"/>
      <c r="E73" s="186" t="s">
        <v>129</v>
      </c>
      <c r="F73" s="186" t="s">
        <v>130</v>
      </c>
      <c r="G73" s="175"/>
      <c r="H73" s="175"/>
      <c r="I73" s="175"/>
      <c r="J73" s="175"/>
      <c r="K73" s="175"/>
      <c r="L73" s="175"/>
      <c r="M73" s="175"/>
      <c r="N73" s="175"/>
      <c r="O73" s="175"/>
      <c r="P73" s="175"/>
      <c r="Q73" s="175"/>
      <c r="R73" s="175"/>
      <c r="S73" s="175"/>
      <c r="T73" s="175"/>
      <c r="U73" s="175"/>
      <c r="V73" s="175"/>
      <c r="W73" s="175"/>
      <c r="X73" s="175"/>
      <c r="Y73" s="175"/>
      <c r="Z73" s="175"/>
    </row>
    <row r="74" ht="60.75" customHeight="1">
      <c r="A74" s="252"/>
      <c r="B74" s="198">
        <v>45198.0</v>
      </c>
      <c r="C74" s="249">
        <v>275103.0</v>
      </c>
      <c r="D74" s="223" t="s">
        <v>131</v>
      </c>
      <c r="E74" s="186" t="s">
        <v>132</v>
      </c>
      <c r="F74" s="186" t="s">
        <v>133</v>
      </c>
      <c r="G74" s="175"/>
      <c r="H74" s="175"/>
      <c r="I74" s="175"/>
      <c r="J74" s="175"/>
      <c r="K74" s="175"/>
      <c r="L74" s="175"/>
      <c r="M74" s="175"/>
      <c r="N74" s="175"/>
      <c r="O74" s="175"/>
      <c r="P74" s="175"/>
      <c r="Q74" s="175"/>
      <c r="R74" s="175"/>
      <c r="S74" s="175"/>
      <c r="T74" s="175"/>
      <c r="U74" s="175"/>
      <c r="V74" s="175"/>
      <c r="W74" s="175"/>
      <c r="X74" s="175"/>
      <c r="Y74" s="175"/>
      <c r="Z74" s="175"/>
    </row>
    <row r="75">
      <c r="A75" s="252"/>
      <c r="B75" s="198">
        <v>44816.0</v>
      </c>
      <c r="C75" s="249">
        <v>241865.0</v>
      </c>
      <c r="D75" s="223" t="s">
        <v>134</v>
      </c>
      <c r="E75" s="186" t="s">
        <v>135</v>
      </c>
      <c r="F75" s="188"/>
      <c r="G75" s="175"/>
      <c r="H75" s="175"/>
      <c r="I75" s="175"/>
      <c r="J75" s="175"/>
      <c r="K75" s="175"/>
      <c r="L75" s="175"/>
      <c r="M75" s="175"/>
      <c r="N75" s="175"/>
      <c r="O75" s="175"/>
      <c r="P75" s="175"/>
      <c r="Q75" s="175"/>
      <c r="R75" s="175"/>
      <c r="S75" s="175"/>
      <c r="T75" s="175"/>
      <c r="U75" s="175"/>
      <c r="V75" s="175"/>
      <c r="W75" s="175"/>
      <c r="X75" s="175"/>
      <c r="Y75" s="175"/>
      <c r="Z75" s="175"/>
    </row>
    <row r="76">
      <c r="A76" s="252"/>
      <c r="B76" s="253">
        <v>45490.0</v>
      </c>
      <c r="C76" s="254"/>
      <c r="D76" s="255"/>
      <c r="E76" s="256" t="s">
        <v>136</v>
      </c>
      <c r="F76" s="256"/>
      <c r="G76" s="175"/>
      <c r="H76" s="175"/>
      <c r="I76" s="175"/>
      <c r="J76" s="175"/>
      <c r="K76" s="175"/>
      <c r="L76" s="175"/>
      <c r="M76" s="175"/>
      <c r="N76" s="175"/>
      <c r="O76" s="175"/>
      <c r="P76" s="175"/>
      <c r="Q76" s="175"/>
      <c r="R76" s="175"/>
      <c r="S76" s="175"/>
      <c r="T76" s="175"/>
      <c r="U76" s="175"/>
      <c r="V76" s="175"/>
      <c r="W76" s="175"/>
      <c r="X76" s="175"/>
      <c r="Y76" s="175"/>
      <c r="Z76" s="175"/>
    </row>
    <row r="77" ht="15.75" customHeight="1">
      <c r="A77" s="252"/>
      <c r="B77" s="257">
        <v>45525.0</v>
      </c>
      <c r="C77" s="183"/>
      <c r="D77" s="223" t="s">
        <v>137</v>
      </c>
      <c r="E77" s="186" t="s">
        <v>138</v>
      </c>
      <c r="F77" s="191" t="s">
        <v>139</v>
      </c>
      <c r="G77" s="175"/>
      <c r="H77" s="175"/>
      <c r="I77" s="175"/>
      <c r="J77" s="175"/>
      <c r="K77" s="175"/>
      <c r="L77" s="175"/>
      <c r="M77" s="175"/>
      <c r="N77" s="175"/>
      <c r="O77" s="175"/>
      <c r="P77" s="175"/>
      <c r="Q77" s="175"/>
      <c r="R77" s="175"/>
      <c r="S77" s="175"/>
      <c r="T77" s="175"/>
      <c r="U77" s="175"/>
      <c r="V77" s="175"/>
      <c r="W77" s="175"/>
      <c r="X77" s="175"/>
      <c r="Y77" s="175"/>
      <c r="Z77" s="175"/>
    </row>
    <row r="78">
      <c r="A78" s="252"/>
      <c r="B78" s="246">
        <v>45755.0</v>
      </c>
      <c r="C78" s="183"/>
      <c r="D78" s="223" t="s">
        <v>137</v>
      </c>
      <c r="E78" s="186" t="s">
        <v>140</v>
      </c>
      <c r="F78" s="186" t="s">
        <v>141</v>
      </c>
      <c r="G78" s="175"/>
      <c r="H78" s="175"/>
      <c r="I78" s="175"/>
      <c r="J78" s="175"/>
      <c r="K78" s="175"/>
      <c r="L78" s="175"/>
      <c r="M78" s="175"/>
      <c r="N78" s="175"/>
      <c r="O78" s="175"/>
      <c r="P78" s="175"/>
      <c r="Q78" s="175"/>
      <c r="R78" s="175"/>
      <c r="S78" s="175"/>
      <c r="T78" s="175"/>
      <c r="U78" s="175"/>
      <c r="V78" s="175"/>
      <c r="W78" s="175"/>
      <c r="X78" s="175"/>
      <c r="Y78" s="175"/>
      <c r="Z78" s="175"/>
    </row>
    <row r="79">
      <c r="A79" s="252"/>
      <c r="B79" s="258">
        <v>46093.0</v>
      </c>
      <c r="C79" s="259" t="s">
        <v>142</v>
      </c>
      <c r="D79" s="260" t="s">
        <v>143</v>
      </c>
      <c r="E79" s="261" t="s">
        <v>144</v>
      </c>
      <c r="F79" s="188"/>
      <c r="G79" s="175"/>
      <c r="H79" s="175"/>
      <c r="I79" s="175"/>
      <c r="J79" s="175"/>
      <c r="K79" s="175"/>
      <c r="L79" s="175"/>
      <c r="M79" s="175"/>
      <c r="N79" s="175"/>
      <c r="O79" s="175"/>
      <c r="P79" s="175"/>
      <c r="Q79" s="175"/>
      <c r="R79" s="175"/>
      <c r="S79" s="175"/>
      <c r="T79" s="175"/>
      <c r="U79" s="175"/>
      <c r="V79" s="175"/>
      <c r="W79" s="175"/>
      <c r="X79" s="175"/>
      <c r="Y79" s="175"/>
      <c r="Z79" s="175"/>
    </row>
    <row r="80">
      <c r="A80" s="188"/>
      <c r="B80" s="250"/>
      <c r="C80" s="183"/>
      <c r="D80" s="232"/>
      <c r="E80" s="188"/>
      <c r="F80" s="188"/>
      <c r="G80" s="175"/>
      <c r="H80" s="175"/>
      <c r="I80" s="175"/>
      <c r="J80" s="175"/>
      <c r="K80" s="175"/>
      <c r="L80" s="175"/>
      <c r="M80" s="175"/>
      <c r="N80" s="175"/>
      <c r="O80" s="175"/>
      <c r="P80" s="175"/>
      <c r="Q80" s="175"/>
      <c r="R80" s="175"/>
      <c r="S80" s="175"/>
      <c r="T80" s="175"/>
      <c r="U80" s="175"/>
      <c r="V80" s="175"/>
      <c r="W80" s="175"/>
      <c r="X80" s="175"/>
      <c r="Y80" s="175"/>
      <c r="Z80" s="175"/>
    </row>
    <row r="81">
      <c r="A81" s="192" t="s">
        <v>145</v>
      </c>
      <c r="B81" s="246">
        <v>44123.0</v>
      </c>
      <c r="C81" s="249">
        <v>208286.0</v>
      </c>
      <c r="D81" s="223" t="s">
        <v>146</v>
      </c>
      <c r="E81" s="186" t="s">
        <v>147</v>
      </c>
      <c r="F81" s="188"/>
      <c r="G81" s="175"/>
      <c r="H81" s="175"/>
      <c r="I81" s="175"/>
      <c r="J81" s="175"/>
      <c r="K81" s="175"/>
      <c r="L81" s="175"/>
      <c r="M81" s="175"/>
      <c r="N81" s="175"/>
      <c r="O81" s="175"/>
      <c r="P81" s="175"/>
      <c r="Q81" s="175"/>
      <c r="R81" s="175"/>
      <c r="S81" s="175"/>
      <c r="T81" s="175"/>
      <c r="U81" s="175"/>
      <c r="V81" s="175"/>
      <c r="W81" s="175"/>
      <c r="X81" s="175"/>
      <c r="Y81" s="175"/>
      <c r="Z81" s="175"/>
    </row>
    <row r="82">
      <c r="A82" s="192"/>
      <c r="B82" s="246">
        <v>45740.0</v>
      </c>
      <c r="C82" s="249">
        <v>253376.0</v>
      </c>
      <c r="D82" s="230" t="s">
        <v>148</v>
      </c>
      <c r="E82" s="186" t="s">
        <v>149</v>
      </c>
      <c r="F82" s="188"/>
      <c r="G82" s="175"/>
      <c r="H82" s="175"/>
      <c r="I82" s="175"/>
      <c r="J82" s="175"/>
      <c r="K82" s="175"/>
      <c r="L82" s="175"/>
      <c r="M82" s="175"/>
      <c r="N82" s="175"/>
      <c r="O82" s="175"/>
      <c r="P82" s="175"/>
      <c r="Q82" s="175"/>
      <c r="R82" s="175"/>
      <c r="S82" s="175"/>
      <c r="T82" s="175"/>
      <c r="U82" s="175"/>
      <c r="V82" s="175"/>
      <c r="W82" s="175"/>
      <c r="X82" s="175"/>
      <c r="Y82" s="175"/>
      <c r="Z82" s="175"/>
    </row>
    <row r="83">
      <c r="A83" s="188"/>
      <c r="B83" s="250"/>
      <c r="C83" s="183"/>
      <c r="D83" s="232"/>
      <c r="E83" s="188"/>
      <c r="F83" s="188"/>
      <c r="G83" s="175"/>
      <c r="H83" s="175"/>
      <c r="I83" s="175"/>
      <c r="J83" s="175"/>
      <c r="K83" s="175"/>
      <c r="L83" s="175"/>
      <c r="M83" s="175"/>
      <c r="N83" s="175"/>
      <c r="O83" s="175"/>
      <c r="P83" s="175"/>
      <c r="Q83" s="175"/>
      <c r="R83" s="175"/>
      <c r="S83" s="175"/>
      <c r="T83" s="175"/>
      <c r="U83" s="175"/>
      <c r="V83" s="175"/>
      <c r="W83" s="175"/>
      <c r="X83" s="175"/>
      <c r="Y83" s="175"/>
      <c r="Z83" s="175"/>
    </row>
    <row r="84">
      <c r="A84" s="197" t="s">
        <v>150</v>
      </c>
      <c r="B84" s="246">
        <v>44585.0</v>
      </c>
      <c r="C84" s="183"/>
      <c r="D84" s="223" t="s">
        <v>137</v>
      </c>
      <c r="E84" s="186" t="s">
        <v>151</v>
      </c>
      <c r="F84" s="188"/>
      <c r="G84" s="175"/>
      <c r="H84" s="175"/>
      <c r="I84" s="175"/>
      <c r="J84" s="175"/>
      <c r="K84" s="175"/>
      <c r="L84" s="175"/>
      <c r="M84" s="175"/>
      <c r="N84" s="175"/>
      <c r="O84" s="175"/>
      <c r="P84" s="175"/>
      <c r="Q84" s="175"/>
      <c r="R84" s="175"/>
      <c r="S84" s="175"/>
      <c r="T84" s="175"/>
      <c r="U84" s="175"/>
      <c r="V84" s="175"/>
      <c r="W84" s="175"/>
      <c r="X84" s="175"/>
      <c r="Y84" s="175"/>
      <c r="Z84" s="175"/>
    </row>
    <row r="85">
      <c r="A85" s="188"/>
      <c r="B85" s="250"/>
      <c r="C85" s="183"/>
      <c r="D85" s="232"/>
      <c r="E85" s="188"/>
      <c r="F85" s="188"/>
      <c r="G85" s="175"/>
      <c r="H85" s="175"/>
      <c r="I85" s="175"/>
      <c r="J85" s="175"/>
      <c r="K85" s="175"/>
      <c r="L85" s="175"/>
      <c r="M85" s="175"/>
      <c r="N85" s="175"/>
      <c r="O85" s="175"/>
      <c r="P85" s="175"/>
      <c r="Q85" s="175"/>
      <c r="R85" s="175"/>
      <c r="S85" s="175"/>
      <c r="T85" s="175"/>
      <c r="U85" s="175"/>
      <c r="V85" s="175"/>
      <c r="W85" s="175"/>
      <c r="X85" s="175"/>
      <c r="Y85" s="175"/>
      <c r="Z85" s="175"/>
    </row>
    <row r="86">
      <c r="A86" s="197" t="s">
        <v>152</v>
      </c>
      <c r="B86" s="246">
        <v>44753.0</v>
      </c>
      <c r="C86" s="203">
        <v>239726.0</v>
      </c>
      <c r="D86" s="223" t="s">
        <v>153</v>
      </c>
      <c r="E86" s="256" t="s">
        <v>154</v>
      </c>
      <c r="F86" s="186" t="s">
        <v>155</v>
      </c>
      <c r="G86" s="175"/>
      <c r="H86" s="175"/>
      <c r="I86" s="175"/>
      <c r="J86" s="175"/>
      <c r="K86" s="175"/>
      <c r="L86" s="175"/>
      <c r="M86" s="175"/>
      <c r="N86" s="175"/>
      <c r="O86" s="175"/>
      <c r="P86" s="175"/>
      <c r="Q86" s="175"/>
      <c r="R86" s="175"/>
      <c r="S86" s="175"/>
      <c r="T86" s="175"/>
      <c r="U86" s="175"/>
      <c r="V86" s="175"/>
      <c r="W86" s="175"/>
      <c r="X86" s="175"/>
      <c r="Y86" s="175"/>
      <c r="Z86" s="175"/>
    </row>
    <row r="87">
      <c r="A87" s="188"/>
      <c r="B87" s="250"/>
      <c r="C87" s="183"/>
      <c r="D87" s="232"/>
      <c r="E87" s="188"/>
      <c r="F87" s="188"/>
      <c r="G87" s="175"/>
      <c r="H87" s="175"/>
      <c r="I87" s="175"/>
      <c r="J87" s="175"/>
      <c r="K87" s="175"/>
      <c r="L87" s="175"/>
      <c r="M87" s="175"/>
      <c r="N87" s="175"/>
      <c r="O87" s="175"/>
      <c r="P87" s="175"/>
      <c r="Q87" s="175"/>
      <c r="R87" s="175"/>
      <c r="S87" s="175"/>
      <c r="T87" s="175"/>
      <c r="U87" s="175"/>
      <c r="V87" s="175"/>
      <c r="W87" s="175"/>
      <c r="X87" s="175"/>
      <c r="Y87" s="175"/>
      <c r="Z87" s="175"/>
    </row>
    <row r="88">
      <c r="A88" s="192" t="s">
        <v>156</v>
      </c>
      <c r="B88" s="246">
        <v>44755.0</v>
      </c>
      <c r="C88" s="203">
        <v>230159.0</v>
      </c>
      <c r="D88" s="223" t="s">
        <v>157</v>
      </c>
      <c r="E88" s="186" t="s">
        <v>158</v>
      </c>
      <c r="F88" s="188"/>
      <c r="G88" s="175"/>
      <c r="H88" s="175"/>
      <c r="I88" s="175"/>
      <c r="J88" s="175"/>
      <c r="K88" s="175"/>
      <c r="L88" s="175"/>
      <c r="M88" s="175"/>
      <c r="N88" s="175"/>
      <c r="O88" s="175"/>
      <c r="P88" s="175"/>
      <c r="Q88" s="175"/>
      <c r="R88" s="175"/>
      <c r="S88" s="175"/>
      <c r="T88" s="175"/>
      <c r="U88" s="175"/>
      <c r="V88" s="175"/>
      <c r="W88" s="175"/>
      <c r="X88" s="175"/>
      <c r="Y88" s="175"/>
      <c r="Z88" s="175"/>
    </row>
    <row r="89">
      <c r="A89" s="188"/>
      <c r="B89" s="250"/>
      <c r="C89" s="183"/>
      <c r="D89" s="232"/>
      <c r="E89" s="188"/>
      <c r="F89" s="188"/>
      <c r="G89" s="175"/>
      <c r="H89" s="175"/>
      <c r="I89" s="175"/>
      <c r="J89" s="175"/>
      <c r="K89" s="175"/>
      <c r="L89" s="175"/>
      <c r="M89" s="175"/>
      <c r="N89" s="175"/>
      <c r="O89" s="175"/>
      <c r="P89" s="175"/>
      <c r="Q89" s="175"/>
      <c r="R89" s="175"/>
      <c r="S89" s="175"/>
      <c r="T89" s="175"/>
      <c r="U89" s="175"/>
      <c r="V89" s="175"/>
      <c r="W89" s="175"/>
      <c r="X89" s="175"/>
      <c r="Y89" s="175"/>
      <c r="Z89" s="175"/>
    </row>
    <row r="90" ht="15.75" customHeight="1">
      <c r="A90" s="188"/>
      <c r="B90" s="195"/>
      <c r="C90" s="183"/>
      <c r="D90" s="184"/>
      <c r="E90" s="188"/>
      <c r="F90" s="188"/>
      <c r="G90" s="175"/>
      <c r="H90" s="175"/>
      <c r="I90" s="175"/>
      <c r="J90" s="175"/>
      <c r="K90" s="175"/>
      <c r="L90" s="175"/>
      <c r="M90" s="175"/>
      <c r="N90" s="175"/>
      <c r="O90" s="175"/>
      <c r="P90" s="175"/>
      <c r="Q90" s="175"/>
      <c r="R90" s="175"/>
      <c r="S90" s="175"/>
      <c r="T90" s="175"/>
      <c r="U90" s="175"/>
      <c r="V90" s="175"/>
      <c r="W90" s="175"/>
      <c r="X90" s="175"/>
      <c r="Y90" s="175"/>
      <c r="Z90" s="175"/>
    </row>
    <row r="91" ht="15.75" customHeight="1">
      <c r="A91" s="197" t="s">
        <v>159</v>
      </c>
      <c r="B91" s="198">
        <v>44965.0</v>
      </c>
      <c r="C91" s="203">
        <v>193584.0</v>
      </c>
      <c r="D91" s="223" t="s">
        <v>160</v>
      </c>
      <c r="E91" s="256" t="s">
        <v>161</v>
      </c>
      <c r="F91" s="188"/>
      <c r="G91" s="175"/>
      <c r="H91" s="175"/>
      <c r="I91" s="175"/>
      <c r="J91" s="175"/>
      <c r="K91" s="175"/>
      <c r="L91" s="175"/>
      <c r="M91" s="175"/>
      <c r="N91" s="175"/>
      <c r="O91" s="175"/>
      <c r="P91" s="175"/>
      <c r="Q91" s="175"/>
      <c r="R91" s="175"/>
      <c r="S91" s="175"/>
      <c r="T91" s="175"/>
      <c r="U91" s="175"/>
      <c r="V91" s="175"/>
      <c r="W91" s="175"/>
      <c r="X91" s="175"/>
      <c r="Y91" s="175"/>
      <c r="Z91" s="175"/>
    </row>
    <row r="92" ht="15.75" customHeight="1">
      <c r="A92" s="188"/>
      <c r="B92" s="195"/>
      <c r="C92" s="183"/>
      <c r="D92" s="184"/>
      <c r="E92" s="188"/>
      <c r="F92" s="188"/>
      <c r="G92" s="175"/>
      <c r="H92" s="175"/>
      <c r="I92" s="175"/>
      <c r="J92" s="175"/>
      <c r="K92" s="175"/>
      <c r="L92" s="175"/>
      <c r="M92" s="175"/>
      <c r="N92" s="175"/>
      <c r="O92" s="175"/>
      <c r="P92" s="175"/>
      <c r="Q92" s="175"/>
      <c r="R92" s="175"/>
      <c r="S92" s="175"/>
      <c r="T92" s="175"/>
      <c r="U92" s="175"/>
      <c r="V92" s="175"/>
      <c r="W92" s="175"/>
      <c r="X92" s="175"/>
      <c r="Y92" s="175"/>
      <c r="Z92" s="175"/>
    </row>
    <row r="93" ht="15.75" customHeight="1">
      <c r="A93" s="192" t="s">
        <v>162</v>
      </c>
      <c r="B93" s="198">
        <v>45012.0</v>
      </c>
      <c r="C93" s="203">
        <v>265337.0</v>
      </c>
      <c r="D93" s="223" t="s">
        <v>163</v>
      </c>
      <c r="E93" s="205" t="s">
        <v>164</v>
      </c>
      <c r="F93" s="186" t="s">
        <v>165</v>
      </c>
      <c r="G93" s="175"/>
      <c r="H93" s="175"/>
      <c r="I93" s="175"/>
      <c r="J93" s="175"/>
      <c r="K93" s="175"/>
      <c r="L93" s="175"/>
      <c r="M93" s="175"/>
      <c r="N93" s="175"/>
      <c r="O93" s="175"/>
      <c r="P93" s="175"/>
      <c r="Q93" s="175"/>
      <c r="R93" s="175"/>
      <c r="S93" s="175"/>
      <c r="T93" s="175"/>
      <c r="U93" s="175"/>
      <c r="V93" s="175"/>
      <c r="W93" s="175"/>
      <c r="X93" s="175"/>
      <c r="Y93" s="175"/>
      <c r="Z93" s="175"/>
    </row>
    <row r="94">
      <c r="A94" s="192"/>
      <c r="B94" s="198">
        <v>45664.0</v>
      </c>
      <c r="C94" s="249">
        <v>308507.0</v>
      </c>
      <c r="D94" s="223" t="s">
        <v>166</v>
      </c>
      <c r="E94" s="186" t="s">
        <v>167</v>
      </c>
      <c r="F94" s="188"/>
      <c r="G94" s="175"/>
      <c r="H94" s="175"/>
      <c r="I94" s="175"/>
      <c r="J94" s="175"/>
      <c r="K94" s="175"/>
      <c r="L94" s="175"/>
      <c r="M94" s="175"/>
      <c r="N94" s="175"/>
      <c r="O94" s="175"/>
      <c r="P94" s="175"/>
      <c r="Q94" s="175"/>
      <c r="R94" s="175"/>
      <c r="S94" s="175"/>
      <c r="T94" s="175"/>
      <c r="U94" s="175"/>
      <c r="V94" s="175"/>
      <c r="W94" s="175"/>
      <c r="X94" s="175"/>
      <c r="Y94" s="175"/>
      <c r="Z94" s="175"/>
    </row>
    <row r="95">
      <c r="A95" s="229" t="s">
        <v>162</v>
      </c>
      <c r="B95" s="198">
        <v>45678.0</v>
      </c>
      <c r="C95" s="249">
        <v>308507.0</v>
      </c>
      <c r="D95" s="223" t="s">
        <v>166</v>
      </c>
      <c r="E95" s="186" t="s">
        <v>168</v>
      </c>
      <c r="F95" s="188"/>
      <c r="G95" s="175"/>
      <c r="H95" s="175"/>
      <c r="I95" s="175"/>
      <c r="J95" s="175"/>
      <c r="K95" s="175"/>
      <c r="L95" s="175"/>
      <c r="M95" s="175"/>
      <c r="N95" s="175"/>
      <c r="O95" s="175"/>
      <c r="P95" s="175"/>
      <c r="Q95" s="175"/>
      <c r="R95" s="175"/>
      <c r="S95" s="175"/>
      <c r="T95" s="175"/>
      <c r="U95" s="175"/>
      <c r="V95" s="175"/>
      <c r="W95" s="175"/>
      <c r="X95" s="175"/>
      <c r="Y95" s="175"/>
      <c r="Z95" s="175"/>
    </row>
    <row r="96" ht="148.5" customHeight="1">
      <c r="A96" s="252"/>
      <c r="B96" s="252"/>
      <c r="C96" s="252"/>
      <c r="D96" s="252"/>
      <c r="E96" s="252"/>
      <c r="F96" s="188"/>
      <c r="G96" s="175"/>
      <c r="H96" s="175"/>
      <c r="I96" s="175"/>
      <c r="J96" s="175"/>
      <c r="K96" s="175"/>
      <c r="L96" s="175"/>
      <c r="M96" s="175"/>
      <c r="N96" s="175"/>
      <c r="O96" s="175"/>
      <c r="P96" s="175"/>
      <c r="Q96" s="175"/>
      <c r="R96" s="175"/>
      <c r="S96" s="175"/>
      <c r="T96" s="175"/>
      <c r="U96" s="175"/>
      <c r="V96" s="175"/>
      <c r="W96" s="175"/>
      <c r="X96" s="175"/>
      <c r="Y96" s="175"/>
      <c r="Z96" s="175"/>
    </row>
    <row r="97" ht="141.0" customHeight="1">
      <c r="A97" s="252"/>
      <c r="B97" s="252"/>
      <c r="C97" s="252"/>
      <c r="D97" s="252"/>
      <c r="E97" s="252"/>
      <c r="F97" s="188"/>
      <c r="G97" s="175"/>
      <c r="H97" s="175"/>
      <c r="I97" s="175"/>
      <c r="J97" s="175"/>
      <c r="K97" s="175"/>
      <c r="L97" s="175"/>
      <c r="M97" s="175"/>
      <c r="N97" s="175"/>
      <c r="O97" s="175"/>
      <c r="P97" s="175"/>
      <c r="Q97" s="175"/>
      <c r="R97" s="175"/>
      <c r="S97" s="175"/>
      <c r="T97" s="175"/>
      <c r="U97" s="175"/>
      <c r="V97" s="175"/>
      <c r="W97" s="175"/>
      <c r="X97" s="175"/>
      <c r="Y97" s="175"/>
      <c r="Z97" s="175"/>
    </row>
    <row r="98" ht="68.25" customHeight="1">
      <c r="A98" s="192" t="s">
        <v>162</v>
      </c>
      <c r="B98" s="198">
        <v>45687.0</v>
      </c>
      <c r="C98" s="203">
        <v>308507.0</v>
      </c>
      <c r="D98" s="223" t="s">
        <v>166</v>
      </c>
      <c r="E98" s="223" t="s">
        <v>169</v>
      </c>
      <c r="F98" s="188"/>
      <c r="G98" s="175"/>
      <c r="H98" s="175"/>
      <c r="I98" s="175"/>
      <c r="J98" s="175"/>
      <c r="K98" s="175"/>
      <c r="L98" s="175"/>
      <c r="M98" s="175"/>
      <c r="N98" s="175"/>
      <c r="O98" s="175"/>
      <c r="P98" s="175"/>
      <c r="Q98" s="175"/>
      <c r="R98" s="175"/>
      <c r="S98" s="175"/>
      <c r="T98" s="175"/>
      <c r="U98" s="175"/>
      <c r="V98" s="175"/>
      <c r="W98" s="175"/>
      <c r="X98" s="175"/>
      <c r="Y98" s="175"/>
      <c r="Z98" s="175"/>
    </row>
    <row r="99" ht="15.75" customHeight="1">
      <c r="A99" s="186"/>
      <c r="B99" s="198"/>
      <c r="C99" s="203"/>
      <c r="D99" s="230"/>
      <c r="E99" s="188"/>
      <c r="F99" s="188"/>
      <c r="G99" s="175"/>
      <c r="H99" s="175"/>
      <c r="I99" s="175"/>
      <c r="J99" s="175"/>
      <c r="K99" s="175"/>
      <c r="L99" s="175"/>
      <c r="M99" s="175"/>
      <c r="N99" s="175"/>
      <c r="O99" s="175"/>
      <c r="P99" s="175"/>
      <c r="Q99" s="175"/>
      <c r="R99" s="175"/>
      <c r="S99" s="175"/>
      <c r="T99" s="175"/>
      <c r="U99" s="175"/>
      <c r="V99" s="175"/>
      <c r="W99" s="175"/>
      <c r="X99" s="175"/>
      <c r="Y99" s="175"/>
      <c r="Z99" s="175"/>
    </row>
    <row r="100" ht="15.75" customHeight="1">
      <c r="A100" s="188"/>
      <c r="B100" s="195"/>
      <c r="C100" s="183"/>
      <c r="D100" s="184"/>
      <c r="E100" s="188"/>
      <c r="F100" s="188"/>
      <c r="G100" s="175"/>
      <c r="H100" s="175"/>
      <c r="I100" s="175"/>
      <c r="J100" s="175"/>
      <c r="K100" s="175"/>
      <c r="L100" s="175"/>
      <c r="M100" s="175"/>
      <c r="N100" s="175"/>
      <c r="O100" s="175"/>
      <c r="P100" s="175"/>
      <c r="Q100" s="175"/>
      <c r="R100" s="175"/>
      <c r="S100" s="175"/>
      <c r="T100" s="175"/>
      <c r="U100" s="175"/>
      <c r="V100" s="175"/>
      <c r="W100" s="175"/>
      <c r="X100" s="175"/>
      <c r="Y100" s="175"/>
      <c r="Z100" s="175"/>
    </row>
    <row r="101">
      <c r="A101" s="197" t="s">
        <v>170</v>
      </c>
      <c r="B101" s="198">
        <v>45125.0</v>
      </c>
      <c r="C101" s="249">
        <v>180036.0</v>
      </c>
      <c r="D101" s="230" t="s">
        <v>171</v>
      </c>
      <c r="E101" s="186" t="s">
        <v>172</v>
      </c>
      <c r="F101" s="188"/>
      <c r="G101" s="175"/>
      <c r="H101" s="175"/>
      <c r="I101" s="175"/>
      <c r="J101" s="175"/>
      <c r="K101" s="175"/>
      <c r="L101" s="175"/>
      <c r="M101" s="175"/>
      <c r="N101" s="175"/>
      <c r="O101" s="175"/>
      <c r="P101" s="175"/>
      <c r="Q101" s="175"/>
      <c r="R101" s="175"/>
      <c r="S101" s="175"/>
      <c r="T101" s="175"/>
      <c r="U101" s="175"/>
      <c r="V101" s="175"/>
      <c r="W101" s="175"/>
      <c r="X101" s="175"/>
      <c r="Y101" s="175"/>
      <c r="Z101" s="175"/>
    </row>
    <row r="102" ht="15.75" customHeight="1">
      <c r="A102" s="188"/>
      <c r="B102" s="195"/>
      <c r="C102" s="183"/>
      <c r="D102" s="184"/>
      <c r="E102" s="188"/>
      <c r="F102" s="188"/>
      <c r="G102" s="175"/>
      <c r="H102" s="175"/>
      <c r="I102" s="175"/>
      <c r="J102" s="175"/>
      <c r="K102" s="175"/>
      <c r="L102" s="175"/>
      <c r="M102" s="175"/>
      <c r="N102" s="175"/>
      <c r="O102" s="175"/>
      <c r="P102" s="175"/>
      <c r="Q102" s="175"/>
      <c r="R102" s="175"/>
      <c r="S102" s="175"/>
      <c r="T102" s="175"/>
      <c r="U102" s="175"/>
      <c r="V102" s="175"/>
      <c r="W102" s="175"/>
      <c r="X102" s="175"/>
      <c r="Y102" s="175"/>
      <c r="Z102" s="175"/>
    </row>
    <row r="103" ht="15.75" customHeight="1">
      <c r="A103" s="197" t="s">
        <v>173</v>
      </c>
      <c r="B103" s="198">
        <v>45133.0</v>
      </c>
      <c r="C103" s="203">
        <v>183564.0</v>
      </c>
      <c r="D103" s="223" t="s">
        <v>174</v>
      </c>
      <c r="E103" s="186" t="s">
        <v>175</v>
      </c>
      <c r="F103" s="188"/>
      <c r="G103" s="175"/>
      <c r="H103" s="175"/>
      <c r="I103" s="175"/>
      <c r="J103" s="175"/>
      <c r="K103" s="175"/>
      <c r="L103" s="175"/>
      <c r="M103" s="175"/>
      <c r="N103" s="175"/>
      <c r="O103" s="175"/>
      <c r="P103" s="175"/>
      <c r="Q103" s="175"/>
      <c r="R103" s="175"/>
      <c r="S103" s="175"/>
      <c r="T103" s="175"/>
      <c r="U103" s="175"/>
      <c r="V103" s="175"/>
      <c r="W103" s="175"/>
      <c r="X103" s="175"/>
      <c r="Y103" s="175"/>
      <c r="Z103" s="175"/>
    </row>
    <row r="104" ht="15.75" customHeight="1">
      <c r="A104" s="252"/>
      <c r="B104" s="198">
        <v>45764.0</v>
      </c>
      <c r="C104" s="203">
        <v>116144.0</v>
      </c>
      <c r="D104" s="223" t="s">
        <v>176</v>
      </c>
      <c r="E104" s="186" t="s">
        <v>177</v>
      </c>
      <c r="F104" s="188"/>
      <c r="G104" s="175"/>
      <c r="H104" s="175"/>
      <c r="I104" s="175"/>
      <c r="J104" s="175"/>
      <c r="K104" s="175"/>
      <c r="L104" s="175"/>
      <c r="M104" s="175"/>
      <c r="N104" s="175"/>
      <c r="O104" s="175"/>
      <c r="P104" s="175"/>
      <c r="Q104" s="175"/>
      <c r="R104" s="175"/>
      <c r="S104" s="175"/>
      <c r="T104" s="175"/>
      <c r="U104" s="175"/>
      <c r="V104" s="175"/>
      <c r="W104" s="175"/>
      <c r="X104" s="175"/>
      <c r="Y104" s="175"/>
      <c r="Z104" s="175"/>
    </row>
    <row r="105" ht="15.75" customHeight="1">
      <c r="A105" s="188"/>
      <c r="B105" s="195"/>
      <c r="C105" s="183"/>
      <c r="D105" s="184"/>
      <c r="E105" s="188"/>
      <c r="F105" s="188"/>
      <c r="G105" s="175"/>
      <c r="H105" s="175"/>
      <c r="I105" s="175"/>
      <c r="J105" s="175"/>
      <c r="K105" s="175"/>
      <c r="L105" s="175"/>
      <c r="M105" s="175"/>
      <c r="N105" s="175"/>
      <c r="O105" s="175"/>
      <c r="P105" s="175"/>
      <c r="Q105" s="175"/>
      <c r="R105" s="175"/>
      <c r="S105" s="175"/>
      <c r="T105" s="175"/>
      <c r="U105" s="175"/>
      <c r="V105" s="175"/>
      <c r="W105" s="175"/>
      <c r="X105" s="175"/>
      <c r="Y105" s="175"/>
      <c r="Z105" s="175"/>
    </row>
    <row r="106" ht="68.25" customHeight="1">
      <c r="A106" s="197" t="s">
        <v>178</v>
      </c>
      <c r="B106" s="198">
        <v>45174.0</v>
      </c>
      <c r="C106" s="203">
        <v>266867.0</v>
      </c>
      <c r="D106" s="223" t="s">
        <v>179</v>
      </c>
      <c r="E106" s="205" t="s">
        <v>180</v>
      </c>
      <c r="F106" s="186" t="s">
        <v>181</v>
      </c>
      <c r="G106" s="175"/>
      <c r="H106" s="175"/>
      <c r="I106" s="175"/>
      <c r="J106" s="175"/>
      <c r="K106" s="175"/>
      <c r="L106" s="175"/>
      <c r="M106" s="175"/>
      <c r="N106" s="175"/>
      <c r="O106" s="175"/>
      <c r="P106" s="175"/>
      <c r="Q106" s="175"/>
      <c r="R106" s="175"/>
      <c r="S106" s="175"/>
      <c r="T106" s="175"/>
      <c r="U106" s="175"/>
      <c r="V106" s="175"/>
      <c r="W106" s="175"/>
      <c r="X106" s="175"/>
      <c r="Y106" s="175"/>
      <c r="Z106" s="175"/>
    </row>
    <row r="107" ht="99.0" customHeight="1">
      <c r="A107" s="197" t="s">
        <v>178</v>
      </c>
      <c r="B107" s="198">
        <v>45698.0</v>
      </c>
      <c r="C107" s="203">
        <v>313355.0</v>
      </c>
      <c r="D107" s="223" t="s">
        <v>182</v>
      </c>
      <c r="E107" s="191" t="s">
        <v>183</v>
      </c>
      <c r="F107" s="188"/>
      <c r="G107" s="175"/>
      <c r="H107" s="175"/>
      <c r="I107" s="175"/>
      <c r="J107" s="175"/>
      <c r="K107" s="175"/>
      <c r="L107" s="175"/>
      <c r="M107" s="175"/>
      <c r="N107" s="175"/>
      <c r="O107" s="175"/>
      <c r="P107" s="175"/>
      <c r="Q107" s="175"/>
      <c r="R107" s="175"/>
      <c r="S107" s="175"/>
      <c r="T107" s="175"/>
      <c r="U107" s="175"/>
      <c r="V107" s="175"/>
      <c r="W107" s="175"/>
      <c r="X107" s="175"/>
      <c r="Y107" s="175"/>
      <c r="Z107" s="175"/>
    </row>
    <row r="108" ht="159.0" customHeight="1">
      <c r="A108" s="197" t="s">
        <v>178</v>
      </c>
      <c r="B108" s="198">
        <v>45706.0</v>
      </c>
      <c r="C108" s="203">
        <v>313355.0</v>
      </c>
      <c r="D108" s="223" t="s">
        <v>182</v>
      </c>
      <c r="E108" s="186" t="s">
        <v>184</v>
      </c>
      <c r="F108" s="186" t="s">
        <v>185</v>
      </c>
      <c r="G108" s="175"/>
      <c r="H108" s="175"/>
      <c r="I108" s="175"/>
      <c r="J108" s="175"/>
      <c r="K108" s="175"/>
      <c r="L108" s="175"/>
      <c r="M108" s="175"/>
      <c r="N108" s="175"/>
      <c r="O108" s="175"/>
      <c r="P108" s="175"/>
      <c r="Q108" s="175"/>
      <c r="R108" s="175"/>
      <c r="S108" s="175"/>
      <c r="T108" s="175"/>
      <c r="U108" s="175"/>
      <c r="V108" s="175"/>
      <c r="W108" s="175"/>
      <c r="X108" s="175"/>
      <c r="Y108" s="175"/>
      <c r="Z108" s="175"/>
    </row>
    <row r="109" ht="73.5" customHeight="1">
      <c r="A109" s="197" t="s">
        <v>178</v>
      </c>
      <c r="B109" s="198">
        <v>46041.0</v>
      </c>
      <c r="C109" s="203">
        <v>347590.0</v>
      </c>
      <c r="D109" s="223" t="s">
        <v>186</v>
      </c>
      <c r="E109" s="186" t="s">
        <v>187</v>
      </c>
      <c r="F109" s="188"/>
      <c r="G109" s="175"/>
      <c r="H109" s="175"/>
      <c r="I109" s="175"/>
      <c r="J109" s="175"/>
      <c r="K109" s="175"/>
      <c r="L109" s="175"/>
      <c r="M109" s="175"/>
      <c r="N109" s="175"/>
      <c r="O109" s="175"/>
      <c r="P109" s="175"/>
      <c r="Q109" s="175"/>
      <c r="R109" s="175"/>
      <c r="S109" s="175"/>
      <c r="T109" s="175"/>
      <c r="U109" s="175"/>
      <c r="V109" s="175"/>
      <c r="W109" s="175"/>
      <c r="X109" s="175"/>
      <c r="Y109" s="175"/>
      <c r="Z109" s="175"/>
    </row>
    <row r="110" ht="15.75" customHeight="1">
      <c r="A110" s="188"/>
      <c r="B110" s="195"/>
      <c r="C110" s="183"/>
      <c r="D110" s="184"/>
      <c r="E110" s="188"/>
      <c r="F110" s="188"/>
      <c r="G110" s="175"/>
      <c r="H110" s="175"/>
      <c r="I110" s="175"/>
      <c r="J110" s="175"/>
      <c r="K110" s="175"/>
      <c r="L110" s="175"/>
      <c r="M110" s="175"/>
      <c r="N110" s="175"/>
      <c r="O110" s="175"/>
      <c r="P110" s="175"/>
      <c r="Q110" s="175"/>
      <c r="R110" s="175"/>
      <c r="S110" s="175"/>
      <c r="T110" s="175"/>
      <c r="U110" s="175"/>
      <c r="V110" s="175"/>
      <c r="W110" s="175"/>
      <c r="X110" s="175"/>
      <c r="Y110" s="175"/>
      <c r="Z110" s="175"/>
    </row>
    <row r="111" ht="15.75" customHeight="1">
      <c r="A111" s="197" t="s">
        <v>188</v>
      </c>
      <c r="B111" s="198">
        <v>45251.0</v>
      </c>
      <c r="C111" s="249">
        <v>180658.0</v>
      </c>
      <c r="D111" s="230" t="s">
        <v>189</v>
      </c>
      <c r="E111" s="186" t="s">
        <v>190</v>
      </c>
      <c r="F111" s="186" t="s">
        <v>191</v>
      </c>
      <c r="G111" s="175"/>
      <c r="H111" s="175"/>
      <c r="I111" s="175"/>
      <c r="J111" s="175"/>
      <c r="K111" s="175"/>
      <c r="L111" s="175"/>
      <c r="M111" s="175"/>
      <c r="N111" s="175"/>
      <c r="O111" s="175"/>
      <c r="P111" s="175"/>
      <c r="Q111" s="175"/>
      <c r="R111" s="175"/>
      <c r="S111" s="175"/>
      <c r="T111" s="175"/>
      <c r="U111" s="175"/>
      <c r="V111" s="175"/>
      <c r="W111" s="175"/>
      <c r="X111" s="175"/>
      <c r="Y111" s="175"/>
      <c r="Z111" s="175"/>
    </row>
    <row r="112" ht="15.75" customHeight="1">
      <c r="A112" s="188"/>
      <c r="B112" s="195"/>
      <c r="C112" s="183"/>
      <c r="D112" s="184"/>
      <c r="E112" s="188"/>
      <c r="F112" s="188"/>
      <c r="G112" s="175"/>
      <c r="H112" s="175"/>
      <c r="I112" s="175"/>
      <c r="J112" s="175"/>
      <c r="K112" s="175"/>
      <c r="L112" s="175"/>
      <c r="M112" s="175"/>
      <c r="N112" s="175"/>
      <c r="O112" s="175"/>
      <c r="P112" s="175"/>
      <c r="Q112" s="175"/>
      <c r="R112" s="175"/>
      <c r="S112" s="175"/>
      <c r="T112" s="175"/>
      <c r="U112" s="175"/>
      <c r="V112" s="175"/>
      <c r="W112" s="175"/>
      <c r="X112" s="175"/>
      <c r="Y112" s="175"/>
      <c r="Z112" s="175"/>
    </row>
    <row r="113" ht="15.75" customHeight="1">
      <c r="A113" s="197" t="s">
        <v>192</v>
      </c>
      <c r="B113" s="198">
        <v>45259.0</v>
      </c>
      <c r="C113" s="203">
        <v>269634.0</v>
      </c>
      <c r="D113" s="223" t="s">
        <v>193</v>
      </c>
      <c r="E113" s="186" t="s">
        <v>194</v>
      </c>
      <c r="F113" s="186" t="s">
        <v>195</v>
      </c>
      <c r="G113" s="175"/>
      <c r="H113" s="175"/>
      <c r="I113" s="175"/>
      <c r="J113" s="175"/>
      <c r="K113" s="175"/>
      <c r="L113" s="175"/>
      <c r="M113" s="175"/>
      <c r="N113" s="175"/>
      <c r="O113" s="175"/>
      <c r="P113" s="175"/>
      <c r="Q113" s="175"/>
      <c r="R113" s="175"/>
      <c r="S113" s="175"/>
      <c r="T113" s="175"/>
      <c r="U113" s="175"/>
      <c r="V113" s="175"/>
      <c r="W113" s="175"/>
      <c r="X113" s="175"/>
      <c r="Y113" s="175"/>
      <c r="Z113" s="175"/>
    </row>
    <row r="114" ht="15.75" customHeight="1">
      <c r="A114" s="188"/>
      <c r="B114" s="195"/>
      <c r="C114" s="183"/>
      <c r="D114" s="184"/>
      <c r="E114" s="188"/>
      <c r="F114" s="188"/>
      <c r="G114" s="175"/>
      <c r="H114" s="175"/>
      <c r="I114" s="175"/>
      <c r="J114" s="175"/>
      <c r="K114" s="175"/>
      <c r="L114" s="175"/>
      <c r="M114" s="175"/>
      <c r="N114" s="175"/>
      <c r="O114" s="175"/>
      <c r="P114" s="175"/>
      <c r="Q114" s="175"/>
      <c r="R114" s="175"/>
      <c r="S114" s="175"/>
      <c r="T114" s="175"/>
      <c r="U114" s="175"/>
      <c r="V114" s="175"/>
      <c r="W114" s="175"/>
      <c r="X114" s="175"/>
      <c r="Y114" s="175"/>
      <c r="Z114" s="175"/>
    </row>
    <row r="115">
      <c r="A115" s="197" t="s">
        <v>196</v>
      </c>
      <c r="B115" s="198">
        <v>45309.0</v>
      </c>
      <c r="C115" s="183"/>
      <c r="D115" s="223" t="s">
        <v>137</v>
      </c>
      <c r="E115" s="186" t="s">
        <v>197</v>
      </c>
      <c r="F115" s="186" t="s">
        <v>198</v>
      </c>
      <c r="G115" s="175"/>
      <c r="H115" s="175"/>
      <c r="I115" s="175"/>
      <c r="J115" s="175"/>
      <c r="K115" s="175"/>
      <c r="L115" s="175"/>
      <c r="M115" s="175"/>
      <c r="N115" s="175"/>
      <c r="O115" s="175"/>
      <c r="P115" s="175"/>
      <c r="Q115" s="175"/>
      <c r="R115" s="175"/>
      <c r="S115" s="175"/>
      <c r="T115" s="175"/>
      <c r="U115" s="175"/>
      <c r="V115" s="175"/>
      <c r="W115" s="175"/>
      <c r="X115" s="175"/>
      <c r="Y115" s="175"/>
      <c r="Z115" s="175"/>
    </row>
    <row r="116" ht="15.75" customHeight="1">
      <c r="A116" s="188"/>
      <c r="B116" s="195"/>
      <c r="C116" s="183"/>
      <c r="D116" s="184"/>
      <c r="E116" s="188"/>
      <c r="F116" s="188"/>
      <c r="G116" s="175"/>
      <c r="H116" s="175"/>
      <c r="I116" s="175"/>
      <c r="J116" s="175"/>
      <c r="K116" s="175"/>
      <c r="L116" s="175"/>
      <c r="M116" s="175"/>
      <c r="N116" s="175"/>
      <c r="O116" s="175"/>
      <c r="P116" s="175"/>
      <c r="Q116" s="175"/>
      <c r="R116" s="175"/>
      <c r="S116" s="175"/>
      <c r="T116" s="175"/>
      <c r="U116" s="175"/>
      <c r="V116" s="175"/>
      <c r="W116" s="175"/>
      <c r="X116" s="175"/>
      <c r="Y116" s="175"/>
      <c r="Z116" s="175"/>
    </row>
    <row r="117" ht="15.75" customHeight="1">
      <c r="A117" s="197" t="s">
        <v>199</v>
      </c>
      <c r="B117" s="198">
        <v>45470.0</v>
      </c>
      <c r="C117" s="249">
        <v>294884.0</v>
      </c>
      <c r="D117" s="230" t="s">
        <v>200</v>
      </c>
      <c r="E117" s="186" t="s">
        <v>201</v>
      </c>
      <c r="F117" s="188"/>
      <c r="G117" s="175"/>
      <c r="H117" s="175"/>
      <c r="I117" s="175"/>
      <c r="J117" s="175"/>
      <c r="K117" s="175"/>
      <c r="L117" s="175"/>
      <c r="M117" s="175"/>
      <c r="N117" s="175"/>
      <c r="O117" s="175"/>
      <c r="P117" s="175"/>
      <c r="Q117" s="175"/>
      <c r="R117" s="175"/>
      <c r="S117" s="175"/>
      <c r="T117" s="175"/>
      <c r="U117" s="175"/>
      <c r="V117" s="175"/>
      <c r="W117" s="175"/>
      <c r="X117" s="175"/>
      <c r="Y117" s="175"/>
      <c r="Z117" s="175"/>
    </row>
    <row r="118" ht="15.75" customHeight="1">
      <c r="A118" s="188"/>
      <c r="B118" s="195"/>
      <c r="C118" s="183"/>
      <c r="D118" s="184"/>
      <c r="E118" s="188"/>
      <c r="F118" s="188"/>
      <c r="G118" s="175"/>
      <c r="H118" s="175"/>
      <c r="I118" s="175"/>
      <c r="J118" s="175"/>
      <c r="K118" s="175"/>
      <c r="L118" s="175"/>
      <c r="M118" s="175"/>
      <c r="N118" s="175"/>
      <c r="O118" s="175"/>
      <c r="P118" s="175"/>
      <c r="Q118" s="175"/>
      <c r="R118" s="175"/>
      <c r="S118" s="175"/>
      <c r="T118" s="175"/>
      <c r="U118" s="175"/>
      <c r="V118" s="175"/>
      <c r="W118" s="175"/>
      <c r="X118" s="175"/>
      <c r="Y118" s="175"/>
      <c r="Z118" s="175"/>
    </row>
    <row r="119" ht="115.5" customHeight="1">
      <c r="A119" s="197" t="s">
        <v>202</v>
      </c>
      <c r="B119" s="198">
        <v>45630.0</v>
      </c>
      <c r="C119" s="183"/>
      <c r="D119" s="223" t="s">
        <v>203</v>
      </c>
      <c r="E119" s="186" t="s">
        <v>204</v>
      </c>
      <c r="F119" s="186" t="s">
        <v>205</v>
      </c>
      <c r="G119" s="175"/>
      <c r="H119" s="175"/>
      <c r="I119" s="175"/>
      <c r="J119" s="175"/>
      <c r="K119" s="175"/>
      <c r="L119" s="175"/>
      <c r="M119" s="175"/>
      <c r="N119" s="175"/>
      <c r="O119" s="175"/>
      <c r="P119" s="175"/>
      <c r="Q119" s="175"/>
      <c r="R119" s="175"/>
      <c r="S119" s="175"/>
      <c r="T119" s="175"/>
      <c r="U119" s="175"/>
      <c r="V119" s="175"/>
      <c r="W119" s="175"/>
      <c r="X119" s="175"/>
      <c r="Y119" s="175"/>
      <c r="Z119" s="175"/>
    </row>
    <row r="120" ht="109.5" customHeight="1">
      <c r="A120" s="252"/>
      <c r="B120" s="198">
        <v>45631.0</v>
      </c>
      <c r="C120" s="203" t="s">
        <v>206</v>
      </c>
      <c r="D120" s="223" t="s">
        <v>207</v>
      </c>
      <c r="E120" s="186" t="s">
        <v>208</v>
      </c>
      <c r="F120" s="186" t="s">
        <v>209</v>
      </c>
      <c r="G120" s="175"/>
      <c r="H120" s="175"/>
      <c r="I120" s="175"/>
      <c r="J120" s="175"/>
      <c r="K120" s="175"/>
      <c r="L120" s="175"/>
      <c r="M120" s="175"/>
      <c r="N120" s="175"/>
      <c r="O120" s="175"/>
      <c r="P120" s="175"/>
      <c r="Q120" s="175"/>
      <c r="R120" s="175"/>
      <c r="S120" s="175"/>
      <c r="T120" s="175"/>
      <c r="U120" s="175"/>
      <c r="V120" s="175"/>
      <c r="W120" s="175"/>
      <c r="X120" s="175"/>
      <c r="Y120" s="175"/>
      <c r="Z120" s="175"/>
    </row>
    <row r="121" ht="15.75" customHeight="1">
      <c r="A121" s="188"/>
      <c r="B121" s="195"/>
      <c r="C121" s="183"/>
      <c r="D121" s="184"/>
      <c r="E121" s="188"/>
      <c r="F121" s="188"/>
      <c r="G121" s="175"/>
      <c r="H121" s="175"/>
      <c r="I121" s="175"/>
      <c r="J121" s="175"/>
      <c r="K121" s="175"/>
      <c r="L121" s="175"/>
      <c r="M121" s="175"/>
      <c r="N121" s="175"/>
      <c r="O121" s="175"/>
      <c r="P121" s="175"/>
      <c r="Q121" s="175"/>
      <c r="R121" s="175"/>
      <c r="S121" s="175"/>
      <c r="T121" s="175"/>
      <c r="U121" s="175"/>
      <c r="V121" s="175"/>
      <c r="W121" s="175"/>
      <c r="X121" s="175"/>
      <c r="Y121" s="175"/>
      <c r="Z121" s="175"/>
    </row>
    <row r="122">
      <c r="A122" s="197" t="s">
        <v>210</v>
      </c>
      <c r="B122" s="198">
        <v>45694.0</v>
      </c>
      <c r="C122" s="249"/>
      <c r="D122" s="223" t="s">
        <v>137</v>
      </c>
      <c r="E122" s="191" t="s">
        <v>211</v>
      </c>
      <c r="F122" s="188"/>
      <c r="G122" s="175"/>
      <c r="H122" s="175"/>
      <c r="I122" s="175"/>
      <c r="J122" s="175"/>
      <c r="K122" s="175"/>
      <c r="L122" s="175"/>
      <c r="M122" s="175"/>
      <c r="N122" s="175"/>
      <c r="O122" s="175"/>
      <c r="P122" s="175"/>
      <c r="Q122" s="175"/>
      <c r="R122" s="175"/>
      <c r="S122" s="175"/>
      <c r="T122" s="175"/>
      <c r="U122" s="175"/>
      <c r="V122" s="175"/>
      <c r="W122" s="175"/>
      <c r="X122" s="175"/>
      <c r="Y122" s="175"/>
      <c r="Z122" s="175"/>
    </row>
    <row r="123" ht="15.75" customHeight="1">
      <c r="A123" s="188"/>
      <c r="B123" s="195"/>
      <c r="C123" s="183"/>
      <c r="D123" s="184"/>
      <c r="E123" s="188"/>
      <c r="F123" s="188"/>
      <c r="G123" s="175"/>
      <c r="H123" s="175"/>
      <c r="I123" s="175"/>
      <c r="J123" s="175"/>
      <c r="K123" s="175"/>
      <c r="L123" s="175"/>
      <c r="M123" s="175"/>
      <c r="N123" s="175"/>
      <c r="O123" s="175"/>
      <c r="P123" s="175"/>
      <c r="Q123" s="175"/>
      <c r="R123" s="175"/>
      <c r="S123" s="175"/>
      <c r="T123" s="175"/>
      <c r="U123" s="175"/>
      <c r="V123" s="175"/>
      <c r="W123" s="175"/>
      <c r="X123" s="175"/>
      <c r="Y123" s="175"/>
      <c r="Z123" s="175"/>
    </row>
    <row r="124" ht="109.5" customHeight="1">
      <c r="A124" s="262" t="s">
        <v>212</v>
      </c>
      <c r="B124" s="263">
        <v>45707.0</v>
      </c>
      <c r="C124" s="259" t="s">
        <v>213</v>
      </c>
      <c r="D124" s="264" t="s">
        <v>214</v>
      </c>
      <c r="E124" s="265" t="s">
        <v>215</v>
      </c>
      <c r="F124" s="265" t="s">
        <v>216</v>
      </c>
      <c r="G124" s="175"/>
      <c r="H124" s="175"/>
      <c r="I124" s="175"/>
      <c r="J124" s="175"/>
      <c r="K124" s="175"/>
      <c r="L124" s="175"/>
      <c r="M124" s="175"/>
      <c r="N124" s="175"/>
      <c r="O124" s="175"/>
      <c r="P124" s="175"/>
      <c r="Q124" s="175"/>
      <c r="R124" s="175"/>
      <c r="S124" s="175"/>
      <c r="T124" s="175"/>
      <c r="U124" s="175"/>
      <c r="V124" s="175"/>
      <c r="W124" s="175"/>
      <c r="X124" s="175"/>
      <c r="Y124" s="175"/>
      <c r="Z124" s="175"/>
    </row>
    <row r="125" ht="15.75" customHeight="1">
      <c r="A125" s="266"/>
      <c r="B125" s="267"/>
      <c r="C125" s="268"/>
      <c r="D125" s="269"/>
      <c r="E125" s="266"/>
      <c r="F125" s="266"/>
      <c r="G125" s="175"/>
      <c r="H125" s="175"/>
      <c r="I125" s="175"/>
      <c r="J125" s="175"/>
      <c r="K125" s="175"/>
      <c r="L125" s="175"/>
      <c r="M125" s="175"/>
      <c r="N125" s="175"/>
      <c r="O125" s="175"/>
      <c r="P125" s="175"/>
      <c r="Q125" s="175"/>
      <c r="R125" s="175"/>
      <c r="S125" s="175"/>
      <c r="T125" s="175"/>
      <c r="U125" s="175"/>
      <c r="V125" s="175"/>
      <c r="W125" s="175"/>
      <c r="X125" s="175"/>
      <c r="Y125" s="175"/>
      <c r="Z125" s="175"/>
    </row>
    <row r="126">
      <c r="A126" s="262" t="s">
        <v>217</v>
      </c>
      <c r="B126" s="263">
        <v>45743.0</v>
      </c>
      <c r="C126" s="270">
        <v>316383.0</v>
      </c>
      <c r="D126" s="248" t="s">
        <v>218</v>
      </c>
      <c r="E126" s="265" t="s">
        <v>219</v>
      </c>
      <c r="F126" s="266"/>
      <c r="G126" s="175"/>
      <c r="H126" s="175"/>
      <c r="I126" s="175"/>
      <c r="J126" s="175"/>
      <c r="K126" s="175"/>
      <c r="L126" s="175"/>
      <c r="M126" s="175"/>
      <c r="N126" s="175"/>
      <c r="O126" s="175"/>
      <c r="P126" s="175"/>
      <c r="Q126" s="175"/>
      <c r="R126" s="175"/>
      <c r="S126" s="175"/>
      <c r="T126" s="175"/>
      <c r="U126" s="175"/>
      <c r="V126" s="175"/>
      <c r="W126" s="175"/>
      <c r="X126" s="175"/>
      <c r="Y126" s="175"/>
      <c r="Z126" s="175"/>
    </row>
    <row r="127" ht="15.75" customHeight="1">
      <c r="A127" s="266"/>
      <c r="B127" s="267"/>
      <c r="C127" s="268"/>
      <c r="D127" s="269"/>
      <c r="E127" s="266"/>
      <c r="F127" s="266"/>
      <c r="G127" s="175"/>
      <c r="H127" s="175"/>
      <c r="I127" s="175"/>
      <c r="J127" s="175"/>
      <c r="K127" s="175"/>
      <c r="L127" s="175"/>
      <c r="M127" s="175"/>
      <c r="N127" s="175"/>
      <c r="O127" s="175"/>
      <c r="P127" s="175"/>
      <c r="Q127" s="175"/>
      <c r="R127" s="175"/>
      <c r="S127" s="175"/>
      <c r="T127" s="175"/>
      <c r="U127" s="175"/>
      <c r="V127" s="175"/>
      <c r="W127" s="175"/>
      <c r="X127" s="175"/>
      <c r="Y127" s="175"/>
      <c r="Z127" s="175"/>
    </row>
    <row r="128" ht="31.5" customHeight="1">
      <c r="A128" s="262" t="s">
        <v>220</v>
      </c>
      <c r="B128" s="263">
        <v>45805.0</v>
      </c>
      <c r="C128" s="259">
        <v>257077.0</v>
      </c>
      <c r="D128" s="264" t="s">
        <v>221</v>
      </c>
      <c r="E128" s="265" t="s">
        <v>222</v>
      </c>
      <c r="F128" s="266"/>
      <c r="G128" s="175"/>
      <c r="H128" s="175"/>
      <c r="I128" s="175"/>
      <c r="J128" s="175"/>
      <c r="K128" s="175"/>
      <c r="L128" s="175"/>
      <c r="M128" s="175"/>
      <c r="N128" s="175"/>
      <c r="O128" s="175"/>
      <c r="P128" s="175"/>
      <c r="Q128" s="175"/>
      <c r="R128" s="175"/>
      <c r="S128" s="175"/>
      <c r="T128" s="175"/>
      <c r="U128" s="175"/>
      <c r="V128" s="175"/>
      <c r="W128" s="175"/>
      <c r="X128" s="175"/>
      <c r="Y128" s="175"/>
      <c r="Z128" s="175"/>
    </row>
    <row r="129" ht="15.75" customHeight="1">
      <c r="A129" s="266"/>
      <c r="B129" s="267"/>
      <c r="C129" s="268"/>
      <c r="D129" s="269"/>
      <c r="E129" s="271"/>
      <c r="F129" s="266"/>
      <c r="G129" s="175"/>
      <c r="H129" s="175"/>
      <c r="I129" s="175"/>
      <c r="J129" s="175"/>
      <c r="K129" s="175"/>
      <c r="L129" s="175"/>
      <c r="M129" s="175"/>
      <c r="N129" s="175"/>
      <c r="O129" s="175"/>
      <c r="P129" s="175"/>
      <c r="Q129" s="175"/>
      <c r="R129" s="175"/>
      <c r="S129" s="175"/>
      <c r="T129" s="175"/>
      <c r="U129" s="175"/>
      <c r="V129" s="175"/>
      <c r="W129" s="175"/>
      <c r="X129" s="175"/>
      <c r="Y129" s="175"/>
      <c r="Z129" s="175"/>
    </row>
    <row r="130">
      <c r="A130" s="262" t="s">
        <v>223</v>
      </c>
      <c r="B130" s="272">
        <v>45811.0</v>
      </c>
      <c r="C130" s="270">
        <v>324655.0</v>
      </c>
      <c r="D130" s="248" t="s">
        <v>224</v>
      </c>
      <c r="E130" s="265" t="s">
        <v>225</v>
      </c>
      <c r="F130" s="266"/>
      <c r="G130" s="175"/>
      <c r="H130" s="175"/>
      <c r="I130" s="175"/>
      <c r="J130" s="175"/>
      <c r="K130" s="175"/>
      <c r="L130" s="175"/>
      <c r="M130" s="175"/>
      <c r="N130" s="175"/>
      <c r="O130" s="175"/>
      <c r="P130" s="175"/>
      <c r="Q130" s="175"/>
      <c r="R130" s="175"/>
      <c r="S130" s="175"/>
      <c r="T130" s="175"/>
      <c r="U130" s="175"/>
      <c r="V130" s="175"/>
      <c r="W130" s="175"/>
      <c r="X130" s="175"/>
      <c r="Y130" s="175"/>
      <c r="Z130" s="175"/>
    </row>
    <row r="131" ht="15.75" customHeight="1">
      <c r="A131" s="266"/>
      <c r="B131" s="267"/>
      <c r="C131" s="268"/>
      <c r="D131" s="269"/>
      <c r="E131" s="266"/>
      <c r="F131" s="266"/>
      <c r="G131" s="175"/>
      <c r="H131" s="175"/>
      <c r="I131" s="175"/>
      <c r="J131" s="175"/>
      <c r="K131" s="175"/>
      <c r="L131" s="175"/>
      <c r="M131" s="175"/>
      <c r="N131" s="175"/>
      <c r="O131" s="175"/>
      <c r="P131" s="175"/>
      <c r="Q131" s="175"/>
      <c r="R131" s="175"/>
      <c r="S131" s="175"/>
      <c r="T131" s="175"/>
      <c r="U131" s="175"/>
      <c r="V131" s="175"/>
      <c r="W131" s="175"/>
      <c r="X131" s="175"/>
      <c r="Y131" s="175"/>
      <c r="Z131" s="175"/>
    </row>
    <row r="132">
      <c r="A132" s="262" t="s">
        <v>226</v>
      </c>
      <c r="B132" s="263">
        <v>44945.0</v>
      </c>
      <c r="C132" s="259">
        <v>248065.0</v>
      </c>
      <c r="D132" s="264" t="s">
        <v>227</v>
      </c>
      <c r="E132" s="265" t="s">
        <v>228</v>
      </c>
      <c r="F132" s="266"/>
      <c r="G132" s="175"/>
      <c r="H132" s="175"/>
      <c r="I132" s="175"/>
      <c r="J132" s="175"/>
      <c r="K132" s="175"/>
      <c r="L132" s="175"/>
      <c r="M132" s="175"/>
      <c r="N132" s="175"/>
      <c r="O132" s="175"/>
      <c r="P132" s="175"/>
      <c r="Q132" s="175"/>
      <c r="R132" s="175"/>
      <c r="S132" s="175"/>
      <c r="T132" s="175"/>
      <c r="U132" s="175"/>
      <c r="V132" s="175"/>
      <c r="W132" s="175"/>
      <c r="X132" s="175"/>
      <c r="Y132" s="175"/>
      <c r="Z132" s="175"/>
    </row>
    <row r="133" ht="15.75" customHeight="1">
      <c r="A133" s="266"/>
      <c r="B133" s="267"/>
      <c r="C133" s="268"/>
      <c r="D133" s="269"/>
      <c r="E133" s="266"/>
      <c r="F133" s="266"/>
      <c r="G133" s="175"/>
      <c r="H133" s="175"/>
      <c r="I133" s="175"/>
      <c r="J133" s="175"/>
      <c r="K133" s="175"/>
      <c r="L133" s="175"/>
      <c r="M133" s="175"/>
      <c r="N133" s="175"/>
      <c r="O133" s="175"/>
      <c r="P133" s="175"/>
      <c r="Q133" s="175"/>
      <c r="R133" s="175"/>
      <c r="S133" s="175"/>
      <c r="T133" s="175"/>
      <c r="U133" s="175"/>
      <c r="V133" s="175"/>
      <c r="W133" s="175"/>
      <c r="X133" s="175"/>
      <c r="Y133" s="175"/>
      <c r="Z133" s="175"/>
    </row>
    <row r="134">
      <c r="A134" s="262" t="s">
        <v>229</v>
      </c>
      <c r="B134" s="263">
        <v>45909.0</v>
      </c>
      <c r="C134" s="259">
        <v>179614.0</v>
      </c>
      <c r="D134" s="264" t="s">
        <v>230</v>
      </c>
      <c r="E134" s="273" t="s">
        <v>231</v>
      </c>
      <c r="F134" s="266"/>
      <c r="G134" s="175"/>
      <c r="H134" s="175"/>
      <c r="I134" s="175"/>
      <c r="J134" s="175"/>
      <c r="K134" s="175"/>
      <c r="L134" s="175"/>
      <c r="M134" s="175"/>
      <c r="N134" s="175"/>
      <c r="O134" s="175"/>
      <c r="P134" s="175"/>
      <c r="Q134" s="175"/>
      <c r="R134" s="175"/>
      <c r="S134" s="175"/>
      <c r="T134" s="175"/>
      <c r="U134" s="175"/>
      <c r="V134" s="175"/>
      <c r="W134" s="175"/>
      <c r="X134" s="175"/>
      <c r="Y134" s="175"/>
      <c r="Z134" s="175"/>
    </row>
    <row r="135" ht="15.75" customHeight="1">
      <c r="A135" s="266"/>
      <c r="B135" s="267"/>
      <c r="C135" s="268"/>
      <c r="D135" s="269"/>
      <c r="E135" s="266"/>
      <c r="F135" s="266"/>
      <c r="G135" s="175"/>
      <c r="H135" s="175"/>
      <c r="I135" s="175"/>
      <c r="J135" s="175"/>
      <c r="K135" s="175"/>
      <c r="L135" s="175"/>
      <c r="M135" s="175"/>
      <c r="N135" s="175"/>
      <c r="O135" s="175"/>
      <c r="P135" s="175"/>
      <c r="Q135" s="175"/>
      <c r="R135" s="175"/>
      <c r="S135" s="175"/>
      <c r="T135" s="175"/>
      <c r="U135" s="175"/>
      <c r="V135" s="175"/>
      <c r="W135" s="175"/>
      <c r="X135" s="175"/>
      <c r="Y135" s="175"/>
      <c r="Z135" s="175"/>
    </row>
    <row r="136" ht="181.5" customHeight="1">
      <c r="A136" s="262" t="s">
        <v>232</v>
      </c>
      <c r="B136" s="263">
        <v>46090.0</v>
      </c>
      <c r="C136" s="259">
        <v>345416.0</v>
      </c>
      <c r="D136" s="264" t="s">
        <v>233</v>
      </c>
      <c r="E136" s="274" t="s">
        <v>234</v>
      </c>
      <c r="F136" s="266"/>
      <c r="G136" s="175"/>
      <c r="H136" s="175"/>
      <c r="I136" s="175"/>
      <c r="J136" s="175"/>
      <c r="K136" s="175"/>
      <c r="L136" s="175"/>
      <c r="M136" s="175"/>
      <c r="N136" s="175"/>
      <c r="O136" s="175"/>
      <c r="P136" s="175"/>
      <c r="Q136" s="175"/>
      <c r="R136" s="175"/>
      <c r="S136" s="175"/>
      <c r="T136" s="175"/>
      <c r="U136" s="175"/>
      <c r="V136" s="175"/>
      <c r="W136" s="175"/>
      <c r="X136" s="175"/>
      <c r="Y136" s="175"/>
      <c r="Z136" s="175"/>
    </row>
    <row r="137">
      <c r="A137" s="275"/>
      <c r="B137" s="258">
        <v>46133.0</v>
      </c>
      <c r="C137" s="259">
        <v>355000.0</v>
      </c>
      <c r="D137" s="264" t="s">
        <v>235</v>
      </c>
      <c r="E137" s="274" t="s">
        <v>236</v>
      </c>
      <c r="F137" s="266"/>
      <c r="G137" s="175"/>
      <c r="H137" s="175"/>
      <c r="I137" s="175"/>
      <c r="J137" s="175"/>
      <c r="K137" s="175"/>
      <c r="L137" s="175"/>
      <c r="M137" s="175"/>
      <c r="N137" s="175"/>
      <c r="O137" s="175"/>
      <c r="P137" s="175"/>
      <c r="Q137" s="175"/>
      <c r="R137" s="175"/>
      <c r="S137" s="175"/>
      <c r="T137" s="175"/>
      <c r="U137" s="175"/>
      <c r="V137" s="175"/>
      <c r="W137" s="175"/>
      <c r="X137" s="175"/>
      <c r="Y137" s="175"/>
      <c r="Z137" s="175"/>
    </row>
    <row r="138">
      <c r="A138" s="275"/>
      <c r="B138" s="263">
        <v>46143.0</v>
      </c>
      <c r="C138" s="270">
        <v>346539.0</v>
      </c>
      <c r="D138" s="264" t="s">
        <v>237</v>
      </c>
      <c r="E138" s="265" t="s">
        <v>238</v>
      </c>
      <c r="F138" s="266"/>
      <c r="G138" s="175"/>
      <c r="H138" s="175"/>
      <c r="I138" s="175"/>
      <c r="J138" s="175"/>
      <c r="K138" s="175"/>
      <c r="L138" s="175"/>
      <c r="M138" s="175"/>
      <c r="N138" s="175"/>
      <c r="O138" s="175"/>
      <c r="P138" s="175"/>
      <c r="Q138" s="175"/>
      <c r="R138" s="175"/>
      <c r="S138" s="175"/>
      <c r="T138" s="175"/>
      <c r="U138" s="175"/>
      <c r="V138" s="175"/>
      <c r="W138" s="175"/>
      <c r="X138" s="175"/>
      <c r="Y138" s="175"/>
      <c r="Z138" s="175"/>
    </row>
    <row r="139" ht="15.75" customHeight="1">
      <c r="A139" s="266"/>
      <c r="B139" s="267"/>
      <c r="C139" s="268"/>
      <c r="D139" s="269"/>
      <c r="E139" s="266"/>
      <c r="F139" s="266"/>
      <c r="G139" s="175"/>
      <c r="H139" s="175"/>
      <c r="I139" s="175"/>
      <c r="J139" s="175"/>
      <c r="K139" s="175"/>
      <c r="L139" s="175"/>
      <c r="M139" s="175"/>
      <c r="N139" s="175"/>
      <c r="O139" s="175"/>
      <c r="P139" s="175"/>
      <c r="Q139" s="175"/>
      <c r="R139" s="175"/>
      <c r="S139" s="175"/>
      <c r="T139" s="175"/>
      <c r="U139" s="175"/>
      <c r="V139" s="175"/>
      <c r="W139" s="175"/>
      <c r="X139" s="175"/>
      <c r="Y139" s="175"/>
      <c r="Z139" s="175"/>
    </row>
    <row r="140" ht="181.5" customHeight="1">
      <c r="A140" s="262" t="s">
        <v>159</v>
      </c>
      <c r="B140" s="263">
        <v>46108.0</v>
      </c>
      <c r="C140" s="259">
        <v>279452.0</v>
      </c>
      <c r="D140" s="264" t="s">
        <v>239</v>
      </c>
      <c r="E140" s="274" t="s">
        <v>240</v>
      </c>
      <c r="F140" s="266"/>
      <c r="G140" s="175"/>
      <c r="H140" s="175"/>
      <c r="I140" s="175"/>
      <c r="J140" s="175"/>
      <c r="K140" s="175"/>
      <c r="L140" s="175"/>
      <c r="M140" s="175"/>
      <c r="N140" s="175"/>
      <c r="O140" s="175"/>
      <c r="P140" s="175"/>
      <c r="Q140" s="175"/>
      <c r="R140" s="175"/>
      <c r="S140" s="175"/>
      <c r="T140" s="175"/>
      <c r="U140" s="175"/>
      <c r="V140" s="175"/>
      <c r="W140" s="175"/>
      <c r="X140" s="175"/>
      <c r="Y140" s="175"/>
      <c r="Z140" s="175"/>
    </row>
    <row r="141" ht="15.75" customHeight="1">
      <c r="A141" s="266"/>
      <c r="B141" s="267"/>
      <c r="C141" s="268"/>
      <c r="D141" s="269"/>
      <c r="E141" s="266"/>
      <c r="F141" s="266"/>
      <c r="G141" s="175"/>
      <c r="H141" s="175"/>
      <c r="I141" s="175"/>
      <c r="J141" s="175"/>
      <c r="K141" s="175"/>
      <c r="L141" s="175"/>
      <c r="M141" s="175"/>
      <c r="N141" s="175"/>
      <c r="O141" s="175"/>
      <c r="P141" s="175"/>
      <c r="Q141" s="175"/>
      <c r="R141" s="175"/>
      <c r="S141" s="175"/>
      <c r="T141" s="175"/>
      <c r="U141" s="175"/>
      <c r="V141" s="175"/>
      <c r="W141" s="175"/>
      <c r="X141" s="175"/>
      <c r="Y141" s="175"/>
      <c r="Z141" s="175"/>
    </row>
    <row r="142" ht="181.5" customHeight="1">
      <c r="A142" s="262" t="s">
        <v>89</v>
      </c>
      <c r="B142" s="263">
        <v>46161.0</v>
      </c>
      <c r="C142" s="259">
        <v>162612.0</v>
      </c>
      <c r="D142" s="264" t="s">
        <v>241</v>
      </c>
      <c r="E142" s="265" t="s">
        <v>242</v>
      </c>
      <c r="F142" s="266"/>
      <c r="G142" s="175"/>
      <c r="H142" s="175"/>
      <c r="I142" s="175"/>
      <c r="J142" s="175"/>
      <c r="K142" s="175"/>
      <c r="L142" s="175"/>
      <c r="M142" s="175"/>
      <c r="N142" s="175"/>
      <c r="O142" s="175"/>
      <c r="P142" s="175"/>
      <c r="Q142" s="175"/>
      <c r="R142" s="175"/>
      <c r="S142" s="175"/>
      <c r="T142" s="175"/>
      <c r="U142" s="175"/>
      <c r="V142" s="175"/>
      <c r="W142" s="175"/>
      <c r="X142" s="175"/>
      <c r="Y142" s="175"/>
      <c r="Z142" s="175"/>
    </row>
    <row r="143" ht="15.75" customHeight="1">
      <c r="A143" s="174"/>
      <c r="B143" s="267"/>
      <c r="C143" s="268"/>
      <c r="D143" s="269"/>
      <c r="E143" s="266"/>
      <c r="F143" s="174"/>
      <c r="G143" s="175"/>
      <c r="H143" s="175"/>
      <c r="I143" s="175"/>
      <c r="J143" s="175"/>
      <c r="K143" s="175"/>
      <c r="L143" s="175"/>
      <c r="M143" s="175"/>
      <c r="N143" s="175"/>
      <c r="O143" s="175"/>
      <c r="P143" s="175"/>
      <c r="Q143" s="175"/>
      <c r="R143" s="175"/>
      <c r="S143" s="175"/>
      <c r="T143" s="175"/>
      <c r="U143" s="175"/>
      <c r="V143" s="175"/>
      <c r="W143" s="175"/>
      <c r="X143" s="175"/>
      <c r="Y143" s="175"/>
      <c r="Z143" s="175"/>
    </row>
    <row r="144">
      <c r="A144" s="262" t="s">
        <v>243</v>
      </c>
      <c r="B144" s="263">
        <v>46212.0</v>
      </c>
      <c r="C144" s="259"/>
      <c r="D144" s="264" t="s">
        <v>137</v>
      </c>
      <c r="E144" s="265" t="s">
        <v>244</v>
      </c>
      <c r="F144" s="174"/>
      <c r="G144" s="175"/>
      <c r="H144" s="175"/>
      <c r="I144" s="175"/>
      <c r="J144" s="175"/>
      <c r="K144" s="175"/>
      <c r="L144" s="175"/>
      <c r="M144" s="175"/>
      <c r="N144" s="175"/>
      <c r="O144" s="175"/>
      <c r="P144" s="175"/>
      <c r="Q144" s="175"/>
      <c r="R144" s="175"/>
      <c r="S144" s="175"/>
      <c r="T144" s="175"/>
      <c r="U144" s="175"/>
      <c r="V144" s="175"/>
      <c r="W144" s="175"/>
      <c r="X144" s="175"/>
      <c r="Y144" s="175"/>
      <c r="Z144" s="175"/>
    </row>
    <row r="145" ht="15.75" customHeight="1">
      <c r="A145" s="174"/>
      <c r="B145" s="276"/>
      <c r="C145" s="172"/>
      <c r="D145" s="173"/>
      <c r="E145" s="174"/>
      <c r="F145" s="174"/>
      <c r="G145" s="175"/>
      <c r="H145" s="175"/>
      <c r="I145" s="175"/>
      <c r="J145" s="175"/>
      <c r="K145" s="175"/>
      <c r="L145" s="175"/>
      <c r="M145" s="175"/>
      <c r="N145" s="175"/>
      <c r="O145" s="175"/>
      <c r="P145" s="175"/>
      <c r="Q145" s="175"/>
      <c r="R145" s="175"/>
      <c r="S145" s="175"/>
      <c r="T145" s="175"/>
      <c r="U145" s="175"/>
      <c r="V145" s="175"/>
      <c r="W145" s="175"/>
      <c r="X145" s="175"/>
      <c r="Y145" s="175"/>
      <c r="Z145" s="175"/>
    </row>
    <row r="146" ht="15.75" customHeight="1">
      <c r="A146" s="174"/>
      <c r="B146" s="276"/>
      <c r="C146" s="172"/>
      <c r="D146" s="173"/>
      <c r="E146" s="174"/>
      <c r="F146" s="174"/>
      <c r="G146" s="175"/>
      <c r="H146" s="175"/>
      <c r="I146" s="175"/>
      <c r="J146" s="175"/>
      <c r="K146" s="175"/>
      <c r="L146" s="175"/>
      <c r="M146" s="175"/>
      <c r="N146" s="175"/>
      <c r="O146" s="175"/>
      <c r="P146" s="175"/>
      <c r="Q146" s="175"/>
      <c r="R146" s="175"/>
      <c r="S146" s="175"/>
      <c r="T146" s="175"/>
      <c r="U146" s="175"/>
      <c r="V146" s="175"/>
      <c r="W146" s="175"/>
      <c r="X146" s="175"/>
      <c r="Y146" s="175"/>
      <c r="Z146" s="175"/>
    </row>
    <row r="147" ht="15.75" customHeight="1">
      <c r="A147" s="174"/>
      <c r="B147" s="276"/>
      <c r="C147" s="172"/>
      <c r="D147" s="173"/>
      <c r="E147" s="174"/>
      <c r="F147" s="174"/>
      <c r="G147" s="175"/>
      <c r="H147" s="175"/>
      <c r="I147" s="175"/>
      <c r="J147" s="175"/>
      <c r="K147" s="175"/>
      <c r="L147" s="175"/>
      <c r="M147" s="175"/>
      <c r="N147" s="175"/>
      <c r="O147" s="175"/>
      <c r="P147" s="175"/>
      <c r="Q147" s="175"/>
      <c r="R147" s="175"/>
      <c r="S147" s="175"/>
      <c r="T147" s="175"/>
      <c r="U147" s="175"/>
      <c r="V147" s="175"/>
      <c r="W147" s="175"/>
      <c r="X147" s="175"/>
      <c r="Y147" s="175"/>
      <c r="Z147" s="175"/>
    </row>
    <row r="148" ht="15.75" customHeight="1">
      <c r="A148" s="174"/>
      <c r="B148" s="276"/>
      <c r="C148" s="172"/>
      <c r="D148" s="173"/>
      <c r="E148" s="174"/>
      <c r="F148" s="174"/>
      <c r="G148" s="175"/>
      <c r="H148" s="175"/>
      <c r="I148" s="175"/>
      <c r="J148" s="175"/>
      <c r="K148" s="175"/>
      <c r="L148" s="175"/>
      <c r="M148" s="175"/>
      <c r="N148" s="175"/>
      <c r="O148" s="175"/>
      <c r="P148" s="175"/>
      <c r="Q148" s="175"/>
      <c r="R148" s="175"/>
      <c r="S148" s="175"/>
      <c r="T148" s="175"/>
      <c r="U148" s="175"/>
      <c r="V148" s="175"/>
      <c r="W148" s="175"/>
      <c r="X148" s="175"/>
      <c r="Y148" s="175"/>
      <c r="Z148" s="175"/>
    </row>
    <row r="149" ht="15.75" customHeight="1">
      <c r="A149" s="174"/>
      <c r="B149" s="276"/>
      <c r="C149" s="172"/>
      <c r="D149" s="173"/>
      <c r="E149" s="174"/>
      <c r="F149" s="174"/>
      <c r="G149" s="175"/>
      <c r="H149" s="175"/>
      <c r="I149" s="175"/>
      <c r="J149" s="175"/>
      <c r="K149" s="175"/>
      <c r="L149" s="175"/>
      <c r="M149" s="175"/>
      <c r="N149" s="175"/>
      <c r="O149" s="175"/>
      <c r="P149" s="175"/>
      <c r="Q149" s="175"/>
      <c r="R149" s="175"/>
      <c r="S149" s="175"/>
      <c r="T149" s="175"/>
      <c r="U149" s="175"/>
      <c r="V149" s="175"/>
      <c r="W149" s="175"/>
      <c r="X149" s="175"/>
      <c r="Y149" s="175"/>
      <c r="Z149" s="175"/>
    </row>
    <row r="150" ht="15.75" customHeight="1">
      <c r="A150" s="174"/>
      <c r="B150" s="276"/>
      <c r="C150" s="172"/>
      <c r="D150" s="173"/>
      <c r="E150" s="174"/>
      <c r="F150" s="174"/>
      <c r="G150" s="175"/>
      <c r="H150" s="175"/>
      <c r="I150" s="175"/>
      <c r="J150" s="175"/>
      <c r="K150" s="175"/>
      <c r="L150" s="175"/>
      <c r="M150" s="175"/>
      <c r="N150" s="175"/>
      <c r="O150" s="175"/>
      <c r="P150" s="175"/>
      <c r="Q150" s="175"/>
      <c r="R150" s="175"/>
      <c r="S150" s="175"/>
      <c r="T150" s="175"/>
      <c r="U150" s="175"/>
      <c r="V150" s="175"/>
      <c r="W150" s="175"/>
      <c r="X150" s="175"/>
      <c r="Y150" s="175"/>
      <c r="Z150" s="175"/>
    </row>
    <row r="151" ht="15.75" customHeight="1">
      <c r="A151" s="174"/>
      <c r="B151" s="276"/>
      <c r="C151" s="172"/>
      <c r="D151" s="173"/>
      <c r="E151" s="174"/>
      <c r="F151" s="174"/>
      <c r="G151" s="175"/>
      <c r="H151" s="175"/>
      <c r="I151" s="175"/>
      <c r="J151" s="175"/>
      <c r="K151" s="175"/>
      <c r="L151" s="175"/>
      <c r="M151" s="175"/>
      <c r="N151" s="175"/>
      <c r="O151" s="175"/>
      <c r="P151" s="175"/>
      <c r="Q151" s="175"/>
      <c r="R151" s="175"/>
      <c r="S151" s="175"/>
      <c r="T151" s="175"/>
      <c r="U151" s="175"/>
      <c r="V151" s="175"/>
      <c r="W151" s="175"/>
      <c r="X151" s="175"/>
      <c r="Y151" s="175"/>
      <c r="Z151" s="175"/>
    </row>
    <row r="152" ht="15.75" customHeight="1">
      <c r="A152" s="174"/>
      <c r="B152" s="276"/>
      <c r="C152" s="172"/>
      <c r="D152" s="173"/>
      <c r="E152" s="174"/>
      <c r="F152" s="174"/>
      <c r="G152" s="175"/>
      <c r="H152" s="175"/>
      <c r="I152" s="175"/>
      <c r="J152" s="175"/>
      <c r="K152" s="175"/>
      <c r="L152" s="175"/>
      <c r="M152" s="175"/>
      <c r="N152" s="175"/>
      <c r="O152" s="175"/>
      <c r="P152" s="175"/>
      <c r="Q152" s="175"/>
      <c r="R152" s="175"/>
      <c r="S152" s="175"/>
      <c r="T152" s="175"/>
      <c r="U152" s="175"/>
      <c r="V152" s="175"/>
      <c r="W152" s="175"/>
      <c r="X152" s="175"/>
      <c r="Y152" s="175"/>
      <c r="Z152" s="175"/>
    </row>
    <row r="153" ht="15.75" customHeight="1">
      <c r="A153" s="174"/>
      <c r="B153" s="276"/>
      <c r="C153" s="172"/>
      <c r="D153" s="173"/>
      <c r="E153" s="174"/>
      <c r="F153" s="174"/>
      <c r="G153" s="175"/>
      <c r="H153" s="175"/>
      <c r="I153" s="175"/>
      <c r="J153" s="175"/>
      <c r="K153" s="175"/>
      <c r="L153" s="175"/>
      <c r="M153" s="175"/>
      <c r="N153" s="175"/>
      <c r="O153" s="175"/>
      <c r="P153" s="175"/>
      <c r="Q153" s="175"/>
      <c r="R153" s="175"/>
      <c r="S153" s="175"/>
      <c r="T153" s="175"/>
      <c r="U153" s="175"/>
      <c r="V153" s="175"/>
      <c r="W153" s="175"/>
      <c r="X153" s="175"/>
      <c r="Y153" s="175"/>
      <c r="Z153" s="175"/>
    </row>
    <row r="154" ht="15.75" customHeight="1">
      <c r="A154" s="174"/>
      <c r="B154" s="276"/>
      <c r="C154" s="172"/>
      <c r="D154" s="173"/>
      <c r="E154" s="174"/>
      <c r="F154" s="174"/>
      <c r="G154" s="175"/>
      <c r="H154" s="175"/>
      <c r="I154" s="175"/>
      <c r="J154" s="175"/>
      <c r="K154" s="175"/>
      <c r="L154" s="175"/>
      <c r="M154" s="175"/>
      <c r="N154" s="175"/>
      <c r="O154" s="175"/>
      <c r="P154" s="175"/>
      <c r="Q154" s="175"/>
      <c r="R154" s="175"/>
      <c r="S154" s="175"/>
      <c r="T154" s="175"/>
      <c r="U154" s="175"/>
      <c r="V154" s="175"/>
      <c r="W154" s="175"/>
      <c r="X154" s="175"/>
      <c r="Y154" s="175"/>
      <c r="Z154" s="175"/>
    </row>
    <row r="155" ht="15.75" customHeight="1">
      <c r="A155" s="174"/>
      <c r="B155" s="276"/>
      <c r="C155" s="172"/>
      <c r="D155" s="173"/>
      <c r="E155" s="174"/>
      <c r="F155" s="174"/>
      <c r="G155" s="175"/>
      <c r="H155" s="175"/>
      <c r="I155" s="175"/>
      <c r="J155" s="175"/>
      <c r="K155" s="175"/>
      <c r="L155" s="175"/>
      <c r="M155" s="175"/>
      <c r="N155" s="175"/>
      <c r="O155" s="175"/>
      <c r="P155" s="175"/>
      <c r="Q155" s="175"/>
      <c r="R155" s="175"/>
      <c r="S155" s="175"/>
      <c r="T155" s="175"/>
      <c r="U155" s="175"/>
      <c r="V155" s="175"/>
      <c r="W155" s="175"/>
      <c r="X155" s="175"/>
      <c r="Y155" s="175"/>
      <c r="Z155" s="175"/>
    </row>
    <row r="156" ht="15.75" customHeight="1">
      <c r="A156" s="174"/>
      <c r="B156" s="276"/>
      <c r="C156" s="172"/>
      <c r="D156" s="173"/>
      <c r="E156" s="174"/>
      <c r="F156" s="174"/>
      <c r="G156" s="175"/>
      <c r="H156" s="175"/>
      <c r="I156" s="175"/>
      <c r="J156" s="175"/>
      <c r="K156" s="175"/>
      <c r="L156" s="175"/>
      <c r="M156" s="175"/>
      <c r="N156" s="175"/>
      <c r="O156" s="175"/>
      <c r="P156" s="175"/>
      <c r="Q156" s="175"/>
      <c r="R156" s="175"/>
      <c r="S156" s="175"/>
      <c r="T156" s="175"/>
      <c r="U156" s="175"/>
      <c r="V156" s="175"/>
      <c r="W156" s="175"/>
      <c r="X156" s="175"/>
      <c r="Y156" s="175"/>
      <c r="Z156" s="175"/>
    </row>
    <row r="157" ht="15.75" customHeight="1">
      <c r="A157" s="174"/>
      <c r="B157" s="276"/>
      <c r="C157" s="172"/>
      <c r="D157" s="173"/>
      <c r="E157" s="174"/>
      <c r="F157" s="174"/>
      <c r="G157" s="175"/>
      <c r="H157" s="175"/>
      <c r="I157" s="175"/>
      <c r="J157" s="175"/>
      <c r="K157" s="175"/>
      <c r="L157" s="175"/>
      <c r="M157" s="175"/>
      <c r="N157" s="175"/>
      <c r="O157" s="175"/>
      <c r="P157" s="175"/>
      <c r="Q157" s="175"/>
      <c r="R157" s="175"/>
      <c r="S157" s="175"/>
      <c r="T157" s="175"/>
      <c r="U157" s="175"/>
      <c r="V157" s="175"/>
      <c r="W157" s="175"/>
      <c r="X157" s="175"/>
      <c r="Y157" s="175"/>
      <c r="Z157" s="175"/>
    </row>
    <row r="158" ht="15.75" customHeight="1">
      <c r="A158" s="174"/>
      <c r="B158" s="276"/>
      <c r="C158" s="172"/>
      <c r="D158" s="173"/>
      <c r="E158" s="174"/>
      <c r="F158" s="174"/>
      <c r="G158" s="175"/>
      <c r="H158" s="175"/>
      <c r="I158" s="175"/>
      <c r="J158" s="175"/>
      <c r="K158" s="175"/>
      <c r="L158" s="175"/>
      <c r="M158" s="175"/>
      <c r="N158" s="175"/>
      <c r="O158" s="175"/>
      <c r="P158" s="175"/>
      <c r="Q158" s="175"/>
      <c r="R158" s="175"/>
      <c r="S158" s="175"/>
      <c r="T158" s="175"/>
      <c r="U158" s="175"/>
      <c r="V158" s="175"/>
      <c r="W158" s="175"/>
      <c r="X158" s="175"/>
      <c r="Y158" s="175"/>
      <c r="Z158" s="175"/>
    </row>
    <row r="159" ht="15.75" customHeight="1">
      <c r="A159" s="174"/>
      <c r="B159" s="276"/>
      <c r="C159" s="172"/>
      <c r="D159" s="173"/>
      <c r="E159" s="174"/>
      <c r="F159" s="174"/>
      <c r="G159" s="175"/>
      <c r="H159" s="175"/>
      <c r="I159" s="175"/>
      <c r="J159" s="175"/>
      <c r="K159" s="175"/>
      <c r="L159" s="175"/>
      <c r="M159" s="175"/>
      <c r="N159" s="175"/>
      <c r="O159" s="175"/>
      <c r="P159" s="175"/>
      <c r="Q159" s="175"/>
      <c r="R159" s="175"/>
      <c r="S159" s="175"/>
      <c r="T159" s="175"/>
      <c r="U159" s="175"/>
      <c r="V159" s="175"/>
      <c r="W159" s="175"/>
      <c r="X159" s="175"/>
      <c r="Y159" s="175"/>
      <c r="Z159" s="175"/>
    </row>
    <row r="160" ht="15.75" customHeight="1">
      <c r="A160" s="174"/>
      <c r="B160" s="276"/>
      <c r="C160" s="172"/>
      <c r="D160" s="173"/>
      <c r="E160" s="174"/>
      <c r="F160" s="174"/>
      <c r="G160" s="175"/>
      <c r="H160" s="175"/>
      <c r="I160" s="175"/>
      <c r="J160" s="175"/>
      <c r="K160" s="175"/>
      <c r="L160" s="175"/>
      <c r="M160" s="175"/>
      <c r="N160" s="175"/>
      <c r="O160" s="175"/>
      <c r="P160" s="175"/>
      <c r="Q160" s="175"/>
      <c r="R160" s="175"/>
      <c r="S160" s="175"/>
      <c r="T160" s="175"/>
      <c r="U160" s="175"/>
      <c r="V160" s="175"/>
      <c r="W160" s="175"/>
      <c r="X160" s="175"/>
      <c r="Y160" s="175"/>
      <c r="Z160" s="175"/>
    </row>
    <row r="161" ht="15.75" customHeight="1">
      <c r="A161" s="174"/>
      <c r="B161" s="276"/>
      <c r="C161" s="172"/>
      <c r="D161" s="173"/>
      <c r="E161" s="174"/>
      <c r="F161" s="174"/>
      <c r="G161" s="175"/>
      <c r="H161" s="175"/>
      <c r="I161" s="175"/>
      <c r="J161" s="175"/>
      <c r="K161" s="175"/>
      <c r="L161" s="175"/>
      <c r="M161" s="175"/>
      <c r="N161" s="175"/>
      <c r="O161" s="175"/>
      <c r="P161" s="175"/>
      <c r="Q161" s="175"/>
      <c r="R161" s="175"/>
      <c r="S161" s="175"/>
      <c r="T161" s="175"/>
      <c r="U161" s="175"/>
      <c r="V161" s="175"/>
      <c r="W161" s="175"/>
      <c r="X161" s="175"/>
      <c r="Y161" s="175"/>
      <c r="Z161" s="175"/>
    </row>
    <row r="162" ht="15.75" customHeight="1">
      <c r="A162" s="174"/>
      <c r="B162" s="276"/>
      <c r="C162" s="172"/>
      <c r="D162" s="173"/>
      <c r="E162" s="174"/>
      <c r="F162" s="174"/>
      <c r="G162" s="175"/>
      <c r="H162" s="175"/>
      <c r="I162" s="175"/>
      <c r="J162" s="175"/>
      <c r="K162" s="175"/>
      <c r="L162" s="175"/>
      <c r="M162" s="175"/>
      <c r="N162" s="175"/>
      <c r="O162" s="175"/>
      <c r="P162" s="175"/>
      <c r="Q162" s="175"/>
      <c r="R162" s="175"/>
      <c r="S162" s="175"/>
      <c r="T162" s="175"/>
      <c r="U162" s="175"/>
      <c r="V162" s="175"/>
      <c r="W162" s="175"/>
      <c r="X162" s="175"/>
      <c r="Y162" s="175"/>
      <c r="Z162" s="175"/>
    </row>
    <row r="163" ht="15.75" customHeight="1">
      <c r="A163" s="174"/>
      <c r="B163" s="276"/>
      <c r="C163" s="172"/>
      <c r="D163" s="173"/>
      <c r="E163" s="174"/>
      <c r="F163" s="174"/>
      <c r="G163" s="175"/>
      <c r="H163" s="175"/>
      <c r="I163" s="175"/>
      <c r="J163" s="175"/>
      <c r="K163" s="175"/>
      <c r="L163" s="175"/>
      <c r="M163" s="175"/>
      <c r="N163" s="175"/>
      <c r="O163" s="175"/>
      <c r="P163" s="175"/>
      <c r="Q163" s="175"/>
      <c r="R163" s="175"/>
      <c r="S163" s="175"/>
      <c r="T163" s="175"/>
      <c r="U163" s="175"/>
      <c r="V163" s="175"/>
      <c r="W163" s="175"/>
      <c r="X163" s="175"/>
      <c r="Y163" s="175"/>
      <c r="Z163" s="175"/>
    </row>
    <row r="164" ht="15.75" customHeight="1">
      <c r="A164" s="174"/>
      <c r="B164" s="276"/>
      <c r="C164" s="172"/>
      <c r="D164" s="173"/>
      <c r="E164" s="174"/>
      <c r="F164" s="174"/>
      <c r="G164" s="175"/>
      <c r="H164" s="175"/>
      <c r="I164" s="175"/>
      <c r="J164" s="175"/>
      <c r="K164" s="175"/>
      <c r="L164" s="175"/>
      <c r="M164" s="175"/>
      <c r="N164" s="175"/>
      <c r="O164" s="175"/>
      <c r="P164" s="175"/>
      <c r="Q164" s="175"/>
      <c r="R164" s="175"/>
      <c r="S164" s="175"/>
      <c r="T164" s="175"/>
      <c r="U164" s="175"/>
      <c r="V164" s="175"/>
      <c r="W164" s="175"/>
      <c r="X164" s="175"/>
      <c r="Y164" s="175"/>
      <c r="Z164" s="175"/>
    </row>
    <row r="165" ht="15.75" customHeight="1">
      <c r="A165" s="174"/>
      <c r="B165" s="276"/>
      <c r="C165" s="172"/>
      <c r="D165" s="173"/>
      <c r="E165" s="174"/>
      <c r="F165" s="174"/>
      <c r="G165" s="175"/>
      <c r="H165" s="175"/>
      <c r="I165" s="175"/>
      <c r="J165" s="175"/>
      <c r="K165" s="175"/>
      <c r="L165" s="175"/>
      <c r="M165" s="175"/>
      <c r="N165" s="175"/>
      <c r="O165" s="175"/>
      <c r="P165" s="175"/>
      <c r="Q165" s="175"/>
      <c r="R165" s="175"/>
      <c r="S165" s="175"/>
      <c r="T165" s="175"/>
      <c r="U165" s="175"/>
      <c r="V165" s="175"/>
      <c r="W165" s="175"/>
      <c r="X165" s="175"/>
      <c r="Y165" s="175"/>
      <c r="Z165" s="175"/>
    </row>
    <row r="166" ht="15.75" customHeight="1">
      <c r="A166" s="174"/>
      <c r="B166" s="276"/>
      <c r="C166" s="172"/>
      <c r="D166" s="173"/>
      <c r="E166" s="174"/>
      <c r="F166" s="174"/>
      <c r="G166" s="175"/>
      <c r="H166" s="175"/>
      <c r="I166" s="175"/>
      <c r="J166" s="175"/>
      <c r="K166" s="175"/>
      <c r="L166" s="175"/>
      <c r="M166" s="175"/>
      <c r="N166" s="175"/>
      <c r="O166" s="175"/>
      <c r="P166" s="175"/>
      <c r="Q166" s="175"/>
      <c r="R166" s="175"/>
      <c r="S166" s="175"/>
      <c r="T166" s="175"/>
      <c r="U166" s="175"/>
      <c r="V166" s="175"/>
      <c r="W166" s="175"/>
      <c r="X166" s="175"/>
      <c r="Y166" s="175"/>
      <c r="Z166" s="175"/>
    </row>
    <row r="167" ht="15.75" customHeight="1">
      <c r="A167" s="174"/>
      <c r="B167" s="276"/>
      <c r="C167" s="172"/>
      <c r="D167" s="173"/>
      <c r="E167" s="174"/>
      <c r="F167" s="174"/>
      <c r="G167" s="175"/>
      <c r="H167" s="175"/>
      <c r="I167" s="175"/>
      <c r="J167" s="175"/>
      <c r="K167" s="175"/>
      <c r="L167" s="175"/>
      <c r="M167" s="175"/>
      <c r="N167" s="175"/>
      <c r="O167" s="175"/>
      <c r="P167" s="175"/>
      <c r="Q167" s="175"/>
      <c r="R167" s="175"/>
      <c r="S167" s="175"/>
      <c r="T167" s="175"/>
      <c r="U167" s="175"/>
      <c r="V167" s="175"/>
      <c r="W167" s="175"/>
      <c r="X167" s="175"/>
      <c r="Y167" s="175"/>
      <c r="Z167" s="175"/>
    </row>
    <row r="168" ht="15.75" customHeight="1">
      <c r="A168" s="174"/>
      <c r="B168" s="276"/>
      <c r="C168" s="172"/>
      <c r="D168" s="173"/>
      <c r="E168" s="174"/>
      <c r="F168" s="174"/>
      <c r="G168" s="175"/>
      <c r="H168" s="175"/>
      <c r="I168" s="175"/>
      <c r="J168" s="175"/>
      <c r="K168" s="175"/>
      <c r="L168" s="175"/>
      <c r="M168" s="175"/>
      <c r="N168" s="175"/>
      <c r="O168" s="175"/>
      <c r="P168" s="175"/>
      <c r="Q168" s="175"/>
      <c r="R168" s="175"/>
      <c r="S168" s="175"/>
      <c r="T168" s="175"/>
      <c r="U168" s="175"/>
      <c r="V168" s="175"/>
      <c r="W168" s="175"/>
      <c r="X168" s="175"/>
      <c r="Y168" s="175"/>
      <c r="Z168" s="175"/>
    </row>
    <row r="169" ht="15.75" customHeight="1">
      <c r="A169" s="174"/>
      <c r="B169" s="276"/>
      <c r="C169" s="172"/>
      <c r="D169" s="173"/>
      <c r="E169" s="174"/>
      <c r="F169" s="174"/>
      <c r="G169" s="175"/>
      <c r="H169" s="175"/>
      <c r="I169" s="175"/>
      <c r="J169" s="175"/>
      <c r="K169" s="175"/>
      <c r="L169" s="175"/>
      <c r="M169" s="175"/>
      <c r="N169" s="175"/>
      <c r="O169" s="175"/>
      <c r="P169" s="175"/>
      <c r="Q169" s="175"/>
      <c r="R169" s="175"/>
      <c r="S169" s="175"/>
      <c r="T169" s="175"/>
      <c r="U169" s="175"/>
      <c r="V169" s="175"/>
      <c r="W169" s="175"/>
      <c r="X169" s="175"/>
      <c r="Y169" s="175"/>
      <c r="Z169" s="175"/>
    </row>
    <row r="170" ht="15.75" customHeight="1">
      <c r="A170" s="174"/>
      <c r="B170" s="276"/>
      <c r="C170" s="172"/>
      <c r="D170" s="173"/>
      <c r="E170" s="174"/>
      <c r="F170" s="174"/>
      <c r="G170" s="175"/>
      <c r="H170" s="175"/>
      <c r="I170" s="175"/>
      <c r="J170" s="175"/>
      <c r="K170" s="175"/>
      <c r="L170" s="175"/>
      <c r="M170" s="175"/>
      <c r="N170" s="175"/>
      <c r="O170" s="175"/>
      <c r="P170" s="175"/>
      <c r="Q170" s="175"/>
      <c r="R170" s="175"/>
      <c r="S170" s="175"/>
      <c r="T170" s="175"/>
      <c r="U170" s="175"/>
      <c r="V170" s="175"/>
      <c r="W170" s="175"/>
      <c r="X170" s="175"/>
      <c r="Y170" s="175"/>
      <c r="Z170" s="175"/>
    </row>
    <row r="171" ht="15.75" customHeight="1">
      <c r="A171" s="174"/>
      <c r="B171" s="276"/>
      <c r="C171" s="172"/>
      <c r="D171" s="173"/>
      <c r="E171" s="174"/>
      <c r="F171" s="174"/>
      <c r="G171" s="175"/>
      <c r="H171" s="175"/>
      <c r="I171" s="175"/>
      <c r="J171" s="175"/>
      <c r="K171" s="175"/>
      <c r="L171" s="175"/>
      <c r="M171" s="175"/>
      <c r="N171" s="175"/>
      <c r="O171" s="175"/>
      <c r="P171" s="175"/>
      <c r="Q171" s="175"/>
      <c r="R171" s="175"/>
      <c r="S171" s="175"/>
      <c r="T171" s="175"/>
      <c r="U171" s="175"/>
      <c r="V171" s="175"/>
      <c r="W171" s="175"/>
      <c r="X171" s="175"/>
      <c r="Y171" s="175"/>
      <c r="Z171" s="175"/>
    </row>
    <row r="172" ht="15.75" customHeight="1">
      <c r="A172" s="174"/>
      <c r="B172" s="276"/>
      <c r="C172" s="172"/>
      <c r="D172" s="173"/>
      <c r="E172" s="174"/>
      <c r="F172" s="174"/>
      <c r="G172" s="175"/>
      <c r="H172" s="175"/>
      <c r="I172" s="175"/>
      <c r="J172" s="175"/>
      <c r="K172" s="175"/>
      <c r="L172" s="175"/>
      <c r="M172" s="175"/>
      <c r="N172" s="175"/>
      <c r="O172" s="175"/>
      <c r="P172" s="175"/>
      <c r="Q172" s="175"/>
      <c r="R172" s="175"/>
      <c r="S172" s="175"/>
      <c r="T172" s="175"/>
      <c r="U172" s="175"/>
      <c r="V172" s="175"/>
      <c r="W172" s="175"/>
      <c r="X172" s="175"/>
      <c r="Y172" s="175"/>
      <c r="Z172" s="175"/>
    </row>
    <row r="173" ht="15.75" customHeight="1">
      <c r="A173" s="174"/>
      <c r="B173" s="276"/>
      <c r="C173" s="172"/>
      <c r="D173" s="173"/>
      <c r="E173" s="174"/>
      <c r="F173" s="174"/>
      <c r="G173" s="175"/>
      <c r="H173" s="175"/>
      <c r="I173" s="175"/>
      <c r="J173" s="175"/>
      <c r="K173" s="175"/>
      <c r="L173" s="175"/>
      <c r="M173" s="175"/>
      <c r="N173" s="175"/>
      <c r="O173" s="175"/>
      <c r="P173" s="175"/>
      <c r="Q173" s="175"/>
      <c r="R173" s="175"/>
      <c r="S173" s="175"/>
      <c r="T173" s="175"/>
      <c r="U173" s="175"/>
      <c r="V173" s="175"/>
      <c r="W173" s="175"/>
      <c r="X173" s="175"/>
      <c r="Y173" s="175"/>
      <c r="Z173" s="175"/>
    </row>
    <row r="174" ht="15.75" customHeight="1">
      <c r="A174" s="174"/>
      <c r="B174" s="276"/>
      <c r="C174" s="172"/>
      <c r="D174" s="173"/>
      <c r="E174" s="174"/>
      <c r="F174" s="174"/>
      <c r="G174" s="175"/>
      <c r="H174" s="175"/>
      <c r="I174" s="175"/>
      <c r="J174" s="175"/>
      <c r="K174" s="175"/>
      <c r="L174" s="175"/>
      <c r="M174" s="175"/>
      <c r="N174" s="175"/>
      <c r="O174" s="175"/>
      <c r="P174" s="175"/>
      <c r="Q174" s="175"/>
      <c r="R174" s="175"/>
      <c r="S174" s="175"/>
      <c r="T174" s="175"/>
      <c r="U174" s="175"/>
      <c r="V174" s="175"/>
      <c r="W174" s="175"/>
      <c r="X174" s="175"/>
      <c r="Y174" s="175"/>
      <c r="Z174" s="175"/>
    </row>
    <row r="175" ht="15.75" customHeight="1">
      <c r="A175" s="174"/>
      <c r="B175" s="276"/>
      <c r="C175" s="172"/>
      <c r="D175" s="173"/>
      <c r="E175" s="174"/>
      <c r="F175" s="174"/>
      <c r="G175" s="175"/>
      <c r="H175" s="175"/>
      <c r="I175" s="175"/>
      <c r="J175" s="175"/>
      <c r="K175" s="175"/>
      <c r="L175" s="175"/>
      <c r="M175" s="175"/>
      <c r="N175" s="175"/>
      <c r="O175" s="175"/>
      <c r="P175" s="175"/>
      <c r="Q175" s="175"/>
      <c r="R175" s="175"/>
      <c r="S175" s="175"/>
      <c r="T175" s="175"/>
      <c r="U175" s="175"/>
      <c r="V175" s="175"/>
      <c r="W175" s="175"/>
      <c r="X175" s="175"/>
      <c r="Y175" s="175"/>
      <c r="Z175" s="175"/>
    </row>
    <row r="176" ht="15.75" customHeight="1">
      <c r="A176" s="174"/>
      <c r="B176" s="276"/>
      <c r="C176" s="172"/>
      <c r="D176" s="173"/>
      <c r="E176" s="174"/>
      <c r="F176" s="174"/>
      <c r="G176" s="175"/>
      <c r="H176" s="175"/>
      <c r="I176" s="175"/>
      <c r="J176" s="175"/>
      <c r="K176" s="175"/>
      <c r="L176" s="175"/>
      <c r="M176" s="175"/>
      <c r="N176" s="175"/>
      <c r="O176" s="175"/>
      <c r="P176" s="175"/>
      <c r="Q176" s="175"/>
      <c r="R176" s="175"/>
      <c r="S176" s="175"/>
      <c r="T176" s="175"/>
      <c r="U176" s="175"/>
      <c r="V176" s="175"/>
      <c r="W176" s="175"/>
      <c r="X176" s="175"/>
      <c r="Y176" s="175"/>
      <c r="Z176" s="175"/>
    </row>
    <row r="177" ht="15.75" customHeight="1">
      <c r="A177" s="174"/>
      <c r="B177" s="276"/>
      <c r="C177" s="172"/>
      <c r="D177" s="173"/>
      <c r="E177" s="174"/>
      <c r="F177" s="174"/>
      <c r="G177" s="175"/>
      <c r="H177" s="175"/>
      <c r="I177" s="175"/>
      <c r="J177" s="175"/>
      <c r="K177" s="175"/>
      <c r="L177" s="175"/>
      <c r="M177" s="175"/>
      <c r="N177" s="175"/>
      <c r="O177" s="175"/>
      <c r="P177" s="175"/>
      <c r="Q177" s="175"/>
      <c r="R177" s="175"/>
      <c r="S177" s="175"/>
      <c r="T177" s="175"/>
      <c r="U177" s="175"/>
      <c r="V177" s="175"/>
      <c r="W177" s="175"/>
      <c r="X177" s="175"/>
      <c r="Y177" s="175"/>
      <c r="Z177" s="175"/>
    </row>
    <row r="178" ht="15.75" customHeight="1">
      <c r="A178" s="174"/>
      <c r="B178" s="276"/>
      <c r="C178" s="172"/>
      <c r="D178" s="173"/>
      <c r="E178" s="174"/>
      <c r="F178" s="174"/>
      <c r="G178" s="175"/>
      <c r="H178" s="175"/>
      <c r="I178" s="175"/>
      <c r="J178" s="175"/>
      <c r="K178" s="175"/>
      <c r="L178" s="175"/>
      <c r="M178" s="175"/>
      <c r="N178" s="175"/>
      <c r="O178" s="175"/>
      <c r="P178" s="175"/>
      <c r="Q178" s="175"/>
      <c r="R178" s="175"/>
      <c r="S178" s="175"/>
      <c r="T178" s="175"/>
      <c r="U178" s="175"/>
      <c r="V178" s="175"/>
      <c r="W178" s="175"/>
      <c r="X178" s="175"/>
      <c r="Y178" s="175"/>
      <c r="Z178" s="175"/>
    </row>
    <row r="179" ht="15.75" customHeight="1">
      <c r="A179" s="174"/>
      <c r="B179" s="276"/>
      <c r="C179" s="172"/>
      <c r="D179" s="173"/>
      <c r="E179" s="174"/>
      <c r="F179" s="174"/>
      <c r="G179" s="175"/>
      <c r="H179" s="175"/>
      <c r="I179" s="175"/>
      <c r="J179" s="175"/>
      <c r="K179" s="175"/>
      <c r="L179" s="175"/>
      <c r="M179" s="175"/>
      <c r="N179" s="175"/>
      <c r="O179" s="175"/>
      <c r="P179" s="175"/>
      <c r="Q179" s="175"/>
      <c r="R179" s="175"/>
      <c r="S179" s="175"/>
      <c r="T179" s="175"/>
      <c r="U179" s="175"/>
      <c r="V179" s="175"/>
      <c r="W179" s="175"/>
      <c r="X179" s="175"/>
      <c r="Y179" s="175"/>
      <c r="Z179" s="175"/>
    </row>
    <row r="180" ht="15.75" customHeight="1">
      <c r="A180" s="174"/>
      <c r="B180" s="276"/>
      <c r="C180" s="172"/>
      <c r="D180" s="173"/>
      <c r="E180" s="174"/>
      <c r="F180" s="174"/>
      <c r="G180" s="175"/>
      <c r="H180" s="175"/>
      <c r="I180" s="175"/>
      <c r="J180" s="175"/>
      <c r="K180" s="175"/>
      <c r="L180" s="175"/>
      <c r="M180" s="175"/>
      <c r="N180" s="175"/>
      <c r="O180" s="175"/>
      <c r="P180" s="175"/>
      <c r="Q180" s="175"/>
      <c r="R180" s="175"/>
      <c r="S180" s="175"/>
      <c r="T180" s="175"/>
      <c r="U180" s="175"/>
      <c r="V180" s="175"/>
      <c r="W180" s="175"/>
      <c r="X180" s="175"/>
      <c r="Y180" s="175"/>
      <c r="Z180" s="175"/>
    </row>
    <row r="181" ht="15.75" customHeight="1">
      <c r="A181" s="174"/>
      <c r="B181" s="276"/>
      <c r="C181" s="172"/>
      <c r="D181" s="173"/>
      <c r="E181" s="174"/>
      <c r="F181" s="174"/>
      <c r="G181" s="175"/>
      <c r="H181" s="175"/>
      <c r="I181" s="175"/>
      <c r="J181" s="175"/>
      <c r="K181" s="175"/>
      <c r="L181" s="175"/>
      <c r="M181" s="175"/>
      <c r="N181" s="175"/>
      <c r="O181" s="175"/>
      <c r="P181" s="175"/>
      <c r="Q181" s="175"/>
      <c r="R181" s="175"/>
      <c r="S181" s="175"/>
      <c r="T181" s="175"/>
      <c r="U181" s="175"/>
      <c r="V181" s="175"/>
      <c r="W181" s="175"/>
      <c r="X181" s="175"/>
      <c r="Y181" s="175"/>
      <c r="Z181" s="175"/>
    </row>
    <row r="182" ht="15.75" customHeight="1">
      <c r="A182" s="174"/>
      <c r="B182" s="276"/>
      <c r="C182" s="172"/>
      <c r="D182" s="173"/>
      <c r="E182" s="174"/>
      <c r="F182" s="174"/>
      <c r="G182" s="175"/>
      <c r="H182" s="175"/>
      <c r="I182" s="175"/>
      <c r="J182" s="175"/>
      <c r="K182" s="175"/>
      <c r="L182" s="175"/>
      <c r="M182" s="175"/>
      <c r="N182" s="175"/>
      <c r="O182" s="175"/>
      <c r="P182" s="175"/>
      <c r="Q182" s="175"/>
      <c r="R182" s="175"/>
      <c r="S182" s="175"/>
      <c r="T182" s="175"/>
      <c r="U182" s="175"/>
      <c r="V182" s="175"/>
      <c r="W182" s="175"/>
      <c r="X182" s="175"/>
      <c r="Y182" s="175"/>
      <c r="Z182" s="175"/>
    </row>
    <row r="183" ht="15.75" customHeight="1">
      <c r="A183" s="174"/>
      <c r="B183" s="276"/>
      <c r="C183" s="172"/>
      <c r="D183" s="173"/>
      <c r="E183" s="174"/>
      <c r="F183" s="174"/>
      <c r="G183" s="175"/>
      <c r="H183" s="175"/>
      <c r="I183" s="175"/>
      <c r="J183" s="175"/>
      <c r="K183" s="175"/>
      <c r="L183" s="175"/>
      <c r="M183" s="175"/>
      <c r="N183" s="175"/>
      <c r="O183" s="175"/>
      <c r="P183" s="175"/>
      <c r="Q183" s="175"/>
      <c r="R183" s="175"/>
      <c r="S183" s="175"/>
      <c r="T183" s="175"/>
      <c r="U183" s="175"/>
      <c r="V183" s="175"/>
      <c r="W183" s="175"/>
      <c r="X183" s="175"/>
      <c r="Y183" s="175"/>
      <c r="Z183" s="175"/>
    </row>
    <row r="184" ht="15.75" customHeight="1">
      <c r="A184" s="174"/>
      <c r="B184" s="276"/>
      <c r="C184" s="172"/>
      <c r="D184" s="173"/>
      <c r="E184" s="174"/>
      <c r="F184" s="174"/>
      <c r="G184" s="175"/>
      <c r="H184" s="175"/>
      <c r="I184" s="175"/>
      <c r="J184" s="175"/>
      <c r="K184" s="175"/>
      <c r="L184" s="175"/>
      <c r="M184" s="175"/>
      <c r="N184" s="175"/>
      <c r="O184" s="175"/>
      <c r="P184" s="175"/>
      <c r="Q184" s="175"/>
      <c r="R184" s="175"/>
      <c r="S184" s="175"/>
      <c r="T184" s="175"/>
      <c r="U184" s="175"/>
      <c r="V184" s="175"/>
      <c r="W184" s="175"/>
      <c r="X184" s="175"/>
      <c r="Y184" s="175"/>
      <c r="Z184" s="175"/>
    </row>
    <row r="185" ht="15.75" customHeight="1">
      <c r="A185" s="174"/>
      <c r="B185" s="276"/>
      <c r="C185" s="172"/>
      <c r="D185" s="173"/>
      <c r="E185" s="174"/>
      <c r="F185" s="174"/>
      <c r="G185" s="175"/>
      <c r="H185" s="175"/>
      <c r="I185" s="175"/>
      <c r="J185" s="175"/>
      <c r="K185" s="175"/>
      <c r="L185" s="175"/>
      <c r="M185" s="175"/>
      <c r="N185" s="175"/>
      <c r="O185" s="175"/>
      <c r="P185" s="175"/>
      <c r="Q185" s="175"/>
      <c r="R185" s="175"/>
      <c r="S185" s="175"/>
      <c r="T185" s="175"/>
      <c r="U185" s="175"/>
      <c r="V185" s="175"/>
      <c r="W185" s="175"/>
      <c r="X185" s="175"/>
      <c r="Y185" s="175"/>
      <c r="Z185" s="175"/>
    </row>
    <row r="186" ht="15.75" customHeight="1">
      <c r="A186" s="174"/>
      <c r="B186" s="276"/>
      <c r="C186" s="172"/>
      <c r="D186" s="173"/>
      <c r="E186" s="174"/>
      <c r="F186" s="174"/>
      <c r="G186" s="175"/>
      <c r="H186" s="175"/>
      <c r="I186" s="175"/>
      <c r="J186" s="175"/>
      <c r="K186" s="175"/>
      <c r="L186" s="175"/>
      <c r="M186" s="175"/>
      <c r="N186" s="175"/>
      <c r="O186" s="175"/>
      <c r="P186" s="175"/>
      <c r="Q186" s="175"/>
      <c r="R186" s="175"/>
      <c r="S186" s="175"/>
      <c r="T186" s="175"/>
      <c r="U186" s="175"/>
      <c r="V186" s="175"/>
      <c r="W186" s="175"/>
      <c r="X186" s="175"/>
      <c r="Y186" s="175"/>
      <c r="Z186" s="175"/>
    </row>
    <row r="187" ht="15.75" customHeight="1">
      <c r="A187" s="174"/>
      <c r="B187" s="276"/>
      <c r="C187" s="172"/>
      <c r="D187" s="173"/>
      <c r="E187" s="174"/>
      <c r="F187" s="174"/>
      <c r="G187" s="175"/>
      <c r="H187" s="175"/>
      <c r="I187" s="175"/>
      <c r="J187" s="175"/>
      <c r="K187" s="175"/>
      <c r="L187" s="175"/>
      <c r="M187" s="175"/>
      <c r="N187" s="175"/>
      <c r="O187" s="175"/>
      <c r="P187" s="175"/>
      <c r="Q187" s="175"/>
      <c r="R187" s="175"/>
      <c r="S187" s="175"/>
      <c r="T187" s="175"/>
      <c r="U187" s="175"/>
      <c r="V187" s="175"/>
      <c r="W187" s="175"/>
      <c r="X187" s="175"/>
      <c r="Y187" s="175"/>
      <c r="Z187" s="175"/>
    </row>
    <row r="188" ht="15.75" customHeight="1">
      <c r="A188" s="174"/>
      <c r="B188" s="276"/>
      <c r="C188" s="172"/>
      <c r="D188" s="173"/>
      <c r="E188" s="174"/>
      <c r="F188" s="174"/>
      <c r="G188" s="175"/>
      <c r="H188" s="175"/>
      <c r="I188" s="175"/>
      <c r="J188" s="175"/>
      <c r="K188" s="175"/>
      <c r="L188" s="175"/>
      <c r="M188" s="175"/>
      <c r="N188" s="175"/>
      <c r="O188" s="175"/>
      <c r="P188" s="175"/>
      <c r="Q188" s="175"/>
      <c r="R188" s="175"/>
      <c r="S188" s="175"/>
      <c r="T188" s="175"/>
      <c r="U188" s="175"/>
      <c r="V188" s="175"/>
      <c r="W188" s="175"/>
      <c r="X188" s="175"/>
      <c r="Y188" s="175"/>
      <c r="Z188" s="175"/>
    </row>
    <row r="189" ht="15.75" customHeight="1">
      <c r="A189" s="174"/>
      <c r="B189" s="276"/>
      <c r="C189" s="172"/>
      <c r="D189" s="173"/>
      <c r="E189" s="174"/>
      <c r="F189" s="174"/>
      <c r="G189" s="175"/>
      <c r="H189" s="175"/>
      <c r="I189" s="175"/>
      <c r="J189" s="175"/>
      <c r="K189" s="175"/>
      <c r="L189" s="175"/>
      <c r="M189" s="175"/>
      <c r="N189" s="175"/>
      <c r="O189" s="175"/>
      <c r="P189" s="175"/>
      <c r="Q189" s="175"/>
      <c r="R189" s="175"/>
      <c r="S189" s="175"/>
      <c r="T189" s="175"/>
      <c r="U189" s="175"/>
      <c r="V189" s="175"/>
      <c r="W189" s="175"/>
      <c r="X189" s="175"/>
      <c r="Y189" s="175"/>
      <c r="Z189" s="175"/>
    </row>
    <row r="190" ht="15.75" customHeight="1">
      <c r="A190" s="174"/>
      <c r="B190" s="276"/>
      <c r="C190" s="172"/>
      <c r="D190" s="173"/>
      <c r="E190" s="174"/>
      <c r="F190" s="174"/>
      <c r="G190" s="175"/>
      <c r="H190" s="175"/>
      <c r="I190" s="175"/>
      <c r="J190" s="175"/>
      <c r="K190" s="175"/>
      <c r="L190" s="175"/>
      <c r="M190" s="175"/>
      <c r="N190" s="175"/>
      <c r="O190" s="175"/>
      <c r="P190" s="175"/>
      <c r="Q190" s="175"/>
      <c r="R190" s="175"/>
      <c r="S190" s="175"/>
      <c r="T190" s="175"/>
      <c r="U190" s="175"/>
      <c r="V190" s="175"/>
      <c r="W190" s="175"/>
      <c r="X190" s="175"/>
      <c r="Y190" s="175"/>
      <c r="Z190" s="175"/>
    </row>
    <row r="191" ht="15.75" customHeight="1">
      <c r="A191" s="174"/>
      <c r="B191" s="276"/>
      <c r="C191" s="172"/>
      <c r="D191" s="173"/>
      <c r="E191" s="174"/>
      <c r="F191" s="174"/>
      <c r="G191" s="175"/>
      <c r="H191" s="175"/>
      <c r="I191" s="175"/>
      <c r="J191" s="175"/>
      <c r="K191" s="175"/>
      <c r="L191" s="175"/>
      <c r="M191" s="175"/>
      <c r="N191" s="175"/>
      <c r="O191" s="175"/>
      <c r="P191" s="175"/>
      <c r="Q191" s="175"/>
      <c r="R191" s="175"/>
      <c r="S191" s="175"/>
      <c r="T191" s="175"/>
      <c r="U191" s="175"/>
      <c r="V191" s="175"/>
      <c r="W191" s="175"/>
      <c r="X191" s="175"/>
      <c r="Y191" s="175"/>
      <c r="Z191" s="175"/>
    </row>
    <row r="192" ht="15.75" customHeight="1">
      <c r="A192" s="174"/>
      <c r="B192" s="276"/>
      <c r="C192" s="172"/>
      <c r="D192" s="173"/>
      <c r="E192" s="174"/>
      <c r="F192" s="174"/>
      <c r="G192" s="175"/>
      <c r="H192" s="175"/>
      <c r="I192" s="175"/>
      <c r="J192" s="175"/>
      <c r="K192" s="175"/>
      <c r="L192" s="175"/>
      <c r="M192" s="175"/>
      <c r="N192" s="175"/>
      <c r="O192" s="175"/>
      <c r="P192" s="175"/>
      <c r="Q192" s="175"/>
      <c r="R192" s="175"/>
      <c r="S192" s="175"/>
      <c r="T192" s="175"/>
      <c r="U192" s="175"/>
      <c r="V192" s="175"/>
      <c r="W192" s="175"/>
      <c r="X192" s="175"/>
      <c r="Y192" s="175"/>
      <c r="Z192" s="175"/>
    </row>
    <row r="193" ht="15.75" customHeight="1">
      <c r="A193" s="174"/>
      <c r="B193" s="276"/>
      <c r="C193" s="172"/>
      <c r="D193" s="173"/>
      <c r="E193" s="174"/>
      <c r="F193" s="174"/>
      <c r="G193" s="175"/>
      <c r="H193" s="175"/>
      <c r="I193" s="175"/>
      <c r="J193" s="175"/>
      <c r="K193" s="175"/>
      <c r="L193" s="175"/>
      <c r="M193" s="175"/>
      <c r="N193" s="175"/>
      <c r="O193" s="175"/>
      <c r="P193" s="175"/>
      <c r="Q193" s="175"/>
      <c r="R193" s="175"/>
      <c r="S193" s="175"/>
      <c r="T193" s="175"/>
      <c r="U193" s="175"/>
      <c r="V193" s="175"/>
      <c r="W193" s="175"/>
      <c r="X193" s="175"/>
      <c r="Y193" s="175"/>
      <c r="Z193" s="175"/>
    </row>
    <row r="194" ht="15.75" customHeight="1">
      <c r="A194" s="174"/>
      <c r="B194" s="276"/>
      <c r="C194" s="172"/>
      <c r="D194" s="173"/>
      <c r="E194" s="174"/>
      <c r="F194" s="174"/>
      <c r="G194" s="175"/>
      <c r="H194" s="175"/>
      <c r="I194" s="175"/>
      <c r="J194" s="175"/>
      <c r="K194" s="175"/>
      <c r="L194" s="175"/>
      <c r="M194" s="175"/>
      <c r="N194" s="175"/>
      <c r="O194" s="175"/>
      <c r="P194" s="175"/>
      <c r="Q194" s="175"/>
      <c r="R194" s="175"/>
      <c r="S194" s="175"/>
      <c r="T194" s="175"/>
      <c r="U194" s="175"/>
      <c r="V194" s="175"/>
      <c r="W194" s="175"/>
      <c r="X194" s="175"/>
      <c r="Y194" s="175"/>
      <c r="Z194" s="175"/>
    </row>
    <row r="195" ht="15.75" customHeight="1">
      <c r="A195" s="174"/>
      <c r="B195" s="276"/>
      <c r="C195" s="172"/>
      <c r="D195" s="173"/>
      <c r="E195" s="174"/>
      <c r="F195" s="174"/>
      <c r="G195" s="175"/>
      <c r="H195" s="175"/>
      <c r="I195" s="175"/>
      <c r="J195" s="175"/>
      <c r="K195" s="175"/>
      <c r="L195" s="175"/>
      <c r="M195" s="175"/>
      <c r="N195" s="175"/>
      <c r="O195" s="175"/>
      <c r="P195" s="175"/>
      <c r="Q195" s="175"/>
      <c r="R195" s="175"/>
      <c r="S195" s="175"/>
      <c r="T195" s="175"/>
      <c r="U195" s="175"/>
      <c r="V195" s="175"/>
      <c r="W195" s="175"/>
      <c r="X195" s="175"/>
      <c r="Y195" s="175"/>
      <c r="Z195" s="175"/>
    </row>
    <row r="196" ht="15.75" customHeight="1">
      <c r="A196" s="174"/>
      <c r="B196" s="276"/>
      <c r="C196" s="172"/>
      <c r="D196" s="173"/>
      <c r="E196" s="174"/>
      <c r="F196" s="174"/>
      <c r="G196" s="175"/>
      <c r="H196" s="175"/>
      <c r="I196" s="175"/>
      <c r="J196" s="175"/>
      <c r="K196" s="175"/>
      <c r="L196" s="175"/>
      <c r="M196" s="175"/>
      <c r="N196" s="175"/>
      <c r="O196" s="175"/>
      <c r="P196" s="175"/>
      <c r="Q196" s="175"/>
      <c r="R196" s="175"/>
      <c r="S196" s="175"/>
      <c r="T196" s="175"/>
      <c r="U196" s="175"/>
      <c r="V196" s="175"/>
      <c r="W196" s="175"/>
      <c r="X196" s="175"/>
      <c r="Y196" s="175"/>
      <c r="Z196" s="175"/>
    </row>
    <row r="197" ht="15.75" customHeight="1">
      <c r="A197" s="174"/>
      <c r="B197" s="276"/>
      <c r="C197" s="172"/>
      <c r="D197" s="173"/>
      <c r="E197" s="174"/>
      <c r="F197" s="174"/>
      <c r="G197" s="175"/>
      <c r="H197" s="175"/>
      <c r="I197" s="175"/>
      <c r="J197" s="175"/>
      <c r="K197" s="175"/>
      <c r="L197" s="175"/>
      <c r="M197" s="175"/>
      <c r="N197" s="175"/>
      <c r="O197" s="175"/>
      <c r="P197" s="175"/>
      <c r="Q197" s="175"/>
      <c r="R197" s="175"/>
      <c r="S197" s="175"/>
      <c r="T197" s="175"/>
      <c r="U197" s="175"/>
      <c r="V197" s="175"/>
      <c r="W197" s="175"/>
      <c r="X197" s="175"/>
      <c r="Y197" s="175"/>
      <c r="Z197" s="175"/>
    </row>
    <row r="198" ht="15.75" customHeight="1">
      <c r="A198" s="174"/>
      <c r="B198" s="276"/>
      <c r="C198" s="172"/>
      <c r="D198" s="173"/>
      <c r="E198" s="174"/>
      <c r="F198" s="174"/>
      <c r="G198" s="175"/>
      <c r="H198" s="175"/>
      <c r="I198" s="175"/>
      <c r="J198" s="175"/>
      <c r="K198" s="175"/>
      <c r="L198" s="175"/>
      <c r="M198" s="175"/>
      <c r="N198" s="175"/>
      <c r="O198" s="175"/>
      <c r="P198" s="175"/>
      <c r="Q198" s="175"/>
      <c r="R198" s="175"/>
      <c r="S198" s="175"/>
      <c r="T198" s="175"/>
      <c r="U198" s="175"/>
      <c r="V198" s="175"/>
      <c r="W198" s="175"/>
      <c r="X198" s="175"/>
      <c r="Y198" s="175"/>
      <c r="Z198" s="175"/>
    </row>
    <row r="199" ht="15.75" customHeight="1">
      <c r="A199" s="174"/>
      <c r="B199" s="276"/>
      <c r="C199" s="172"/>
      <c r="D199" s="173"/>
      <c r="E199" s="174"/>
      <c r="F199" s="174"/>
      <c r="G199" s="175"/>
      <c r="H199" s="175"/>
      <c r="I199" s="175"/>
      <c r="J199" s="175"/>
      <c r="K199" s="175"/>
      <c r="L199" s="175"/>
      <c r="M199" s="175"/>
      <c r="N199" s="175"/>
      <c r="O199" s="175"/>
      <c r="P199" s="175"/>
      <c r="Q199" s="175"/>
      <c r="R199" s="175"/>
      <c r="S199" s="175"/>
      <c r="T199" s="175"/>
      <c r="U199" s="175"/>
      <c r="V199" s="175"/>
      <c r="W199" s="175"/>
      <c r="X199" s="175"/>
      <c r="Y199" s="175"/>
      <c r="Z199" s="175"/>
    </row>
    <row r="200" ht="15.75" customHeight="1">
      <c r="A200" s="174"/>
      <c r="B200" s="276"/>
      <c r="C200" s="172"/>
      <c r="D200" s="173"/>
      <c r="E200" s="174"/>
      <c r="F200" s="174"/>
      <c r="G200" s="175"/>
      <c r="H200" s="175"/>
      <c r="I200" s="175"/>
      <c r="J200" s="175"/>
      <c r="K200" s="175"/>
      <c r="L200" s="175"/>
      <c r="M200" s="175"/>
      <c r="N200" s="175"/>
      <c r="O200" s="175"/>
      <c r="P200" s="175"/>
      <c r="Q200" s="175"/>
      <c r="R200" s="175"/>
      <c r="S200" s="175"/>
      <c r="T200" s="175"/>
      <c r="U200" s="175"/>
      <c r="V200" s="175"/>
      <c r="W200" s="175"/>
      <c r="X200" s="175"/>
      <c r="Y200" s="175"/>
      <c r="Z200" s="175"/>
    </row>
    <row r="201" ht="15.75" customHeight="1">
      <c r="A201" s="174"/>
      <c r="B201" s="276"/>
      <c r="C201" s="172"/>
      <c r="D201" s="173"/>
      <c r="E201" s="174"/>
      <c r="F201" s="174"/>
      <c r="G201" s="175"/>
      <c r="H201" s="175"/>
      <c r="I201" s="175"/>
      <c r="J201" s="175"/>
      <c r="K201" s="175"/>
      <c r="L201" s="175"/>
      <c r="M201" s="175"/>
      <c r="N201" s="175"/>
      <c r="O201" s="175"/>
      <c r="P201" s="175"/>
      <c r="Q201" s="175"/>
      <c r="R201" s="175"/>
      <c r="S201" s="175"/>
      <c r="T201" s="175"/>
      <c r="U201" s="175"/>
      <c r="V201" s="175"/>
      <c r="W201" s="175"/>
      <c r="X201" s="175"/>
      <c r="Y201" s="175"/>
      <c r="Z201" s="175"/>
    </row>
    <row r="202" ht="15.75" customHeight="1">
      <c r="A202" s="174"/>
      <c r="B202" s="276"/>
      <c r="C202" s="172"/>
      <c r="D202" s="173"/>
      <c r="E202" s="174"/>
      <c r="F202" s="174"/>
      <c r="G202" s="175"/>
      <c r="H202" s="175"/>
      <c r="I202" s="175"/>
      <c r="J202" s="175"/>
      <c r="K202" s="175"/>
      <c r="L202" s="175"/>
      <c r="M202" s="175"/>
      <c r="N202" s="175"/>
      <c r="O202" s="175"/>
      <c r="P202" s="175"/>
      <c r="Q202" s="175"/>
      <c r="R202" s="175"/>
      <c r="S202" s="175"/>
      <c r="T202" s="175"/>
      <c r="U202" s="175"/>
      <c r="V202" s="175"/>
      <c r="W202" s="175"/>
      <c r="X202" s="175"/>
      <c r="Y202" s="175"/>
      <c r="Z202" s="175"/>
    </row>
    <row r="203" ht="15.75" customHeight="1">
      <c r="A203" s="174"/>
      <c r="B203" s="276"/>
      <c r="C203" s="172"/>
      <c r="D203" s="173"/>
      <c r="E203" s="174"/>
      <c r="F203" s="174"/>
      <c r="G203" s="175"/>
      <c r="H203" s="175"/>
      <c r="I203" s="175"/>
      <c r="J203" s="175"/>
      <c r="K203" s="175"/>
      <c r="L203" s="175"/>
      <c r="M203" s="175"/>
      <c r="N203" s="175"/>
      <c r="O203" s="175"/>
      <c r="P203" s="175"/>
      <c r="Q203" s="175"/>
      <c r="R203" s="175"/>
      <c r="S203" s="175"/>
      <c r="T203" s="175"/>
      <c r="U203" s="175"/>
      <c r="V203" s="175"/>
      <c r="W203" s="175"/>
      <c r="X203" s="175"/>
      <c r="Y203" s="175"/>
      <c r="Z203" s="175"/>
    </row>
    <row r="204" ht="15.75" customHeight="1">
      <c r="A204" s="174"/>
      <c r="B204" s="276"/>
      <c r="C204" s="172"/>
      <c r="D204" s="173"/>
      <c r="E204" s="174"/>
      <c r="F204" s="174"/>
      <c r="G204" s="175"/>
      <c r="H204" s="175"/>
      <c r="I204" s="175"/>
      <c r="J204" s="175"/>
      <c r="K204" s="175"/>
      <c r="L204" s="175"/>
      <c r="M204" s="175"/>
      <c r="N204" s="175"/>
      <c r="O204" s="175"/>
      <c r="P204" s="175"/>
      <c r="Q204" s="175"/>
      <c r="R204" s="175"/>
      <c r="S204" s="175"/>
      <c r="T204" s="175"/>
      <c r="U204" s="175"/>
      <c r="V204" s="175"/>
      <c r="W204" s="175"/>
      <c r="X204" s="175"/>
      <c r="Y204" s="175"/>
      <c r="Z204" s="175"/>
    </row>
    <row r="205" ht="15.75" customHeight="1">
      <c r="A205" s="174"/>
      <c r="B205" s="276"/>
      <c r="C205" s="172"/>
      <c r="D205" s="173"/>
      <c r="E205" s="174"/>
      <c r="F205" s="174"/>
      <c r="G205" s="175"/>
      <c r="H205" s="175"/>
      <c r="I205" s="175"/>
      <c r="J205" s="175"/>
      <c r="K205" s="175"/>
      <c r="L205" s="175"/>
      <c r="M205" s="175"/>
      <c r="N205" s="175"/>
      <c r="O205" s="175"/>
      <c r="P205" s="175"/>
      <c r="Q205" s="175"/>
      <c r="R205" s="175"/>
      <c r="S205" s="175"/>
      <c r="T205" s="175"/>
      <c r="U205" s="175"/>
      <c r="V205" s="175"/>
      <c r="W205" s="175"/>
      <c r="X205" s="175"/>
      <c r="Y205" s="175"/>
      <c r="Z205" s="175"/>
    </row>
    <row r="206" ht="15.75" customHeight="1">
      <c r="A206" s="174"/>
      <c r="B206" s="276"/>
      <c r="C206" s="172"/>
      <c r="D206" s="173"/>
      <c r="E206" s="174"/>
      <c r="F206" s="174"/>
      <c r="G206" s="175"/>
      <c r="H206" s="175"/>
      <c r="I206" s="175"/>
      <c r="J206" s="175"/>
      <c r="K206" s="175"/>
      <c r="L206" s="175"/>
      <c r="M206" s="175"/>
      <c r="N206" s="175"/>
      <c r="O206" s="175"/>
      <c r="P206" s="175"/>
      <c r="Q206" s="175"/>
      <c r="R206" s="175"/>
      <c r="S206" s="175"/>
      <c r="T206" s="175"/>
      <c r="U206" s="175"/>
      <c r="V206" s="175"/>
      <c r="W206" s="175"/>
      <c r="X206" s="175"/>
      <c r="Y206" s="175"/>
      <c r="Z206" s="175"/>
    </row>
    <row r="207" ht="15.75" customHeight="1">
      <c r="A207" s="174"/>
      <c r="B207" s="276"/>
      <c r="C207" s="172"/>
      <c r="D207" s="173"/>
      <c r="E207" s="174"/>
      <c r="F207" s="174"/>
      <c r="G207" s="175"/>
      <c r="H207" s="175"/>
      <c r="I207" s="175"/>
      <c r="J207" s="175"/>
      <c r="K207" s="175"/>
      <c r="L207" s="175"/>
      <c r="M207" s="175"/>
      <c r="N207" s="175"/>
      <c r="O207" s="175"/>
      <c r="P207" s="175"/>
      <c r="Q207" s="175"/>
      <c r="R207" s="175"/>
      <c r="S207" s="175"/>
      <c r="T207" s="175"/>
      <c r="U207" s="175"/>
      <c r="V207" s="175"/>
      <c r="W207" s="175"/>
      <c r="X207" s="175"/>
      <c r="Y207" s="175"/>
      <c r="Z207" s="175"/>
    </row>
    <row r="208" ht="15.75" customHeight="1">
      <c r="A208" s="174"/>
      <c r="B208" s="276"/>
      <c r="C208" s="172"/>
      <c r="D208" s="173"/>
      <c r="E208" s="174"/>
      <c r="F208" s="174"/>
      <c r="G208" s="175"/>
      <c r="H208" s="175"/>
      <c r="I208" s="175"/>
      <c r="J208" s="175"/>
      <c r="K208" s="175"/>
      <c r="L208" s="175"/>
      <c r="M208" s="175"/>
      <c r="N208" s="175"/>
      <c r="O208" s="175"/>
      <c r="P208" s="175"/>
      <c r="Q208" s="175"/>
      <c r="R208" s="175"/>
      <c r="S208" s="175"/>
      <c r="T208" s="175"/>
      <c r="U208" s="175"/>
      <c r="V208" s="175"/>
      <c r="W208" s="175"/>
      <c r="X208" s="175"/>
      <c r="Y208" s="175"/>
      <c r="Z208" s="175"/>
    </row>
    <row r="209" ht="15.75" customHeight="1">
      <c r="A209" s="174"/>
      <c r="B209" s="276"/>
      <c r="C209" s="172"/>
      <c r="D209" s="173"/>
      <c r="E209" s="174"/>
      <c r="F209" s="174"/>
      <c r="G209" s="175"/>
      <c r="H209" s="175"/>
      <c r="I209" s="175"/>
      <c r="J209" s="175"/>
      <c r="K209" s="175"/>
      <c r="L209" s="175"/>
      <c r="M209" s="175"/>
      <c r="N209" s="175"/>
      <c r="O209" s="175"/>
      <c r="P209" s="175"/>
      <c r="Q209" s="175"/>
      <c r="R209" s="175"/>
      <c r="S209" s="175"/>
      <c r="T209" s="175"/>
      <c r="U209" s="175"/>
      <c r="V209" s="175"/>
      <c r="W209" s="175"/>
      <c r="X209" s="175"/>
      <c r="Y209" s="175"/>
      <c r="Z209" s="175"/>
    </row>
    <row r="210" ht="15.75" customHeight="1">
      <c r="A210" s="174"/>
      <c r="B210" s="276"/>
      <c r="C210" s="172"/>
      <c r="D210" s="173"/>
      <c r="E210" s="174"/>
      <c r="F210" s="174"/>
      <c r="G210" s="175"/>
      <c r="H210" s="175"/>
      <c r="I210" s="175"/>
      <c r="J210" s="175"/>
      <c r="K210" s="175"/>
      <c r="L210" s="175"/>
      <c r="M210" s="175"/>
      <c r="N210" s="175"/>
      <c r="O210" s="175"/>
      <c r="P210" s="175"/>
      <c r="Q210" s="175"/>
      <c r="R210" s="175"/>
      <c r="S210" s="175"/>
      <c r="T210" s="175"/>
      <c r="U210" s="175"/>
      <c r="V210" s="175"/>
      <c r="W210" s="175"/>
      <c r="X210" s="175"/>
      <c r="Y210" s="175"/>
      <c r="Z210" s="175"/>
    </row>
    <row r="211" ht="15.75" customHeight="1">
      <c r="A211" s="174"/>
      <c r="B211" s="276"/>
      <c r="C211" s="172"/>
      <c r="D211" s="173"/>
      <c r="E211" s="174"/>
      <c r="F211" s="174"/>
      <c r="G211" s="175"/>
      <c r="H211" s="175"/>
      <c r="I211" s="175"/>
      <c r="J211" s="175"/>
      <c r="K211" s="175"/>
      <c r="L211" s="175"/>
      <c r="M211" s="175"/>
      <c r="N211" s="175"/>
      <c r="O211" s="175"/>
      <c r="P211" s="175"/>
      <c r="Q211" s="175"/>
      <c r="R211" s="175"/>
      <c r="S211" s="175"/>
      <c r="T211" s="175"/>
      <c r="U211" s="175"/>
      <c r="V211" s="175"/>
      <c r="W211" s="175"/>
      <c r="X211" s="175"/>
      <c r="Y211" s="175"/>
      <c r="Z211" s="175"/>
    </row>
    <row r="212" ht="15.75" customHeight="1">
      <c r="A212" s="174"/>
      <c r="B212" s="276"/>
      <c r="C212" s="172"/>
      <c r="D212" s="173"/>
      <c r="E212" s="174"/>
      <c r="F212" s="174"/>
      <c r="G212" s="175"/>
      <c r="H212" s="175"/>
      <c r="I212" s="175"/>
      <c r="J212" s="175"/>
      <c r="K212" s="175"/>
      <c r="L212" s="175"/>
      <c r="M212" s="175"/>
      <c r="N212" s="175"/>
      <c r="O212" s="175"/>
      <c r="P212" s="175"/>
      <c r="Q212" s="175"/>
      <c r="R212" s="175"/>
      <c r="S212" s="175"/>
      <c r="T212" s="175"/>
      <c r="U212" s="175"/>
      <c r="V212" s="175"/>
      <c r="W212" s="175"/>
      <c r="X212" s="175"/>
      <c r="Y212" s="175"/>
      <c r="Z212" s="175"/>
    </row>
    <row r="213" ht="15.75" customHeight="1">
      <c r="A213" s="174"/>
      <c r="B213" s="276"/>
      <c r="C213" s="172"/>
      <c r="D213" s="173"/>
      <c r="E213" s="174"/>
      <c r="F213" s="174"/>
      <c r="G213" s="175"/>
      <c r="H213" s="175"/>
      <c r="I213" s="175"/>
      <c r="J213" s="175"/>
      <c r="K213" s="175"/>
      <c r="L213" s="175"/>
      <c r="M213" s="175"/>
      <c r="N213" s="175"/>
      <c r="O213" s="175"/>
      <c r="P213" s="175"/>
      <c r="Q213" s="175"/>
      <c r="R213" s="175"/>
      <c r="S213" s="175"/>
      <c r="T213" s="175"/>
      <c r="U213" s="175"/>
      <c r="V213" s="175"/>
      <c r="W213" s="175"/>
      <c r="X213" s="175"/>
      <c r="Y213" s="175"/>
      <c r="Z213" s="175"/>
    </row>
    <row r="214" ht="15.75" customHeight="1">
      <c r="A214" s="174"/>
      <c r="B214" s="276"/>
      <c r="C214" s="172"/>
      <c r="D214" s="173"/>
      <c r="E214" s="174"/>
      <c r="F214" s="174"/>
      <c r="G214" s="175"/>
      <c r="H214" s="175"/>
      <c r="I214" s="175"/>
      <c r="J214" s="175"/>
      <c r="K214" s="175"/>
      <c r="L214" s="175"/>
      <c r="M214" s="175"/>
      <c r="N214" s="175"/>
      <c r="O214" s="175"/>
      <c r="P214" s="175"/>
      <c r="Q214" s="175"/>
      <c r="R214" s="175"/>
      <c r="S214" s="175"/>
      <c r="T214" s="175"/>
      <c r="U214" s="175"/>
      <c r="V214" s="175"/>
      <c r="W214" s="175"/>
      <c r="X214" s="175"/>
      <c r="Y214" s="175"/>
      <c r="Z214" s="175"/>
    </row>
    <row r="215" ht="15.75" customHeight="1">
      <c r="A215" s="174"/>
      <c r="B215" s="276"/>
      <c r="C215" s="172"/>
      <c r="D215" s="173"/>
      <c r="E215" s="174"/>
      <c r="F215" s="174"/>
      <c r="G215" s="175"/>
      <c r="H215" s="175"/>
      <c r="I215" s="175"/>
      <c r="J215" s="175"/>
      <c r="K215" s="175"/>
      <c r="L215" s="175"/>
      <c r="M215" s="175"/>
      <c r="N215" s="175"/>
      <c r="O215" s="175"/>
      <c r="P215" s="175"/>
      <c r="Q215" s="175"/>
      <c r="R215" s="175"/>
      <c r="S215" s="175"/>
      <c r="T215" s="175"/>
      <c r="U215" s="175"/>
      <c r="V215" s="175"/>
      <c r="W215" s="175"/>
      <c r="X215" s="175"/>
      <c r="Y215" s="175"/>
      <c r="Z215" s="175"/>
    </row>
    <row r="216" ht="15.75" customHeight="1">
      <c r="A216" s="174"/>
      <c r="B216" s="276"/>
      <c r="C216" s="172"/>
      <c r="D216" s="173"/>
      <c r="E216" s="174"/>
      <c r="F216" s="174"/>
      <c r="G216" s="175"/>
      <c r="H216" s="175"/>
      <c r="I216" s="175"/>
      <c r="J216" s="175"/>
      <c r="K216" s="175"/>
      <c r="L216" s="175"/>
      <c r="M216" s="175"/>
      <c r="N216" s="175"/>
      <c r="O216" s="175"/>
      <c r="P216" s="175"/>
      <c r="Q216" s="175"/>
      <c r="R216" s="175"/>
      <c r="S216" s="175"/>
      <c r="T216" s="175"/>
      <c r="U216" s="175"/>
      <c r="V216" s="175"/>
      <c r="W216" s="175"/>
      <c r="X216" s="175"/>
      <c r="Y216" s="175"/>
      <c r="Z216" s="175"/>
    </row>
    <row r="217" ht="15.75" customHeight="1">
      <c r="A217" s="174"/>
      <c r="B217" s="276"/>
      <c r="C217" s="172"/>
      <c r="D217" s="173"/>
      <c r="E217" s="174"/>
      <c r="F217" s="174"/>
      <c r="G217" s="175"/>
      <c r="H217" s="175"/>
      <c r="I217" s="175"/>
      <c r="J217" s="175"/>
      <c r="K217" s="175"/>
      <c r="L217" s="175"/>
      <c r="M217" s="175"/>
      <c r="N217" s="175"/>
      <c r="O217" s="175"/>
      <c r="P217" s="175"/>
      <c r="Q217" s="175"/>
      <c r="R217" s="175"/>
      <c r="S217" s="175"/>
      <c r="T217" s="175"/>
      <c r="U217" s="175"/>
      <c r="V217" s="175"/>
      <c r="W217" s="175"/>
      <c r="X217" s="175"/>
      <c r="Y217" s="175"/>
      <c r="Z217" s="175"/>
    </row>
    <row r="218" ht="15.75" customHeight="1">
      <c r="A218" s="174"/>
      <c r="B218" s="276"/>
      <c r="C218" s="172"/>
      <c r="D218" s="173"/>
      <c r="E218" s="174"/>
      <c r="F218" s="174"/>
      <c r="G218" s="175"/>
      <c r="H218" s="175"/>
      <c r="I218" s="175"/>
      <c r="J218" s="175"/>
      <c r="K218" s="175"/>
      <c r="L218" s="175"/>
      <c r="M218" s="175"/>
      <c r="N218" s="175"/>
      <c r="O218" s="175"/>
      <c r="P218" s="175"/>
      <c r="Q218" s="175"/>
      <c r="R218" s="175"/>
      <c r="S218" s="175"/>
      <c r="T218" s="175"/>
      <c r="U218" s="175"/>
      <c r="V218" s="175"/>
      <c r="W218" s="175"/>
      <c r="X218" s="175"/>
      <c r="Y218" s="175"/>
      <c r="Z218" s="175"/>
    </row>
    <row r="219" ht="15.75" customHeight="1">
      <c r="A219" s="174"/>
      <c r="B219" s="276"/>
      <c r="C219" s="172"/>
      <c r="D219" s="173"/>
      <c r="E219" s="174"/>
      <c r="F219" s="174"/>
      <c r="G219" s="175"/>
      <c r="H219" s="175"/>
      <c r="I219" s="175"/>
      <c r="J219" s="175"/>
      <c r="K219" s="175"/>
      <c r="L219" s="175"/>
      <c r="M219" s="175"/>
      <c r="N219" s="175"/>
      <c r="O219" s="175"/>
      <c r="P219" s="175"/>
      <c r="Q219" s="175"/>
      <c r="R219" s="175"/>
      <c r="S219" s="175"/>
      <c r="T219" s="175"/>
      <c r="U219" s="175"/>
      <c r="V219" s="175"/>
      <c r="W219" s="175"/>
      <c r="X219" s="175"/>
      <c r="Y219" s="175"/>
      <c r="Z219" s="175"/>
    </row>
    <row r="220" ht="15.75" customHeight="1">
      <c r="A220" s="174"/>
      <c r="B220" s="276"/>
      <c r="C220" s="172"/>
      <c r="D220" s="173"/>
      <c r="E220" s="174"/>
      <c r="F220" s="174"/>
      <c r="G220" s="175"/>
      <c r="H220" s="175"/>
      <c r="I220" s="175"/>
      <c r="J220" s="175"/>
      <c r="K220" s="175"/>
      <c r="L220" s="175"/>
      <c r="M220" s="175"/>
      <c r="N220" s="175"/>
      <c r="O220" s="175"/>
      <c r="P220" s="175"/>
      <c r="Q220" s="175"/>
      <c r="R220" s="175"/>
      <c r="S220" s="175"/>
      <c r="T220" s="175"/>
      <c r="U220" s="175"/>
      <c r="V220" s="175"/>
      <c r="W220" s="175"/>
      <c r="X220" s="175"/>
      <c r="Y220" s="175"/>
      <c r="Z220" s="175"/>
    </row>
    <row r="221" ht="15.75" customHeight="1">
      <c r="A221" s="174"/>
      <c r="B221" s="276"/>
      <c r="C221" s="172"/>
      <c r="D221" s="173"/>
      <c r="E221" s="174"/>
      <c r="F221" s="174"/>
      <c r="G221" s="175"/>
      <c r="H221" s="175"/>
      <c r="I221" s="175"/>
      <c r="J221" s="175"/>
      <c r="K221" s="175"/>
      <c r="L221" s="175"/>
      <c r="M221" s="175"/>
      <c r="N221" s="175"/>
      <c r="O221" s="175"/>
      <c r="P221" s="175"/>
      <c r="Q221" s="175"/>
      <c r="R221" s="175"/>
      <c r="S221" s="175"/>
      <c r="T221" s="175"/>
      <c r="U221" s="175"/>
      <c r="V221" s="175"/>
      <c r="W221" s="175"/>
      <c r="X221" s="175"/>
      <c r="Y221" s="175"/>
      <c r="Z221" s="175"/>
    </row>
    <row r="222" ht="15.75" customHeight="1">
      <c r="A222" s="174"/>
      <c r="B222" s="276"/>
      <c r="C222" s="172"/>
      <c r="D222" s="173"/>
      <c r="E222" s="174"/>
      <c r="F222" s="174"/>
      <c r="G222" s="175"/>
      <c r="H222" s="175"/>
      <c r="I222" s="175"/>
      <c r="J222" s="175"/>
      <c r="K222" s="175"/>
      <c r="L222" s="175"/>
      <c r="M222" s="175"/>
      <c r="N222" s="175"/>
      <c r="O222" s="175"/>
      <c r="P222" s="175"/>
      <c r="Q222" s="175"/>
      <c r="R222" s="175"/>
      <c r="S222" s="175"/>
      <c r="T222" s="175"/>
      <c r="U222" s="175"/>
      <c r="V222" s="175"/>
      <c r="W222" s="175"/>
      <c r="X222" s="175"/>
      <c r="Y222" s="175"/>
      <c r="Z222" s="175"/>
    </row>
    <row r="223" ht="15.75" customHeight="1">
      <c r="A223" s="174"/>
      <c r="B223" s="276"/>
      <c r="C223" s="172"/>
      <c r="D223" s="173"/>
      <c r="E223" s="174"/>
      <c r="F223" s="174"/>
      <c r="G223" s="175"/>
      <c r="H223" s="175"/>
      <c r="I223" s="175"/>
      <c r="J223" s="175"/>
      <c r="K223" s="175"/>
      <c r="L223" s="175"/>
      <c r="M223" s="175"/>
      <c r="N223" s="175"/>
      <c r="O223" s="175"/>
      <c r="P223" s="175"/>
      <c r="Q223" s="175"/>
      <c r="R223" s="175"/>
      <c r="S223" s="175"/>
      <c r="T223" s="175"/>
      <c r="U223" s="175"/>
      <c r="V223" s="175"/>
      <c r="W223" s="175"/>
      <c r="X223" s="175"/>
      <c r="Y223" s="175"/>
      <c r="Z223" s="175"/>
    </row>
    <row r="224" ht="15.75" customHeight="1">
      <c r="A224" s="174"/>
      <c r="B224" s="276"/>
      <c r="C224" s="172"/>
      <c r="D224" s="173"/>
      <c r="E224" s="174"/>
      <c r="F224" s="174"/>
      <c r="G224" s="175"/>
      <c r="H224" s="175"/>
      <c r="I224" s="175"/>
      <c r="J224" s="175"/>
      <c r="K224" s="175"/>
      <c r="L224" s="175"/>
      <c r="M224" s="175"/>
      <c r="N224" s="175"/>
      <c r="O224" s="175"/>
      <c r="P224" s="175"/>
      <c r="Q224" s="175"/>
      <c r="R224" s="175"/>
      <c r="S224" s="175"/>
      <c r="T224" s="175"/>
      <c r="U224" s="175"/>
      <c r="V224" s="175"/>
      <c r="W224" s="175"/>
      <c r="X224" s="175"/>
      <c r="Y224" s="175"/>
      <c r="Z224" s="175"/>
    </row>
    <row r="225" ht="15.75" customHeight="1">
      <c r="A225" s="174"/>
      <c r="B225" s="276"/>
      <c r="C225" s="172"/>
      <c r="D225" s="173"/>
      <c r="E225" s="174"/>
      <c r="F225" s="174"/>
      <c r="G225" s="175"/>
      <c r="H225" s="175"/>
      <c r="I225" s="175"/>
      <c r="J225" s="175"/>
      <c r="K225" s="175"/>
      <c r="L225" s="175"/>
      <c r="M225" s="175"/>
      <c r="N225" s="175"/>
      <c r="O225" s="175"/>
      <c r="P225" s="175"/>
      <c r="Q225" s="175"/>
      <c r="R225" s="175"/>
      <c r="S225" s="175"/>
      <c r="T225" s="175"/>
      <c r="U225" s="175"/>
      <c r="V225" s="175"/>
      <c r="W225" s="175"/>
      <c r="X225" s="175"/>
      <c r="Y225" s="175"/>
      <c r="Z225" s="175"/>
    </row>
    <row r="226" ht="15.75" customHeight="1">
      <c r="A226" s="174"/>
      <c r="B226" s="276"/>
      <c r="C226" s="172"/>
      <c r="D226" s="173"/>
      <c r="E226" s="174"/>
      <c r="F226" s="174"/>
      <c r="G226" s="175"/>
      <c r="H226" s="175"/>
      <c r="I226" s="175"/>
      <c r="J226" s="175"/>
      <c r="K226" s="175"/>
      <c r="L226" s="175"/>
      <c r="M226" s="175"/>
      <c r="N226" s="175"/>
      <c r="O226" s="175"/>
      <c r="P226" s="175"/>
      <c r="Q226" s="175"/>
      <c r="R226" s="175"/>
      <c r="S226" s="175"/>
      <c r="T226" s="175"/>
      <c r="U226" s="175"/>
      <c r="V226" s="175"/>
      <c r="W226" s="175"/>
      <c r="X226" s="175"/>
      <c r="Y226" s="175"/>
      <c r="Z226" s="175"/>
    </row>
    <row r="227" ht="15.75" customHeight="1">
      <c r="A227" s="174"/>
      <c r="B227" s="276"/>
      <c r="C227" s="172"/>
      <c r="D227" s="173"/>
      <c r="E227" s="174"/>
      <c r="F227" s="174"/>
      <c r="G227" s="175"/>
      <c r="H227" s="175"/>
      <c r="I227" s="175"/>
      <c r="J227" s="175"/>
      <c r="K227" s="175"/>
      <c r="L227" s="175"/>
      <c r="M227" s="175"/>
      <c r="N227" s="175"/>
      <c r="O227" s="175"/>
      <c r="P227" s="175"/>
      <c r="Q227" s="175"/>
      <c r="R227" s="175"/>
      <c r="S227" s="175"/>
      <c r="T227" s="175"/>
      <c r="U227" s="175"/>
      <c r="V227" s="175"/>
      <c r="W227" s="175"/>
      <c r="X227" s="175"/>
      <c r="Y227" s="175"/>
      <c r="Z227" s="175"/>
    </row>
    <row r="228" ht="15.75" customHeight="1">
      <c r="A228" s="174"/>
      <c r="B228" s="276"/>
      <c r="C228" s="172"/>
      <c r="D228" s="173"/>
      <c r="E228" s="174"/>
      <c r="F228" s="174"/>
      <c r="G228" s="175"/>
      <c r="H228" s="175"/>
      <c r="I228" s="175"/>
      <c r="J228" s="175"/>
      <c r="K228" s="175"/>
      <c r="L228" s="175"/>
      <c r="M228" s="175"/>
      <c r="N228" s="175"/>
      <c r="O228" s="175"/>
      <c r="P228" s="175"/>
      <c r="Q228" s="175"/>
      <c r="R228" s="175"/>
      <c r="S228" s="175"/>
      <c r="T228" s="175"/>
      <c r="U228" s="175"/>
      <c r="V228" s="175"/>
      <c r="W228" s="175"/>
      <c r="X228" s="175"/>
      <c r="Y228" s="175"/>
      <c r="Z228" s="175"/>
    </row>
    <row r="229" ht="15.75" customHeight="1">
      <c r="A229" s="174"/>
      <c r="B229" s="276"/>
      <c r="C229" s="172"/>
      <c r="D229" s="173"/>
      <c r="E229" s="174"/>
      <c r="F229" s="174"/>
      <c r="G229" s="175"/>
      <c r="H229" s="175"/>
      <c r="I229" s="175"/>
      <c r="J229" s="175"/>
      <c r="K229" s="175"/>
      <c r="L229" s="175"/>
      <c r="M229" s="175"/>
      <c r="N229" s="175"/>
      <c r="O229" s="175"/>
      <c r="P229" s="175"/>
      <c r="Q229" s="175"/>
      <c r="R229" s="175"/>
      <c r="S229" s="175"/>
      <c r="T229" s="175"/>
      <c r="U229" s="175"/>
      <c r="V229" s="175"/>
      <c r="W229" s="175"/>
      <c r="X229" s="175"/>
      <c r="Y229" s="175"/>
      <c r="Z229" s="175"/>
    </row>
    <row r="230" ht="15.75" customHeight="1">
      <c r="A230" s="174"/>
      <c r="B230" s="276"/>
      <c r="C230" s="172"/>
      <c r="D230" s="173"/>
      <c r="E230" s="174"/>
      <c r="F230" s="174"/>
      <c r="G230" s="175"/>
      <c r="H230" s="175"/>
      <c r="I230" s="175"/>
      <c r="J230" s="175"/>
      <c r="K230" s="175"/>
      <c r="L230" s="175"/>
      <c r="M230" s="175"/>
      <c r="N230" s="175"/>
      <c r="O230" s="175"/>
      <c r="P230" s="175"/>
      <c r="Q230" s="175"/>
      <c r="R230" s="175"/>
      <c r="S230" s="175"/>
      <c r="T230" s="175"/>
      <c r="U230" s="175"/>
      <c r="V230" s="175"/>
      <c r="W230" s="175"/>
      <c r="X230" s="175"/>
      <c r="Y230" s="175"/>
      <c r="Z230" s="175"/>
    </row>
    <row r="231" ht="15.75" customHeight="1">
      <c r="A231" s="174"/>
      <c r="B231" s="276"/>
      <c r="C231" s="172"/>
      <c r="D231" s="173"/>
      <c r="E231" s="174"/>
      <c r="F231" s="174"/>
      <c r="G231" s="175"/>
      <c r="H231" s="175"/>
      <c r="I231" s="175"/>
      <c r="J231" s="175"/>
      <c r="K231" s="175"/>
      <c r="L231" s="175"/>
      <c r="M231" s="175"/>
      <c r="N231" s="175"/>
      <c r="O231" s="175"/>
      <c r="P231" s="175"/>
      <c r="Q231" s="175"/>
      <c r="R231" s="175"/>
      <c r="S231" s="175"/>
      <c r="T231" s="175"/>
      <c r="U231" s="175"/>
      <c r="V231" s="175"/>
      <c r="W231" s="175"/>
      <c r="X231" s="175"/>
      <c r="Y231" s="175"/>
      <c r="Z231" s="175"/>
    </row>
    <row r="232" ht="15.75" customHeight="1">
      <c r="A232" s="174"/>
      <c r="B232" s="276"/>
      <c r="C232" s="172"/>
      <c r="D232" s="173"/>
      <c r="E232" s="174"/>
      <c r="F232" s="174"/>
      <c r="G232" s="175"/>
      <c r="H232" s="175"/>
      <c r="I232" s="175"/>
      <c r="J232" s="175"/>
      <c r="K232" s="175"/>
      <c r="L232" s="175"/>
      <c r="M232" s="175"/>
      <c r="N232" s="175"/>
      <c r="O232" s="175"/>
      <c r="P232" s="175"/>
      <c r="Q232" s="175"/>
      <c r="R232" s="175"/>
      <c r="S232" s="175"/>
      <c r="T232" s="175"/>
      <c r="U232" s="175"/>
      <c r="V232" s="175"/>
      <c r="W232" s="175"/>
      <c r="X232" s="175"/>
      <c r="Y232" s="175"/>
      <c r="Z232" s="175"/>
    </row>
    <row r="233" ht="15.75" customHeight="1">
      <c r="A233" s="174"/>
      <c r="B233" s="276"/>
      <c r="C233" s="172"/>
      <c r="D233" s="173"/>
      <c r="E233" s="174"/>
      <c r="F233" s="174"/>
      <c r="G233" s="175"/>
      <c r="H233" s="175"/>
      <c r="I233" s="175"/>
      <c r="J233" s="175"/>
      <c r="K233" s="175"/>
      <c r="L233" s="175"/>
      <c r="M233" s="175"/>
      <c r="N233" s="175"/>
      <c r="O233" s="175"/>
      <c r="P233" s="175"/>
      <c r="Q233" s="175"/>
      <c r="R233" s="175"/>
      <c r="S233" s="175"/>
      <c r="T233" s="175"/>
      <c r="U233" s="175"/>
      <c r="V233" s="175"/>
      <c r="W233" s="175"/>
      <c r="X233" s="175"/>
      <c r="Y233" s="175"/>
      <c r="Z233" s="175"/>
    </row>
    <row r="234" ht="15.75" customHeight="1">
      <c r="A234" s="174"/>
      <c r="B234" s="276"/>
      <c r="C234" s="172"/>
      <c r="D234" s="173"/>
      <c r="E234" s="174"/>
      <c r="F234" s="174"/>
      <c r="G234" s="175"/>
      <c r="H234" s="175"/>
      <c r="I234" s="175"/>
      <c r="J234" s="175"/>
      <c r="K234" s="175"/>
      <c r="L234" s="175"/>
      <c r="M234" s="175"/>
      <c r="N234" s="175"/>
      <c r="O234" s="175"/>
      <c r="P234" s="175"/>
      <c r="Q234" s="175"/>
      <c r="R234" s="175"/>
      <c r="S234" s="175"/>
      <c r="T234" s="175"/>
      <c r="U234" s="175"/>
      <c r="V234" s="175"/>
      <c r="W234" s="175"/>
      <c r="X234" s="175"/>
      <c r="Y234" s="175"/>
      <c r="Z234" s="175"/>
    </row>
    <row r="235" ht="15.75" customHeight="1">
      <c r="A235" s="174"/>
      <c r="B235" s="276"/>
      <c r="C235" s="172"/>
      <c r="D235" s="173"/>
      <c r="E235" s="174"/>
      <c r="F235" s="174"/>
      <c r="G235" s="175"/>
      <c r="H235" s="175"/>
      <c r="I235" s="175"/>
      <c r="J235" s="175"/>
      <c r="K235" s="175"/>
      <c r="L235" s="175"/>
      <c r="M235" s="175"/>
      <c r="N235" s="175"/>
      <c r="O235" s="175"/>
      <c r="P235" s="175"/>
      <c r="Q235" s="175"/>
      <c r="R235" s="175"/>
      <c r="S235" s="175"/>
      <c r="T235" s="175"/>
      <c r="U235" s="175"/>
      <c r="V235" s="175"/>
      <c r="W235" s="175"/>
      <c r="X235" s="175"/>
      <c r="Y235" s="175"/>
      <c r="Z235" s="175"/>
    </row>
    <row r="236" ht="15.75" customHeight="1">
      <c r="A236" s="174"/>
      <c r="B236" s="276"/>
      <c r="C236" s="172"/>
      <c r="D236" s="173"/>
      <c r="E236" s="174"/>
      <c r="F236" s="174"/>
      <c r="G236" s="175"/>
      <c r="H236" s="175"/>
      <c r="I236" s="175"/>
      <c r="J236" s="175"/>
      <c r="K236" s="175"/>
      <c r="L236" s="175"/>
      <c r="M236" s="175"/>
      <c r="N236" s="175"/>
      <c r="O236" s="175"/>
      <c r="P236" s="175"/>
      <c r="Q236" s="175"/>
      <c r="R236" s="175"/>
      <c r="S236" s="175"/>
      <c r="T236" s="175"/>
      <c r="U236" s="175"/>
      <c r="V236" s="175"/>
      <c r="W236" s="175"/>
      <c r="X236" s="175"/>
      <c r="Y236" s="175"/>
      <c r="Z236" s="175"/>
    </row>
    <row r="237" ht="15.75" customHeight="1">
      <c r="A237" s="174"/>
      <c r="B237" s="276"/>
      <c r="C237" s="172"/>
      <c r="D237" s="173"/>
      <c r="E237" s="174"/>
      <c r="F237" s="174"/>
      <c r="G237" s="175"/>
      <c r="H237" s="175"/>
      <c r="I237" s="175"/>
      <c r="J237" s="175"/>
      <c r="K237" s="175"/>
      <c r="L237" s="175"/>
      <c r="M237" s="175"/>
      <c r="N237" s="175"/>
      <c r="O237" s="175"/>
      <c r="P237" s="175"/>
      <c r="Q237" s="175"/>
      <c r="R237" s="175"/>
      <c r="S237" s="175"/>
      <c r="T237" s="175"/>
      <c r="U237" s="175"/>
      <c r="V237" s="175"/>
      <c r="W237" s="175"/>
      <c r="X237" s="175"/>
      <c r="Y237" s="175"/>
      <c r="Z237" s="175"/>
    </row>
    <row r="238" ht="15.75" customHeight="1">
      <c r="A238" s="174"/>
      <c r="B238" s="276"/>
      <c r="C238" s="172"/>
      <c r="D238" s="173"/>
      <c r="E238" s="174"/>
      <c r="F238" s="174"/>
      <c r="G238" s="175"/>
      <c r="H238" s="175"/>
      <c r="I238" s="175"/>
      <c r="J238" s="175"/>
      <c r="K238" s="175"/>
      <c r="L238" s="175"/>
      <c r="M238" s="175"/>
      <c r="N238" s="175"/>
      <c r="O238" s="175"/>
      <c r="P238" s="175"/>
      <c r="Q238" s="175"/>
      <c r="R238" s="175"/>
      <c r="S238" s="175"/>
      <c r="T238" s="175"/>
      <c r="U238" s="175"/>
      <c r="V238" s="175"/>
      <c r="W238" s="175"/>
      <c r="X238" s="175"/>
      <c r="Y238" s="175"/>
      <c r="Z238" s="175"/>
    </row>
    <row r="239" ht="15.75" customHeight="1">
      <c r="A239" s="174"/>
      <c r="B239" s="276"/>
      <c r="C239" s="172"/>
      <c r="D239" s="173"/>
      <c r="E239" s="174"/>
      <c r="F239" s="174"/>
      <c r="G239" s="175"/>
      <c r="H239" s="175"/>
      <c r="I239" s="175"/>
      <c r="J239" s="175"/>
      <c r="K239" s="175"/>
      <c r="L239" s="175"/>
      <c r="M239" s="175"/>
      <c r="N239" s="175"/>
      <c r="O239" s="175"/>
      <c r="P239" s="175"/>
      <c r="Q239" s="175"/>
      <c r="R239" s="175"/>
      <c r="S239" s="175"/>
      <c r="T239" s="175"/>
      <c r="U239" s="175"/>
      <c r="V239" s="175"/>
      <c r="W239" s="175"/>
      <c r="X239" s="175"/>
      <c r="Y239" s="175"/>
      <c r="Z239" s="175"/>
    </row>
    <row r="240" ht="15.75" customHeight="1">
      <c r="A240" s="174"/>
      <c r="B240" s="276"/>
      <c r="C240" s="172"/>
      <c r="D240" s="173"/>
      <c r="E240" s="174"/>
      <c r="F240" s="174"/>
      <c r="G240" s="175"/>
      <c r="H240" s="175"/>
      <c r="I240" s="175"/>
      <c r="J240" s="175"/>
      <c r="K240" s="175"/>
      <c r="L240" s="175"/>
      <c r="M240" s="175"/>
      <c r="N240" s="175"/>
      <c r="O240" s="175"/>
      <c r="P240" s="175"/>
      <c r="Q240" s="175"/>
      <c r="R240" s="175"/>
      <c r="S240" s="175"/>
      <c r="T240" s="175"/>
      <c r="U240" s="175"/>
      <c r="V240" s="175"/>
      <c r="W240" s="175"/>
      <c r="X240" s="175"/>
      <c r="Y240" s="175"/>
      <c r="Z240" s="175"/>
    </row>
    <row r="241" ht="15.75" customHeight="1">
      <c r="A241" s="174"/>
      <c r="B241" s="276"/>
      <c r="C241" s="172"/>
      <c r="D241" s="173"/>
      <c r="E241" s="174"/>
      <c r="F241" s="174"/>
      <c r="G241" s="175"/>
      <c r="H241" s="175"/>
      <c r="I241" s="175"/>
      <c r="J241" s="175"/>
      <c r="K241" s="175"/>
      <c r="L241" s="175"/>
      <c r="M241" s="175"/>
      <c r="N241" s="175"/>
      <c r="O241" s="175"/>
      <c r="P241" s="175"/>
      <c r="Q241" s="175"/>
      <c r="R241" s="175"/>
      <c r="S241" s="175"/>
      <c r="T241" s="175"/>
      <c r="U241" s="175"/>
      <c r="V241" s="175"/>
      <c r="W241" s="175"/>
      <c r="X241" s="175"/>
      <c r="Y241" s="175"/>
      <c r="Z241" s="175"/>
    </row>
    <row r="242" ht="15.75" customHeight="1">
      <c r="A242" s="174"/>
      <c r="B242" s="276"/>
      <c r="C242" s="172"/>
      <c r="D242" s="173"/>
      <c r="E242" s="174"/>
      <c r="F242" s="174"/>
      <c r="G242" s="175"/>
      <c r="H242" s="175"/>
      <c r="I242" s="175"/>
      <c r="J242" s="175"/>
      <c r="K242" s="175"/>
      <c r="L242" s="175"/>
      <c r="M242" s="175"/>
      <c r="N242" s="175"/>
      <c r="O242" s="175"/>
      <c r="P242" s="175"/>
      <c r="Q242" s="175"/>
      <c r="R242" s="175"/>
      <c r="S242" s="175"/>
      <c r="T242" s="175"/>
      <c r="U242" s="175"/>
      <c r="V242" s="175"/>
      <c r="W242" s="175"/>
      <c r="X242" s="175"/>
      <c r="Y242" s="175"/>
      <c r="Z242" s="175"/>
    </row>
    <row r="243" ht="15.75" customHeight="1">
      <c r="A243" s="174"/>
      <c r="B243" s="276"/>
      <c r="C243" s="172"/>
      <c r="D243" s="173"/>
      <c r="E243" s="174"/>
      <c r="F243" s="174"/>
      <c r="G243" s="175"/>
      <c r="H243" s="175"/>
      <c r="I243" s="175"/>
      <c r="J243" s="175"/>
      <c r="K243" s="175"/>
      <c r="L243" s="175"/>
      <c r="M243" s="175"/>
      <c r="N243" s="175"/>
      <c r="O243" s="175"/>
      <c r="P243" s="175"/>
      <c r="Q243" s="175"/>
      <c r="R243" s="175"/>
      <c r="S243" s="175"/>
      <c r="T243" s="175"/>
      <c r="U243" s="175"/>
      <c r="V243" s="175"/>
      <c r="W243" s="175"/>
      <c r="X243" s="175"/>
      <c r="Y243" s="175"/>
      <c r="Z243" s="175"/>
    </row>
    <row r="244" ht="15.75" customHeight="1">
      <c r="A244" s="174"/>
      <c r="B244" s="276"/>
      <c r="C244" s="172"/>
      <c r="D244" s="173"/>
      <c r="E244" s="174"/>
      <c r="F244" s="174"/>
      <c r="G244" s="175"/>
      <c r="H244" s="175"/>
      <c r="I244" s="175"/>
      <c r="J244" s="175"/>
      <c r="K244" s="175"/>
      <c r="L244" s="175"/>
      <c r="M244" s="175"/>
      <c r="N244" s="175"/>
      <c r="O244" s="175"/>
      <c r="P244" s="175"/>
      <c r="Q244" s="175"/>
      <c r="R244" s="175"/>
      <c r="S244" s="175"/>
      <c r="T244" s="175"/>
      <c r="U244" s="175"/>
      <c r="V244" s="175"/>
      <c r="W244" s="175"/>
      <c r="X244" s="175"/>
      <c r="Y244" s="175"/>
      <c r="Z244" s="175"/>
    </row>
    <row r="245" ht="15.75" customHeight="1">
      <c r="A245" s="174"/>
      <c r="B245" s="276"/>
      <c r="C245" s="172"/>
      <c r="D245" s="173"/>
      <c r="E245" s="174"/>
      <c r="F245" s="174"/>
      <c r="G245" s="175"/>
      <c r="H245" s="175"/>
      <c r="I245" s="175"/>
      <c r="J245" s="175"/>
      <c r="K245" s="175"/>
      <c r="L245" s="175"/>
      <c r="M245" s="175"/>
      <c r="N245" s="175"/>
      <c r="O245" s="175"/>
      <c r="P245" s="175"/>
      <c r="Q245" s="175"/>
      <c r="R245" s="175"/>
      <c r="S245" s="175"/>
      <c r="T245" s="175"/>
      <c r="U245" s="175"/>
      <c r="V245" s="175"/>
      <c r="W245" s="175"/>
      <c r="X245" s="175"/>
      <c r="Y245" s="175"/>
      <c r="Z245" s="175"/>
    </row>
    <row r="246" ht="15.75" customHeight="1">
      <c r="A246" s="174"/>
      <c r="B246" s="276"/>
      <c r="C246" s="172"/>
      <c r="D246" s="173"/>
      <c r="E246" s="174"/>
      <c r="F246" s="174"/>
      <c r="G246" s="175"/>
      <c r="H246" s="175"/>
      <c r="I246" s="175"/>
      <c r="J246" s="175"/>
      <c r="K246" s="175"/>
      <c r="L246" s="175"/>
      <c r="M246" s="175"/>
      <c r="N246" s="175"/>
      <c r="O246" s="175"/>
      <c r="P246" s="175"/>
      <c r="Q246" s="175"/>
      <c r="R246" s="175"/>
      <c r="S246" s="175"/>
      <c r="T246" s="175"/>
      <c r="U246" s="175"/>
      <c r="V246" s="175"/>
      <c r="W246" s="175"/>
      <c r="X246" s="175"/>
      <c r="Y246" s="175"/>
      <c r="Z246" s="175"/>
    </row>
    <row r="247" ht="15.75" customHeight="1">
      <c r="A247" s="174"/>
      <c r="B247" s="276"/>
      <c r="C247" s="172"/>
      <c r="D247" s="173"/>
      <c r="E247" s="174"/>
      <c r="F247" s="174"/>
      <c r="G247" s="175"/>
      <c r="H247" s="175"/>
      <c r="I247" s="175"/>
      <c r="J247" s="175"/>
      <c r="K247" s="175"/>
      <c r="L247" s="175"/>
      <c r="M247" s="175"/>
      <c r="N247" s="175"/>
      <c r="O247" s="175"/>
      <c r="P247" s="175"/>
      <c r="Q247" s="175"/>
      <c r="R247" s="175"/>
      <c r="S247" s="175"/>
      <c r="T247" s="175"/>
      <c r="U247" s="175"/>
      <c r="V247" s="175"/>
      <c r="W247" s="175"/>
      <c r="X247" s="175"/>
      <c r="Y247" s="175"/>
      <c r="Z247" s="175"/>
    </row>
    <row r="248" ht="15.75" customHeight="1">
      <c r="A248" s="174"/>
      <c r="B248" s="276"/>
      <c r="C248" s="172"/>
      <c r="D248" s="173"/>
      <c r="E248" s="174"/>
      <c r="F248" s="174"/>
      <c r="G248" s="175"/>
      <c r="H248" s="175"/>
      <c r="I248" s="175"/>
      <c r="J248" s="175"/>
      <c r="K248" s="175"/>
      <c r="L248" s="175"/>
      <c r="M248" s="175"/>
      <c r="N248" s="175"/>
      <c r="O248" s="175"/>
      <c r="P248" s="175"/>
      <c r="Q248" s="175"/>
      <c r="R248" s="175"/>
      <c r="S248" s="175"/>
      <c r="T248" s="175"/>
      <c r="U248" s="175"/>
      <c r="V248" s="175"/>
      <c r="W248" s="175"/>
      <c r="X248" s="175"/>
      <c r="Y248" s="175"/>
      <c r="Z248" s="175"/>
    </row>
    <row r="249" ht="15.75" customHeight="1">
      <c r="A249" s="174"/>
      <c r="B249" s="276"/>
      <c r="C249" s="172"/>
      <c r="D249" s="173"/>
      <c r="E249" s="174"/>
      <c r="F249" s="174"/>
      <c r="G249" s="175"/>
      <c r="H249" s="175"/>
      <c r="I249" s="175"/>
      <c r="J249" s="175"/>
      <c r="K249" s="175"/>
      <c r="L249" s="175"/>
      <c r="M249" s="175"/>
      <c r="N249" s="175"/>
      <c r="O249" s="175"/>
      <c r="P249" s="175"/>
      <c r="Q249" s="175"/>
      <c r="R249" s="175"/>
      <c r="S249" s="175"/>
      <c r="T249" s="175"/>
      <c r="U249" s="175"/>
      <c r="V249" s="175"/>
      <c r="W249" s="175"/>
      <c r="X249" s="175"/>
      <c r="Y249" s="175"/>
      <c r="Z249" s="175"/>
    </row>
    <row r="250" ht="15.75" customHeight="1">
      <c r="A250" s="174"/>
      <c r="B250" s="276"/>
      <c r="C250" s="172"/>
      <c r="D250" s="173"/>
      <c r="E250" s="174"/>
      <c r="F250" s="174"/>
      <c r="G250" s="175"/>
      <c r="H250" s="175"/>
      <c r="I250" s="175"/>
      <c r="J250" s="175"/>
      <c r="K250" s="175"/>
      <c r="L250" s="175"/>
      <c r="M250" s="175"/>
      <c r="N250" s="175"/>
      <c r="O250" s="175"/>
      <c r="P250" s="175"/>
      <c r="Q250" s="175"/>
      <c r="R250" s="175"/>
      <c r="S250" s="175"/>
      <c r="T250" s="175"/>
      <c r="U250" s="175"/>
      <c r="V250" s="175"/>
      <c r="W250" s="175"/>
      <c r="X250" s="175"/>
      <c r="Y250" s="175"/>
      <c r="Z250" s="175"/>
    </row>
    <row r="251" ht="15.75" customHeight="1">
      <c r="A251" s="174"/>
      <c r="B251" s="276"/>
      <c r="C251" s="172"/>
      <c r="D251" s="173"/>
      <c r="E251" s="174"/>
      <c r="F251" s="174"/>
      <c r="G251" s="175"/>
      <c r="H251" s="175"/>
      <c r="I251" s="175"/>
      <c r="J251" s="175"/>
      <c r="K251" s="175"/>
      <c r="L251" s="175"/>
      <c r="M251" s="175"/>
      <c r="N251" s="175"/>
      <c r="O251" s="175"/>
      <c r="P251" s="175"/>
      <c r="Q251" s="175"/>
      <c r="R251" s="175"/>
      <c r="S251" s="175"/>
      <c r="T251" s="175"/>
      <c r="U251" s="175"/>
      <c r="V251" s="175"/>
      <c r="W251" s="175"/>
      <c r="X251" s="175"/>
      <c r="Y251" s="175"/>
      <c r="Z251" s="175"/>
    </row>
    <row r="252" ht="15.75" customHeight="1">
      <c r="A252" s="174"/>
      <c r="B252" s="276"/>
      <c r="C252" s="172"/>
      <c r="D252" s="173"/>
      <c r="E252" s="174"/>
      <c r="F252" s="174"/>
      <c r="G252" s="175"/>
      <c r="H252" s="175"/>
      <c r="I252" s="175"/>
      <c r="J252" s="175"/>
      <c r="K252" s="175"/>
      <c r="L252" s="175"/>
      <c r="M252" s="175"/>
      <c r="N252" s="175"/>
      <c r="O252" s="175"/>
      <c r="P252" s="175"/>
      <c r="Q252" s="175"/>
      <c r="R252" s="175"/>
      <c r="S252" s="175"/>
      <c r="T252" s="175"/>
      <c r="U252" s="175"/>
      <c r="V252" s="175"/>
      <c r="W252" s="175"/>
      <c r="X252" s="175"/>
      <c r="Y252" s="175"/>
      <c r="Z252" s="175"/>
    </row>
    <row r="253" ht="15.75" customHeight="1">
      <c r="A253" s="174"/>
      <c r="B253" s="276"/>
      <c r="C253" s="172"/>
      <c r="D253" s="173"/>
      <c r="E253" s="174"/>
      <c r="F253" s="174"/>
      <c r="G253" s="175"/>
      <c r="H253" s="175"/>
      <c r="I253" s="175"/>
      <c r="J253" s="175"/>
      <c r="K253" s="175"/>
      <c r="L253" s="175"/>
      <c r="M253" s="175"/>
      <c r="N253" s="175"/>
      <c r="O253" s="175"/>
      <c r="P253" s="175"/>
      <c r="Q253" s="175"/>
      <c r="R253" s="175"/>
      <c r="S253" s="175"/>
      <c r="T253" s="175"/>
      <c r="U253" s="175"/>
      <c r="V253" s="175"/>
      <c r="W253" s="175"/>
      <c r="X253" s="175"/>
      <c r="Y253" s="175"/>
      <c r="Z253" s="175"/>
    </row>
    <row r="254" ht="15.75" customHeight="1">
      <c r="A254" s="174"/>
      <c r="B254" s="276"/>
      <c r="C254" s="172"/>
      <c r="D254" s="173"/>
      <c r="E254" s="174"/>
      <c r="F254" s="174"/>
      <c r="G254" s="175"/>
      <c r="H254" s="175"/>
      <c r="I254" s="175"/>
      <c r="J254" s="175"/>
      <c r="K254" s="175"/>
      <c r="L254" s="175"/>
      <c r="M254" s="175"/>
      <c r="N254" s="175"/>
      <c r="O254" s="175"/>
      <c r="P254" s="175"/>
      <c r="Q254" s="175"/>
      <c r="R254" s="175"/>
      <c r="S254" s="175"/>
      <c r="T254" s="175"/>
      <c r="U254" s="175"/>
      <c r="V254" s="175"/>
      <c r="W254" s="175"/>
      <c r="X254" s="175"/>
      <c r="Y254" s="175"/>
      <c r="Z254" s="175"/>
    </row>
    <row r="255" ht="15.75" customHeight="1">
      <c r="A255" s="174"/>
      <c r="B255" s="276"/>
      <c r="C255" s="172"/>
      <c r="D255" s="173"/>
      <c r="E255" s="174"/>
      <c r="F255" s="174"/>
      <c r="G255" s="175"/>
      <c r="H255" s="175"/>
      <c r="I255" s="175"/>
      <c r="J255" s="175"/>
      <c r="K255" s="175"/>
      <c r="L255" s="175"/>
      <c r="M255" s="175"/>
      <c r="N255" s="175"/>
      <c r="O255" s="175"/>
      <c r="P255" s="175"/>
      <c r="Q255" s="175"/>
      <c r="R255" s="175"/>
      <c r="S255" s="175"/>
      <c r="T255" s="175"/>
      <c r="U255" s="175"/>
      <c r="V255" s="175"/>
      <c r="W255" s="175"/>
      <c r="X255" s="175"/>
      <c r="Y255" s="175"/>
      <c r="Z255" s="175"/>
    </row>
    <row r="256" ht="15.75" customHeight="1">
      <c r="A256" s="174"/>
      <c r="B256" s="276"/>
      <c r="C256" s="172"/>
      <c r="D256" s="173"/>
      <c r="E256" s="174"/>
      <c r="F256" s="174"/>
      <c r="G256" s="175"/>
      <c r="H256" s="175"/>
      <c r="I256" s="175"/>
      <c r="J256" s="175"/>
      <c r="K256" s="175"/>
      <c r="L256" s="175"/>
      <c r="M256" s="175"/>
      <c r="N256" s="175"/>
      <c r="O256" s="175"/>
      <c r="P256" s="175"/>
      <c r="Q256" s="175"/>
      <c r="R256" s="175"/>
      <c r="S256" s="175"/>
      <c r="T256" s="175"/>
      <c r="U256" s="175"/>
      <c r="V256" s="175"/>
      <c r="W256" s="175"/>
      <c r="X256" s="175"/>
      <c r="Y256" s="175"/>
      <c r="Z256" s="175"/>
    </row>
    <row r="257" ht="15.75" customHeight="1">
      <c r="A257" s="174"/>
      <c r="B257" s="276"/>
      <c r="C257" s="172"/>
      <c r="D257" s="173"/>
      <c r="E257" s="174"/>
      <c r="F257" s="174"/>
      <c r="G257" s="175"/>
      <c r="H257" s="175"/>
      <c r="I257" s="175"/>
      <c r="J257" s="175"/>
      <c r="K257" s="175"/>
      <c r="L257" s="175"/>
      <c r="M257" s="175"/>
      <c r="N257" s="175"/>
      <c r="O257" s="175"/>
      <c r="P257" s="175"/>
      <c r="Q257" s="175"/>
      <c r="R257" s="175"/>
      <c r="S257" s="175"/>
      <c r="T257" s="175"/>
      <c r="U257" s="175"/>
      <c r="V257" s="175"/>
      <c r="W257" s="175"/>
      <c r="X257" s="175"/>
      <c r="Y257" s="175"/>
      <c r="Z257" s="175"/>
    </row>
    <row r="258" ht="15.75" customHeight="1">
      <c r="A258" s="174"/>
      <c r="B258" s="276"/>
      <c r="C258" s="172"/>
      <c r="D258" s="173"/>
      <c r="E258" s="174"/>
      <c r="F258" s="174"/>
      <c r="G258" s="175"/>
      <c r="H258" s="175"/>
      <c r="I258" s="175"/>
      <c r="J258" s="175"/>
      <c r="K258" s="175"/>
      <c r="L258" s="175"/>
      <c r="M258" s="175"/>
      <c r="N258" s="175"/>
      <c r="O258" s="175"/>
      <c r="P258" s="175"/>
      <c r="Q258" s="175"/>
      <c r="R258" s="175"/>
      <c r="S258" s="175"/>
      <c r="T258" s="175"/>
      <c r="U258" s="175"/>
      <c r="V258" s="175"/>
      <c r="W258" s="175"/>
      <c r="X258" s="175"/>
      <c r="Y258" s="175"/>
      <c r="Z258" s="175"/>
    </row>
    <row r="259" ht="15.75" customHeight="1">
      <c r="A259" s="174"/>
      <c r="B259" s="276"/>
      <c r="C259" s="172"/>
      <c r="D259" s="173"/>
      <c r="E259" s="174"/>
      <c r="F259" s="174"/>
      <c r="G259" s="175"/>
      <c r="H259" s="175"/>
      <c r="I259" s="175"/>
      <c r="J259" s="175"/>
      <c r="K259" s="175"/>
      <c r="L259" s="175"/>
      <c r="M259" s="175"/>
      <c r="N259" s="175"/>
      <c r="O259" s="175"/>
      <c r="P259" s="175"/>
      <c r="Q259" s="175"/>
      <c r="R259" s="175"/>
      <c r="S259" s="175"/>
      <c r="T259" s="175"/>
      <c r="U259" s="175"/>
      <c r="V259" s="175"/>
      <c r="W259" s="175"/>
      <c r="X259" s="175"/>
      <c r="Y259" s="175"/>
      <c r="Z259" s="175"/>
    </row>
    <row r="260" ht="15.75" customHeight="1">
      <c r="A260" s="174"/>
      <c r="B260" s="276"/>
      <c r="C260" s="172"/>
      <c r="D260" s="173"/>
      <c r="E260" s="174"/>
      <c r="F260" s="174"/>
      <c r="G260" s="175"/>
      <c r="H260" s="175"/>
      <c r="I260" s="175"/>
      <c r="J260" s="175"/>
      <c r="K260" s="175"/>
      <c r="L260" s="175"/>
      <c r="M260" s="175"/>
      <c r="N260" s="175"/>
      <c r="O260" s="175"/>
      <c r="P260" s="175"/>
      <c r="Q260" s="175"/>
      <c r="R260" s="175"/>
      <c r="S260" s="175"/>
      <c r="T260" s="175"/>
      <c r="U260" s="175"/>
      <c r="V260" s="175"/>
      <c r="W260" s="175"/>
      <c r="X260" s="175"/>
      <c r="Y260" s="175"/>
      <c r="Z260" s="175"/>
    </row>
    <row r="261" ht="15.75" customHeight="1">
      <c r="A261" s="174"/>
      <c r="B261" s="276"/>
      <c r="C261" s="172"/>
      <c r="D261" s="173"/>
      <c r="E261" s="174"/>
      <c r="F261" s="174"/>
      <c r="G261" s="175"/>
      <c r="H261" s="175"/>
      <c r="I261" s="175"/>
      <c r="J261" s="175"/>
      <c r="K261" s="175"/>
      <c r="L261" s="175"/>
      <c r="M261" s="175"/>
      <c r="N261" s="175"/>
      <c r="O261" s="175"/>
      <c r="P261" s="175"/>
      <c r="Q261" s="175"/>
      <c r="R261" s="175"/>
      <c r="S261" s="175"/>
      <c r="T261" s="175"/>
      <c r="U261" s="175"/>
      <c r="V261" s="175"/>
      <c r="W261" s="175"/>
      <c r="X261" s="175"/>
      <c r="Y261" s="175"/>
      <c r="Z261" s="175"/>
    </row>
    <row r="262" ht="15.75" customHeight="1">
      <c r="A262" s="174"/>
      <c r="B262" s="276"/>
      <c r="C262" s="172"/>
      <c r="D262" s="173"/>
      <c r="E262" s="174"/>
      <c r="F262" s="174"/>
      <c r="G262" s="175"/>
      <c r="H262" s="175"/>
      <c r="I262" s="175"/>
      <c r="J262" s="175"/>
      <c r="K262" s="175"/>
      <c r="L262" s="175"/>
      <c r="M262" s="175"/>
      <c r="N262" s="175"/>
      <c r="O262" s="175"/>
      <c r="P262" s="175"/>
      <c r="Q262" s="175"/>
      <c r="R262" s="175"/>
      <c r="S262" s="175"/>
      <c r="T262" s="175"/>
      <c r="U262" s="175"/>
      <c r="V262" s="175"/>
      <c r="W262" s="175"/>
      <c r="X262" s="175"/>
      <c r="Y262" s="175"/>
      <c r="Z262" s="175"/>
    </row>
    <row r="263" ht="15.75" customHeight="1">
      <c r="A263" s="174"/>
      <c r="B263" s="276"/>
      <c r="C263" s="172"/>
      <c r="D263" s="173"/>
      <c r="E263" s="174"/>
      <c r="F263" s="174"/>
      <c r="G263" s="175"/>
      <c r="H263" s="175"/>
      <c r="I263" s="175"/>
      <c r="J263" s="175"/>
      <c r="K263" s="175"/>
      <c r="L263" s="175"/>
      <c r="M263" s="175"/>
      <c r="N263" s="175"/>
      <c r="O263" s="175"/>
      <c r="P263" s="175"/>
      <c r="Q263" s="175"/>
      <c r="R263" s="175"/>
      <c r="S263" s="175"/>
      <c r="T263" s="175"/>
      <c r="U263" s="175"/>
      <c r="V263" s="175"/>
      <c r="W263" s="175"/>
      <c r="X263" s="175"/>
      <c r="Y263" s="175"/>
      <c r="Z263" s="175"/>
    </row>
    <row r="264" ht="15.75" customHeight="1">
      <c r="A264" s="174"/>
      <c r="B264" s="276"/>
      <c r="C264" s="172"/>
      <c r="D264" s="173"/>
      <c r="E264" s="174"/>
      <c r="F264" s="174"/>
      <c r="G264" s="175"/>
      <c r="H264" s="175"/>
      <c r="I264" s="175"/>
      <c r="J264" s="175"/>
      <c r="K264" s="175"/>
      <c r="L264" s="175"/>
      <c r="M264" s="175"/>
      <c r="N264" s="175"/>
      <c r="O264" s="175"/>
      <c r="P264" s="175"/>
      <c r="Q264" s="175"/>
      <c r="R264" s="175"/>
      <c r="S264" s="175"/>
      <c r="T264" s="175"/>
      <c r="U264" s="175"/>
      <c r="V264" s="175"/>
      <c r="W264" s="175"/>
      <c r="X264" s="175"/>
      <c r="Y264" s="175"/>
      <c r="Z264" s="175"/>
    </row>
    <row r="265" ht="15.75" customHeight="1">
      <c r="A265" s="174"/>
      <c r="B265" s="276"/>
      <c r="C265" s="172"/>
      <c r="D265" s="173"/>
      <c r="E265" s="174"/>
      <c r="F265" s="174"/>
      <c r="G265" s="175"/>
      <c r="H265" s="175"/>
      <c r="I265" s="175"/>
      <c r="J265" s="175"/>
      <c r="K265" s="175"/>
      <c r="L265" s="175"/>
      <c r="M265" s="175"/>
      <c r="N265" s="175"/>
      <c r="O265" s="175"/>
      <c r="P265" s="175"/>
      <c r="Q265" s="175"/>
      <c r="R265" s="175"/>
      <c r="S265" s="175"/>
      <c r="T265" s="175"/>
      <c r="U265" s="175"/>
      <c r="V265" s="175"/>
      <c r="W265" s="175"/>
      <c r="X265" s="175"/>
      <c r="Y265" s="175"/>
      <c r="Z265" s="175"/>
    </row>
    <row r="266" ht="15.75" customHeight="1">
      <c r="A266" s="174"/>
      <c r="B266" s="276"/>
      <c r="C266" s="172"/>
      <c r="D266" s="173"/>
      <c r="E266" s="174"/>
      <c r="F266" s="174"/>
      <c r="G266" s="175"/>
      <c r="H266" s="175"/>
      <c r="I266" s="175"/>
      <c r="J266" s="175"/>
      <c r="K266" s="175"/>
      <c r="L266" s="175"/>
      <c r="M266" s="175"/>
      <c r="N266" s="175"/>
      <c r="O266" s="175"/>
      <c r="P266" s="175"/>
      <c r="Q266" s="175"/>
      <c r="R266" s="175"/>
      <c r="S266" s="175"/>
      <c r="T266" s="175"/>
      <c r="U266" s="175"/>
      <c r="V266" s="175"/>
      <c r="W266" s="175"/>
      <c r="X266" s="175"/>
      <c r="Y266" s="175"/>
      <c r="Z266" s="175"/>
    </row>
    <row r="267" ht="15.75" customHeight="1">
      <c r="A267" s="174"/>
      <c r="B267" s="276"/>
      <c r="C267" s="172"/>
      <c r="D267" s="173"/>
      <c r="E267" s="174"/>
      <c r="F267" s="174"/>
      <c r="G267" s="175"/>
      <c r="H267" s="175"/>
      <c r="I267" s="175"/>
      <c r="J267" s="175"/>
      <c r="K267" s="175"/>
      <c r="L267" s="175"/>
      <c r="M267" s="175"/>
      <c r="N267" s="175"/>
      <c r="O267" s="175"/>
      <c r="P267" s="175"/>
      <c r="Q267" s="175"/>
      <c r="R267" s="175"/>
      <c r="S267" s="175"/>
      <c r="T267" s="175"/>
      <c r="U267" s="175"/>
      <c r="V267" s="175"/>
      <c r="W267" s="175"/>
      <c r="X267" s="175"/>
      <c r="Y267" s="175"/>
      <c r="Z267" s="175"/>
    </row>
    <row r="268" ht="15.75" customHeight="1">
      <c r="A268" s="174"/>
      <c r="B268" s="276"/>
      <c r="C268" s="172"/>
      <c r="D268" s="173"/>
      <c r="E268" s="174"/>
      <c r="F268" s="174"/>
      <c r="G268" s="175"/>
      <c r="H268" s="175"/>
      <c r="I268" s="175"/>
      <c r="J268" s="175"/>
      <c r="K268" s="175"/>
      <c r="L268" s="175"/>
      <c r="M268" s="175"/>
      <c r="N268" s="175"/>
      <c r="O268" s="175"/>
      <c r="P268" s="175"/>
      <c r="Q268" s="175"/>
      <c r="R268" s="175"/>
      <c r="S268" s="175"/>
      <c r="T268" s="175"/>
      <c r="U268" s="175"/>
      <c r="V268" s="175"/>
      <c r="W268" s="175"/>
      <c r="X268" s="175"/>
      <c r="Y268" s="175"/>
      <c r="Z268" s="175"/>
    </row>
    <row r="269" ht="15.75" customHeight="1">
      <c r="A269" s="174"/>
      <c r="B269" s="276"/>
      <c r="C269" s="172"/>
      <c r="D269" s="173"/>
      <c r="E269" s="174"/>
      <c r="F269" s="174"/>
      <c r="G269" s="175"/>
      <c r="H269" s="175"/>
      <c r="I269" s="175"/>
      <c r="J269" s="175"/>
      <c r="K269" s="175"/>
      <c r="L269" s="175"/>
      <c r="M269" s="175"/>
      <c r="N269" s="175"/>
      <c r="O269" s="175"/>
      <c r="P269" s="175"/>
      <c r="Q269" s="175"/>
      <c r="R269" s="175"/>
      <c r="S269" s="175"/>
      <c r="T269" s="175"/>
      <c r="U269" s="175"/>
      <c r="V269" s="175"/>
      <c r="W269" s="175"/>
      <c r="X269" s="175"/>
      <c r="Y269" s="175"/>
      <c r="Z269" s="175"/>
    </row>
    <row r="270" ht="15.75" customHeight="1">
      <c r="A270" s="174"/>
      <c r="B270" s="276"/>
      <c r="C270" s="172"/>
      <c r="D270" s="173"/>
      <c r="E270" s="174"/>
      <c r="F270" s="174"/>
      <c r="G270" s="175"/>
      <c r="H270" s="175"/>
      <c r="I270" s="175"/>
      <c r="J270" s="175"/>
      <c r="K270" s="175"/>
      <c r="L270" s="175"/>
      <c r="M270" s="175"/>
      <c r="N270" s="175"/>
      <c r="O270" s="175"/>
      <c r="P270" s="175"/>
      <c r="Q270" s="175"/>
      <c r="R270" s="175"/>
      <c r="S270" s="175"/>
      <c r="T270" s="175"/>
      <c r="U270" s="175"/>
      <c r="V270" s="175"/>
      <c r="W270" s="175"/>
      <c r="X270" s="175"/>
      <c r="Y270" s="175"/>
      <c r="Z270" s="175"/>
    </row>
    <row r="271" ht="15.75" customHeight="1">
      <c r="A271" s="174"/>
      <c r="B271" s="276"/>
      <c r="C271" s="172"/>
      <c r="D271" s="173"/>
      <c r="E271" s="174"/>
      <c r="F271" s="174"/>
      <c r="G271" s="175"/>
      <c r="H271" s="175"/>
      <c r="I271" s="175"/>
      <c r="J271" s="175"/>
      <c r="K271" s="175"/>
      <c r="L271" s="175"/>
      <c r="M271" s="175"/>
      <c r="N271" s="175"/>
      <c r="O271" s="175"/>
      <c r="P271" s="175"/>
      <c r="Q271" s="175"/>
      <c r="R271" s="175"/>
      <c r="S271" s="175"/>
      <c r="T271" s="175"/>
      <c r="U271" s="175"/>
      <c r="V271" s="175"/>
      <c r="W271" s="175"/>
      <c r="X271" s="175"/>
      <c r="Y271" s="175"/>
      <c r="Z271" s="175"/>
    </row>
    <row r="272" ht="15.75" customHeight="1">
      <c r="A272" s="174"/>
      <c r="B272" s="276"/>
      <c r="C272" s="172"/>
      <c r="D272" s="173"/>
      <c r="E272" s="174"/>
      <c r="F272" s="174"/>
      <c r="G272" s="175"/>
      <c r="H272" s="175"/>
      <c r="I272" s="175"/>
      <c r="J272" s="175"/>
      <c r="K272" s="175"/>
      <c r="L272" s="175"/>
      <c r="M272" s="175"/>
      <c r="N272" s="175"/>
      <c r="O272" s="175"/>
      <c r="P272" s="175"/>
      <c r="Q272" s="175"/>
      <c r="R272" s="175"/>
      <c r="S272" s="175"/>
      <c r="T272" s="175"/>
      <c r="U272" s="175"/>
      <c r="V272" s="175"/>
      <c r="W272" s="175"/>
      <c r="X272" s="175"/>
      <c r="Y272" s="175"/>
      <c r="Z272" s="175"/>
    </row>
    <row r="273" ht="15.75" customHeight="1">
      <c r="A273" s="174"/>
      <c r="B273" s="276"/>
      <c r="C273" s="172"/>
      <c r="D273" s="173"/>
      <c r="E273" s="174"/>
      <c r="F273" s="174"/>
      <c r="G273" s="175"/>
      <c r="H273" s="175"/>
      <c r="I273" s="175"/>
      <c r="J273" s="175"/>
      <c r="K273" s="175"/>
      <c r="L273" s="175"/>
      <c r="M273" s="175"/>
      <c r="N273" s="175"/>
      <c r="O273" s="175"/>
      <c r="P273" s="175"/>
      <c r="Q273" s="175"/>
      <c r="R273" s="175"/>
      <c r="S273" s="175"/>
      <c r="T273" s="175"/>
      <c r="U273" s="175"/>
      <c r="V273" s="175"/>
      <c r="W273" s="175"/>
      <c r="X273" s="175"/>
      <c r="Y273" s="175"/>
      <c r="Z273" s="175"/>
    </row>
    <row r="274" ht="15.75" customHeight="1">
      <c r="A274" s="174"/>
      <c r="B274" s="276"/>
      <c r="C274" s="172"/>
      <c r="D274" s="173"/>
      <c r="E274" s="174"/>
      <c r="F274" s="174"/>
      <c r="G274" s="175"/>
      <c r="H274" s="175"/>
      <c r="I274" s="175"/>
      <c r="J274" s="175"/>
      <c r="K274" s="175"/>
      <c r="L274" s="175"/>
      <c r="M274" s="175"/>
      <c r="N274" s="175"/>
      <c r="O274" s="175"/>
      <c r="P274" s="175"/>
      <c r="Q274" s="175"/>
      <c r="R274" s="175"/>
      <c r="S274" s="175"/>
      <c r="T274" s="175"/>
      <c r="U274" s="175"/>
      <c r="V274" s="175"/>
      <c r="W274" s="175"/>
      <c r="X274" s="175"/>
      <c r="Y274" s="175"/>
      <c r="Z274" s="175"/>
    </row>
    <row r="275" ht="15.75" customHeight="1">
      <c r="A275" s="174"/>
      <c r="B275" s="276"/>
      <c r="C275" s="172"/>
      <c r="D275" s="173"/>
      <c r="E275" s="174"/>
      <c r="F275" s="174"/>
      <c r="G275" s="175"/>
      <c r="H275" s="175"/>
      <c r="I275" s="175"/>
      <c r="J275" s="175"/>
      <c r="K275" s="175"/>
      <c r="L275" s="175"/>
      <c r="M275" s="175"/>
      <c r="N275" s="175"/>
      <c r="O275" s="175"/>
      <c r="P275" s="175"/>
      <c r="Q275" s="175"/>
      <c r="R275" s="175"/>
      <c r="S275" s="175"/>
      <c r="T275" s="175"/>
      <c r="U275" s="175"/>
      <c r="V275" s="175"/>
      <c r="W275" s="175"/>
      <c r="X275" s="175"/>
      <c r="Y275" s="175"/>
      <c r="Z275" s="175"/>
    </row>
    <row r="276" ht="15.75" customHeight="1">
      <c r="A276" s="174"/>
      <c r="B276" s="276"/>
      <c r="C276" s="172"/>
      <c r="D276" s="173"/>
      <c r="E276" s="174"/>
      <c r="F276" s="174"/>
      <c r="G276" s="175"/>
      <c r="H276" s="175"/>
      <c r="I276" s="175"/>
      <c r="J276" s="175"/>
      <c r="K276" s="175"/>
      <c r="L276" s="175"/>
      <c r="M276" s="175"/>
      <c r="N276" s="175"/>
      <c r="O276" s="175"/>
      <c r="P276" s="175"/>
      <c r="Q276" s="175"/>
      <c r="R276" s="175"/>
      <c r="S276" s="175"/>
      <c r="T276" s="175"/>
      <c r="U276" s="175"/>
      <c r="V276" s="175"/>
      <c r="W276" s="175"/>
      <c r="X276" s="175"/>
      <c r="Y276" s="175"/>
      <c r="Z276" s="175"/>
    </row>
    <row r="277" ht="15.75" customHeight="1">
      <c r="A277" s="174"/>
      <c r="B277" s="276"/>
      <c r="C277" s="172"/>
      <c r="D277" s="173"/>
      <c r="E277" s="174"/>
      <c r="F277" s="174"/>
      <c r="G277" s="175"/>
      <c r="H277" s="175"/>
      <c r="I277" s="175"/>
      <c r="J277" s="175"/>
      <c r="K277" s="175"/>
      <c r="L277" s="175"/>
      <c r="M277" s="175"/>
      <c r="N277" s="175"/>
      <c r="O277" s="175"/>
      <c r="P277" s="175"/>
      <c r="Q277" s="175"/>
      <c r="R277" s="175"/>
      <c r="S277" s="175"/>
      <c r="T277" s="175"/>
      <c r="U277" s="175"/>
      <c r="V277" s="175"/>
      <c r="W277" s="175"/>
      <c r="X277" s="175"/>
      <c r="Y277" s="175"/>
      <c r="Z277" s="175"/>
    </row>
    <row r="278" ht="15.75" customHeight="1">
      <c r="A278" s="174"/>
      <c r="B278" s="276"/>
      <c r="C278" s="172"/>
      <c r="D278" s="173"/>
      <c r="E278" s="174"/>
      <c r="F278" s="174"/>
      <c r="G278" s="175"/>
      <c r="H278" s="175"/>
      <c r="I278" s="175"/>
      <c r="J278" s="175"/>
      <c r="K278" s="175"/>
      <c r="L278" s="175"/>
      <c r="M278" s="175"/>
      <c r="N278" s="175"/>
      <c r="O278" s="175"/>
      <c r="P278" s="175"/>
      <c r="Q278" s="175"/>
      <c r="R278" s="175"/>
      <c r="S278" s="175"/>
      <c r="T278" s="175"/>
      <c r="U278" s="175"/>
      <c r="V278" s="175"/>
      <c r="W278" s="175"/>
      <c r="X278" s="175"/>
      <c r="Y278" s="175"/>
      <c r="Z278" s="175"/>
    </row>
    <row r="279" ht="15.75" customHeight="1">
      <c r="A279" s="174"/>
      <c r="B279" s="276"/>
      <c r="C279" s="172"/>
      <c r="D279" s="173"/>
      <c r="E279" s="174"/>
      <c r="F279" s="174"/>
      <c r="G279" s="175"/>
      <c r="H279" s="175"/>
      <c r="I279" s="175"/>
      <c r="J279" s="175"/>
      <c r="K279" s="175"/>
      <c r="L279" s="175"/>
      <c r="M279" s="175"/>
      <c r="N279" s="175"/>
      <c r="O279" s="175"/>
      <c r="P279" s="175"/>
      <c r="Q279" s="175"/>
      <c r="R279" s="175"/>
      <c r="S279" s="175"/>
      <c r="T279" s="175"/>
      <c r="U279" s="175"/>
      <c r="V279" s="175"/>
      <c r="W279" s="175"/>
      <c r="X279" s="175"/>
      <c r="Y279" s="175"/>
      <c r="Z279" s="175"/>
    </row>
    <row r="280" ht="15.75" customHeight="1">
      <c r="A280" s="174"/>
      <c r="B280" s="276"/>
      <c r="C280" s="172"/>
      <c r="D280" s="173"/>
      <c r="E280" s="174"/>
      <c r="F280" s="174"/>
      <c r="G280" s="175"/>
      <c r="H280" s="175"/>
      <c r="I280" s="175"/>
      <c r="J280" s="175"/>
      <c r="K280" s="175"/>
      <c r="L280" s="175"/>
      <c r="M280" s="175"/>
      <c r="N280" s="175"/>
      <c r="O280" s="175"/>
      <c r="P280" s="175"/>
      <c r="Q280" s="175"/>
      <c r="R280" s="175"/>
      <c r="S280" s="175"/>
      <c r="T280" s="175"/>
      <c r="U280" s="175"/>
      <c r="V280" s="175"/>
      <c r="W280" s="175"/>
      <c r="X280" s="175"/>
      <c r="Y280" s="175"/>
      <c r="Z280" s="175"/>
    </row>
    <row r="281" ht="15.75" customHeight="1">
      <c r="A281" s="174"/>
      <c r="B281" s="276"/>
      <c r="C281" s="172"/>
      <c r="D281" s="173"/>
      <c r="E281" s="174"/>
      <c r="F281" s="174"/>
      <c r="G281" s="175"/>
      <c r="H281" s="175"/>
      <c r="I281" s="175"/>
      <c r="J281" s="175"/>
      <c r="K281" s="175"/>
      <c r="L281" s="175"/>
      <c r="M281" s="175"/>
      <c r="N281" s="175"/>
      <c r="O281" s="175"/>
      <c r="P281" s="175"/>
      <c r="Q281" s="175"/>
      <c r="R281" s="175"/>
      <c r="S281" s="175"/>
      <c r="T281" s="175"/>
      <c r="U281" s="175"/>
      <c r="V281" s="175"/>
      <c r="W281" s="175"/>
      <c r="X281" s="175"/>
      <c r="Y281" s="175"/>
      <c r="Z281" s="175"/>
    </row>
    <row r="282" ht="15.75" customHeight="1">
      <c r="A282" s="174"/>
      <c r="B282" s="276"/>
      <c r="C282" s="172"/>
      <c r="D282" s="173"/>
      <c r="E282" s="174"/>
      <c r="F282" s="174"/>
      <c r="G282" s="175"/>
      <c r="H282" s="175"/>
      <c r="I282" s="175"/>
      <c r="J282" s="175"/>
      <c r="K282" s="175"/>
      <c r="L282" s="175"/>
      <c r="M282" s="175"/>
      <c r="N282" s="175"/>
      <c r="O282" s="175"/>
      <c r="P282" s="175"/>
      <c r="Q282" s="175"/>
      <c r="R282" s="175"/>
      <c r="S282" s="175"/>
      <c r="T282" s="175"/>
      <c r="U282" s="175"/>
      <c r="V282" s="175"/>
      <c r="W282" s="175"/>
      <c r="X282" s="175"/>
      <c r="Y282" s="175"/>
      <c r="Z282" s="175"/>
    </row>
    <row r="283" ht="15.75" customHeight="1">
      <c r="A283" s="174"/>
      <c r="B283" s="276"/>
      <c r="C283" s="172"/>
      <c r="D283" s="173"/>
      <c r="E283" s="174"/>
      <c r="F283" s="174"/>
      <c r="G283" s="175"/>
      <c r="H283" s="175"/>
      <c r="I283" s="175"/>
      <c r="J283" s="175"/>
      <c r="K283" s="175"/>
      <c r="L283" s="175"/>
      <c r="M283" s="175"/>
      <c r="N283" s="175"/>
      <c r="O283" s="175"/>
      <c r="P283" s="175"/>
      <c r="Q283" s="175"/>
      <c r="R283" s="175"/>
      <c r="S283" s="175"/>
      <c r="T283" s="175"/>
      <c r="U283" s="175"/>
      <c r="V283" s="175"/>
      <c r="W283" s="175"/>
      <c r="X283" s="175"/>
      <c r="Y283" s="175"/>
      <c r="Z283" s="175"/>
    </row>
    <row r="284" ht="15.75" customHeight="1">
      <c r="A284" s="174"/>
      <c r="B284" s="276"/>
      <c r="C284" s="172"/>
      <c r="D284" s="173"/>
      <c r="E284" s="174"/>
      <c r="F284" s="174"/>
      <c r="G284" s="175"/>
      <c r="H284" s="175"/>
      <c r="I284" s="175"/>
      <c r="J284" s="175"/>
      <c r="K284" s="175"/>
      <c r="L284" s="175"/>
      <c r="M284" s="175"/>
      <c r="N284" s="175"/>
      <c r="O284" s="175"/>
      <c r="P284" s="175"/>
      <c r="Q284" s="175"/>
      <c r="R284" s="175"/>
      <c r="S284" s="175"/>
      <c r="T284" s="175"/>
      <c r="U284" s="175"/>
      <c r="V284" s="175"/>
      <c r="W284" s="175"/>
      <c r="X284" s="175"/>
      <c r="Y284" s="175"/>
      <c r="Z284" s="175"/>
    </row>
    <row r="285" ht="15.75" customHeight="1">
      <c r="A285" s="174"/>
      <c r="B285" s="276"/>
      <c r="C285" s="172"/>
      <c r="D285" s="173"/>
      <c r="E285" s="174"/>
      <c r="F285" s="174"/>
      <c r="G285" s="175"/>
      <c r="H285" s="175"/>
      <c r="I285" s="175"/>
      <c r="J285" s="175"/>
      <c r="K285" s="175"/>
      <c r="L285" s="175"/>
      <c r="M285" s="175"/>
      <c r="N285" s="175"/>
      <c r="O285" s="175"/>
      <c r="P285" s="175"/>
      <c r="Q285" s="175"/>
      <c r="R285" s="175"/>
      <c r="S285" s="175"/>
      <c r="T285" s="175"/>
      <c r="U285" s="175"/>
      <c r="V285" s="175"/>
      <c r="W285" s="175"/>
      <c r="X285" s="175"/>
      <c r="Y285" s="175"/>
      <c r="Z285" s="175"/>
    </row>
    <row r="286" ht="15.75" customHeight="1">
      <c r="A286" s="174"/>
      <c r="B286" s="276"/>
      <c r="C286" s="172"/>
      <c r="D286" s="173"/>
      <c r="E286" s="174"/>
      <c r="F286" s="174"/>
      <c r="G286" s="175"/>
      <c r="H286" s="175"/>
      <c r="I286" s="175"/>
      <c r="J286" s="175"/>
      <c r="K286" s="175"/>
      <c r="L286" s="175"/>
      <c r="M286" s="175"/>
      <c r="N286" s="175"/>
      <c r="O286" s="175"/>
      <c r="P286" s="175"/>
      <c r="Q286" s="175"/>
      <c r="R286" s="175"/>
      <c r="S286" s="175"/>
      <c r="T286" s="175"/>
      <c r="U286" s="175"/>
      <c r="V286" s="175"/>
      <c r="W286" s="175"/>
      <c r="X286" s="175"/>
      <c r="Y286" s="175"/>
      <c r="Z286" s="175"/>
    </row>
    <row r="287" ht="15.75" customHeight="1">
      <c r="A287" s="174"/>
      <c r="B287" s="276"/>
      <c r="C287" s="172"/>
      <c r="D287" s="173"/>
      <c r="E287" s="174"/>
      <c r="F287" s="174"/>
      <c r="G287" s="175"/>
      <c r="H287" s="175"/>
      <c r="I287" s="175"/>
      <c r="J287" s="175"/>
      <c r="K287" s="175"/>
      <c r="L287" s="175"/>
      <c r="M287" s="175"/>
      <c r="N287" s="175"/>
      <c r="O287" s="175"/>
      <c r="P287" s="175"/>
      <c r="Q287" s="175"/>
      <c r="R287" s="175"/>
      <c r="S287" s="175"/>
      <c r="T287" s="175"/>
      <c r="U287" s="175"/>
      <c r="V287" s="175"/>
      <c r="W287" s="175"/>
      <c r="X287" s="175"/>
      <c r="Y287" s="175"/>
      <c r="Z287" s="175"/>
    </row>
    <row r="288" ht="15.75" customHeight="1">
      <c r="A288" s="174"/>
      <c r="B288" s="276"/>
      <c r="C288" s="172"/>
      <c r="D288" s="173"/>
      <c r="E288" s="174"/>
      <c r="F288" s="174"/>
      <c r="G288" s="175"/>
      <c r="H288" s="175"/>
      <c r="I288" s="175"/>
      <c r="J288" s="175"/>
      <c r="K288" s="175"/>
      <c r="L288" s="175"/>
      <c r="M288" s="175"/>
      <c r="N288" s="175"/>
      <c r="O288" s="175"/>
      <c r="P288" s="175"/>
      <c r="Q288" s="175"/>
      <c r="R288" s="175"/>
      <c r="S288" s="175"/>
      <c r="T288" s="175"/>
      <c r="U288" s="175"/>
      <c r="V288" s="175"/>
      <c r="W288" s="175"/>
      <c r="X288" s="175"/>
      <c r="Y288" s="175"/>
      <c r="Z288" s="175"/>
    </row>
    <row r="289" ht="15.75" customHeight="1">
      <c r="A289" s="174"/>
      <c r="B289" s="276"/>
      <c r="C289" s="172"/>
      <c r="D289" s="173"/>
      <c r="E289" s="174"/>
      <c r="F289" s="174"/>
      <c r="G289" s="175"/>
      <c r="H289" s="175"/>
      <c r="I289" s="175"/>
      <c r="J289" s="175"/>
      <c r="K289" s="175"/>
      <c r="L289" s="175"/>
      <c r="M289" s="175"/>
      <c r="N289" s="175"/>
      <c r="O289" s="175"/>
      <c r="P289" s="175"/>
      <c r="Q289" s="175"/>
      <c r="R289" s="175"/>
      <c r="S289" s="175"/>
      <c r="T289" s="175"/>
      <c r="U289" s="175"/>
      <c r="V289" s="175"/>
      <c r="W289" s="175"/>
      <c r="X289" s="175"/>
      <c r="Y289" s="175"/>
      <c r="Z289" s="175"/>
    </row>
    <row r="290" ht="15.75" customHeight="1">
      <c r="A290" s="174"/>
      <c r="B290" s="276"/>
      <c r="C290" s="172"/>
      <c r="D290" s="173"/>
      <c r="E290" s="174"/>
      <c r="F290" s="174"/>
      <c r="G290" s="175"/>
      <c r="H290" s="175"/>
      <c r="I290" s="175"/>
      <c r="J290" s="175"/>
      <c r="K290" s="175"/>
      <c r="L290" s="175"/>
      <c r="M290" s="175"/>
      <c r="N290" s="175"/>
      <c r="O290" s="175"/>
      <c r="P290" s="175"/>
      <c r="Q290" s="175"/>
      <c r="R290" s="175"/>
      <c r="S290" s="175"/>
      <c r="T290" s="175"/>
      <c r="U290" s="175"/>
      <c r="V290" s="175"/>
      <c r="W290" s="175"/>
      <c r="X290" s="175"/>
      <c r="Y290" s="175"/>
      <c r="Z290" s="175"/>
    </row>
    <row r="291" ht="15.75" customHeight="1">
      <c r="A291" s="174"/>
      <c r="B291" s="276"/>
      <c r="C291" s="172"/>
      <c r="D291" s="173"/>
      <c r="E291" s="174"/>
      <c r="F291" s="174"/>
      <c r="G291" s="175"/>
      <c r="H291" s="175"/>
      <c r="I291" s="175"/>
      <c r="J291" s="175"/>
      <c r="K291" s="175"/>
      <c r="L291" s="175"/>
      <c r="M291" s="175"/>
      <c r="N291" s="175"/>
      <c r="O291" s="175"/>
      <c r="P291" s="175"/>
      <c r="Q291" s="175"/>
      <c r="R291" s="175"/>
      <c r="S291" s="175"/>
      <c r="T291" s="175"/>
      <c r="U291" s="175"/>
      <c r="V291" s="175"/>
      <c r="W291" s="175"/>
      <c r="X291" s="175"/>
      <c r="Y291" s="175"/>
      <c r="Z291" s="175"/>
    </row>
    <row r="292" ht="15.75" customHeight="1">
      <c r="A292" s="174"/>
      <c r="B292" s="276"/>
      <c r="C292" s="172"/>
      <c r="D292" s="173"/>
      <c r="E292" s="174"/>
      <c r="F292" s="174"/>
      <c r="G292" s="175"/>
      <c r="H292" s="175"/>
      <c r="I292" s="175"/>
      <c r="J292" s="175"/>
      <c r="K292" s="175"/>
      <c r="L292" s="175"/>
      <c r="M292" s="175"/>
      <c r="N292" s="175"/>
      <c r="O292" s="175"/>
      <c r="P292" s="175"/>
      <c r="Q292" s="175"/>
      <c r="R292" s="175"/>
      <c r="S292" s="175"/>
      <c r="T292" s="175"/>
      <c r="U292" s="175"/>
      <c r="V292" s="175"/>
      <c r="W292" s="175"/>
      <c r="X292" s="175"/>
      <c r="Y292" s="175"/>
      <c r="Z292" s="175"/>
    </row>
    <row r="293" ht="15.75" customHeight="1">
      <c r="A293" s="174"/>
      <c r="B293" s="276"/>
      <c r="C293" s="172"/>
      <c r="D293" s="173"/>
      <c r="E293" s="174"/>
      <c r="F293" s="174"/>
      <c r="G293" s="175"/>
      <c r="H293" s="175"/>
      <c r="I293" s="175"/>
      <c r="J293" s="175"/>
      <c r="K293" s="175"/>
      <c r="L293" s="175"/>
      <c r="M293" s="175"/>
      <c r="N293" s="175"/>
      <c r="O293" s="175"/>
      <c r="P293" s="175"/>
      <c r="Q293" s="175"/>
      <c r="R293" s="175"/>
      <c r="S293" s="175"/>
      <c r="T293" s="175"/>
      <c r="U293" s="175"/>
      <c r="V293" s="175"/>
      <c r="W293" s="175"/>
      <c r="X293" s="175"/>
      <c r="Y293" s="175"/>
      <c r="Z293" s="175"/>
    </row>
    <row r="294" ht="15.75" customHeight="1">
      <c r="A294" s="174"/>
      <c r="B294" s="276"/>
      <c r="C294" s="172"/>
      <c r="D294" s="173"/>
      <c r="E294" s="174"/>
      <c r="F294" s="174"/>
      <c r="G294" s="175"/>
      <c r="H294" s="175"/>
      <c r="I294" s="175"/>
      <c r="J294" s="175"/>
      <c r="K294" s="175"/>
      <c r="L294" s="175"/>
      <c r="M294" s="175"/>
      <c r="N294" s="175"/>
      <c r="O294" s="175"/>
      <c r="P294" s="175"/>
      <c r="Q294" s="175"/>
      <c r="R294" s="175"/>
      <c r="S294" s="175"/>
      <c r="T294" s="175"/>
      <c r="U294" s="175"/>
      <c r="V294" s="175"/>
      <c r="W294" s="175"/>
      <c r="X294" s="175"/>
      <c r="Y294" s="175"/>
      <c r="Z294" s="175"/>
    </row>
    <row r="295" ht="15.75" customHeight="1">
      <c r="A295" s="174"/>
      <c r="B295" s="276"/>
      <c r="C295" s="172"/>
      <c r="D295" s="173"/>
      <c r="E295" s="174"/>
      <c r="F295" s="174"/>
      <c r="G295" s="175"/>
      <c r="H295" s="175"/>
      <c r="I295" s="175"/>
      <c r="J295" s="175"/>
      <c r="K295" s="175"/>
      <c r="L295" s="175"/>
      <c r="M295" s="175"/>
      <c r="N295" s="175"/>
      <c r="O295" s="175"/>
      <c r="P295" s="175"/>
      <c r="Q295" s="175"/>
      <c r="R295" s="175"/>
      <c r="S295" s="175"/>
      <c r="T295" s="175"/>
      <c r="U295" s="175"/>
      <c r="V295" s="175"/>
      <c r="W295" s="175"/>
      <c r="X295" s="175"/>
      <c r="Y295" s="175"/>
      <c r="Z295" s="175"/>
    </row>
    <row r="296" ht="15.75" customHeight="1">
      <c r="A296" s="174"/>
      <c r="B296" s="276"/>
      <c r="C296" s="172"/>
      <c r="D296" s="173"/>
      <c r="E296" s="174"/>
      <c r="F296" s="174"/>
      <c r="G296" s="175"/>
      <c r="H296" s="175"/>
      <c r="I296" s="175"/>
      <c r="J296" s="175"/>
      <c r="K296" s="175"/>
      <c r="L296" s="175"/>
      <c r="M296" s="175"/>
      <c r="N296" s="175"/>
      <c r="O296" s="175"/>
      <c r="P296" s="175"/>
      <c r="Q296" s="175"/>
      <c r="R296" s="175"/>
      <c r="S296" s="175"/>
      <c r="T296" s="175"/>
      <c r="U296" s="175"/>
      <c r="V296" s="175"/>
      <c r="W296" s="175"/>
      <c r="X296" s="175"/>
      <c r="Y296" s="175"/>
      <c r="Z296" s="175"/>
    </row>
    <row r="297" ht="15.75" customHeight="1">
      <c r="A297" s="174"/>
      <c r="B297" s="276"/>
      <c r="C297" s="172"/>
      <c r="D297" s="173"/>
      <c r="E297" s="174"/>
      <c r="F297" s="174"/>
      <c r="G297" s="175"/>
      <c r="H297" s="175"/>
      <c r="I297" s="175"/>
      <c r="J297" s="175"/>
      <c r="K297" s="175"/>
      <c r="L297" s="175"/>
      <c r="M297" s="175"/>
      <c r="N297" s="175"/>
      <c r="O297" s="175"/>
      <c r="P297" s="175"/>
      <c r="Q297" s="175"/>
      <c r="R297" s="175"/>
      <c r="S297" s="175"/>
      <c r="T297" s="175"/>
      <c r="U297" s="175"/>
      <c r="V297" s="175"/>
      <c r="W297" s="175"/>
      <c r="X297" s="175"/>
      <c r="Y297" s="175"/>
      <c r="Z297" s="175"/>
    </row>
    <row r="298" ht="15.75" customHeight="1">
      <c r="A298" s="174"/>
      <c r="B298" s="276"/>
      <c r="C298" s="172"/>
      <c r="D298" s="173"/>
      <c r="E298" s="174"/>
      <c r="F298" s="174"/>
      <c r="G298" s="175"/>
      <c r="H298" s="175"/>
      <c r="I298" s="175"/>
      <c r="J298" s="175"/>
      <c r="K298" s="175"/>
      <c r="L298" s="175"/>
      <c r="M298" s="175"/>
      <c r="N298" s="175"/>
      <c r="O298" s="175"/>
      <c r="P298" s="175"/>
      <c r="Q298" s="175"/>
      <c r="R298" s="175"/>
      <c r="S298" s="175"/>
      <c r="T298" s="175"/>
      <c r="U298" s="175"/>
      <c r="V298" s="175"/>
      <c r="W298" s="175"/>
      <c r="X298" s="175"/>
      <c r="Y298" s="175"/>
      <c r="Z298" s="175"/>
    </row>
    <row r="299" ht="15.75" customHeight="1">
      <c r="A299" s="174"/>
      <c r="B299" s="276"/>
      <c r="C299" s="172"/>
      <c r="D299" s="173"/>
      <c r="E299" s="174"/>
      <c r="F299" s="174"/>
      <c r="G299" s="175"/>
      <c r="H299" s="175"/>
      <c r="I299" s="175"/>
      <c r="J299" s="175"/>
      <c r="K299" s="175"/>
      <c r="L299" s="175"/>
      <c r="M299" s="175"/>
      <c r="N299" s="175"/>
      <c r="O299" s="175"/>
      <c r="P299" s="175"/>
      <c r="Q299" s="175"/>
      <c r="R299" s="175"/>
      <c r="S299" s="175"/>
      <c r="T299" s="175"/>
      <c r="U299" s="175"/>
      <c r="V299" s="175"/>
      <c r="W299" s="175"/>
      <c r="X299" s="175"/>
      <c r="Y299" s="175"/>
      <c r="Z299" s="175"/>
    </row>
    <row r="300" ht="15.75" customHeight="1">
      <c r="A300" s="174"/>
      <c r="B300" s="276"/>
      <c r="C300" s="172"/>
      <c r="D300" s="173"/>
      <c r="E300" s="174"/>
      <c r="F300" s="174"/>
      <c r="G300" s="175"/>
      <c r="H300" s="175"/>
      <c r="I300" s="175"/>
      <c r="J300" s="175"/>
      <c r="K300" s="175"/>
      <c r="L300" s="175"/>
      <c r="M300" s="175"/>
      <c r="N300" s="175"/>
      <c r="O300" s="175"/>
      <c r="P300" s="175"/>
      <c r="Q300" s="175"/>
      <c r="R300" s="175"/>
      <c r="S300" s="175"/>
      <c r="T300" s="175"/>
      <c r="U300" s="175"/>
      <c r="V300" s="175"/>
      <c r="W300" s="175"/>
      <c r="X300" s="175"/>
      <c r="Y300" s="175"/>
      <c r="Z300" s="175"/>
    </row>
    <row r="301" ht="15.75" customHeight="1">
      <c r="A301" s="174"/>
      <c r="B301" s="276"/>
      <c r="C301" s="172"/>
      <c r="D301" s="173"/>
      <c r="E301" s="174"/>
      <c r="F301" s="174"/>
      <c r="G301" s="175"/>
      <c r="H301" s="175"/>
      <c r="I301" s="175"/>
      <c r="J301" s="175"/>
      <c r="K301" s="175"/>
      <c r="L301" s="175"/>
      <c r="M301" s="175"/>
      <c r="N301" s="175"/>
      <c r="O301" s="175"/>
      <c r="P301" s="175"/>
      <c r="Q301" s="175"/>
      <c r="R301" s="175"/>
      <c r="S301" s="175"/>
      <c r="T301" s="175"/>
      <c r="U301" s="175"/>
      <c r="V301" s="175"/>
      <c r="W301" s="175"/>
      <c r="X301" s="175"/>
      <c r="Y301" s="175"/>
      <c r="Z301" s="175"/>
    </row>
    <row r="302" ht="15.75" customHeight="1">
      <c r="A302" s="174"/>
      <c r="B302" s="276"/>
      <c r="C302" s="172"/>
      <c r="D302" s="173"/>
      <c r="E302" s="174"/>
      <c r="F302" s="174"/>
      <c r="G302" s="175"/>
      <c r="H302" s="175"/>
      <c r="I302" s="175"/>
      <c r="J302" s="175"/>
      <c r="K302" s="175"/>
      <c r="L302" s="175"/>
      <c r="M302" s="175"/>
      <c r="N302" s="175"/>
      <c r="O302" s="175"/>
      <c r="P302" s="175"/>
      <c r="Q302" s="175"/>
      <c r="R302" s="175"/>
      <c r="S302" s="175"/>
      <c r="T302" s="175"/>
      <c r="U302" s="175"/>
      <c r="V302" s="175"/>
      <c r="W302" s="175"/>
      <c r="X302" s="175"/>
      <c r="Y302" s="175"/>
      <c r="Z302" s="175"/>
    </row>
    <row r="303" ht="15.75" customHeight="1">
      <c r="A303" s="174"/>
      <c r="B303" s="276"/>
      <c r="C303" s="172"/>
      <c r="D303" s="173"/>
      <c r="E303" s="174"/>
      <c r="F303" s="174"/>
      <c r="G303" s="175"/>
      <c r="H303" s="175"/>
      <c r="I303" s="175"/>
      <c r="J303" s="175"/>
      <c r="K303" s="175"/>
      <c r="L303" s="175"/>
      <c r="M303" s="175"/>
      <c r="N303" s="175"/>
      <c r="O303" s="175"/>
      <c r="P303" s="175"/>
      <c r="Q303" s="175"/>
      <c r="R303" s="175"/>
      <c r="S303" s="175"/>
      <c r="T303" s="175"/>
      <c r="U303" s="175"/>
      <c r="V303" s="175"/>
      <c r="W303" s="175"/>
      <c r="X303" s="175"/>
      <c r="Y303" s="175"/>
      <c r="Z303" s="175"/>
    </row>
    <row r="304" ht="15.75" customHeight="1">
      <c r="A304" s="174"/>
      <c r="B304" s="276"/>
      <c r="C304" s="172"/>
      <c r="D304" s="173"/>
      <c r="E304" s="174"/>
      <c r="F304" s="174"/>
      <c r="G304" s="175"/>
      <c r="H304" s="175"/>
      <c r="I304" s="175"/>
      <c r="J304" s="175"/>
      <c r="K304" s="175"/>
      <c r="L304" s="175"/>
      <c r="M304" s="175"/>
      <c r="N304" s="175"/>
      <c r="O304" s="175"/>
      <c r="P304" s="175"/>
      <c r="Q304" s="175"/>
      <c r="R304" s="175"/>
      <c r="S304" s="175"/>
      <c r="T304" s="175"/>
      <c r="U304" s="175"/>
      <c r="V304" s="175"/>
      <c r="W304" s="175"/>
      <c r="X304" s="175"/>
      <c r="Y304" s="175"/>
      <c r="Z304" s="175"/>
    </row>
    <row r="305" ht="15.75" customHeight="1">
      <c r="A305" s="174"/>
      <c r="B305" s="276"/>
      <c r="C305" s="172"/>
      <c r="D305" s="173"/>
      <c r="E305" s="174"/>
      <c r="F305" s="174"/>
      <c r="G305" s="175"/>
      <c r="H305" s="175"/>
      <c r="I305" s="175"/>
      <c r="J305" s="175"/>
      <c r="K305" s="175"/>
      <c r="L305" s="175"/>
      <c r="M305" s="175"/>
      <c r="N305" s="175"/>
      <c r="O305" s="175"/>
      <c r="P305" s="175"/>
      <c r="Q305" s="175"/>
      <c r="R305" s="175"/>
      <c r="S305" s="175"/>
      <c r="T305" s="175"/>
      <c r="U305" s="175"/>
      <c r="V305" s="175"/>
      <c r="W305" s="175"/>
      <c r="X305" s="175"/>
      <c r="Y305" s="175"/>
      <c r="Z305" s="175"/>
    </row>
    <row r="306" ht="15.75" customHeight="1">
      <c r="A306" s="174"/>
      <c r="B306" s="276"/>
      <c r="C306" s="172"/>
      <c r="D306" s="173"/>
      <c r="E306" s="174"/>
      <c r="F306" s="174"/>
      <c r="G306" s="175"/>
      <c r="H306" s="175"/>
      <c r="I306" s="175"/>
      <c r="J306" s="175"/>
      <c r="K306" s="175"/>
      <c r="L306" s="175"/>
      <c r="M306" s="175"/>
      <c r="N306" s="175"/>
      <c r="O306" s="175"/>
      <c r="P306" s="175"/>
      <c r="Q306" s="175"/>
      <c r="R306" s="175"/>
      <c r="S306" s="175"/>
      <c r="T306" s="175"/>
      <c r="U306" s="175"/>
      <c r="V306" s="175"/>
      <c r="W306" s="175"/>
      <c r="X306" s="175"/>
      <c r="Y306" s="175"/>
      <c r="Z306" s="175"/>
    </row>
    <row r="307" ht="15.75" customHeight="1">
      <c r="A307" s="174"/>
      <c r="B307" s="276"/>
      <c r="C307" s="172"/>
      <c r="D307" s="173"/>
      <c r="E307" s="174"/>
      <c r="F307" s="174"/>
      <c r="G307" s="175"/>
      <c r="H307" s="175"/>
      <c r="I307" s="175"/>
      <c r="J307" s="175"/>
      <c r="K307" s="175"/>
      <c r="L307" s="175"/>
      <c r="M307" s="175"/>
      <c r="N307" s="175"/>
      <c r="O307" s="175"/>
      <c r="P307" s="175"/>
      <c r="Q307" s="175"/>
      <c r="R307" s="175"/>
      <c r="S307" s="175"/>
      <c r="T307" s="175"/>
      <c r="U307" s="175"/>
      <c r="V307" s="175"/>
      <c r="W307" s="175"/>
      <c r="X307" s="175"/>
      <c r="Y307" s="175"/>
      <c r="Z307" s="175"/>
    </row>
    <row r="308" ht="15.75" customHeight="1">
      <c r="A308" s="174"/>
      <c r="B308" s="276"/>
      <c r="C308" s="172"/>
      <c r="D308" s="173"/>
      <c r="E308" s="174"/>
      <c r="F308" s="174"/>
      <c r="G308" s="175"/>
      <c r="H308" s="175"/>
      <c r="I308" s="175"/>
      <c r="J308" s="175"/>
      <c r="K308" s="175"/>
      <c r="L308" s="175"/>
      <c r="M308" s="175"/>
      <c r="N308" s="175"/>
      <c r="O308" s="175"/>
      <c r="P308" s="175"/>
      <c r="Q308" s="175"/>
      <c r="R308" s="175"/>
      <c r="S308" s="175"/>
      <c r="T308" s="175"/>
      <c r="U308" s="175"/>
      <c r="V308" s="175"/>
      <c r="W308" s="175"/>
      <c r="X308" s="175"/>
      <c r="Y308" s="175"/>
      <c r="Z308" s="175"/>
    </row>
    <row r="309" ht="15.75" customHeight="1">
      <c r="A309" s="174"/>
      <c r="B309" s="276"/>
      <c r="C309" s="172"/>
      <c r="D309" s="173"/>
      <c r="E309" s="174"/>
      <c r="F309" s="174"/>
      <c r="G309" s="175"/>
      <c r="H309" s="175"/>
      <c r="I309" s="175"/>
      <c r="J309" s="175"/>
      <c r="K309" s="175"/>
      <c r="L309" s="175"/>
      <c r="M309" s="175"/>
      <c r="N309" s="175"/>
      <c r="O309" s="175"/>
      <c r="P309" s="175"/>
      <c r="Q309" s="175"/>
      <c r="R309" s="175"/>
      <c r="S309" s="175"/>
      <c r="T309" s="175"/>
      <c r="U309" s="175"/>
      <c r="V309" s="175"/>
      <c r="W309" s="175"/>
      <c r="X309" s="175"/>
      <c r="Y309" s="175"/>
      <c r="Z309" s="175"/>
    </row>
    <row r="310" ht="15.75" customHeight="1">
      <c r="A310" s="174"/>
      <c r="B310" s="276"/>
      <c r="C310" s="172"/>
      <c r="D310" s="173"/>
      <c r="E310" s="174"/>
      <c r="F310" s="174"/>
      <c r="G310" s="175"/>
      <c r="H310" s="175"/>
      <c r="I310" s="175"/>
      <c r="J310" s="175"/>
      <c r="K310" s="175"/>
      <c r="L310" s="175"/>
      <c r="M310" s="175"/>
      <c r="N310" s="175"/>
      <c r="O310" s="175"/>
      <c r="P310" s="175"/>
      <c r="Q310" s="175"/>
      <c r="R310" s="175"/>
      <c r="S310" s="175"/>
      <c r="T310" s="175"/>
      <c r="U310" s="175"/>
      <c r="V310" s="175"/>
      <c r="W310" s="175"/>
      <c r="X310" s="175"/>
      <c r="Y310" s="175"/>
      <c r="Z310" s="175"/>
    </row>
    <row r="311" ht="15.75" customHeight="1">
      <c r="A311" s="174"/>
      <c r="B311" s="276"/>
      <c r="C311" s="172"/>
      <c r="D311" s="173"/>
      <c r="E311" s="174"/>
      <c r="F311" s="174"/>
      <c r="G311" s="175"/>
      <c r="H311" s="175"/>
      <c r="I311" s="175"/>
      <c r="J311" s="175"/>
      <c r="K311" s="175"/>
      <c r="L311" s="175"/>
      <c r="M311" s="175"/>
      <c r="N311" s="175"/>
      <c r="O311" s="175"/>
      <c r="P311" s="175"/>
      <c r="Q311" s="175"/>
      <c r="R311" s="175"/>
      <c r="S311" s="175"/>
      <c r="T311" s="175"/>
      <c r="U311" s="175"/>
      <c r="V311" s="175"/>
      <c r="W311" s="175"/>
      <c r="X311" s="175"/>
      <c r="Y311" s="175"/>
      <c r="Z311" s="175"/>
    </row>
    <row r="312" ht="15.75" customHeight="1">
      <c r="A312" s="174"/>
      <c r="B312" s="276"/>
      <c r="C312" s="172"/>
      <c r="D312" s="173"/>
      <c r="E312" s="174"/>
      <c r="F312" s="174"/>
      <c r="G312" s="175"/>
      <c r="H312" s="175"/>
      <c r="I312" s="175"/>
      <c r="J312" s="175"/>
      <c r="K312" s="175"/>
      <c r="L312" s="175"/>
      <c r="M312" s="175"/>
      <c r="N312" s="175"/>
      <c r="O312" s="175"/>
      <c r="P312" s="175"/>
      <c r="Q312" s="175"/>
      <c r="R312" s="175"/>
      <c r="S312" s="175"/>
      <c r="T312" s="175"/>
      <c r="U312" s="175"/>
      <c r="V312" s="175"/>
      <c r="W312" s="175"/>
      <c r="X312" s="175"/>
      <c r="Y312" s="175"/>
      <c r="Z312" s="175"/>
    </row>
    <row r="313" ht="15.75" customHeight="1">
      <c r="A313" s="174"/>
      <c r="B313" s="276"/>
      <c r="C313" s="172"/>
      <c r="D313" s="173"/>
      <c r="E313" s="174"/>
      <c r="F313" s="174"/>
      <c r="G313" s="175"/>
      <c r="H313" s="175"/>
      <c r="I313" s="175"/>
      <c r="J313" s="175"/>
      <c r="K313" s="175"/>
      <c r="L313" s="175"/>
      <c r="M313" s="175"/>
      <c r="N313" s="175"/>
      <c r="O313" s="175"/>
      <c r="P313" s="175"/>
      <c r="Q313" s="175"/>
      <c r="R313" s="175"/>
      <c r="S313" s="175"/>
      <c r="T313" s="175"/>
      <c r="U313" s="175"/>
      <c r="V313" s="175"/>
      <c r="W313" s="175"/>
      <c r="X313" s="175"/>
      <c r="Y313" s="175"/>
      <c r="Z313" s="175"/>
    </row>
    <row r="314" ht="15.75" customHeight="1">
      <c r="A314" s="174"/>
      <c r="B314" s="276"/>
      <c r="C314" s="172"/>
      <c r="D314" s="173"/>
      <c r="E314" s="174"/>
      <c r="F314" s="174"/>
      <c r="G314" s="175"/>
      <c r="H314" s="175"/>
      <c r="I314" s="175"/>
      <c r="J314" s="175"/>
      <c r="K314" s="175"/>
      <c r="L314" s="175"/>
      <c r="M314" s="175"/>
      <c r="N314" s="175"/>
      <c r="O314" s="175"/>
      <c r="P314" s="175"/>
      <c r="Q314" s="175"/>
      <c r="R314" s="175"/>
      <c r="S314" s="175"/>
      <c r="T314" s="175"/>
      <c r="U314" s="175"/>
      <c r="V314" s="175"/>
      <c r="W314" s="175"/>
      <c r="X314" s="175"/>
      <c r="Y314" s="175"/>
      <c r="Z314" s="175"/>
    </row>
    <row r="315" ht="15.75" customHeight="1">
      <c r="A315" s="174"/>
      <c r="B315" s="276"/>
      <c r="C315" s="172"/>
      <c r="D315" s="173"/>
      <c r="E315" s="174"/>
      <c r="F315" s="174"/>
      <c r="G315" s="175"/>
      <c r="H315" s="175"/>
      <c r="I315" s="175"/>
      <c r="J315" s="175"/>
      <c r="K315" s="175"/>
      <c r="L315" s="175"/>
      <c r="M315" s="175"/>
      <c r="N315" s="175"/>
      <c r="O315" s="175"/>
      <c r="P315" s="175"/>
      <c r="Q315" s="175"/>
      <c r="R315" s="175"/>
      <c r="S315" s="175"/>
      <c r="T315" s="175"/>
      <c r="U315" s="175"/>
      <c r="V315" s="175"/>
      <c r="W315" s="175"/>
      <c r="X315" s="175"/>
      <c r="Y315" s="175"/>
      <c r="Z315" s="175"/>
    </row>
    <row r="316" ht="15.75" customHeight="1">
      <c r="A316" s="174"/>
      <c r="B316" s="276"/>
      <c r="C316" s="172"/>
      <c r="D316" s="173"/>
      <c r="E316" s="174"/>
      <c r="F316" s="174"/>
      <c r="G316" s="175"/>
      <c r="H316" s="175"/>
      <c r="I316" s="175"/>
      <c r="J316" s="175"/>
      <c r="K316" s="175"/>
      <c r="L316" s="175"/>
      <c r="M316" s="175"/>
      <c r="N316" s="175"/>
      <c r="O316" s="175"/>
      <c r="P316" s="175"/>
      <c r="Q316" s="175"/>
      <c r="R316" s="175"/>
      <c r="S316" s="175"/>
      <c r="T316" s="175"/>
      <c r="U316" s="175"/>
      <c r="V316" s="175"/>
      <c r="W316" s="175"/>
      <c r="X316" s="175"/>
      <c r="Y316" s="175"/>
      <c r="Z316" s="175"/>
    </row>
    <row r="317" ht="15.75" customHeight="1">
      <c r="A317" s="174"/>
      <c r="B317" s="276"/>
      <c r="C317" s="172"/>
      <c r="D317" s="173"/>
      <c r="E317" s="174"/>
      <c r="F317" s="174"/>
      <c r="G317" s="175"/>
      <c r="H317" s="175"/>
      <c r="I317" s="175"/>
      <c r="J317" s="175"/>
      <c r="K317" s="175"/>
      <c r="L317" s="175"/>
      <c r="M317" s="175"/>
      <c r="N317" s="175"/>
      <c r="O317" s="175"/>
      <c r="P317" s="175"/>
      <c r="Q317" s="175"/>
      <c r="R317" s="175"/>
      <c r="S317" s="175"/>
      <c r="T317" s="175"/>
      <c r="U317" s="175"/>
      <c r="V317" s="175"/>
      <c r="W317" s="175"/>
      <c r="X317" s="175"/>
      <c r="Y317" s="175"/>
      <c r="Z317" s="175"/>
    </row>
    <row r="318" ht="15.75" customHeight="1">
      <c r="A318" s="174"/>
      <c r="B318" s="276"/>
      <c r="C318" s="172"/>
      <c r="D318" s="173"/>
      <c r="E318" s="174"/>
      <c r="F318" s="174"/>
      <c r="G318" s="175"/>
      <c r="H318" s="175"/>
      <c r="I318" s="175"/>
      <c r="J318" s="175"/>
      <c r="K318" s="175"/>
      <c r="L318" s="175"/>
      <c r="M318" s="175"/>
      <c r="N318" s="175"/>
      <c r="O318" s="175"/>
      <c r="P318" s="175"/>
      <c r="Q318" s="175"/>
      <c r="R318" s="175"/>
      <c r="S318" s="175"/>
      <c r="T318" s="175"/>
      <c r="U318" s="175"/>
      <c r="V318" s="175"/>
      <c r="W318" s="175"/>
      <c r="X318" s="175"/>
      <c r="Y318" s="175"/>
      <c r="Z318" s="175"/>
    </row>
    <row r="319" ht="15.75" customHeight="1">
      <c r="A319" s="174"/>
      <c r="B319" s="276"/>
      <c r="C319" s="172"/>
      <c r="D319" s="173"/>
      <c r="E319" s="174"/>
      <c r="F319" s="174"/>
      <c r="G319" s="175"/>
      <c r="H319" s="175"/>
      <c r="I319" s="175"/>
      <c r="J319" s="175"/>
      <c r="K319" s="175"/>
      <c r="L319" s="175"/>
      <c r="M319" s="175"/>
      <c r="N319" s="175"/>
      <c r="O319" s="175"/>
      <c r="P319" s="175"/>
      <c r="Q319" s="175"/>
      <c r="R319" s="175"/>
      <c r="S319" s="175"/>
      <c r="T319" s="175"/>
      <c r="U319" s="175"/>
      <c r="V319" s="175"/>
      <c r="W319" s="175"/>
      <c r="X319" s="175"/>
      <c r="Y319" s="175"/>
      <c r="Z319" s="175"/>
    </row>
    <row r="320" ht="15.75" customHeight="1">
      <c r="A320" s="174"/>
      <c r="B320" s="276"/>
      <c r="C320" s="172"/>
      <c r="D320" s="173"/>
      <c r="E320" s="174"/>
      <c r="F320" s="174"/>
      <c r="G320" s="175"/>
      <c r="H320" s="175"/>
      <c r="I320" s="175"/>
      <c r="J320" s="175"/>
      <c r="K320" s="175"/>
      <c r="L320" s="175"/>
      <c r="M320" s="175"/>
      <c r="N320" s="175"/>
      <c r="O320" s="175"/>
      <c r="P320" s="175"/>
      <c r="Q320" s="175"/>
      <c r="R320" s="175"/>
      <c r="S320" s="175"/>
      <c r="T320" s="175"/>
      <c r="U320" s="175"/>
      <c r="V320" s="175"/>
      <c r="W320" s="175"/>
      <c r="X320" s="175"/>
      <c r="Y320" s="175"/>
      <c r="Z320" s="175"/>
    </row>
    <row r="321" ht="15.75" customHeight="1">
      <c r="A321" s="174"/>
      <c r="B321" s="276"/>
      <c r="C321" s="172"/>
      <c r="D321" s="173"/>
      <c r="E321" s="174"/>
      <c r="F321" s="174"/>
      <c r="G321" s="175"/>
      <c r="H321" s="175"/>
      <c r="I321" s="175"/>
      <c r="J321" s="175"/>
      <c r="K321" s="175"/>
      <c r="L321" s="175"/>
      <c r="M321" s="175"/>
      <c r="N321" s="175"/>
      <c r="O321" s="175"/>
      <c r="P321" s="175"/>
      <c r="Q321" s="175"/>
      <c r="R321" s="175"/>
      <c r="S321" s="175"/>
      <c r="T321" s="175"/>
      <c r="U321" s="175"/>
      <c r="V321" s="175"/>
      <c r="W321" s="175"/>
      <c r="X321" s="175"/>
      <c r="Y321" s="175"/>
      <c r="Z321" s="175"/>
    </row>
    <row r="322" ht="15.75" customHeight="1">
      <c r="A322" s="174"/>
      <c r="B322" s="276"/>
      <c r="C322" s="172"/>
      <c r="D322" s="173"/>
      <c r="E322" s="174"/>
      <c r="F322" s="174"/>
      <c r="G322" s="175"/>
      <c r="H322" s="175"/>
      <c r="I322" s="175"/>
      <c r="J322" s="175"/>
      <c r="K322" s="175"/>
      <c r="L322" s="175"/>
      <c r="M322" s="175"/>
      <c r="N322" s="175"/>
      <c r="O322" s="175"/>
      <c r="P322" s="175"/>
      <c r="Q322" s="175"/>
      <c r="R322" s="175"/>
      <c r="S322" s="175"/>
      <c r="T322" s="175"/>
      <c r="U322" s="175"/>
      <c r="V322" s="175"/>
      <c r="W322" s="175"/>
      <c r="X322" s="175"/>
      <c r="Y322" s="175"/>
      <c r="Z322" s="175"/>
    </row>
    <row r="323" ht="15.75" customHeight="1">
      <c r="A323" s="174"/>
      <c r="B323" s="276"/>
      <c r="C323" s="172"/>
      <c r="D323" s="173"/>
      <c r="E323" s="174"/>
      <c r="F323" s="174"/>
      <c r="G323" s="175"/>
      <c r="H323" s="175"/>
      <c r="I323" s="175"/>
      <c r="J323" s="175"/>
      <c r="K323" s="175"/>
      <c r="L323" s="175"/>
      <c r="M323" s="175"/>
      <c r="N323" s="175"/>
      <c r="O323" s="175"/>
      <c r="P323" s="175"/>
      <c r="Q323" s="175"/>
      <c r="R323" s="175"/>
      <c r="S323" s="175"/>
      <c r="T323" s="175"/>
      <c r="U323" s="175"/>
      <c r="V323" s="175"/>
      <c r="W323" s="175"/>
      <c r="X323" s="175"/>
      <c r="Y323" s="175"/>
      <c r="Z323" s="175"/>
    </row>
    <row r="324" ht="15.75" customHeight="1">
      <c r="A324" s="174"/>
      <c r="B324" s="276"/>
      <c r="C324" s="172"/>
      <c r="D324" s="173"/>
      <c r="E324" s="174"/>
      <c r="F324" s="174"/>
      <c r="G324" s="175"/>
      <c r="H324" s="175"/>
      <c r="I324" s="175"/>
      <c r="J324" s="175"/>
      <c r="K324" s="175"/>
      <c r="L324" s="175"/>
      <c r="M324" s="175"/>
      <c r="N324" s="175"/>
      <c r="O324" s="175"/>
      <c r="P324" s="175"/>
      <c r="Q324" s="175"/>
      <c r="R324" s="175"/>
      <c r="S324" s="175"/>
      <c r="T324" s="175"/>
      <c r="U324" s="175"/>
      <c r="V324" s="175"/>
      <c r="W324" s="175"/>
      <c r="X324" s="175"/>
      <c r="Y324" s="175"/>
      <c r="Z324" s="175"/>
    </row>
    <row r="325" ht="15.75" customHeight="1">
      <c r="A325" s="174"/>
      <c r="B325" s="276"/>
      <c r="C325" s="172"/>
      <c r="D325" s="173"/>
      <c r="E325" s="174"/>
      <c r="F325" s="174"/>
      <c r="G325" s="175"/>
      <c r="H325" s="175"/>
      <c r="I325" s="175"/>
      <c r="J325" s="175"/>
      <c r="K325" s="175"/>
      <c r="L325" s="175"/>
      <c r="M325" s="175"/>
      <c r="N325" s="175"/>
      <c r="O325" s="175"/>
      <c r="P325" s="175"/>
      <c r="Q325" s="175"/>
      <c r="R325" s="175"/>
      <c r="S325" s="175"/>
      <c r="T325" s="175"/>
      <c r="U325" s="175"/>
      <c r="V325" s="175"/>
      <c r="W325" s="175"/>
      <c r="X325" s="175"/>
      <c r="Y325" s="175"/>
      <c r="Z325" s="175"/>
    </row>
    <row r="326" ht="15.75" customHeight="1">
      <c r="A326" s="174"/>
      <c r="B326" s="276"/>
      <c r="C326" s="172"/>
      <c r="D326" s="173"/>
      <c r="E326" s="174"/>
      <c r="F326" s="174"/>
      <c r="G326" s="175"/>
      <c r="H326" s="175"/>
      <c r="I326" s="175"/>
      <c r="J326" s="175"/>
      <c r="K326" s="175"/>
      <c r="L326" s="175"/>
      <c r="M326" s="175"/>
      <c r="N326" s="175"/>
      <c r="O326" s="175"/>
      <c r="P326" s="175"/>
      <c r="Q326" s="175"/>
      <c r="R326" s="175"/>
      <c r="S326" s="175"/>
      <c r="T326" s="175"/>
      <c r="U326" s="175"/>
      <c r="V326" s="175"/>
      <c r="W326" s="175"/>
      <c r="X326" s="175"/>
      <c r="Y326" s="175"/>
      <c r="Z326" s="175"/>
    </row>
    <row r="327" ht="15.75" customHeight="1">
      <c r="A327" s="174"/>
      <c r="B327" s="276"/>
      <c r="C327" s="172"/>
      <c r="D327" s="173"/>
      <c r="E327" s="174"/>
      <c r="F327" s="174"/>
      <c r="G327" s="175"/>
      <c r="H327" s="175"/>
      <c r="I327" s="175"/>
      <c r="J327" s="175"/>
      <c r="K327" s="175"/>
      <c r="L327" s="175"/>
      <c r="M327" s="175"/>
      <c r="N327" s="175"/>
      <c r="O327" s="175"/>
      <c r="P327" s="175"/>
      <c r="Q327" s="175"/>
      <c r="R327" s="175"/>
      <c r="S327" s="175"/>
      <c r="T327" s="175"/>
      <c r="U327" s="175"/>
      <c r="V327" s="175"/>
      <c r="W327" s="175"/>
      <c r="X327" s="175"/>
      <c r="Y327" s="175"/>
      <c r="Z327" s="175"/>
    </row>
    <row r="328" ht="15.75" customHeight="1">
      <c r="A328" s="174"/>
      <c r="B328" s="276"/>
      <c r="C328" s="172"/>
      <c r="D328" s="173"/>
      <c r="E328" s="174"/>
      <c r="F328" s="174"/>
      <c r="G328" s="175"/>
      <c r="H328" s="175"/>
      <c r="I328" s="175"/>
      <c r="J328" s="175"/>
      <c r="K328" s="175"/>
      <c r="L328" s="175"/>
      <c r="M328" s="175"/>
      <c r="N328" s="175"/>
      <c r="O328" s="175"/>
      <c r="P328" s="175"/>
      <c r="Q328" s="175"/>
      <c r="R328" s="175"/>
      <c r="S328" s="175"/>
      <c r="T328" s="175"/>
      <c r="U328" s="175"/>
      <c r="V328" s="175"/>
      <c r="W328" s="175"/>
      <c r="X328" s="175"/>
      <c r="Y328" s="175"/>
      <c r="Z328" s="175"/>
    </row>
    <row r="329" ht="15.75" customHeight="1">
      <c r="A329" s="174"/>
      <c r="B329" s="276"/>
      <c r="C329" s="172"/>
      <c r="D329" s="173"/>
      <c r="E329" s="174"/>
      <c r="F329" s="174"/>
      <c r="G329" s="175"/>
      <c r="H329" s="175"/>
      <c r="I329" s="175"/>
      <c r="J329" s="175"/>
      <c r="K329" s="175"/>
      <c r="L329" s="175"/>
      <c r="M329" s="175"/>
      <c r="N329" s="175"/>
      <c r="O329" s="175"/>
      <c r="P329" s="175"/>
      <c r="Q329" s="175"/>
      <c r="R329" s="175"/>
      <c r="S329" s="175"/>
      <c r="T329" s="175"/>
      <c r="U329" s="175"/>
      <c r="V329" s="175"/>
      <c r="W329" s="175"/>
      <c r="X329" s="175"/>
      <c r="Y329" s="175"/>
      <c r="Z329" s="175"/>
    </row>
    <row r="330" ht="15.75" customHeight="1">
      <c r="A330" s="174"/>
      <c r="B330" s="276"/>
      <c r="C330" s="172"/>
      <c r="D330" s="173"/>
      <c r="E330" s="174"/>
      <c r="F330" s="174"/>
      <c r="G330" s="175"/>
      <c r="H330" s="175"/>
      <c r="I330" s="175"/>
      <c r="J330" s="175"/>
      <c r="K330" s="175"/>
      <c r="L330" s="175"/>
      <c r="M330" s="175"/>
      <c r="N330" s="175"/>
      <c r="O330" s="175"/>
      <c r="P330" s="175"/>
      <c r="Q330" s="175"/>
      <c r="R330" s="175"/>
      <c r="S330" s="175"/>
      <c r="T330" s="175"/>
      <c r="U330" s="175"/>
      <c r="V330" s="175"/>
      <c r="W330" s="175"/>
      <c r="X330" s="175"/>
      <c r="Y330" s="175"/>
      <c r="Z330" s="175"/>
    </row>
    <row r="331" ht="15.75" customHeight="1">
      <c r="A331" s="174"/>
      <c r="B331" s="276"/>
      <c r="C331" s="172"/>
      <c r="D331" s="173"/>
      <c r="E331" s="174"/>
      <c r="F331" s="174"/>
      <c r="G331" s="175"/>
      <c r="H331" s="175"/>
      <c r="I331" s="175"/>
      <c r="J331" s="175"/>
      <c r="K331" s="175"/>
      <c r="L331" s="175"/>
      <c r="M331" s="175"/>
      <c r="N331" s="175"/>
      <c r="O331" s="175"/>
      <c r="P331" s="175"/>
      <c r="Q331" s="175"/>
      <c r="R331" s="175"/>
      <c r="S331" s="175"/>
      <c r="T331" s="175"/>
      <c r="U331" s="175"/>
      <c r="V331" s="175"/>
      <c r="W331" s="175"/>
      <c r="X331" s="175"/>
      <c r="Y331" s="175"/>
      <c r="Z331" s="175"/>
    </row>
    <row r="332" ht="15.75" customHeight="1">
      <c r="A332" s="174"/>
      <c r="B332" s="276"/>
      <c r="C332" s="172"/>
      <c r="D332" s="173"/>
      <c r="E332" s="174"/>
      <c r="F332" s="174"/>
      <c r="G332" s="175"/>
      <c r="H332" s="175"/>
      <c r="I332" s="175"/>
      <c r="J332" s="175"/>
      <c r="K332" s="175"/>
      <c r="L332" s="175"/>
      <c r="M332" s="175"/>
      <c r="N332" s="175"/>
      <c r="O332" s="175"/>
      <c r="P332" s="175"/>
      <c r="Q332" s="175"/>
      <c r="R332" s="175"/>
      <c r="S332" s="175"/>
      <c r="T332" s="175"/>
      <c r="U332" s="175"/>
      <c r="V332" s="175"/>
      <c r="W332" s="175"/>
      <c r="X332" s="175"/>
      <c r="Y332" s="175"/>
      <c r="Z332" s="175"/>
    </row>
    <row r="333" ht="15.75" customHeight="1">
      <c r="A333" s="174"/>
      <c r="B333" s="276"/>
      <c r="C333" s="172"/>
      <c r="D333" s="173"/>
      <c r="E333" s="174"/>
      <c r="F333" s="174"/>
      <c r="G333" s="175"/>
      <c r="H333" s="175"/>
      <c r="I333" s="175"/>
      <c r="J333" s="175"/>
      <c r="K333" s="175"/>
      <c r="L333" s="175"/>
      <c r="M333" s="175"/>
      <c r="N333" s="175"/>
      <c r="O333" s="175"/>
      <c r="P333" s="175"/>
      <c r="Q333" s="175"/>
      <c r="R333" s="175"/>
      <c r="S333" s="175"/>
      <c r="T333" s="175"/>
      <c r="U333" s="175"/>
      <c r="V333" s="175"/>
      <c r="W333" s="175"/>
      <c r="X333" s="175"/>
      <c r="Y333" s="175"/>
      <c r="Z333" s="175"/>
    </row>
    <row r="334" ht="15.75" customHeight="1">
      <c r="A334" s="174"/>
      <c r="B334" s="276"/>
      <c r="C334" s="172"/>
      <c r="D334" s="173"/>
      <c r="E334" s="174"/>
      <c r="F334" s="174"/>
      <c r="G334" s="175"/>
      <c r="H334" s="175"/>
      <c r="I334" s="175"/>
      <c r="J334" s="175"/>
      <c r="K334" s="175"/>
      <c r="L334" s="175"/>
      <c r="M334" s="175"/>
      <c r="N334" s="175"/>
      <c r="O334" s="175"/>
      <c r="P334" s="175"/>
      <c r="Q334" s="175"/>
      <c r="R334" s="175"/>
      <c r="S334" s="175"/>
      <c r="T334" s="175"/>
      <c r="U334" s="175"/>
      <c r="V334" s="175"/>
      <c r="W334" s="175"/>
      <c r="X334" s="175"/>
      <c r="Y334" s="175"/>
      <c r="Z334" s="175"/>
    </row>
    <row r="335" ht="15.75" customHeight="1">
      <c r="A335" s="174"/>
      <c r="B335" s="276"/>
      <c r="C335" s="172"/>
      <c r="D335" s="173"/>
      <c r="E335" s="174"/>
      <c r="F335" s="174"/>
      <c r="G335" s="175"/>
      <c r="H335" s="175"/>
      <c r="I335" s="175"/>
      <c r="J335" s="175"/>
      <c r="K335" s="175"/>
      <c r="L335" s="175"/>
      <c r="M335" s="175"/>
      <c r="N335" s="175"/>
      <c r="O335" s="175"/>
      <c r="P335" s="175"/>
      <c r="Q335" s="175"/>
      <c r="R335" s="175"/>
      <c r="S335" s="175"/>
      <c r="T335" s="175"/>
      <c r="U335" s="175"/>
      <c r="V335" s="175"/>
      <c r="W335" s="175"/>
      <c r="X335" s="175"/>
      <c r="Y335" s="175"/>
      <c r="Z335" s="175"/>
    </row>
    <row r="336" ht="15.75" customHeight="1">
      <c r="A336" s="174"/>
      <c r="B336" s="276"/>
      <c r="C336" s="172"/>
      <c r="D336" s="173"/>
      <c r="E336" s="174"/>
      <c r="F336" s="174"/>
      <c r="G336" s="175"/>
      <c r="H336" s="175"/>
      <c r="I336" s="175"/>
      <c r="J336" s="175"/>
      <c r="K336" s="175"/>
      <c r="L336" s="175"/>
      <c r="M336" s="175"/>
      <c r="N336" s="175"/>
      <c r="O336" s="175"/>
      <c r="P336" s="175"/>
      <c r="Q336" s="175"/>
      <c r="R336" s="175"/>
      <c r="S336" s="175"/>
      <c r="T336" s="175"/>
      <c r="U336" s="175"/>
      <c r="V336" s="175"/>
      <c r="W336" s="175"/>
      <c r="X336" s="175"/>
      <c r="Y336" s="175"/>
      <c r="Z336" s="175"/>
    </row>
    <row r="337" ht="15.75" customHeight="1">
      <c r="A337" s="174"/>
      <c r="B337" s="276"/>
      <c r="C337" s="172"/>
      <c r="D337" s="173"/>
      <c r="E337" s="174"/>
      <c r="F337" s="174"/>
      <c r="G337" s="175"/>
      <c r="H337" s="175"/>
      <c r="I337" s="175"/>
      <c r="J337" s="175"/>
      <c r="K337" s="175"/>
      <c r="L337" s="175"/>
      <c r="M337" s="175"/>
      <c r="N337" s="175"/>
      <c r="O337" s="175"/>
      <c r="P337" s="175"/>
      <c r="Q337" s="175"/>
      <c r="R337" s="175"/>
      <c r="S337" s="175"/>
      <c r="T337" s="175"/>
      <c r="U337" s="175"/>
      <c r="V337" s="175"/>
      <c r="W337" s="175"/>
      <c r="X337" s="175"/>
      <c r="Y337" s="175"/>
      <c r="Z337" s="175"/>
    </row>
    <row r="338" ht="15.75" customHeight="1">
      <c r="A338" s="174"/>
      <c r="B338" s="276"/>
      <c r="C338" s="172"/>
      <c r="D338" s="173"/>
      <c r="E338" s="174"/>
      <c r="F338" s="174"/>
      <c r="G338" s="175"/>
      <c r="H338" s="175"/>
      <c r="I338" s="175"/>
      <c r="J338" s="175"/>
      <c r="K338" s="175"/>
      <c r="L338" s="175"/>
      <c r="M338" s="175"/>
      <c r="N338" s="175"/>
      <c r="O338" s="175"/>
      <c r="P338" s="175"/>
      <c r="Q338" s="175"/>
      <c r="R338" s="175"/>
      <c r="S338" s="175"/>
      <c r="T338" s="175"/>
      <c r="U338" s="175"/>
      <c r="V338" s="175"/>
      <c r="W338" s="175"/>
      <c r="X338" s="175"/>
      <c r="Y338" s="175"/>
      <c r="Z338" s="175"/>
    </row>
    <row r="339" ht="15.75" customHeight="1">
      <c r="A339" s="174"/>
      <c r="B339" s="276"/>
      <c r="C339" s="172"/>
      <c r="D339" s="173"/>
      <c r="E339" s="174"/>
      <c r="F339" s="174"/>
      <c r="G339" s="175"/>
      <c r="H339" s="175"/>
      <c r="I339" s="175"/>
      <c r="J339" s="175"/>
      <c r="K339" s="175"/>
      <c r="L339" s="175"/>
      <c r="M339" s="175"/>
      <c r="N339" s="175"/>
      <c r="O339" s="175"/>
      <c r="P339" s="175"/>
      <c r="Q339" s="175"/>
      <c r="R339" s="175"/>
      <c r="S339" s="175"/>
      <c r="T339" s="175"/>
      <c r="U339" s="175"/>
      <c r="V339" s="175"/>
      <c r="W339" s="175"/>
      <c r="X339" s="175"/>
      <c r="Y339" s="175"/>
      <c r="Z339" s="175"/>
    </row>
    <row r="340" ht="15.75" customHeight="1">
      <c r="A340" s="174"/>
      <c r="B340" s="276"/>
      <c r="C340" s="172"/>
      <c r="D340" s="173"/>
      <c r="E340" s="174"/>
      <c r="F340" s="174"/>
      <c r="G340" s="175"/>
      <c r="H340" s="175"/>
      <c r="I340" s="175"/>
      <c r="J340" s="175"/>
      <c r="K340" s="175"/>
      <c r="L340" s="175"/>
      <c r="M340" s="175"/>
      <c r="N340" s="175"/>
      <c r="O340" s="175"/>
      <c r="P340" s="175"/>
      <c r="Q340" s="175"/>
      <c r="R340" s="175"/>
      <c r="S340" s="175"/>
      <c r="T340" s="175"/>
      <c r="U340" s="175"/>
      <c r="V340" s="175"/>
      <c r="W340" s="175"/>
      <c r="X340" s="175"/>
      <c r="Y340" s="175"/>
      <c r="Z340" s="175"/>
    </row>
    <row r="341" ht="15.75" customHeight="1">
      <c r="A341" s="174"/>
      <c r="B341" s="276"/>
      <c r="C341" s="172"/>
      <c r="D341" s="173"/>
      <c r="E341" s="174"/>
      <c r="F341" s="174"/>
      <c r="G341" s="175"/>
      <c r="H341" s="175"/>
      <c r="I341" s="175"/>
      <c r="J341" s="175"/>
      <c r="K341" s="175"/>
      <c r="L341" s="175"/>
      <c r="M341" s="175"/>
      <c r="N341" s="175"/>
      <c r="O341" s="175"/>
      <c r="P341" s="175"/>
      <c r="Q341" s="175"/>
      <c r="R341" s="175"/>
      <c r="S341" s="175"/>
      <c r="T341" s="175"/>
      <c r="U341" s="175"/>
      <c r="V341" s="175"/>
      <c r="W341" s="175"/>
      <c r="X341" s="175"/>
      <c r="Y341" s="175"/>
      <c r="Z341" s="175"/>
    </row>
    <row r="342" ht="15.75" customHeight="1">
      <c r="A342" s="174"/>
      <c r="B342" s="276"/>
      <c r="C342" s="172"/>
      <c r="D342" s="173"/>
      <c r="E342" s="174"/>
      <c r="F342" s="174"/>
      <c r="G342" s="175"/>
      <c r="H342" s="175"/>
      <c r="I342" s="175"/>
      <c r="J342" s="175"/>
      <c r="K342" s="175"/>
      <c r="L342" s="175"/>
      <c r="M342" s="175"/>
      <c r="N342" s="175"/>
      <c r="O342" s="175"/>
      <c r="P342" s="175"/>
      <c r="Q342" s="175"/>
      <c r="R342" s="175"/>
      <c r="S342" s="175"/>
      <c r="T342" s="175"/>
      <c r="U342" s="175"/>
      <c r="V342" s="175"/>
      <c r="W342" s="175"/>
      <c r="X342" s="175"/>
      <c r="Y342" s="175"/>
      <c r="Z342" s="175"/>
    </row>
    <row r="343" ht="15.75" customHeight="1">
      <c r="A343" s="174"/>
      <c r="B343" s="276"/>
      <c r="C343" s="172"/>
      <c r="D343" s="173"/>
      <c r="E343" s="174"/>
      <c r="F343" s="174"/>
      <c r="G343" s="175"/>
      <c r="H343" s="175"/>
      <c r="I343" s="175"/>
      <c r="J343" s="175"/>
      <c r="K343" s="175"/>
      <c r="L343" s="175"/>
      <c r="M343" s="175"/>
      <c r="N343" s="175"/>
      <c r="O343" s="175"/>
      <c r="P343" s="175"/>
      <c r="Q343" s="175"/>
      <c r="R343" s="175"/>
      <c r="S343" s="175"/>
      <c r="T343" s="175"/>
      <c r="U343" s="175"/>
      <c r="V343" s="175"/>
      <c r="W343" s="175"/>
      <c r="X343" s="175"/>
      <c r="Y343" s="175"/>
      <c r="Z343" s="175"/>
    </row>
    <row r="344" ht="15.75" customHeight="1">
      <c r="A344" s="174"/>
      <c r="B344" s="276"/>
      <c r="C344" s="172"/>
      <c r="D344" s="173"/>
      <c r="E344" s="174"/>
      <c r="F344" s="174"/>
      <c r="G344" s="175"/>
      <c r="H344" s="175"/>
      <c r="I344" s="175"/>
      <c r="J344" s="175"/>
      <c r="K344" s="175"/>
      <c r="L344" s="175"/>
      <c r="M344" s="175"/>
      <c r="N344" s="175"/>
      <c r="O344" s="175"/>
      <c r="P344" s="175"/>
      <c r="Q344" s="175"/>
      <c r="R344" s="175"/>
      <c r="S344" s="175"/>
      <c r="T344" s="175"/>
      <c r="U344" s="175"/>
      <c r="V344" s="175"/>
      <c r="W344" s="175"/>
      <c r="X344" s="175"/>
      <c r="Y344" s="175"/>
      <c r="Z344" s="175"/>
    </row>
    <row r="345" ht="15.75" customHeight="1">
      <c r="A345" s="174"/>
      <c r="B345" s="276"/>
      <c r="C345" s="172"/>
      <c r="D345" s="173"/>
      <c r="E345" s="174"/>
      <c r="F345" s="174"/>
      <c r="G345" s="175"/>
      <c r="H345" s="175"/>
      <c r="I345" s="175"/>
      <c r="J345" s="175"/>
      <c r="K345" s="175"/>
      <c r="L345" s="175"/>
      <c r="M345" s="175"/>
      <c r="N345" s="175"/>
      <c r="O345" s="175"/>
      <c r="P345" s="175"/>
      <c r="Q345" s="175"/>
      <c r="R345" s="175"/>
      <c r="S345" s="175"/>
      <c r="T345" s="175"/>
      <c r="U345" s="175"/>
      <c r="V345" s="175"/>
      <c r="W345" s="175"/>
      <c r="X345" s="175"/>
      <c r="Y345" s="175"/>
      <c r="Z345" s="175"/>
    </row>
    <row r="346" ht="15.75" customHeight="1">
      <c r="A346" s="174"/>
      <c r="B346" s="276"/>
      <c r="C346" s="172"/>
      <c r="D346" s="173"/>
      <c r="E346" s="174"/>
      <c r="F346" s="174"/>
      <c r="G346" s="175"/>
      <c r="H346" s="175"/>
      <c r="I346" s="175"/>
      <c r="J346" s="175"/>
      <c r="K346" s="175"/>
      <c r="L346" s="175"/>
      <c r="M346" s="175"/>
      <c r="N346" s="175"/>
      <c r="O346" s="175"/>
      <c r="P346" s="175"/>
      <c r="Q346" s="175"/>
      <c r="R346" s="175"/>
      <c r="S346" s="175"/>
      <c r="T346" s="175"/>
      <c r="U346" s="175"/>
      <c r="V346" s="175"/>
      <c r="W346" s="175"/>
      <c r="X346" s="175"/>
      <c r="Y346" s="175"/>
      <c r="Z346" s="175"/>
    </row>
    <row r="347" ht="15.75" customHeight="1">
      <c r="A347" s="174"/>
      <c r="B347" s="276"/>
      <c r="C347" s="172"/>
      <c r="D347" s="173"/>
      <c r="E347" s="174"/>
      <c r="F347" s="174"/>
      <c r="G347" s="175"/>
      <c r="H347" s="175"/>
      <c r="I347" s="175"/>
      <c r="J347" s="175"/>
      <c r="K347" s="175"/>
      <c r="L347" s="175"/>
      <c r="M347" s="175"/>
      <c r="N347" s="175"/>
      <c r="O347" s="175"/>
      <c r="P347" s="175"/>
      <c r="Q347" s="175"/>
      <c r="R347" s="175"/>
      <c r="S347" s="175"/>
      <c r="T347" s="175"/>
      <c r="U347" s="175"/>
      <c r="V347" s="175"/>
      <c r="W347" s="175"/>
      <c r="X347" s="175"/>
      <c r="Y347" s="175"/>
      <c r="Z347" s="175"/>
    </row>
    <row r="348" ht="15.75" customHeight="1">
      <c r="A348" s="174"/>
      <c r="B348" s="276"/>
      <c r="C348" s="172"/>
      <c r="D348" s="173"/>
      <c r="E348" s="174"/>
      <c r="F348" s="174"/>
      <c r="G348" s="175"/>
      <c r="H348" s="175"/>
      <c r="I348" s="175"/>
      <c r="J348" s="175"/>
      <c r="K348" s="175"/>
      <c r="L348" s="175"/>
      <c r="M348" s="175"/>
      <c r="N348" s="175"/>
      <c r="O348" s="175"/>
      <c r="P348" s="175"/>
      <c r="Q348" s="175"/>
      <c r="R348" s="175"/>
      <c r="S348" s="175"/>
      <c r="T348" s="175"/>
      <c r="U348" s="175"/>
      <c r="V348" s="175"/>
      <c r="W348" s="175"/>
      <c r="X348" s="175"/>
      <c r="Y348" s="175"/>
      <c r="Z348" s="175"/>
    </row>
    <row r="349" ht="15.75" customHeight="1">
      <c r="A349" s="174"/>
      <c r="B349" s="276"/>
      <c r="C349" s="172"/>
      <c r="D349" s="173"/>
      <c r="E349" s="174"/>
      <c r="F349" s="174"/>
      <c r="G349" s="175"/>
      <c r="H349" s="175"/>
      <c r="I349" s="175"/>
      <c r="J349" s="175"/>
      <c r="K349" s="175"/>
      <c r="L349" s="175"/>
      <c r="M349" s="175"/>
      <c r="N349" s="175"/>
      <c r="O349" s="175"/>
      <c r="P349" s="175"/>
      <c r="Q349" s="175"/>
      <c r="R349" s="175"/>
      <c r="S349" s="175"/>
      <c r="T349" s="175"/>
      <c r="U349" s="175"/>
      <c r="V349" s="175"/>
      <c r="W349" s="175"/>
      <c r="X349" s="175"/>
      <c r="Y349" s="175"/>
      <c r="Z349" s="175"/>
    </row>
    <row r="350" ht="15.75" customHeight="1">
      <c r="A350" s="174"/>
      <c r="B350" s="276"/>
      <c r="C350" s="172"/>
      <c r="D350" s="173"/>
      <c r="E350" s="174"/>
      <c r="F350" s="174"/>
      <c r="G350" s="175"/>
      <c r="H350" s="175"/>
      <c r="I350" s="175"/>
      <c r="J350" s="175"/>
      <c r="K350" s="175"/>
      <c r="L350" s="175"/>
      <c r="M350" s="175"/>
      <c r="N350" s="175"/>
      <c r="O350" s="175"/>
      <c r="P350" s="175"/>
      <c r="Q350" s="175"/>
      <c r="R350" s="175"/>
      <c r="S350" s="175"/>
      <c r="T350" s="175"/>
      <c r="U350" s="175"/>
      <c r="V350" s="175"/>
      <c r="W350" s="175"/>
      <c r="X350" s="175"/>
      <c r="Y350" s="175"/>
      <c r="Z350" s="175"/>
    </row>
    <row r="351" ht="15.75" customHeight="1">
      <c r="A351" s="174"/>
      <c r="B351" s="276"/>
      <c r="C351" s="172"/>
      <c r="D351" s="173"/>
      <c r="E351" s="174"/>
      <c r="F351" s="174"/>
      <c r="G351" s="175"/>
      <c r="H351" s="175"/>
      <c r="I351" s="175"/>
      <c r="J351" s="175"/>
      <c r="K351" s="175"/>
      <c r="L351" s="175"/>
      <c r="M351" s="175"/>
      <c r="N351" s="175"/>
      <c r="O351" s="175"/>
      <c r="P351" s="175"/>
      <c r="Q351" s="175"/>
      <c r="R351" s="175"/>
      <c r="S351" s="175"/>
      <c r="T351" s="175"/>
      <c r="U351" s="175"/>
      <c r="V351" s="175"/>
      <c r="W351" s="175"/>
      <c r="X351" s="175"/>
      <c r="Y351" s="175"/>
      <c r="Z351" s="175"/>
    </row>
    <row r="352" ht="15.75" customHeight="1">
      <c r="A352" s="174"/>
      <c r="B352" s="276"/>
      <c r="C352" s="172"/>
      <c r="D352" s="173"/>
      <c r="E352" s="174"/>
      <c r="F352" s="174"/>
      <c r="G352" s="175"/>
      <c r="H352" s="175"/>
      <c r="I352" s="175"/>
      <c r="J352" s="175"/>
      <c r="K352" s="175"/>
      <c r="L352" s="175"/>
      <c r="M352" s="175"/>
      <c r="N352" s="175"/>
      <c r="O352" s="175"/>
      <c r="P352" s="175"/>
      <c r="Q352" s="175"/>
      <c r="R352" s="175"/>
      <c r="S352" s="175"/>
      <c r="T352" s="175"/>
      <c r="U352" s="175"/>
      <c r="V352" s="175"/>
      <c r="W352" s="175"/>
      <c r="X352" s="175"/>
      <c r="Y352" s="175"/>
      <c r="Z352" s="175"/>
    </row>
    <row r="353" ht="15.75" customHeight="1">
      <c r="A353" s="174"/>
      <c r="B353" s="276"/>
      <c r="C353" s="172"/>
      <c r="D353" s="173"/>
      <c r="E353" s="174"/>
      <c r="F353" s="174"/>
      <c r="G353" s="175"/>
      <c r="H353" s="175"/>
      <c r="I353" s="175"/>
      <c r="J353" s="175"/>
      <c r="K353" s="175"/>
      <c r="L353" s="175"/>
      <c r="M353" s="175"/>
      <c r="N353" s="175"/>
      <c r="O353" s="175"/>
      <c r="P353" s="175"/>
      <c r="Q353" s="175"/>
      <c r="R353" s="175"/>
      <c r="S353" s="175"/>
      <c r="T353" s="175"/>
      <c r="U353" s="175"/>
      <c r="V353" s="175"/>
      <c r="W353" s="175"/>
      <c r="X353" s="175"/>
      <c r="Y353" s="175"/>
      <c r="Z353" s="175"/>
    </row>
    <row r="354" ht="15.75" customHeight="1">
      <c r="A354" s="174"/>
      <c r="B354" s="276"/>
      <c r="C354" s="172"/>
      <c r="D354" s="173"/>
      <c r="E354" s="174"/>
      <c r="F354" s="174"/>
      <c r="G354" s="175"/>
      <c r="H354" s="175"/>
      <c r="I354" s="175"/>
      <c r="J354" s="175"/>
      <c r="K354" s="175"/>
      <c r="L354" s="175"/>
      <c r="M354" s="175"/>
      <c r="N354" s="175"/>
      <c r="O354" s="175"/>
      <c r="P354" s="175"/>
      <c r="Q354" s="175"/>
      <c r="R354" s="175"/>
      <c r="S354" s="175"/>
      <c r="T354" s="175"/>
      <c r="U354" s="175"/>
      <c r="V354" s="175"/>
      <c r="W354" s="175"/>
      <c r="X354" s="175"/>
      <c r="Y354" s="175"/>
      <c r="Z354" s="175"/>
    </row>
    <row r="355" ht="15.75" customHeight="1">
      <c r="A355" s="174"/>
      <c r="B355" s="276"/>
      <c r="C355" s="172"/>
      <c r="D355" s="173"/>
      <c r="E355" s="174"/>
      <c r="F355" s="174"/>
      <c r="G355" s="175"/>
      <c r="H355" s="175"/>
      <c r="I355" s="175"/>
      <c r="J355" s="175"/>
      <c r="K355" s="175"/>
      <c r="L355" s="175"/>
      <c r="M355" s="175"/>
      <c r="N355" s="175"/>
      <c r="O355" s="175"/>
      <c r="P355" s="175"/>
      <c r="Q355" s="175"/>
      <c r="R355" s="175"/>
      <c r="S355" s="175"/>
      <c r="T355" s="175"/>
      <c r="U355" s="175"/>
      <c r="V355" s="175"/>
      <c r="W355" s="175"/>
      <c r="X355" s="175"/>
      <c r="Y355" s="175"/>
      <c r="Z355" s="175"/>
    </row>
    <row r="356" ht="15.75" customHeight="1">
      <c r="A356" s="174"/>
      <c r="B356" s="276"/>
      <c r="C356" s="172"/>
      <c r="D356" s="173"/>
      <c r="E356" s="174"/>
      <c r="F356" s="174"/>
      <c r="G356" s="175"/>
      <c r="H356" s="175"/>
      <c r="I356" s="175"/>
      <c r="J356" s="175"/>
      <c r="K356" s="175"/>
      <c r="L356" s="175"/>
      <c r="M356" s="175"/>
      <c r="N356" s="175"/>
      <c r="O356" s="175"/>
      <c r="P356" s="175"/>
      <c r="Q356" s="175"/>
      <c r="R356" s="175"/>
      <c r="S356" s="175"/>
      <c r="T356" s="175"/>
      <c r="U356" s="175"/>
      <c r="V356" s="175"/>
      <c r="W356" s="175"/>
      <c r="X356" s="175"/>
      <c r="Y356" s="175"/>
      <c r="Z356" s="175"/>
    </row>
    <row r="357" ht="15.75" customHeight="1">
      <c r="A357" s="174"/>
      <c r="B357" s="276"/>
      <c r="C357" s="172"/>
      <c r="D357" s="173"/>
      <c r="E357" s="174"/>
      <c r="F357" s="174"/>
      <c r="G357" s="175"/>
      <c r="H357" s="175"/>
      <c r="I357" s="175"/>
      <c r="J357" s="175"/>
      <c r="K357" s="175"/>
      <c r="L357" s="175"/>
      <c r="M357" s="175"/>
      <c r="N357" s="175"/>
      <c r="O357" s="175"/>
      <c r="P357" s="175"/>
      <c r="Q357" s="175"/>
      <c r="R357" s="175"/>
      <c r="S357" s="175"/>
      <c r="T357" s="175"/>
      <c r="U357" s="175"/>
      <c r="V357" s="175"/>
      <c r="W357" s="175"/>
      <c r="X357" s="175"/>
      <c r="Y357" s="175"/>
      <c r="Z357" s="175"/>
    </row>
    <row r="358" ht="15.75" customHeight="1">
      <c r="A358" s="174"/>
      <c r="B358" s="276"/>
      <c r="C358" s="172"/>
      <c r="D358" s="173"/>
      <c r="E358" s="174"/>
      <c r="F358" s="174"/>
      <c r="G358" s="175"/>
      <c r="H358" s="175"/>
      <c r="I358" s="175"/>
      <c r="J358" s="175"/>
      <c r="K358" s="175"/>
      <c r="L358" s="175"/>
      <c r="M358" s="175"/>
      <c r="N358" s="175"/>
      <c r="O358" s="175"/>
      <c r="P358" s="175"/>
      <c r="Q358" s="175"/>
      <c r="R358" s="175"/>
      <c r="S358" s="175"/>
      <c r="T358" s="175"/>
      <c r="U358" s="175"/>
      <c r="V358" s="175"/>
      <c r="W358" s="175"/>
      <c r="X358" s="175"/>
      <c r="Y358" s="175"/>
      <c r="Z358" s="175"/>
    </row>
    <row r="359" ht="15.75" customHeight="1">
      <c r="A359" s="174"/>
      <c r="B359" s="276"/>
      <c r="C359" s="172"/>
      <c r="D359" s="173"/>
      <c r="E359" s="174"/>
      <c r="F359" s="174"/>
      <c r="G359" s="175"/>
      <c r="H359" s="175"/>
      <c r="I359" s="175"/>
      <c r="J359" s="175"/>
      <c r="K359" s="175"/>
      <c r="L359" s="175"/>
      <c r="M359" s="175"/>
      <c r="N359" s="175"/>
      <c r="O359" s="175"/>
      <c r="P359" s="175"/>
      <c r="Q359" s="175"/>
      <c r="R359" s="175"/>
      <c r="S359" s="175"/>
      <c r="T359" s="175"/>
      <c r="U359" s="175"/>
      <c r="V359" s="175"/>
      <c r="W359" s="175"/>
      <c r="X359" s="175"/>
      <c r="Y359" s="175"/>
      <c r="Z359" s="175"/>
    </row>
    <row r="360" ht="15.75" customHeight="1">
      <c r="A360" s="174"/>
      <c r="B360" s="276"/>
      <c r="C360" s="172"/>
      <c r="D360" s="173"/>
      <c r="E360" s="174"/>
      <c r="F360" s="174"/>
      <c r="G360" s="175"/>
      <c r="H360" s="175"/>
      <c r="I360" s="175"/>
      <c r="J360" s="175"/>
      <c r="K360" s="175"/>
      <c r="L360" s="175"/>
      <c r="M360" s="175"/>
      <c r="N360" s="175"/>
      <c r="O360" s="175"/>
      <c r="P360" s="175"/>
      <c r="Q360" s="175"/>
      <c r="R360" s="175"/>
      <c r="S360" s="175"/>
      <c r="T360" s="175"/>
      <c r="U360" s="175"/>
      <c r="V360" s="175"/>
      <c r="W360" s="175"/>
      <c r="X360" s="175"/>
      <c r="Y360" s="175"/>
      <c r="Z360" s="175"/>
    </row>
    <row r="361" ht="15.75" customHeight="1">
      <c r="A361" s="174"/>
      <c r="B361" s="276"/>
      <c r="C361" s="172"/>
      <c r="D361" s="173"/>
      <c r="E361" s="174"/>
      <c r="F361" s="174"/>
      <c r="G361" s="175"/>
      <c r="H361" s="175"/>
      <c r="I361" s="175"/>
      <c r="J361" s="175"/>
      <c r="K361" s="175"/>
      <c r="L361" s="175"/>
      <c r="M361" s="175"/>
      <c r="N361" s="175"/>
      <c r="O361" s="175"/>
      <c r="P361" s="175"/>
      <c r="Q361" s="175"/>
      <c r="R361" s="175"/>
      <c r="S361" s="175"/>
      <c r="T361" s="175"/>
      <c r="U361" s="175"/>
      <c r="V361" s="175"/>
      <c r="W361" s="175"/>
      <c r="X361" s="175"/>
      <c r="Y361" s="175"/>
      <c r="Z361" s="175"/>
    </row>
    <row r="362" ht="15.75" customHeight="1">
      <c r="A362" s="174"/>
      <c r="B362" s="276"/>
      <c r="C362" s="172"/>
      <c r="D362" s="173"/>
      <c r="E362" s="174"/>
      <c r="F362" s="174"/>
      <c r="G362" s="175"/>
      <c r="H362" s="175"/>
      <c r="I362" s="175"/>
      <c r="J362" s="175"/>
      <c r="K362" s="175"/>
      <c r="L362" s="175"/>
      <c r="M362" s="175"/>
      <c r="N362" s="175"/>
      <c r="O362" s="175"/>
      <c r="P362" s="175"/>
      <c r="Q362" s="175"/>
      <c r="R362" s="175"/>
      <c r="S362" s="175"/>
      <c r="T362" s="175"/>
      <c r="U362" s="175"/>
      <c r="V362" s="175"/>
      <c r="W362" s="175"/>
      <c r="X362" s="175"/>
      <c r="Y362" s="175"/>
      <c r="Z362" s="175"/>
    </row>
    <row r="363" ht="15.75" customHeight="1">
      <c r="A363" s="174"/>
      <c r="B363" s="276"/>
      <c r="C363" s="172"/>
      <c r="D363" s="173"/>
      <c r="E363" s="174"/>
      <c r="F363" s="174"/>
      <c r="G363" s="175"/>
      <c r="H363" s="175"/>
      <c r="I363" s="175"/>
      <c r="J363" s="175"/>
      <c r="K363" s="175"/>
      <c r="L363" s="175"/>
      <c r="M363" s="175"/>
      <c r="N363" s="175"/>
      <c r="O363" s="175"/>
      <c r="P363" s="175"/>
      <c r="Q363" s="175"/>
      <c r="R363" s="175"/>
      <c r="S363" s="175"/>
      <c r="T363" s="175"/>
      <c r="U363" s="175"/>
      <c r="V363" s="175"/>
      <c r="W363" s="175"/>
      <c r="X363" s="175"/>
      <c r="Y363" s="175"/>
      <c r="Z363" s="175"/>
    </row>
    <row r="364" ht="15.75" customHeight="1">
      <c r="A364" s="174"/>
      <c r="B364" s="276"/>
      <c r="C364" s="172"/>
      <c r="D364" s="173"/>
      <c r="E364" s="174"/>
      <c r="F364" s="174"/>
      <c r="G364" s="175"/>
      <c r="H364" s="175"/>
      <c r="I364" s="175"/>
      <c r="J364" s="175"/>
      <c r="K364" s="175"/>
      <c r="L364" s="175"/>
      <c r="M364" s="175"/>
      <c r="N364" s="175"/>
      <c r="O364" s="175"/>
      <c r="P364" s="175"/>
      <c r="Q364" s="175"/>
      <c r="R364" s="175"/>
      <c r="S364" s="175"/>
      <c r="T364" s="175"/>
      <c r="U364" s="175"/>
      <c r="V364" s="175"/>
      <c r="W364" s="175"/>
      <c r="X364" s="175"/>
      <c r="Y364" s="175"/>
      <c r="Z364" s="175"/>
    </row>
    <row r="365" ht="15.75" customHeight="1">
      <c r="A365" s="174"/>
      <c r="B365" s="276"/>
      <c r="C365" s="172"/>
      <c r="D365" s="173"/>
      <c r="E365" s="174"/>
      <c r="F365" s="174"/>
      <c r="G365" s="175"/>
      <c r="H365" s="175"/>
      <c r="I365" s="175"/>
      <c r="J365" s="175"/>
      <c r="K365" s="175"/>
      <c r="L365" s="175"/>
      <c r="M365" s="175"/>
      <c r="N365" s="175"/>
      <c r="O365" s="175"/>
      <c r="P365" s="175"/>
      <c r="Q365" s="175"/>
      <c r="R365" s="175"/>
      <c r="S365" s="175"/>
      <c r="T365" s="175"/>
      <c r="U365" s="175"/>
      <c r="V365" s="175"/>
      <c r="W365" s="175"/>
      <c r="X365" s="175"/>
      <c r="Y365" s="175"/>
      <c r="Z365" s="175"/>
    </row>
    <row r="366" ht="15.75" customHeight="1">
      <c r="A366" s="174"/>
      <c r="B366" s="276"/>
      <c r="C366" s="172"/>
      <c r="D366" s="173"/>
      <c r="E366" s="174"/>
      <c r="F366" s="174"/>
      <c r="G366" s="175"/>
      <c r="H366" s="175"/>
      <c r="I366" s="175"/>
      <c r="J366" s="175"/>
      <c r="K366" s="175"/>
      <c r="L366" s="175"/>
      <c r="M366" s="175"/>
      <c r="N366" s="175"/>
      <c r="O366" s="175"/>
      <c r="P366" s="175"/>
      <c r="Q366" s="175"/>
      <c r="R366" s="175"/>
      <c r="S366" s="175"/>
      <c r="T366" s="175"/>
      <c r="U366" s="175"/>
      <c r="V366" s="175"/>
      <c r="W366" s="175"/>
      <c r="X366" s="175"/>
      <c r="Y366" s="175"/>
      <c r="Z366" s="175"/>
    </row>
    <row r="367" ht="15.75" customHeight="1">
      <c r="A367" s="174"/>
      <c r="B367" s="276"/>
      <c r="C367" s="172"/>
      <c r="D367" s="173"/>
      <c r="E367" s="174"/>
      <c r="F367" s="174"/>
      <c r="G367" s="175"/>
      <c r="H367" s="175"/>
      <c r="I367" s="175"/>
      <c r="J367" s="175"/>
      <c r="K367" s="175"/>
      <c r="L367" s="175"/>
      <c r="M367" s="175"/>
      <c r="N367" s="175"/>
      <c r="O367" s="175"/>
      <c r="P367" s="175"/>
      <c r="Q367" s="175"/>
      <c r="R367" s="175"/>
      <c r="S367" s="175"/>
      <c r="T367" s="175"/>
      <c r="U367" s="175"/>
      <c r="V367" s="175"/>
      <c r="W367" s="175"/>
      <c r="X367" s="175"/>
      <c r="Y367" s="175"/>
      <c r="Z367" s="175"/>
    </row>
    <row r="368" ht="15.75" customHeight="1">
      <c r="A368" s="174"/>
      <c r="B368" s="276"/>
      <c r="C368" s="172"/>
      <c r="D368" s="173"/>
      <c r="E368" s="174"/>
      <c r="F368" s="174"/>
      <c r="G368" s="175"/>
      <c r="H368" s="175"/>
      <c r="I368" s="175"/>
      <c r="J368" s="175"/>
      <c r="K368" s="175"/>
      <c r="L368" s="175"/>
      <c r="M368" s="175"/>
      <c r="N368" s="175"/>
      <c r="O368" s="175"/>
      <c r="P368" s="175"/>
      <c r="Q368" s="175"/>
      <c r="R368" s="175"/>
      <c r="S368" s="175"/>
      <c r="T368" s="175"/>
      <c r="U368" s="175"/>
      <c r="V368" s="175"/>
      <c r="W368" s="175"/>
      <c r="X368" s="175"/>
      <c r="Y368" s="175"/>
      <c r="Z368" s="175"/>
    </row>
    <row r="369" ht="15.75" customHeight="1">
      <c r="A369" s="174"/>
      <c r="B369" s="276"/>
      <c r="C369" s="172"/>
      <c r="D369" s="173"/>
      <c r="E369" s="174"/>
      <c r="F369" s="174"/>
      <c r="G369" s="175"/>
      <c r="H369" s="175"/>
      <c r="I369" s="175"/>
      <c r="J369" s="175"/>
      <c r="K369" s="175"/>
      <c r="L369" s="175"/>
      <c r="M369" s="175"/>
      <c r="N369" s="175"/>
      <c r="O369" s="175"/>
      <c r="P369" s="175"/>
      <c r="Q369" s="175"/>
      <c r="R369" s="175"/>
      <c r="S369" s="175"/>
      <c r="T369" s="175"/>
      <c r="U369" s="175"/>
      <c r="V369" s="175"/>
      <c r="W369" s="175"/>
      <c r="X369" s="175"/>
      <c r="Y369" s="175"/>
      <c r="Z369" s="175"/>
    </row>
    <row r="370" ht="15.75" customHeight="1">
      <c r="A370" s="174"/>
      <c r="B370" s="276"/>
      <c r="C370" s="172"/>
      <c r="D370" s="173"/>
      <c r="E370" s="174"/>
      <c r="F370" s="174"/>
      <c r="G370" s="175"/>
      <c r="H370" s="175"/>
      <c r="I370" s="175"/>
      <c r="J370" s="175"/>
      <c r="K370" s="175"/>
      <c r="L370" s="175"/>
      <c r="M370" s="175"/>
      <c r="N370" s="175"/>
      <c r="O370" s="175"/>
      <c r="P370" s="175"/>
      <c r="Q370" s="175"/>
      <c r="R370" s="175"/>
      <c r="S370" s="175"/>
      <c r="T370" s="175"/>
      <c r="U370" s="175"/>
      <c r="V370" s="175"/>
      <c r="W370" s="175"/>
      <c r="X370" s="175"/>
      <c r="Y370" s="175"/>
      <c r="Z370" s="175"/>
    </row>
    <row r="371" ht="15.75" customHeight="1">
      <c r="A371" s="174"/>
      <c r="B371" s="276"/>
      <c r="C371" s="172"/>
      <c r="D371" s="173"/>
      <c r="E371" s="174"/>
      <c r="F371" s="174"/>
      <c r="G371" s="175"/>
      <c r="H371" s="175"/>
      <c r="I371" s="175"/>
      <c r="J371" s="175"/>
      <c r="K371" s="175"/>
      <c r="L371" s="175"/>
      <c r="M371" s="175"/>
      <c r="N371" s="175"/>
      <c r="O371" s="175"/>
      <c r="P371" s="175"/>
      <c r="Q371" s="175"/>
      <c r="R371" s="175"/>
      <c r="S371" s="175"/>
      <c r="T371" s="175"/>
      <c r="U371" s="175"/>
      <c r="V371" s="175"/>
      <c r="W371" s="175"/>
      <c r="X371" s="175"/>
      <c r="Y371" s="175"/>
      <c r="Z371" s="175"/>
    </row>
    <row r="372" ht="15.75" customHeight="1">
      <c r="A372" s="174"/>
      <c r="B372" s="276"/>
      <c r="C372" s="172"/>
      <c r="D372" s="173"/>
      <c r="E372" s="174"/>
      <c r="F372" s="174"/>
      <c r="G372" s="175"/>
      <c r="H372" s="175"/>
      <c r="I372" s="175"/>
      <c r="J372" s="175"/>
      <c r="K372" s="175"/>
      <c r="L372" s="175"/>
      <c r="M372" s="175"/>
      <c r="N372" s="175"/>
      <c r="O372" s="175"/>
      <c r="P372" s="175"/>
      <c r="Q372" s="175"/>
      <c r="R372" s="175"/>
      <c r="S372" s="175"/>
      <c r="T372" s="175"/>
      <c r="U372" s="175"/>
      <c r="V372" s="175"/>
      <c r="W372" s="175"/>
      <c r="X372" s="175"/>
      <c r="Y372" s="175"/>
      <c r="Z372" s="175"/>
    </row>
    <row r="373" ht="15.75" customHeight="1">
      <c r="A373" s="174"/>
      <c r="B373" s="276"/>
      <c r="C373" s="172"/>
      <c r="D373" s="173"/>
      <c r="E373" s="174"/>
      <c r="F373" s="174"/>
      <c r="G373" s="175"/>
      <c r="H373" s="175"/>
      <c r="I373" s="175"/>
      <c r="J373" s="175"/>
      <c r="K373" s="175"/>
      <c r="L373" s="175"/>
      <c r="M373" s="175"/>
      <c r="N373" s="175"/>
      <c r="O373" s="175"/>
      <c r="P373" s="175"/>
      <c r="Q373" s="175"/>
      <c r="R373" s="175"/>
      <c r="S373" s="175"/>
      <c r="T373" s="175"/>
      <c r="U373" s="175"/>
      <c r="V373" s="175"/>
      <c r="W373" s="175"/>
      <c r="X373" s="175"/>
      <c r="Y373" s="175"/>
      <c r="Z373" s="175"/>
    </row>
    <row r="374" ht="15.75" customHeight="1">
      <c r="A374" s="174"/>
      <c r="B374" s="276"/>
      <c r="C374" s="172"/>
      <c r="D374" s="173"/>
      <c r="E374" s="174"/>
      <c r="F374" s="174"/>
      <c r="G374" s="175"/>
      <c r="H374" s="175"/>
      <c r="I374" s="175"/>
      <c r="J374" s="175"/>
      <c r="K374" s="175"/>
      <c r="L374" s="175"/>
      <c r="M374" s="175"/>
      <c r="N374" s="175"/>
      <c r="O374" s="175"/>
      <c r="P374" s="175"/>
      <c r="Q374" s="175"/>
      <c r="R374" s="175"/>
      <c r="S374" s="175"/>
      <c r="T374" s="175"/>
      <c r="U374" s="175"/>
      <c r="V374" s="175"/>
      <c r="W374" s="175"/>
      <c r="X374" s="175"/>
      <c r="Y374" s="175"/>
      <c r="Z374" s="175"/>
    </row>
    <row r="375" ht="15.75" customHeight="1">
      <c r="A375" s="174"/>
      <c r="B375" s="276"/>
      <c r="C375" s="172"/>
      <c r="D375" s="173"/>
      <c r="E375" s="174"/>
      <c r="F375" s="174"/>
      <c r="G375" s="175"/>
      <c r="H375" s="175"/>
      <c r="I375" s="175"/>
      <c r="J375" s="175"/>
      <c r="K375" s="175"/>
      <c r="L375" s="175"/>
      <c r="M375" s="175"/>
      <c r="N375" s="175"/>
      <c r="O375" s="175"/>
      <c r="P375" s="175"/>
      <c r="Q375" s="175"/>
      <c r="R375" s="175"/>
      <c r="S375" s="175"/>
      <c r="T375" s="175"/>
      <c r="U375" s="175"/>
      <c r="V375" s="175"/>
      <c r="W375" s="175"/>
      <c r="X375" s="175"/>
      <c r="Y375" s="175"/>
      <c r="Z375" s="175"/>
    </row>
    <row r="376" ht="15.75" customHeight="1">
      <c r="A376" s="174"/>
      <c r="B376" s="276"/>
      <c r="C376" s="172"/>
      <c r="D376" s="173"/>
      <c r="E376" s="174"/>
      <c r="F376" s="174"/>
      <c r="G376" s="175"/>
      <c r="H376" s="175"/>
      <c r="I376" s="175"/>
      <c r="J376" s="175"/>
      <c r="K376" s="175"/>
      <c r="L376" s="175"/>
      <c r="M376" s="175"/>
      <c r="N376" s="175"/>
      <c r="O376" s="175"/>
      <c r="P376" s="175"/>
      <c r="Q376" s="175"/>
      <c r="R376" s="175"/>
      <c r="S376" s="175"/>
      <c r="T376" s="175"/>
      <c r="U376" s="175"/>
      <c r="V376" s="175"/>
      <c r="W376" s="175"/>
      <c r="X376" s="175"/>
      <c r="Y376" s="175"/>
      <c r="Z376" s="175"/>
    </row>
    <row r="377" ht="15.75" customHeight="1">
      <c r="A377" s="174"/>
      <c r="B377" s="276"/>
      <c r="C377" s="172"/>
      <c r="D377" s="173"/>
      <c r="E377" s="174"/>
      <c r="F377" s="174"/>
      <c r="G377" s="175"/>
      <c r="H377" s="175"/>
      <c r="I377" s="175"/>
      <c r="J377" s="175"/>
      <c r="K377" s="175"/>
      <c r="L377" s="175"/>
      <c r="M377" s="175"/>
      <c r="N377" s="175"/>
      <c r="O377" s="175"/>
      <c r="P377" s="175"/>
      <c r="Q377" s="175"/>
      <c r="R377" s="175"/>
      <c r="S377" s="175"/>
      <c r="T377" s="175"/>
      <c r="U377" s="175"/>
      <c r="V377" s="175"/>
      <c r="W377" s="175"/>
      <c r="X377" s="175"/>
      <c r="Y377" s="175"/>
      <c r="Z377" s="175"/>
    </row>
    <row r="378" ht="15.75" customHeight="1">
      <c r="A378" s="174"/>
      <c r="B378" s="276"/>
      <c r="C378" s="172"/>
      <c r="D378" s="173"/>
      <c r="E378" s="174"/>
      <c r="F378" s="174"/>
      <c r="G378" s="175"/>
      <c r="H378" s="175"/>
      <c r="I378" s="175"/>
      <c r="J378" s="175"/>
      <c r="K378" s="175"/>
      <c r="L378" s="175"/>
      <c r="M378" s="175"/>
      <c r="N378" s="175"/>
      <c r="O378" s="175"/>
      <c r="P378" s="175"/>
      <c r="Q378" s="175"/>
      <c r="R378" s="175"/>
      <c r="S378" s="175"/>
      <c r="T378" s="175"/>
      <c r="U378" s="175"/>
      <c r="V378" s="175"/>
      <c r="W378" s="175"/>
      <c r="X378" s="175"/>
      <c r="Y378" s="175"/>
      <c r="Z378" s="175"/>
    </row>
    <row r="379" ht="15.75" customHeight="1">
      <c r="A379" s="174"/>
      <c r="B379" s="276"/>
      <c r="C379" s="172"/>
      <c r="D379" s="173"/>
      <c r="E379" s="174"/>
      <c r="F379" s="174"/>
      <c r="G379" s="175"/>
      <c r="H379" s="175"/>
      <c r="I379" s="175"/>
      <c r="J379" s="175"/>
      <c r="K379" s="175"/>
      <c r="L379" s="175"/>
      <c r="M379" s="175"/>
      <c r="N379" s="175"/>
      <c r="O379" s="175"/>
      <c r="P379" s="175"/>
      <c r="Q379" s="175"/>
      <c r="R379" s="175"/>
      <c r="S379" s="175"/>
      <c r="T379" s="175"/>
      <c r="U379" s="175"/>
      <c r="V379" s="175"/>
      <c r="W379" s="175"/>
      <c r="X379" s="175"/>
      <c r="Y379" s="175"/>
      <c r="Z379" s="175"/>
    </row>
    <row r="380" ht="15.75" customHeight="1">
      <c r="A380" s="174"/>
      <c r="B380" s="276"/>
      <c r="C380" s="172"/>
      <c r="D380" s="173"/>
      <c r="E380" s="174"/>
      <c r="F380" s="174"/>
      <c r="G380" s="175"/>
      <c r="H380" s="175"/>
      <c r="I380" s="175"/>
      <c r="J380" s="175"/>
      <c r="K380" s="175"/>
      <c r="L380" s="175"/>
      <c r="M380" s="175"/>
      <c r="N380" s="175"/>
      <c r="O380" s="175"/>
      <c r="P380" s="175"/>
      <c r="Q380" s="175"/>
      <c r="R380" s="175"/>
      <c r="S380" s="175"/>
      <c r="T380" s="175"/>
      <c r="U380" s="175"/>
      <c r="V380" s="175"/>
      <c r="W380" s="175"/>
      <c r="X380" s="175"/>
      <c r="Y380" s="175"/>
      <c r="Z380" s="175"/>
    </row>
    <row r="381" ht="15.75" customHeight="1">
      <c r="A381" s="174"/>
      <c r="B381" s="276"/>
      <c r="C381" s="172"/>
      <c r="D381" s="173"/>
      <c r="E381" s="174"/>
      <c r="F381" s="174"/>
      <c r="G381" s="175"/>
      <c r="H381" s="175"/>
      <c r="I381" s="175"/>
      <c r="J381" s="175"/>
      <c r="K381" s="175"/>
      <c r="L381" s="175"/>
      <c r="M381" s="175"/>
      <c r="N381" s="175"/>
      <c r="O381" s="175"/>
      <c r="P381" s="175"/>
      <c r="Q381" s="175"/>
      <c r="R381" s="175"/>
      <c r="S381" s="175"/>
      <c r="T381" s="175"/>
      <c r="U381" s="175"/>
      <c r="V381" s="175"/>
      <c r="W381" s="175"/>
      <c r="X381" s="175"/>
      <c r="Y381" s="175"/>
      <c r="Z381" s="175"/>
    </row>
    <row r="382" ht="15.75" customHeight="1">
      <c r="A382" s="174"/>
      <c r="B382" s="276"/>
      <c r="C382" s="172"/>
      <c r="D382" s="173"/>
      <c r="E382" s="174"/>
      <c r="F382" s="174"/>
      <c r="G382" s="175"/>
      <c r="H382" s="175"/>
      <c r="I382" s="175"/>
      <c r="J382" s="175"/>
      <c r="K382" s="175"/>
      <c r="L382" s="175"/>
      <c r="M382" s="175"/>
      <c r="N382" s="175"/>
      <c r="O382" s="175"/>
      <c r="P382" s="175"/>
      <c r="Q382" s="175"/>
      <c r="R382" s="175"/>
      <c r="S382" s="175"/>
      <c r="T382" s="175"/>
      <c r="U382" s="175"/>
      <c r="V382" s="175"/>
      <c r="W382" s="175"/>
      <c r="X382" s="175"/>
      <c r="Y382" s="175"/>
      <c r="Z382" s="175"/>
    </row>
    <row r="383" ht="15.75" customHeight="1">
      <c r="A383" s="174"/>
      <c r="B383" s="276"/>
      <c r="C383" s="172"/>
      <c r="D383" s="173"/>
      <c r="E383" s="174"/>
      <c r="F383" s="174"/>
      <c r="G383" s="175"/>
      <c r="H383" s="175"/>
      <c r="I383" s="175"/>
      <c r="J383" s="175"/>
      <c r="K383" s="175"/>
      <c r="L383" s="175"/>
      <c r="M383" s="175"/>
      <c r="N383" s="175"/>
      <c r="O383" s="175"/>
      <c r="P383" s="175"/>
      <c r="Q383" s="175"/>
      <c r="R383" s="175"/>
      <c r="S383" s="175"/>
      <c r="T383" s="175"/>
      <c r="U383" s="175"/>
      <c r="V383" s="175"/>
      <c r="W383" s="175"/>
      <c r="X383" s="175"/>
      <c r="Y383" s="175"/>
      <c r="Z383" s="175"/>
    </row>
    <row r="384" ht="15.75" customHeight="1">
      <c r="A384" s="174"/>
      <c r="B384" s="276"/>
      <c r="C384" s="172"/>
      <c r="D384" s="173"/>
      <c r="E384" s="174"/>
      <c r="F384" s="174"/>
      <c r="G384" s="175"/>
      <c r="H384" s="175"/>
      <c r="I384" s="175"/>
      <c r="J384" s="175"/>
      <c r="K384" s="175"/>
      <c r="L384" s="175"/>
      <c r="M384" s="175"/>
      <c r="N384" s="175"/>
      <c r="O384" s="175"/>
      <c r="P384" s="175"/>
      <c r="Q384" s="175"/>
      <c r="R384" s="175"/>
      <c r="S384" s="175"/>
      <c r="T384" s="175"/>
      <c r="U384" s="175"/>
      <c r="V384" s="175"/>
      <c r="W384" s="175"/>
      <c r="X384" s="175"/>
      <c r="Y384" s="175"/>
      <c r="Z384" s="175"/>
    </row>
    <row r="385" ht="15.75" customHeight="1">
      <c r="A385" s="174"/>
      <c r="B385" s="276"/>
      <c r="C385" s="172"/>
      <c r="D385" s="173"/>
      <c r="E385" s="174"/>
      <c r="F385" s="174"/>
      <c r="G385" s="175"/>
      <c r="H385" s="175"/>
      <c r="I385" s="175"/>
      <c r="J385" s="175"/>
      <c r="K385" s="175"/>
      <c r="L385" s="175"/>
      <c r="M385" s="175"/>
      <c r="N385" s="175"/>
      <c r="O385" s="175"/>
      <c r="P385" s="175"/>
      <c r="Q385" s="175"/>
      <c r="R385" s="175"/>
      <c r="S385" s="175"/>
      <c r="T385" s="175"/>
      <c r="U385" s="175"/>
      <c r="V385" s="175"/>
      <c r="W385" s="175"/>
      <c r="X385" s="175"/>
      <c r="Y385" s="175"/>
      <c r="Z385" s="175"/>
    </row>
    <row r="386" ht="15.75" customHeight="1">
      <c r="A386" s="174"/>
      <c r="B386" s="276"/>
      <c r="C386" s="172"/>
      <c r="D386" s="173"/>
      <c r="E386" s="174"/>
      <c r="F386" s="174"/>
      <c r="G386" s="175"/>
      <c r="H386" s="175"/>
      <c r="I386" s="175"/>
      <c r="J386" s="175"/>
      <c r="K386" s="175"/>
      <c r="L386" s="175"/>
      <c r="M386" s="175"/>
      <c r="N386" s="175"/>
      <c r="O386" s="175"/>
      <c r="P386" s="175"/>
      <c r="Q386" s="175"/>
      <c r="R386" s="175"/>
      <c r="S386" s="175"/>
      <c r="T386" s="175"/>
      <c r="U386" s="175"/>
      <c r="V386" s="175"/>
      <c r="W386" s="175"/>
      <c r="X386" s="175"/>
      <c r="Y386" s="175"/>
      <c r="Z386" s="175"/>
    </row>
    <row r="387" ht="15.75" customHeight="1">
      <c r="A387" s="174"/>
      <c r="B387" s="276"/>
      <c r="C387" s="172"/>
      <c r="D387" s="173"/>
      <c r="E387" s="174"/>
      <c r="F387" s="174"/>
      <c r="G387" s="175"/>
      <c r="H387" s="175"/>
      <c r="I387" s="175"/>
      <c r="J387" s="175"/>
      <c r="K387" s="175"/>
      <c r="L387" s="175"/>
      <c r="M387" s="175"/>
      <c r="N387" s="175"/>
      <c r="O387" s="175"/>
      <c r="P387" s="175"/>
      <c r="Q387" s="175"/>
      <c r="R387" s="175"/>
      <c r="S387" s="175"/>
      <c r="T387" s="175"/>
      <c r="U387" s="175"/>
      <c r="V387" s="175"/>
      <c r="W387" s="175"/>
      <c r="X387" s="175"/>
      <c r="Y387" s="175"/>
      <c r="Z387" s="175"/>
    </row>
    <row r="388" ht="15.75" customHeight="1">
      <c r="A388" s="174"/>
      <c r="B388" s="276"/>
      <c r="C388" s="172"/>
      <c r="D388" s="173"/>
      <c r="E388" s="174"/>
      <c r="F388" s="174"/>
      <c r="G388" s="175"/>
      <c r="H388" s="175"/>
      <c r="I388" s="175"/>
      <c r="J388" s="175"/>
      <c r="K388" s="175"/>
      <c r="L388" s="175"/>
      <c r="M388" s="175"/>
      <c r="N388" s="175"/>
      <c r="O388" s="175"/>
      <c r="P388" s="175"/>
      <c r="Q388" s="175"/>
      <c r="R388" s="175"/>
      <c r="S388" s="175"/>
      <c r="T388" s="175"/>
      <c r="U388" s="175"/>
      <c r="V388" s="175"/>
      <c r="W388" s="175"/>
      <c r="X388" s="175"/>
      <c r="Y388" s="175"/>
      <c r="Z388" s="175"/>
    </row>
    <row r="389" ht="15.75" customHeight="1">
      <c r="A389" s="174"/>
      <c r="B389" s="276"/>
      <c r="C389" s="172"/>
      <c r="D389" s="173"/>
      <c r="E389" s="174"/>
      <c r="F389" s="174"/>
      <c r="G389" s="175"/>
      <c r="H389" s="175"/>
      <c r="I389" s="175"/>
      <c r="J389" s="175"/>
      <c r="K389" s="175"/>
      <c r="L389" s="175"/>
      <c r="M389" s="175"/>
      <c r="N389" s="175"/>
      <c r="O389" s="175"/>
      <c r="P389" s="175"/>
      <c r="Q389" s="175"/>
      <c r="R389" s="175"/>
      <c r="S389" s="175"/>
      <c r="T389" s="175"/>
      <c r="U389" s="175"/>
      <c r="V389" s="175"/>
      <c r="W389" s="175"/>
      <c r="X389" s="175"/>
      <c r="Y389" s="175"/>
      <c r="Z389" s="175"/>
    </row>
    <row r="390" ht="15.75" customHeight="1">
      <c r="A390" s="174"/>
      <c r="B390" s="276"/>
      <c r="C390" s="172"/>
      <c r="D390" s="173"/>
      <c r="E390" s="174"/>
      <c r="F390" s="174"/>
      <c r="G390" s="175"/>
      <c r="H390" s="175"/>
      <c r="I390" s="175"/>
      <c r="J390" s="175"/>
      <c r="K390" s="175"/>
      <c r="L390" s="175"/>
      <c r="M390" s="175"/>
      <c r="N390" s="175"/>
      <c r="O390" s="175"/>
      <c r="P390" s="175"/>
      <c r="Q390" s="175"/>
      <c r="R390" s="175"/>
      <c r="S390" s="175"/>
      <c r="T390" s="175"/>
      <c r="U390" s="175"/>
      <c r="V390" s="175"/>
      <c r="W390" s="175"/>
      <c r="X390" s="175"/>
      <c r="Y390" s="175"/>
      <c r="Z390" s="175"/>
    </row>
    <row r="391" ht="15.75" customHeight="1">
      <c r="A391" s="174"/>
      <c r="B391" s="276"/>
      <c r="C391" s="172"/>
      <c r="D391" s="173"/>
      <c r="E391" s="174"/>
      <c r="F391" s="174"/>
      <c r="G391" s="175"/>
      <c r="H391" s="175"/>
      <c r="I391" s="175"/>
      <c r="J391" s="175"/>
      <c r="K391" s="175"/>
      <c r="L391" s="175"/>
      <c r="M391" s="175"/>
      <c r="N391" s="175"/>
      <c r="O391" s="175"/>
      <c r="P391" s="175"/>
      <c r="Q391" s="175"/>
      <c r="R391" s="175"/>
      <c r="S391" s="175"/>
      <c r="T391" s="175"/>
      <c r="U391" s="175"/>
      <c r="V391" s="175"/>
      <c r="W391" s="175"/>
      <c r="X391" s="175"/>
      <c r="Y391" s="175"/>
      <c r="Z391" s="175"/>
    </row>
    <row r="392" ht="15.75" customHeight="1">
      <c r="A392" s="174"/>
      <c r="B392" s="276"/>
      <c r="C392" s="172"/>
      <c r="D392" s="173"/>
      <c r="E392" s="174"/>
      <c r="F392" s="174"/>
      <c r="G392" s="175"/>
      <c r="H392" s="175"/>
      <c r="I392" s="175"/>
      <c r="J392" s="175"/>
      <c r="K392" s="175"/>
      <c r="L392" s="175"/>
      <c r="M392" s="175"/>
      <c r="N392" s="175"/>
      <c r="O392" s="175"/>
      <c r="P392" s="175"/>
      <c r="Q392" s="175"/>
      <c r="R392" s="175"/>
      <c r="S392" s="175"/>
      <c r="T392" s="175"/>
      <c r="U392" s="175"/>
      <c r="V392" s="175"/>
      <c r="W392" s="175"/>
      <c r="X392" s="175"/>
      <c r="Y392" s="175"/>
      <c r="Z392" s="175"/>
    </row>
    <row r="393" ht="15.75" customHeight="1">
      <c r="A393" s="174"/>
      <c r="B393" s="276"/>
      <c r="C393" s="172"/>
      <c r="D393" s="173"/>
      <c r="E393" s="174"/>
      <c r="F393" s="174"/>
      <c r="G393" s="175"/>
      <c r="H393" s="175"/>
      <c r="I393" s="175"/>
      <c r="J393" s="175"/>
      <c r="K393" s="175"/>
      <c r="L393" s="175"/>
      <c r="M393" s="175"/>
      <c r="N393" s="175"/>
      <c r="O393" s="175"/>
      <c r="P393" s="175"/>
      <c r="Q393" s="175"/>
      <c r="R393" s="175"/>
      <c r="S393" s="175"/>
      <c r="T393" s="175"/>
      <c r="U393" s="175"/>
      <c r="V393" s="175"/>
      <c r="W393" s="175"/>
      <c r="X393" s="175"/>
      <c r="Y393" s="175"/>
      <c r="Z393" s="175"/>
    </row>
    <row r="394" ht="15.75" customHeight="1">
      <c r="A394" s="174"/>
      <c r="B394" s="276"/>
      <c r="C394" s="172"/>
      <c r="D394" s="173"/>
      <c r="E394" s="174"/>
      <c r="F394" s="174"/>
      <c r="G394" s="175"/>
      <c r="H394" s="175"/>
      <c r="I394" s="175"/>
      <c r="J394" s="175"/>
      <c r="K394" s="175"/>
      <c r="L394" s="175"/>
      <c r="M394" s="175"/>
      <c r="N394" s="175"/>
      <c r="O394" s="175"/>
      <c r="P394" s="175"/>
      <c r="Q394" s="175"/>
      <c r="R394" s="175"/>
      <c r="S394" s="175"/>
      <c r="T394" s="175"/>
      <c r="U394" s="175"/>
      <c r="V394" s="175"/>
      <c r="W394" s="175"/>
      <c r="X394" s="175"/>
      <c r="Y394" s="175"/>
      <c r="Z394" s="175"/>
    </row>
    <row r="395" ht="15.75" customHeight="1">
      <c r="A395" s="174"/>
      <c r="B395" s="276"/>
      <c r="C395" s="172"/>
      <c r="D395" s="173"/>
      <c r="E395" s="174"/>
      <c r="F395" s="174"/>
      <c r="G395" s="175"/>
      <c r="H395" s="175"/>
      <c r="I395" s="175"/>
      <c r="J395" s="175"/>
      <c r="K395" s="175"/>
      <c r="L395" s="175"/>
      <c r="M395" s="175"/>
      <c r="N395" s="175"/>
      <c r="O395" s="175"/>
      <c r="P395" s="175"/>
      <c r="Q395" s="175"/>
      <c r="R395" s="175"/>
      <c r="S395" s="175"/>
      <c r="T395" s="175"/>
      <c r="U395" s="175"/>
      <c r="V395" s="175"/>
      <c r="W395" s="175"/>
      <c r="X395" s="175"/>
      <c r="Y395" s="175"/>
      <c r="Z395" s="175"/>
    </row>
    <row r="396" ht="15.75" customHeight="1">
      <c r="A396" s="174"/>
      <c r="B396" s="276"/>
      <c r="C396" s="172"/>
      <c r="D396" s="173"/>
      <c r="E396" s="174"/>
      <c r="F396" s="174"/>
      <c r="G396" s="175"/>
      <c r="H396" s="175"/>
      <c r="I396" s="175"/>
      <c r="J396" s="175"/>
      <c r="K396" s="175"/>
      <c r="L396" s="175"/>
      <c r="M396" s="175"/>
      <c r="N396" s="175"/>
      <c r="O396" s="175"/>
      <c r="P396" s="175"/>
      <c r="Q396" s="175"/>
      <c r="R396" s="175"/>
      <c r="S396" s="175"/>
      <c r="T396" s="175"/>
      <c r="U396" s="175"/>
      <c r="V396" s="175"/>
      <c r="W396" s="175"/>
      <c r="X396" s="175"/>
      <c r="Y396" s="175"/>
      <c r="Z396" s="175"/>
    </row>
    <row r="397" ht="15.75" customHeight="1">
      <c r="A397" s="174"/>
      <c r="B397" s="276"/>
      <c r="C397" s="172"/>
      <c r="D397" s="173"/>
      <c r="E397" s="174"/>
      <c r="F397" s="174"/>
      <c r="G397" s="175"/>
      <c r="H397" s="175"/>
      <c r="I397" s="175"/>
      <c r="J397" s="175"/>
      <c r="K397" s="175"/>
      <c r="L397" s="175"/>
      <c r="M397" s="175"/>
      <c r="N397" s="175"/>
      <c r="O397" s="175"/>
      <c r="P397" s="175"/>
      <c r="Q397" s="175"/>
      <c r="R397" s="175"/>
      <c r="S397" s="175"/>
      <c r="T397" s="175"/>
      <c r="U397" s="175"/>
      <c r="V397" s="175"/>
      <c r="W397" s="175"/>
      <c r="X397" s="175"/>
      <c r="Y397" s="175"/>
      <c r="Z397" s="175"/>
    </row>
    <row r="398" ht="15.75" customHeight="1">
      <c r="A398" s="174"/>
      <c r="B398" s="276"/>
      <c r="C398" s="172"/>
      <c r="D398" s="173"/>
      <c r="E398" s="174"/>
      <c r="F398" s="174"/>
      <c r="G398" s="175"/>
      <c r="H398" s="175"/>
      <c r="I398" s="175"/>
      <c r="J398" s="175"/>
      <c r="K398" s="175"/>
      <c r="L398" s="175"/>
      <c r="M398" s="175"/>
      <c r="N398" s="175"/>
      <c r="O398" s="175"/>
      <c r="P398" s="175"/>
      <c r="Q398" s="175"/>
      <c r="R398" s="175"/>
      <c r="S398" s="175"/>
      <c r="T398" s="175"/>
      <c r="U398" s="175"/>
      <c r="V398" s="175"/>
      <c r="W398" s="175"/>
      <c r="X398" s="175"/>
      <c r="Y398" s="175"/>
      <c r="Z398" s="175"/>
    </row>
    <row r="399" ht="15.75" customHeight="1">
      <c r="A399" s="174"/>
      <c r="B399" s="276"/>
      <c r="C399" s="172"/>
      <c r="D399" s="173"/>
      <c r="E399" s="174"/>
      <c r="F399" s="174"/>
      <c r="G399" s="175"/>
      <c r="H399" s="175"/>
      <c r="I399" s="175"/>
      <c r="J399" s="175"/>
      <c r="K399" s="175"/>
      <c r="L399" s="175"/>
      <c r="M399" s="175"/>
      <c r="N399" s="175"/>
      <c r="O399" s="175"/>
      <c r="P399" s="175"/>
      <c r="Q399" s="175"/>
      <c r="R399" s="175"/>
      <c r="S399" s="175"/>
      <c r="T399" s="175"/>
      <c r="U399" s="175"/>
      <c r="V399" s="175"/>
      <c r="W399" s="175"/>
      <c r="X399" s="175"/>
      <c r="Y399" s="175"/>
      <c r="Z399" s="175"/>
    </row>
    <row r="400" ht="15.75" customHeight="1">
      <c r="A400" s="174"/>
      <c r="B400" s="276"/>
      <c r="C400" s="172"/>
      <c r="D400" s="173"/>
      <c r="E400" s="174"/>
      <c r="F400" s="174"/>
      <c r="G400" s="175"/>
      <c r="H400" s="175"/>
      <c r="I400" s="175"/>
      <c r="J400" s="175"/>
      <c r="K400" s="175"/>
      <c r="L400" s="175"/>
      <c r="M400" s="175"/>
      <c r="N400" s="175"/>
      <c r="O400" s="175"/>
      <c r="P400" s="175"/>
      <c r="Q400" s="175"/>
      <c r="R400" s="175"/>
      <c r="S400" s="175"/>
      <c r="T400" s="175"/>
      <c r="U400" s="175"/>
      <c r="V400" s="175"/>
      <c r="W400" s="175"/>
      <c r="X400" s="175"/>
      <c r="Y400" s="175"/>
      <c r="Z400" s="175"/>
    </row>
    <row r="401" ht="15.75" customHeight="1">
      <c r="A401" s="174"/>
      <c r="B401" s="276"/>
      <c r="C401" s="172"/>
      <c r="D401" s="173"/>
      <c r="E401" s="174"/>
      <c r="F401" s="174"/>
      <c r="G401" s="175"/>
      <c r="H401" s="175"/>
      <c r="I401" s="175"/>
      <c r="J401" s="175"/>
      <c r="K401" s="175"/>
      <c r="L401" s="175"/>
      <c r="M401" s="175"/>
      <c r="N401" s="175"/>
      <c r="O401" s="175"/>
      <c r="P401" s="175"/>
      <c r="Q401" s="175"/>
      <c r="R401" s="175"/>
      <c r="S401" s="175"/>
      <c r="T401" s="175"/>
      <c r="U401" s="175"/>
      <c r="V401" s="175"/>
      <c r="W401" s="175"/>
      <c r="X401" s="175"/>
      <c r="Y401" s="175"/>
      <c r="Z401" s="175"/>
    </row>
    <row r="402" ht="15.75" customHeight="1">
      <c r="A402" s="174"/>
      <c r="B402" s="276"/>
      <c r="C402" s="172"/>
      <c r="D402" s="173"/>
      <c r="E402" s="174"/>
      <c r="F402" s="174"/>
      <c r="G402" s="175"/>
      <c r="H402" s="175"/>
      <c r="I402" s="175"/>
      <c r="J402" s="175"/>
      <c r="K402" s="175"/>
      <c r="L402" s="175"/>
      <c r="M402" s="175"/>
      <c r="N402" s="175"/>
      <c r="O402" s="175"/>
      <c r="P402" s="175"/>
      <c r="Q402" s="175"/>
      <c r="R402" s="175"/>
      <c r="S402" s="175"/>
      <c r="T402" s="175"/>
      <c r="U402" s="175"/>
      <c r="V402" s="175"/>
      <c r="W402" s="175"/>
      <c r="X402" s="175"/>
      <c r="Y402" s="175"/>
      <c r="Z402" s="175"/>
    </row>
    <row r="403" ht="15.75" customHeight="1">
      <c r="A403" s="174"/>
      <c r="B403" s="276"/>
      <c r="C403" s="172"/>
      <c r="D403" s="173"/>
      <c r="E403" s="174"/>
      <c r="F403" s="174"/>
      <c r="G403" s="175"/>
      <c r="H403" s="175"/>
      <c r="I403" s="175"/>
      <c r="J403" s="175"/>
      <c r="K403" s="175"/>
      <c r="L403" s="175"/>
      <c r="M403" s="175"/>
      <c r="N403" s="175"/>
      <c r="O403" s="175"/>
      <c r="P403" s="175"/>
      <c r="Q403" s="175"/>
      <c r="R403" s="175"/>
      <c r="S403" s="175"/>
      <c r="T403" s="175"/>
      <c r="U403" s="175"/>
      <c r="V403" s="175"/>
      <c r="W403" s="175"/>
      <c r="X403" s="175"/>
      <c r="Y403" s="175"/>
      <c r="Z403" s="175"/>
    </row>
    <row r="404" ht="15.75" customHeight="1">
      <c r="A404" s="174"/>
      <c r="B404" s="276"/>
      <c r="C404" s="172"/>
      <c r="D404" s="173"/>
      <c r="E404" s="174"/>
      <c r="F404" s="174"/>
      <c r="G404" s="175"/>
      <c r="H404" s="175"/>
      <c r="I404" s="175"/>
      <c r="J404" s="175"/>
      <c r="K404" s="175"/>
      <c r="L404" s="175"/>
      <c r="M404" s="175"/>
      <c r="N404" s="175"/>
      <c r="O404" s="175"/>
      <c r="P404" s="175"/>
      <c r="Q404" s="175"/>
      <c r="R404" s="175"/>
      <c r="S404" s="175"/>
      <c r="T404" s="175"/>
      <c r="U404" s="175"/>
      <c r="V404" s="175"/>
      <c r="W404" s="175"/>
      <c r="X404" s="175"/>
      <c r="Y404" s="175"/>
      <c r="Z404" s="175"/>
    </row>
    <row r="405" ht="15.75" customHeight="1">
      <c r="A405" s="174"/>
      <c r="B405" s="276"/>
      <c r="C405" s="172"/>
      <c r="D405" s="173"/>
      <c r="E405" s="174"/>
      <c r="F405" s="174"/>
      <c r="G405" s="175"/>
      <c r="H405" s="175"/>
      <c r="I405" s="175"/>
      <c r="J405" s="175"/>
      <c r="K405" s="175"/>
      <c r="L405" s="175"/>
      <c r="M405" s="175"/>
      <c r="N405" s="175"/>
      <c r="O405" s="175"/>
      <c r="P405" s="175"/>
      <c r="Q405" s="175"/>
      <c r="R405" s="175"/>
      <c r="S405" s="175"/>
      <c r="T405" s="175"/>
      <c r="U405" s="175"/>
      <c r="V405" s="175"/>
      <c r="W405" s="175"/>
      <c r="X405" s="175"/>
      <c r="Y405" s="175"/>
      <c r="Z405" s="175"/>
    </row>
    <row r="406" ht="15.75" customHeight="1">
      <c r="A406" s="174"/>
      <c r="B406" s="276"/>
      <c r="C406" s="172"/>
      <c r="D406" s="173"/>
      <c r="E406" s="174"/>
      <c r="F406" s="174"/>
      <c r="G406" s="175"/>
      <c r="H406" s="175"/>
      <c r="I406" s="175"/>
      <c r="J406" s="175"/>
      <c r="K406" s="175"/>
      <c r="L406" s="175"/>
      <c r="M406" s="175"/>
      <c r="N406" s="175"/>
      <c r="O406" s="175"/>
      <c r="P406" s="175"/>
      <c r="Q406" s="175"/>
      <c r="R406" s="175"/>
      <c r="S406" s="175"/>
      <c r="T406" s="175"/>
      <c r="U406" s="175"/>
      <c r="V406" s="175"/>
      <c r="W406" s="175"/>
      <c r="X406" s="175"/>
      <c r="Y406" s="175"/>
      <c r="Z406" s="175"/>
    </row>
    <row r="407" ht="15.75" customHeight="1">
      <c r="A407" s="174"/>
      <c r="B407" s="276"/>
      <c r="C407" s="172"/>
      <c r="D407" s="173"/>
      <c r="E407" s="174"/>
      <c r="F407" s="174"/>
      <c r="G407" s="175"/>
      <c r="H407" s="175"/>
      <c r="I407" s="175"/>
      <c r="J407" s="175"/>
      <c r="K407" s="175"/>
      <c r="L407" s="175"/>
      <c r="M407" s="175"/>
      <c r="N407" s="175"/>
      <c r="O407" s="175"/>
      <c r="P407" s="175"/>
      <c r="Q407" s="175"/>
      <c r="R407" s="175"/>
      <c r="S407" s="175"/>
      <c r="T407" s="175"/>
      <c r="U407" s="175"/>
      <c r="V407" s="175"/>
      <c r="W407" s="175"/>
      <c r="X407" s="175"/>
      <c r="Y407" s="175"/>
      <c r="Z407" s="175"/>
    </row>
    <row r="408" ht="15.75" customHeight="1">
      <c r="A408" s="174"/>
      <c r="B408" s="276"/>
      <c r="C408" s="172"/>
      <c r="D408" s="173"/>
      <c r="E408" s="174"/>
      <c r="F408" s="174"/>
      <c r="G408" s="175"/>
      <c r="H408" s="175"/>
      <c r="I408" s="175"/>
      <c r="J408" s="175"/>
      <c r="K408" s="175"/>
      <c r="L408" s="175"/>
      <c r="M408" s="175"/>
      <c r="N408" s="175"/>
      <c r="O408" s="175"/>
      <c r="P408" s="175"/>
      <c r="Q408" s="175"/>
      <c r="R408" s="175"/>
      <c r="S408" s="175"/>
      <c r="T408" s="175"/>
      <c r="U408" s="175"/>
      <c r="V408" s="175"/>
      <c r="W408" s="175"/>
      <c r="X408" s="175"/>
      <c r="Y408" s="175"/>
      <c r="Z408" s="175"/>
    </row>
    <row r="409" ht="15.75" customHeight="1">
      <c r="A409" s="174"/>
      <c r="B409" s="276"/>
      <c r="C409" s="172"/>
      <c r="D409" s="173"/>
      <c r="E409" s="174"/>
      <c r="F409" s="174"/>
      <c r="G409" s="175"/>
      <c r="H409" s="175"/>
      <c r="I409" s="175"/>
      <c r="J409" s="175"/>
      <c r="K409" s="175"/>
      <c r="L409" s="175"/>
      <c r="M409" s="175"/>
      <c r="N409" s="175"/>
      <c r="O409" s="175"/>
      <c r="P409" s="175"/>
      <c r="Q409" s="175"/>
      <c r="R409" s="175"/>
      <c r="S409" s="175"/>
      <c r="T409" s="175"/>
      <c r="U409" s="175"/>
      <c r="V409" s="175"/>
      <c r="W409" s="175"/>
      <c r="X409" s="175"/>
      <c r="Y409" s="175"/>
      <c r="Z409" s="175"/>
    </row>
    <row r="410" ht="15.75" customHeight="1">
      <c r="A410" s="174"/>
      <c r="B410" s="276"/>
      <c r="C410" s="172"/>
      <c r="D410" s="173"/>
      <c r="E410" s="174"/>
      <c r="F410" s="174"/>
      <c r="G410" s="175"/>
      <c r="H410" s="175"/>
      <c r="I410" s="175"/>
      <c r="J410" s="175"/>
      <c r="K410" s="175"/>
      <c r="L410" s="175"/>
      <c r="M410" s="175"/>
      <c r="N410" s="175"/>
      <c r="O410" s="175"/>
      <c r="P410" s="175"/>
      <c r="Q410" s="175"/>
      <c r="R410" s="175"/>
      <c r="S410" s="175"/>
      <c r="T410" s="175"/>
      <c r="U410" s="175"/>
      <c r="V410" s="175"/>
      <c r="W410" s="175"/>
      <c r="X410" s="175"/>
      <c r="Y410" s="175"/>
      <c r="Z410" s="175"/>
    </row>
    <row r="411" ht="15.75" customHeight="1">
      <c r="A411" s="174"/>
      <c r="B411" s="276"/>
      <c r="C411" s="172"/>
      <c r="D411" s="173"/>
      <c r="E411" s="174"/>
      <c r="F411" s="174"/>
      <c r="G411" s="175"/>
      <c r="H411" s="175"/>
      <c r="I411" s="175"/>
      <c r="J411" s="175"/>
      <c r="K411" s="175"/>
      <c r="L411" s="175"/>
      <c r="M411" s="175"/>
      <c r="N411" s="175"/>
      <c r="O411" s="175"/>
      <c r="P411" s="175"/>
      <c r="Q411" s="175"/>
      <c r="R411" s="175"/>
      <c r="S411" s="175"/>
      <c r="T411" s="175"/>
      <c r="U411" s="175"/>
      <c r="V411" s="175"/>
      <c r="W411" s="175"/>
      <c r="X411" s="175"/>
      <c r="Y411" s="175"/>
      <c r="Z411" s="175"/>
    </row>
    <row r="412" ht="15.75" customHeight="1">
      <c r="A412" s="174"/>
      <c r="B412" s="276"/>
      <c r="C412" s="172"/>
      <c r="D412" s="173"/>
      <c r="E412" s="174"/>
      <c r="F412" s="174"/>
      <c r="G412" s="175"/>
      <c r="H412" s="175"/>
      <c r="I412" s="175"/>
      <c r="J412" s="175"/>
      <c r="K412" s="175"/>
      <c r="L412" s="175"/>
      <c r="M412" s="175"/>
      <c r="N412" s="175"/>
      <c r="O412" s="175"/>
      <c r="P412" s="175"/>
      <c r="Q412" s="175"/>
      <c r="R412" s="175"/>
      <c r="S412" s="175"/>
      <c r="T412" s="175"/>
      <c r="U412" s="175"/>
      <c r="V412" s="175"/>
      <c r="W412" s="175"/>
      <c r="X412" s="175"/>
      <c r="Y412" s="175"/>
      <c r="Z412" s="175"/>
    </row>
    <row r="413" ht="15.75" customHeight="1">
      <c r="A413" s="174"/>
      <c r="B413" s="276"/>
      <c r="C413" s="172"/>
      <c r="D413" s="173"/>
      <c r="E413" s="174"/>
      <c r="F413" s="174"/>
      <c r="G413" s="175"/>
      <c r="H413" s="175"/>
      <c r="I413" s="175"/>
      <c r="J413" s="175"/>
      <c r="K413" s="175"/>
      <c r="L413" s="175"/>
      <c r="M413" s="175"/>
      <c r="N413" s="175"/>
      <c r="O413" s="175"/>
      <c r="P413" s="175"/>
      <c r="Q413" s="175"/>
      <c r="R413" s="175"/>
      <c r="S413" s="175"/>
      <c r="T413" s="175"/>
      <c r="U413" s="175"/>
      <c r="V413" s="175"/>
      <c r="W413" s="175"/>
      <c r="X413" s="175"/>
      <c r="Y413" s="175"/>
      <c r="Z413" s="175"/>
    </row>
    <row r="414" ht="15.75" customHeight="1">
      <c r="A414" s="174"/>
      <c r="B414" s="276"/>
      <c r="C414" s="172"/>
      <c r="D414" s="173"/>
      <c r="E414" s="174"/>
      <c r="F414" s="174"/>
      <c r="G414" s="175"/>
      <c r="H414" s="175"/>
      <c r="I414" s="175"/>
      <c r="J414" s="175"/>
      <c r="K414" s="175"/>
      <c r="L414" s="175"/>
      <c r="M414" s="175"/>
      <c r="N414" s="175"/>
      <c r="O414" s="175"/>
      <c r="P414" s="175"/>
      <c r="Q414" s="175"/>
      <c r="R414" s="175"/>
      <c r="S414" s="175"/>
      <c r="T414" s="175"/>
      <c r="U414" s="175"/>
      <c r="V414" s="175"/>
      <c r="W414" s="175"/>
      <c r="X414" s="175"/>
      <c r="Y414" s="175"/>
      <c r="Z414" s="175"/>
    </row>
    <row r="415" ht="15.75" customHeight="1">
      <c r="A415" s="174"/>
      <c r="B415" s="276"/>
      <c r="C415" s="172"/>
      <c r="D415" s="173"/>
      <c r="E415" s="174"/>
      <c r="F415" s="174"/>
      <c r="G415" s="175"/>
      <c r="H415" s="175"/>
      <c r="I415" s="175"/>
      <c r="J415" s="175"/>
      <c r="K415" s="175"/>
      <c r="L415" s="175"/>
      <c r="M415" s="175"/>
      <c r="N415" s="175"/>
      <c r="O415" s="175"/>
      <c r="P415" s="175"/>
      <c r="Q415" s="175"/>
      <c r="R415" s="175"/>
      <c r="S415" s="175"/>
      <c r="T415" s="175"/>
      <c r="U415" s="175"/>
      <c r="V415" s="175"/>
      <c r="W415" s="175"/>
      <c r="X415" s="175"/>
      <c r="Y415" s="175"/>
      <c r="Z415" s="175"/>
    </row>
    <row r="416" ht="15.75" customHeight="1">
      <c r="A416" s="174"/>
      <c r="B416" s="276"/>
      <c r="C416" s="172"/>
      <c r="D416" s="173"/>
      <c r="E416" s="174"/>
      <c r="F416" s="174"/>
      <c r="G416" s="175"/>
      <c r="H416" s="175"/>
      <c r="I416" s="175"/>
      <c r="J416" s="175"/>
      <c r="K416" s="175"/>
      <c r="L416" s="175"/>
      <c r="M416" s="175"/>
      <c r="N416" s="175"/>
      <c r="O416" s="175"/>
      <c r="P416" s="175"/>
      <c r="Q416" s="175"/>
      <c r="R416" s="175"/>
      <c r="S416" s="175"/>
      <c r="T416" s="175"/>
      <c r="U416" s="175"/>
      <c r="V416" s="175"/>
      <c r="W416" s="175"/>
      <c r="X416" s="175"/>
      <c r="Y416" s="175"/>
      <c r="Z416" s="175"/>
    </row>
    <row r="417" ht="15.75" customHeight="1">
      <c r="A417" s="174"/>
      <c r="B417" s="276"/>
      <c r="C417" s="172"/>
      <c r="D417" s="173"/>
      <c r="E417" s="174"/>
      <c r="F417" s="174"/>
      <c r="G417" s="175"/>
      <c r="H417" s="175"/>
      <c r="I417" s="175"/>
      <c r="J417" s="175"/>
      <c r="K417" s="175"/>
      <c r="L417" s="175"/>
      <c r="M417" s="175"/>
      <c r="N417" s="175"/>
      <c r="O417" s="175"/>
      <c r="P417" s="175"/>
      <c r="Q417" s="175"/>
      <c r="R417" s="175"/>
      <c r="S417" s="175"/>
      <c r="T417" s="175"/>
      <c r="U417" s="175"/>
      <c r="V417" s="175"/>
      <c r="W417" s="175"/>
      <c r="X417" s="175"/>
      <c r="Y417" s="175"/>
      <c r="Z417" s="175"/>
    </row>
    <row r="418" ht="15.75" customHeight="1">
      <c r="A418" s="174"/>
      <c r="B418" s="276"/>
      <c r="C418" s="172"/>
      <c r="D418" s="173"/>
      <c r="E418" s="174"/>
      <c r="F418" s="174"/>
      <c r="G418" s="175"/>
      <c r="H418" s="175"/>
      <c r="I418" s="175"/>
      <c r="J418" s="175"/>
      <c r="K418" s="175"/>
      <c r="L418" s="175"/>
      <c r="M418" s="175"/>
      <c r="N418" s="175"/>
      <c r="O418" s="175"/>
      <c r="P418" s="175"/>
      <c r="Q418" s="175"/>
      <c r="R418" s="175"/>
      <c r="S418" s="175"/>
      <c r="T418" s="175"/>
      <c r="U418" s="175"/>
      <c r="V418" s="175"/>
      <c r="W418" s="175"/>
      <c r="X418" s="175"/>
      <c r="Y418" s="175"/>
      <c r="Z418" s="175"/>
    </row>
    <row r="419" ht="15.75" customHeight="1">
      <c r="A419" s="174"/>
      <c r="B419" s="276"/>
      <c r="C419" s="172"/>
      <c r="D419" s="173"/>
      <c r="E419" s="174"/>
      <c r="F419" s="174"/>
      <c r="G419" s="175"/>
      <c r="H419" s="175"/>
      <c r="I419" s="175"/>
      <c r="J419" s="175"/>
      <c r="K419" s="175"/>
      <c r="L419" s="175"/>
      <c r="M419" s="175"/>
      <c r="N419" s="175"/>
      <c r="O419" s="175"/>
      <c r="P419" s="175"/>
      <c r="Q419" s="175"/>
      <c r="R419" s="175"/>
      <c r="S419" s="175"/>
      <c r="T419" s="175"/>
      <c r="U419" s="175"/>
      <c r="V419" s="175"/>
      <c r="W419" s="175"/>
      <c r="X419" s="175"/>
      <c r="Y419" s="175"/>
      <c r="Z419" s="175"/>
    </row>
    <row r="420" ht="15.75" customHeight="1">
      <c r="A420" s="174"/>
      <c r="B420" s="276"/>
      <c r="C420" s="172"/>
      <c r="D420" s="173"/>
      <c r="E420" s="174"/>
      <c r="F420" s="174"/>
      <c r="G420" s="175"/>
      <c r="H420" s="175"/>
      <c r="I420" s="175"/>
      <c r="J420" s="175"/>
      <c r="K420" s="175"/>
      <c r="L420" s="175"/>
      <c r="M420" s="175"/>
      <c r="N420" s="175"/>
      <c r="O420" s="175"/>
      <c r="P420" s="175"/>
      <c r="Q420" s="175"/>
      <c r="R420" s="175"/>
      <c r="S420" s="175"/>
      <c r="T420" s="175"/>
      <c r="U420" s="175"/>
      <c r="V420" s="175"/>
      <c r="W420" s="175"/>
      <c r="X420" s="175"/>
      <c r="Y420" s="175"/>
      <c r="Z420" s="175"/>
    </row>
    <row r="421" ht="15.75" customHeight="1">
      <c r="A421" s="174"/>
      <c r="B421" s="276"/>
      <c r="C421" s="172"/>
      <c r="D421" s="173"/>
      <c r="E421" s="174"/>
      <c r="F421" s="174"/>
      <c r="G421" s="175"/>
      <c r="H421" s="175"/>
      <c r="I421" s="175"/>
      <c r="J421" s="175"/>
      <c r="K421" s="175"/>
      <c r="L421" s="175"/>
      <c r="M421" s="175"/>
      <c r="N421" s="175"/>
      <c r="O421" s="175"/>
      <c r="P421" s="175"/>
      <c r="Q421" s="175"/>
      <c r="R421" s="175"/>
      <c r="S421" s="175"/>
      <c r="T421" s="175"/>
      <c r="U421" s="175"/>
      <c r="V421" s="175"/>
      <c r="W421" s="175"/>
      <c r="X421" s="175"/>
      <c r="Y421" s="175"/>
      <c r="Z421" s="175"/>
    </row>
    <row r="422" ht="15.75" customHeight="1">
      <c r="A422" s="174"/>
      <c r="B422" s="276"/>
      <c r="C422" s="172"/>
      <c r="D422" s="173"/>
      <c r="E422" s="174"/>
      <c r="F422" s="174"/>
      <c r="G422" s="175"/>
      <c r="H422" s="175"/>
      <c r="I422" s="175"/>
      <c r="J422" s="175"/>
      <c r="K422" s="175"/>
      <c r="L422" s="175"/>
      <c r="M422" s="175"/>
      <c r="N422" s="175"/>
      <c r="O422" s="175"/>
      <c r="P422" s="175"/>
      <c r="Q422" s="175"/>
      <c r="R422" s="175"/>
      <c r="S422" s="175"/>
      <c r="T422" s="175"/>
      <c r="U422" s="175"/>
      <c r="V422" s="175"/>
      <c r="W422" s="175"/>
      <c r="X422" s="175"/>
      <c r="Y422" s="175"/>
      <c r="Z422" s="175"/>
    </row>
    <row r="423" ht="15.75" customHeight="1">
      <c r="A423" s="174"/>
      <c r="B423" s="276"/>
      <c r="C423" s="172"/>
      <c r="D423" s="173"/>
      <c r="E423" s="174"/>
      <c r="F423" s="174"/>
      <c r="G423" s="175"/>
      <c r="H423" s="175"/>
      <c r="I423" s="175"/>
      <c r="J423" s="175"/>
      <c r="K423" s="175"/>
      <c r="L423" s="175"/>
      <c r="M423" s="175"/>
      <c r="N423" s="175"/>
      <c r="O423" s="175"/>
      <c r="P423" s="175"/>
      <c r="Q423" s="175"/>
      <c r="R423" s="175"/>
      <c r="S423" s="175"/>
      <c r="T423" s="175"/>
      <c r="U423" s="175"/>
      <c r="V423" s="175"/>
      <c r="W423" s="175"/>
      <c r="X423" s="175"/>
      <c r="Y423" s="175"/>
      <c r="Z423" s="175"/>
    </row>
    <row r="424" ht="15.75" customHeight="1">
      <c r="A424" s="174"/>
      <c r="B424" s="276"/>
      <c r="C424" s="172"/>
      <c r="D424" s="173"/>
      <c r="E424" s="174"/>
      <c r="F424" s="174"/>
      <c r="G424" s="175"/>
      <c r="H424" s="175"/>
      <c r="I424" s="175"/>
      <c r="J424" s="175"/>
      <c r="K424" s="175"/>
      <c r="L424" s="175"/>
      <c r="M424" s="175"/>
      <c r="N424" s="175"/>
      <c r="O424" s="175"/>
      <c r="P424" s="175"/>
      <c r="Q424" s="175"/>
      <c r="R424" s="175"/>
      <c r="S424" s="175"/>
      <c r="T424" s="175"/>
      <c r="U424" s="175"/>
      <c r="V424" s="175"/>
      <c r="W424" s="175"/>
      <c r="X424" s="175"/>
      <c r="Y424" s="175"/>
      <c r="Z424" s="175"/>
    </row>
    <row r="425" ht="15.75" customHeight="1">
      <c r="A425" s="174"/>
      <c r="B425" s="276"/>
      <c r="C425" s="172"/>
      <c r="D425" s="173"/>
      <c r="E425" s="174"/>
      <c r="F425" s="174"/>
      <c r="G425" s="175"/>
      <c r="H425" s="175"/>
      <c r="I425" s="175"/>
      <c r="J425" s="175"/>
      <c r="K425" s="175"/>
      <c r="L425" s="175"/>
      <c r="M425" s="175"/>
      <c r="N425" s="175"/>
      <c r="O425" s="175"/>
      <c r="P425" s="175"/>
      <c r="Q425" s="175"/>
      <c r="R425" s="175"/>
      <c r="S425" s="175"/>
      <c r="T425" s="175"/>
      <c r="U425" s="175"/>
      <c r="V425" s="175"/>
      <c r="W425" s="175"/>
      <c r="X425" s="175"/>
      <c r="Y425" s="175"/>
      <c r="Z425" s="175"/>
    </row>
    <row r="426" ht="15.75" customHeight="1">
      <c r="A426" s="174"/>
      <c r="B426" s="276"/>
      <c r="C426" s="172"/>
      <c r="D426" s="173"/>
      <c r="E426" s="174"/>
      <c r="F426" s="174"/>
      <c r="G426" s="175"/>
      <c r="H426" s="175"/>
      <c r="I426" s="175"/>
      <c r="J426" s="175"/>
      <c r="K426" s="175"/>
      <c r="L426" s="175"/>
      <c r="M426" s="175"/>
      <c r="N426" s="175"/>
      <c r="O426" s="175"/>
      <c r="P426" s="175"/>
      <c r="Q426" s="175"/>
      <c r="R426" s="175"/>
      <c r="S426" s="175"/>
      <c r="T426" s="175"/>
      <c r="U426" s="175"/>
      <c r="V426" s="175"/>
      <c r="W426" s="175"/>
      <c r="X426" s="175"/>
      <c r="Y426" s="175"/>
      <c r="Z426" s="175"/>
    </row>
    <row r="427" ht="15.75" customHeight="1">
      <c r="A427" s="174"/>
      <c r="B427" s="276"/>
      <c r="C427" s="172"/>
      <c r="D427" s="173"/>
      <c r="E427" s="174"/>
      <c r="F427" s="174"/>
      <c r="G427" s="175"/>
      <c r="H427" s="175"/>
      <c r="I427" s="175"/>
      <c r="J427" s="175"/>
      <c r="K427" s="175"/>
      <c r="L427" s="175"/>
      <c r="M427" s="175"/>
      <c r="N427" s="175"/>
      <c r="O427" s="175"/>
      <c r="P427" s="175"/>
      <c r="Q427" s="175"/>
      <c r="R427" s="175"/>
      <c r="S427" s="175"/>
      <c r="T427" s="175"/>
      <c r="U427" s="175"/>
      <c r="V427" s="175"/>
      <c r="W427" s="175"/>
      <c r="X427" s="175"/>
      <c r="Y427" s="175"/>
      <c r="Z427" s="175"/>
    </row>
    <row r="428" ht="15.75" customHeight="1">
      <c r="A428" s="174"/>
      <c r="B428" s="276"/>
      <c r="C428" s="172"/>
      <c r="D428" s="173"/>
      <c r="E428" s="174"/>
      <c r="F428" s="174"/>
      <c r="G428" s="175"/>
      <c r="H428" s="175"/>
      <c r="I428" s="175"/>
      <c r="J428" s="175"/>
      <c r="K428" s="175"/>
      <c r="L428" s="175"/>
      <c r="M428" s="175"/>
      <c r="N428" s="175"/>
      <c r="O428" s="175"/>
      <c r="P428" s="175"/>
      <c r="Q428" s="175"/>
      <c r="R428" s="175"/>
      <c r="S428" s="175"/>
      <c r="T428" s="175"/>
      <c r="U428" s="175"/>
      <c r="V428" s="175"/>
      <c r="W428" s="175"/>
      <c r="X428" s="175"/>
      <c r="Y428" s="175"/>
      <c r="Z428" s="175"/>
    </row>
    <row r="429" ht="15.75" customHeight="1">
      <c r="A429" s="174"/>
      <c r="B429" s="276"/>
      <c r="C429" s="172"/>
      <c r="D429" s="173"/>
      <c r="E429" s="174"/>
      <c r="F429" s="174"/>
      <c r="G429" s="175"/>
      <c r="H429" s="175"/>
      <c r="I429" s="175"/>
      <c r="J429" s="175"/>
      <c r="K429" s="175"/>
      <c r="L429" s="175"/>
      <c r="M429" s="175"/>
      <c r="N429" s="175"/>
      <c r="O429" s="175"/>
      <c r="P429" s="175"/>
      <c r="Q429" s="175"/>
      <c r="R429" s="175"/>
      <c r="S429" s="175"/>
      <c r="T429" s="175"/>
      <c r="U429" s="175"/>
      <c r="V429" s="175"/>
      <c r="W429" s="175"/>
      <c r="X429" s="175"/>
      <c r="Y429" s="175"/>
      <c r="Z429" s="175"/>
    </row>
    <row r="430" ht="15.75" customHeight="1">
      <c r="A430" s="174"/>
      <c r="B430" s="276"/>
      <c r="C430" s="172"/>
      <c r="D430" s="173"/>
      <c r="E430" s="174"/>
      <c r="F430" s="174"/>
      <c r="G430" s="175"/>
      <c r="H430" s="175"/>
      <c r="I430" s="175"/>
      <c r="J430" s="175"/>
      <c r="K430" s="175"/>
      <c r="L430" s="175"/>
      <c r="M430" s="175"/>
      <c r="N430" s="175"/>
      <c r="O430" s="175"/>
      <c r="P430" s="175"/>
      <c r="Q430" s="175"/>
      <c r="R430" s="175"/>
      <c r="S430" s="175"/>
      <c r="T430" s="175"/>
      <c r="U430" s="175"/>
      <c r="V430" s="175"/>
      <c r="W430" s="175"/>
      <c r="X430" s="175"/>
      <c r="Y430" s="175"/>
      <c r="Z430" s="175"/>
    </row>
    <row r="431" ht="15.75" customHeight="1">
      <c r="A431" s="174"/>
      <c r="B431" s="276"/>
      <c r="C431" s="172"/>
      <c r="D431" s="173"/>
      <c r="E431" s="174"/>
      <c r="F431" s="174"/>
      <c r="G431" s="175"/>
      <c r="H431" s="175"/>
      <c r="I431" s="175"/>
      <c r="J431" s="175"/>
      <c r="K431" s="175"/>
      <c r="L431" s="175"/>
      <c r="M431" s="175"/>
      <c r="N431" s="175"/>
      <c r="O431" s="175"/>
      <c r="P431" s="175"/>
      <c r="Q431" s="175"/>
      <c r="R431" s="175"/>
      <c r="S431" s="175"/>
      <c r="T431" s="175"/>
      <c r="U431" s="175"/>
      <c r="V431" s="175"/>
      <c r="W431" s="175"/>
      <c r="X431" s="175"/>
      <c r="Y431" s="175"/>
      <c r="Z431" s="175"/>
    </row>
    <row r="432" ht="15.75" customHeight="1">
      <c r="A432" s="174"/>
      <c r="B432" s="276"/>
      <c r="C432" s="172"/>
      <c r="D432" s="173"/>
      <c r="E432" s="174"/>
      <c r="F432" s="174"/>
      <c r="G432" s="175"/>
      <c r="H432" s="175"/>
      <c r="I432" s="175"/>
      <c r="J432" s="175"/>
      <c r="K432" s="175"/>
      <c r="L432" s="175"/>
      <c r="M432" s="175"/>
      <c r="N432" s="175"/>
      <c r="O432" s="175"/>
      <c r="P432" s="175"/>
      <c r="Q432" s="175"/>
      <c r="R432" s="175"/>
      <c r="S432" s="175"/>
      <c r="T432" s="175"/>
      <c r="U432" s="175"/>
      <c r="V432" s="175"/>
      <c r="W432" s="175"/>
      <c r="X432" s="175"/>
      <c r="Y432" s="175"/>
      <c r="Z432" s="175"/>
    </row>
    <row r="433" ht="15.75" customHeight="1">
      <c r="A433" s="174"/>
      <c r="B433" s="276"/>
      <c r="C433" s="172"/>
      <c r="D433" s="173"/>
      <c r="E433" s="174"/>
      <c r="F433" s="174"/>
      <c r="G433" s="175"/>
      <c r="H433" s="175"/>
      <c r="I433" s="175"/>
      <c r="J433" s="175"/>
      <c r="K433" s="175"/>
      <c r="L433" s="175"/>
      <c r="M433" s="175"/>
      <c r="N433" s="175"/>
      <c r="O433" s="175"/>
      <c r="P433" s="175"/>
      <c r="Q433" s="175"/>
      <c r="R433" s="175"/>
      <c r="S433" s="175"/>
      <c r="T433" s="175"/>
      <c r="U433" s="175"/>
      <c r="V433" s="175"/>
      <c r="W433" s="175"/>
      <c r="X433" s="175"/>
      <c r="Y433" s="175"/>
      <c r="Z433" s="175"/>
    </row>
    <row r="434" ht="15.75" customHeight="1">
      <c r="A434" s="174"/>
      <c r="B434" s="276"/>
      <c r="C434" s="172"/>
      <c r="D434" s="173"/>
      <c r="E434" s="174"/>
      <c r="F434" s="174"/>
      <c r="G434" s="175"/>
      <c r="H434" s="175"/>
      <c r="I434" s="175"/>
      <c r="J434" s="175"/>
      <c r="K434" s="175"/>
      <c r="L434" s="175"/>
      <c r="M434" s="175"/>
      <c r="N434" s="175"/>
      <c r="O434" s="175"/>
      <c r="P434" s="175"/>
      <c r="Q434" s="175"/>
      <c r="R434" s="175"/>
      <c r="S434" s="175"/>
      <c r="T434" s="175"/>
      <c r="U434" s="175"/>
      <c r="V434" s="175"/>
      <c r="W434" s="175"/>
      <c r="X434" s="175"/>
      <c r="Y434" s="175"/>
      <c r="Z434" s="175"/>
    </row>
    <row r="435" ht="15.75" customHeight="1">
      <c r="A435" s="174"/>
      <c r="B435" s="276"/>
      <c r="C435" s="172"/>
      <c r="D435" s="173"/>
      <c r="E435" s="174"/>
      <c r="F435" s="174"/>
      <c r="G435" s="175"/>
      <c r="H435" s="175"/>
      <c r="I435" s="175"/>
      <c r="J435" s="175"/>
      <c r="K435" s="175"/>
      <c r="L435" s="175"/>
      <c r="M435" s="175"/>
      <c r="N435" s="175"/>
      <c r="O435" s="175"/>
      <c r="P435" s="175"/>
      <c r="Q435" s="175"/>
      <c r="R435" s="175"/>
      <c r="S435" s="175"/>
      <c r="T435" s="175"/>
      <c r="U435" s="175"/>
      <c r="V435" s="175"/>
      <c r="W435" s="175"/>
      <c r="X435" s="175"/>
      <c r="Y435" s="175"/>
      <c r="Z435" s="175"/>
    </row>
    <row r="436" ht="15.75" customHeight="1">
      <c r="A436" s="174"/>
      <c r="B436" s="276"/>
      <c r="C436" s="172"/>
      <c r="D436" s="173"/>
      <c r="E436" s="174"/>
      <c r="F436" s="174"/>
      <c r="G436" s="175"/>
      <c r="H436" s="175"/>
      <c r="I436" s="175"/>
      <c r="J436" s="175"/>
      <c r="K436" s="175"/>
      <c r="L436" s="175"/>
      <c r="M436" s="175"/>
      <c r="N436" s="175"/>
      <c r="O436" s="175"/>
      <c r="P436" s="175"/>
      <c r="Q436" s="175"/>
      <c r="R436" s="175"/>
      <c r="S436" s="175"/>
      <c r="T436" s="175"/>
      <c r="U436" s="175"/>
      <c r="V436" s="175"/>
      <c r="W436" s="175"/>
      <c r="X436" s="175"/>
      <c r="Y436" s="175"/>
      <c r="Z436" s="175"/>
    </row>
    <row r="437" ht="15.75" customHeight="1">
      <c r="A437" s="174"/>
      <c r="B437" s="276"/>
      <c r="C437" s="172"/>
      <c r="D437" s="173"/>
      <c r="E437" s="174"/>
      <c r="F437" s="174"/>
      <c r="G437" s="175"/>
      <c r="H437" s="175"/>
      <c r="I437" s="175"/>
      <c r="J437" s="175"/>
      <c r="K437" s="175"/>
      <c r="L437" s="175"/>
      <c r="M437" s="175"/>
      <c r="N437" s="175"/>
      <c r="O437" s="175"/>
      <c r="P437" s="175"/>
      <c r="Q437" s="175"/>
      <c r="R437" s="175"/>
      <c r="S437" s="175"/>
      <c r="T437" s="175"/>
      <c r="U437" s="175"/>
      <c r="V437" s="175"/>
      <c r="W437" s="175"/>
      <c r="X437" s="175"/>
      <c r="Y437" s="175"/>
      <c r="Z437" s="175"/>
    </row>
    <row r="438" ht="15.75" customHeight="1">
      <c r="A438" s="174"/>
      <c r="B438" s="276"/>
      <c r="C438" s="172"/>
      <c r="D438" s="173"/>
      <c r="E438" s="174"/>
      <c r="F438" s="174"/>
      <c r="G438" s="175"/>
      <c r="H438" s="175"/>
      <c r="I438" s="175"/>
      <c r="J438" s="175"/>
      <c r="K438" s="175"/>
      <c r="L438" s="175"/>
      <c r="M438" s="175"/>
      <c r="N438" s="175"/>
      <c r="O438" s="175"/>
      <c r="P438" s="175"/>
      <c r="Q438" s="175"/>
      <c r="R438" s="175"/>
      <c r="S438" s="175"/>
      <c r="T438" s="175"/>
      <c r="U438" s="175"/>
      <c r="V438" s="175"/>
      <c r="W438" s="175"/>
      <c r="X438" s="175"/>
      <c r="Y438" s="175"/>
      <c r="Z438" s="175"/>
    </row>
    <row r="439" ht="15.75" customHeight="1">
      <c r="A439" s="174"/>
      <c r="B439" s="276"/>
      <c r="C439" s="172"/>
      <c r="D439" s="173"/>
      <c r="E439" s="174"/>
      <c r="F439" s="174"/>
      <c r="G439" s="175"/>
      <c r="H439" s="175"/>
      <c r="I439" s="175"/>
      <c r="J439" s="175"/>
      <c r="K439" s="175"/>
      <c r="L439" s="175"/>
      <c r="M439" s="175"/>
      <c r="N439" s="175"/>
      <c r="O439" s="175"/>
      <c r="P439" s="175"/>
      <c r="Q439" s="175"/>
      <c r="R439" s="175"/>
      <c r="S439" s="175"/>
      <c r="T439" s="175"/>
      <c r="U439" s="175"/>
      <c r="V439" s="175"/>
      <c r="W439" s="175"/>
      <c r="X439" s="175"/>
      <c r="Y439" s="175"/>
      <c r="Z439" s="175"/>
    </row>
    <row r="440" ht="15.75" customHeight="1">
      <c r="A440" s="174"/>
      <c r="B440" s="276"/>
      <c r="C440" s="172"/>
      <c r="D440" s="173"/>
      <c r="E440" s="174"/>
      <c r="F440" s="174"/>
      <c r="G440" s="175"/>
      <c r="H440" s="175"/>
      <c r="I440" s="175"/>
      <c r="J440" s="175"/>
      <c r="K440" s="175"/>
      <c r="L440" s="175"/>
      <c r="M440" s="175"/>
      <c r="N440" s="175"/>
      <c r="O440" s="175"/>
      <c r="P440" s="175"/>
      <c r="Q440" s="175"/>
      <c r="R440" s="175"/>
      <c r="S440" s="175"/>
      <c r="T440" s="175"/>
      <c r="U440" s="175"/>
      <c r="V440" s="175"/>
      <c r="W440" s="175"/>
      <c r="X440" s="175"/>
      <c r="Y440" s="175"/>
      <c r="Z440" s="175"/>
    </row>
    <row r="441" ht="15.75" customHeight="1">
      <c r="A441" s="174"/>
      <c r="B441" s="276"/>
      <c r="C441" s="172"/>
      <c r="D441" s="173"/>
      <c r="E441" s="174"/>
      <c r="F441" s="174"/>
      <c r="G441" s="175"/>
      <c r="H441" s="175"/>
      <c r="I441" s="175"/>
      <c r="J441" s="175"/>
      <c r="K441" s="175"/>
      <c r="L441" s="175"/>
      <c r="M441" s="175"/>
      <c r="N441" s="175"/>
      <c r="O441" s="175"/>
      <c r="P441" s="175"/>
      <c r="Q441" s="175"/>
      <c r="R441" s="175"/>
      <c r="S441" s="175"/>
      <c r="T441" s="175"/>
      <c r="U441" s="175"/>
      <c r="V441" s="175"/>
      <c r="W441" s="175"/>
      <c r="X441" s="175"/>
      <c r="Y441" s="175"/>
      <c r="Z441" s="175"/>
    </row>
    <row r="442" ht="15.75" customHeight="1">
      <c r="A442" s="174"/>
      <c r="B442" s="276"/>
      <c r="C442" s="172"/>
      <c r="D442" s="173"/>
      <c r="E442" s="174"/>
      <c r="F442" s="174"/>
      <c r="G442" s="175"/>
      <c r="H442" s="175"/>
      <c r="I442" s="175"/>
      <c r="J442" s="175"/>
      <c r="K442" s="175"/>
      <c r="L442" s="175"/>
      <c r="M442" s="175"/>
      <c r="N442" s="175"/>
      <c r="O442" s="175"/>
      <c r="P442" s="175"/>
      <c r="Q442" s="175"/>
      <c r="R442" s="175"/>
      <c r="S442" s="175"/>
      <c r="T442" s="175"/>
      <c r="U442" s="175"/>
      <c r="V442" s="175"/>
      <c r="W442" s="175"/>
      <c r="X442" s="175"/>
      <c r="Y442" s="175"/>
      <c r="Z442" s="175"/>
    </row>
    <row r="443" ht="15.75" customHeight="1">
      <c r="A443" s="174"/>
      <c r="B443" s="276"/>
      <c r="C443" s="172"/>
      <c r="D443" s="173"/>
      <c r="E443" s="174"/>
      <c r="F443" s="174"/>
      <c r="G443" s="175"/>
      <c r="H443" s="175"/>
      <c r="I443" s="175"/>
      <c r="J443" s="175"/>
      <c r="K443" s="175"/>
      <c r="L443" s="175"/>
      <c r="M443" s="175"/>
      <c r="N443" s="175"/>
      <c r="O443" s="175"/>
      <c r="P443" s="175"/>
      <c r="Q443" s="175"/>
      <c r="R443" s="175"/>
      <c r="S443" s="175"/>
      <c r="T443" s="175"/>
      <c r="U443" s="175"/>
      <c r="V443" s="175"/>
      <c r="W443" s="175"/>
      <c r="X443" s="175"/>
      <c r="Y443" s="175"/>
      <c r="Z443" s="175"/>
    </row>
    <row r="444" ht="15.75" customHeight="1">
      <c r="A444" s="174"/>
      <c r="B444" s="276"/>
      <c r="C444" s="172"/>
      <c r="D444" s="173"/>
      <c r="E444" s="174"/>
      <c r="F444" s="174"/>
      <c r="G444" s="175"/>
      <c r="H444" s="175"/>
      <c r="I444" s="175"/>
      <c r="J444" s="175"/>
      <c r="K444" s="175"/>
      <c r="L444" s="175"/>
      <c r="M444" s="175"/>
      <c r="N444" s="175"/>
      <c r="O444" s="175"/>
      <c r="P444" s="175"/>
      <c r="Q444" s="175"/>
      <c r="R444" s="175"/>
      <c r="S444" s="175"/>
      <c r="T444" s="175"/>
      <c r="U444" s="175"/>
      <c r="V444" s="175"/>
      <c r="W444" s="175"/>
      <c r="X444" s="175"/>
      <c r="Y444" s="175"/>
      <c r="Z444" s="175"/>
    </row>
    <row r="445" ht="15.75" customHeight="1">
      <c r="A445" s="174"/>
      <c r="B445" s="276"/>
      <c r="C445" s="172"/>
      <c r="D445" s="173"/>
      <c r="E445" s="174"/>
      <c r="F445" s="174"/>
      <c r="G445" s="175"/>
      <c r="H445" s="175"/>
      <c r="I445" s="175"/>
      <c r="J445" s="175"/>
      <c r="K445" s="175"/>
      <c r="L445" s="175"/>
      <c r="M445" s="175"/>
      <c r="N445" s="175"/>
      <c r="O445" s="175"/>
      <c r="P445" s="175"/>
      <c r="Q445" s="175"/>
      <c r="R445" s="175"/>
      <c r="S445" s="175"/>
      <c r="T445" s="175"/>
      <c r="U445" s="175"/>
      <c r="V445" s="175"/>
      <c r="W445" s="175"/>
      <c r="X445" s="175"/>
      <c r="Y445" s="175"/>
      <c r="Z445" s="175"/>
    </row>
    <row r="446" ht="15.75" customHeight="1">
      <c r="A446" s="174"/>
      <c r="B446" s="276"/>
      <c r="C446" s="172"/>
      <c r="D446" s="173"/>
      <c r="E446" s="174"/>
      <c r="F446" s="174"/>
      <c r="G446" s="175"/>
      <c r="H446" s="175"/>
      <c r="I446" s="175"/>
      <c r="J446" s="175"/>
      <c r="K446" s="175"/>
      <c r="L446" s="175"/>
      <c r="M446" s="175"/>
      <c r="N446" s="175"/>
      <c r="O446" s="175"/>
      <c r="P446" s="175"/>
      <c r="Q446" s="175"/>
      <c r="R446" s="175"/>
      <c r="S446" s="175"/>
      <c r="T446" s="175"/>
      <c r="U446" s="175"/>
      <c r="V446" s="175"/>
      <c r="W446" s="175"/>
      <c r="X446" s="175"/>
      <c r="Y446" s="175"/>
      <c r="Z446" s="175"/>
    </row>
    <row r="447" ht="15.75" customHeight="1">
      <c r="A447" s="174"/>
      <c r="B447" s="276"/>
      <c r="C447" s="172"/>
      <c r="D447" s="173"/>
      <c r="E447" s="174"/>
      <c r="F447" s="174"/>
      <c r="G447" s="175"/>
      <c r="H447" s="175"/>
      <c r="I447" s="175"/>
      <c r="J447" s="175"/>
      <c r="K447" s="175"/>
      <c r="L447" s="175"/>
      <c r="M447" s="175"/>
      <c r="N447" s="175"/>
      <c r="O447" s="175"/>
      <c r="P447" s="175"/>
      <c r="Q447" s="175"/>
      <c r="R447" s="175"/>
      <c r="S447" s="175"/>
      <c r="T447" s="175"/>
      <c r="U447" s="175"/>
      <c r="V447" s="175"/>
      <c r="W447" s="175"/>
      <c r="X447" s="175"/>
      <c r="Y447" s="175"/>
      <c r="Z447" s="175"/>
    </row>
    <row r="448" ht="15.75" customHeight="1">
      <c r="A448" s="174"/>
      <c r="B448" s="276"/>
      <c r="C448" s="172"/>
      <c r="D448" s="173"/>
      <c r="E448" s="174"/>
      <c r="F448" s="174"/>
      <c r="G448" s="175"/>
      <c r="H448" s="175"/>
      <c r="I448" s="175"/>
      <c r="J448" s="175"/>
      <c r="K448" s="175"/>
      <c r="L448" s="175"/>
      <c r="M448" s="175"/>
      <c r="N448" s="175"/>
      <c r="O448" s="175"/>
      <c r="P448" s="175"/>
      <c r="Q448" s="175"/>
      <c r="R448" s="175"/>
      <c r="S448" s="175"/>
      <c r="T448" s="175"/>
      <c r="U448" s="175"/>
      <c r="V448" s="175"/>
      <c r="W448" s="175"/>
      <c r="X448" s="175"/>
      <c r="Y448" s="175"/>
      <c r="Z448" s="175"/>
    </row>
    <row r="449" ht="15.75" customHeight="1">
      <c r="A449" s="174"/>
      <c r="B449" s="276"/>
      <c r="C449" s="172"/>
      <c r="D449" s="173"/>
      <c r="E449" s="174"/>
      <c r="F449" s="174"/>
      <c r="G449" s="175"/>
      <c r="H449" s="175"/>
      <c r="I449" s="175"/>
      <c r="J449" s="175"/>
      <c r="K449" s="175"/>
      <c r="L449" s="175"/>
      <c r="M449" s="175"/>
      <c r="N449" s="175"/>
      <c r="O449" s="175"/>
      <c r="P449" s="175"/>
      <c r="Q449" s="175"/>
      <c r="R449" s="175"/>
      <c r="S449" s="175"/>
      <c r="T449" s="175"/>
      <c r="U449" s="175"/>
      <c r="V449" s="175"/>
      <c r="W449" s="175"/>
      <c r="X449" s="175"/>
      <c r="Y449" s="175"/>
      <c r="Z449" s="175"/>
    </row>
    <row r="450" ht="15.75" customHeight="1">
      <c r="A450" s="174"/>
      <c r="B450" s="276"/>
      <c r="C450" s="172"/>
      <c r="D450" s="173"/>
      <c r="E450" s="174"/>
      <c r="F450" s="174"/>
      <c r="G450" s="175"/>
      <c r="H450" s="175"/>
      <c r="I450" s="175"/>
      <c r="J450" s="175"/>
      <c r="K450" s="175"/>
      <c r="L450" s="175"/>
      <c r="M450" s="175"/>
      <c r="N450" s="175"/>
      <c r="O450" s="175"/>
      <c r="P450" s="175"/>
      <c r="Q450" s="175"/>
      <c r="R450" s="175"/>
      <c r="S450" s="175"/>
      <c r="T450" s="175"/>
      <c r="U450" s="175"/>
      <c r="V450" s="175"/>
      <c r="W450" s="175"/>
      <c r="X450" s="175"/>
      <c r="Y450" s="175"/>
      <c r="Z450" s="175"/>
    </row>
    <row r="451" ht="15.75" customHeight="1">
      <c r="A451" s="174"/>
      <c r="B451" s="276"/>
      <c r="C451" s="172"/>
      <c r="D451" s="173"/>
      <c r="E451" s="174"/>
      <c r="F451" s="174"/>
      <c r="G451" s="175"/>
      <c r="H451" s="175"/>
      <c r="I451" s="175"/>
      <c r="J451" s="175"/>
      <c r="K451" s="175"/>
      <c r="L451" s="175"/>
      <c r="M451" s="175"/>
      <c r="N451" s="175"/>
      <c r="O451" s="175"/>
      <c r="P451" s="175"/>
      <c r="Q451" s="175"/>
      <c r="R451" s="175"/>
      <c r="S451" s="175"/>
      <c r="T451" s="175"/>
      <c r="U451" s="175"/>
      <c r="V451" s="175"/>
      <c r="W451" s="175"/>
      <c r="X451" s="175"/>
      <c r="Y451" s="175"/>
      <c r="Z451" s="175"/>
    </row>
    <row r="452" ht="15.75" customHeight="1">
      <c r="A452" s="174"/>
      <c r="B452" s="276"/>
      <c r="C452" s="172"/>
      <c r="D452" s="173"/>
      <c r="E452" s="174"/>
      <c r="F452" s="174"/>
      <c r="G452" s="175"/>
      <c r="H452" s="175"/>
      <c r="I452" s="175"/>
      <c r="J452" s="175"/>
      <c r="K452" s="175"/>
      <c r="L452" s="175"/>
      <c r="M452" s="175"/>
      <c r="N452" s="175"/>
      <c r="O452" s="175"/>
      <c r="P452" s="175"/>
      <c r="Q452" s="175"/>
      <c r="R452" s="175"/>
      <c r="S452" s="175"/>
      <c r="T452" s="175"/>
      <c r="U452" s="175"/>
      <c r="V452" s="175"/>
      <c r="W452" s="175"/>
      <c r="X452" s="175"/>
      <c r="Y452" s="175"/>
      <c r="Z452" s="175"/>
    </row>
    <row r="453" ht="15.75" customHeight="1">
      <c r="A453" s="174"/>
      <c r="B453" s="276"/>
      <c r="C453" s="172"/>
      <c r="D453" s="173"/>
      <c r="E453" s="174"/>
      <c r="F453" s="174"/>
      <c r="G453" s="175"/>
      <c r="H453" s="175"/>
      <c r="I453" s="175"/>
      <c r="J453" s="175"/>
      <c r="K453" s="175"/>
      <c r="L453" s="175"/>
      <c r="M453" s="175"/>
      <c r="N453" s="175"/>
      <c r="O453" s="175"/>
      <c r="P453" s="175"/>
      <c r="Q453" s="175"/>
      <c r="R453" s="175"/>
      <c r="S453" s="175"/>
      <c r="T453" s="175"/>
      <c r="U453" s="175"/>
      <c r="V453" s="175"/>
      <c r="W453" s="175"/>
      <c r="X453" s="175"/>
      <c r="Y453" s="175"/>
      <c r="Z453" s="175"/>
    </row>
    <row r="454" ht="15.75" customHeight="1">
      <c r="A454" s="174"/>
      <c r="B454" s="276"/>
      <c r="C454" s="172"/>
      <c r="D454" s="173"/>
      <c r="E454" s="174"/>
      <c r="F454" s="174"/>
      <c r="G454" s="175"/>
      <c r="H454" s="175"/>
      <c r="I454" s="175"/>
      <c r="J454" s="175"/>
      <c r="K454" s="175"/>
      <c r="L454" s="175"/>
      <c r="M454" s="175"/>
      <c r="N454" s="175"/>
      <c r="O454" s="175"/>
      <c r="P454" s="175"/>
      <c r="Q454" s="175"/>
      <c r="R454" s="175"/>
      <c r="S454" s="175"/>
      <c r="T454" s="175"/>
      <c r="U454" s="175"/>
      <c r="V454" s="175"/>
      <c r="W454" s="175"/>
      <c r="X454" s="175"/>
      <c r="Y454" s="175"/>
      <c r="Z454" s="175"/>
    </row>
    <row r="455" ht="15.75" customHeight="1">
      <c r="A455" s="174"/>
      <c r="B455" s="276"/>
      <c r="C455" s="172"/>
      <c r="D455" s="173"/>
      <c r="E455" s="174"/>
      <c r="F455" s="174"/>
      <c r="G455" s="175"/>
      <c r="H455" s="175"/>
      <c r="I455" s="175"/>
      <c r="J455" s="175"/>
      <c r="K455" s="175"/>
      <c r="L455" s="175"/>
      <c r="M455" s="175"/>
      <c r="N455" s="175"/>
      <c r="O455" s="175"/>
      <c r="P455" s="175"/>
      <c r="Q455" s="175"/>
      <c r="R455" s="175"/>
      <c r="S455" s="175"/>
      <c r="T455" s="175"/>
      <c r="U455" s="175"/>
      <c r="V455" s="175"/>
      <c r="W455" s="175"/>
      <c r="X455" s="175"/>
      <c r="Y455" s="175"/>
      <c r="Z455" s="175"/>
    </row>
    <row r="456" ht="15.75" customHeight="1">
      <c r="A456" s="174"/>
      <c r="B456" s="276"/>
      <c r="C456" s="172"/>
      <c r="D456" s="173"/>
      <c r="E456" s="174"/>
      <c r="F456" s="174"/>
      <c r="G456" s="175"/>
      <c r="H456" s="175"/>
      <c r="I456" s="175"/>
      <c r="J456" s="175"/>
      <c r="K456" s="175"/>
      <c r="L456" s="175"/>
      <c r="M456" s="175"/>
      <c r="N456" s="175"/>
      <c r="O456" s="175"/>
      <c r="P456" s="175"/>
      <c r="Q456" s="175"/>
      <c r="R456" s="175"/>
      <c r="S456" s="175"/>
      <c r="T456" s="175"/>
      <c r="U456" s="175"/>
      <c r="V456" s="175"/>
      <c r="W456" s="175"/>
      <c r="X456" s="175"/>
      <c r="Y456" s="175"/>
      <c r="Z456" s="175"/>
    </row>
    <row r="457" ht="15.75" customHeight="1">
      <c r="A457" s="174"/>
      <c r="B457" s="276"/>
      <c r="C457" s="172"/>
      <c r="D457" s="173"/>
      <c r="E457" s="174"/>
      <c r="F457" s="174"/>
      <c r="G457" s="175"/>
      <c r="H457" s="175"/>
      <c r="I457" s="175"/>
      <c r="J457" s="175"/>
      <c r="K457" s="175"/>
      <c r="L457" s="175"/>
      <c r="M457" s="175"/>
      <c r="N457" s="175"/>
      <c r="O457" s="175"/>
      <c r="P457" s="175"/>
      <c r="Q457" s="175"/>
      <c r="R457" s="175"/>
      <c r="S457" s="175"/>
      <c r="T457" s="175"/>
      <c r="U457" s="175"/>
      <c r="V457" s="175"/>
      <c r="W457" s="175"/>
      <c r="X457" s="175"/>
      <c r="Y457" s="175"/>
      <c r="Z457" s="175"/>
    </row>
    <row r="458" ht="15.75" customHeight="1">
      <c r="A458" s="174"/>
      <c r="B458" s="276"/>
      <c r="C458" s="172"/>
      <c r="D458" s="173"/>
      <c r="E458" s="174"/>
      <c r="F458" s="174"/>
      <c r="G458" s="175"/>
      <c r="H458" s="175"/>
      <c r="I458" s="175"/>
      <c r="J458" s="175"/>
      <c r="K458" s="175"/>
      <c r="L458" s="175"/>
      <c r="M458" s="175"/>
      <c r="N458" s="175"/>
      <c r="O458" s="175"/>
      <c r="P458" s="175"/>
      <c r="Q458" s="175"/>
      <c r="R458" s="175"/>
      <c r="S458" s="175"/>
      <c r="T458" s="175"/>
      <c r="U458" s="175"/>
      <c r="V458" s="175"/>
      <c r="W458" s="175"/>
      <c r="X458" s="175"/>
      <c r="Y458" s="175"/>
      <c r="Z458" s="175"/>
    </row>
    <row r="459" ht="15.75" customHeight="1">
      <c r="A459" s="174"/>
      <c r="B459" s="276"/>
      <c r="C459" s="172"/>
      <c r="D459" s="173"/>
      <c r="E459" s="174"/>
      <c r="F459" s="174"/>
      <c r="G459" s="175"/>
      <c r="H459" s="175"/>
      <c r="I459" s="175"/>
      <c r="J459" s="175"/>
      <c r="K459" s="175"/>
      <c r="L459" s="175"/>
      <c r="M459" s="175"/>
      <c r="N459" s="175"/>
      <c r="O459" s="175"/>
      <c r="P459" s="175"/>
      <c r="Q459" s="175"/>
      <c r="R459" s="175"/>
      <c r="S459" s="175"/>
      <c r="T459" s="175"/>
      <c r="U459" s="175"/>
      <c r="V459" s="175"/>
      <c r="W459" s="175"/>
      <c r="X459" s="175"/>
      <c r="Y459" s="175"/>
      <c r="Z459" s="175"/>
    </row>
    <row r="460" ht="15.75" customHeight="1">
      <c r="A460" s="174"/>
      <c r="B460" s="276"/>
      <c r="C460" s="172"/>
      <c r="D460" s="173"/>
      <c r="E460" s="174"/>
      <c r="F460" s="174"/>
      <c r="G460" s="175"/>
      <c r="H460" s="175"/>
      <c r="I460" s="175"/>
      <c r="J460" s="175"/>
      <c r="K460" s="175"/>
      <c r="L460" s="175"/>
      <c r="M460" s="175"/>
      <c r="N460" s="175"/>
      <c r="O460" s="175"/>
      <c r="P460" s="175"/>
      <c r="Q460" s="175"/>
      <c r="R460" s="175"/>
      <c r="S460" s="175"/>
      <c r="T460" s="175"/>
      <c r="U460" s="175"/>
      <c r="V460" s="175"/>
      <c r="W460" s="175"/>
      <c r="X460" s="175"/>
      <c r="Y460" s="175"/>
      <c r="Z460" s="175"/>
    </row>
    <row r="461" ht="15.75" customHeight="1">
      <c r="A461" s="174"/>
      <c r="B461" s="276"/>
      <c r="C461" s="172"/>
      <c r="D461" s="173"/>
      <c r="E461" s="174"/>
      <c r="F461" s="174"/>
      <c r="G461" s="175"/>
      <c r="H461" s="175"/>
      <c r="I461" s="175"/>
      <c r="J461" s="175"/>
      <c r="K461" s="175"/>
      <c r="L461" s="175"/>
      <c r="M461" s="175"/>
      <c r="N461" s="175"/>
      <c r="O461" s="175"/>
      <c r="P461" s="175"/>
      <c r="Q461" s="175"/>
      <c r="R461" s="175"/>
      <c r="S461" s="175"/>
      <c r="T461" s="175"/>
      <c r="U461" s="175"/>
      <c r="V461" s="175"/>
      <c r="W461" s="175"/>
      <c r="X461" s="175"/>
      <c r="Y461" s="175"/>
      <c r="Z461" s="175"/>
    </row>
    <row r="462" ht="15.75" customHeight="1">
      <c r="A462" s="174"/>
      <c r="B462" s="276"/>
      <c r="C462" s="172"/>
      <c r="D462" s="173"/>
      <c r="E462" s="174"/>
      <c r="F462" s="174"/>
      <c r="G462" s="175"/>
      <c r="H462" s="175"/>
      <c r="I462" s="175"/>
      <c r="J462" s="175"/>
      <c r="K462" s="175"/>
      <c r="L462" s="175"/>
      <c r="M462" s="175"/>
      <c r="N462" s="175"/>
      <c r="O462" s="175"/>
      <c r="P462" s="175"/>
      <c r="Q462" s="175"/>
      <c r="R462" s="175"/>
      <c r="S462" s="175"/>
      <c r="T462" s="175"/>
      <c r="U462" s="175"/>
      <c r="V462" s="175"/>
      <c r="W462" s="175"/>
      <c r="X462" s="175"/>
      <c r="Y462" s="175"/>
      <c r="Z462" s="175"/>
    </row>
    <row r="463" ht="15.75" customHeight="1">
      <c r="A463" s="174"/>
      <c r="B463" s="276"/>
      <c r="C463" s="172"/>
      <c r="D463" s="173"/>
      <c r="E463" s="174"/>
      <c r="F463" s="174"/>
      <c r="G463" s="175"/>
      <c r="H463" s="175"/>
      <c r="I463" s="175"/>
      <c r="J463" s="175"/>
      <c r="K463" s="175"/>
      <c r="L463" s="175"/>
      <c r="M463" s="175"/>
      <c r="N463" s="175"/>
      <c r="O463" s="175"/>
      <c r="P463" s="175"/>
      <c r="Q463" s="175"/>
      <c r="R463" s="175"/>
      <c r="S463" s="175"/>
      <c r="T463" s="175"/>
      <c r="U463" s="175"/>
      <c r="V463" s="175"/>
      <c r="W463" s="175"/>
      <c r="X463" s="175"/>
      <c r="Y463" s="175"/>
      <c r="Z463" s="175"/>
    </row>
    <row r="464" ht="15.75" customHeight="1">
      <c r="A464" s="174"/>
      <c r="B464" s="276"/>
      <c r="C464" s="172"/>
      <c r="D464" s="173"/>
      <c r="E464" s="174"/>
      <c r="F464" s="174"/>
      <c r="G464" s="175"/>
      <c r="H464" s="175"/>
      <c r="I464" s="175"/>
      <c r="J464" s="175"/>
      <c r="K464" s="175"/>
      <c r="L464" s="175"/>
      <c r="M464" s="175"/>
      <c r="N464" s="175"/>
      <c r="O464" s="175"/>
      <c r="P464" s="175"/>
      <c r="Q464" s="175"/>
      <c r="R464" s="175"/>
      <c r="S464" s="175"/>
      <c r="T464" s="175"/>
      <c r="U464" s="175"/>
      <c r="V464" s="175"/>
      <c r="W464" s="175"/>
      <c r="X464" s="175"/>
      <c r="Y464" s="175"/>
      <c r="Z464" s="175"/>
    </row>
    <row r="465" ht="15.75" customHeight="1">
      <c r="A465" s="174"/>
      <c r="B465" s="276"/>
      <c r="C465" s="172"/>
      <c r="D465" s="173"/>
      <c r="E465" s="174"/>
      <c r="F465" s="174"/>
      <c r="G465" s="175"/>
      <c r="H465" s="175"/>
      <c r="I465" s="175"/>
      <c r="J465" s="175"/>
      <c r="K465" s="175"/>
      <c r="L465" s="175"/>
      <c r="M465" s="175"/>
      <c r="N465" s="175"/>
      <c r="O465" s="175"/>
      <c r="P465" s="175"/>
      <c r="Q465" s="175"/>
      <c r="R465" s="175"/>
      <c r="S465" s="175"/>
      <c r="T465" s="175"/>
      <c r="U465" s="175"/>
      <c r="V465" s="175"/>
      <c r="W465" s="175"/>
      <c r="X465" s="175"/>
      <c r="Y465" s="175"/>
      <c r="Z465" s="175"/>
    </row>
    <row r="466" ht="15.75" customHeight="1">
      <c r="A466" s="174"/>
      <c r="B466" s="276"/>
      <c r="C466" s="172"/>
      <c r="D466" s="173"/>
      <c r="E466" s="174"/>
      <c r="F466" s="174"/>
      <c r="G466" s="175"/>
      <c r="H466" s="175"/>
      <c r="I466" s="175"/>
      <c r="J466" s="175"/>
      <c r="K466" s="175"/>
      <c r="L466" s="175"/>
      <c r="M466" s="175"/>
      <c r="N466" s="175"/>
      <c r="O466" s="175"/>
      <c r="P466" s="175"/>
      <c r="Q466" s="175"/>
      <c r="R466" s="175"/>
      <c r="S466" s="175"/>
      <c r="T466" s="175"/>
      <c r="U466" s="175"/>
      <c r="V466" s="175"/>
      <c r="W466" s="175"/>
      <c r="X466" s="175"/>
      <c r="Y466" s="175"/>
      <c r="Z466" s="175"/>
    </row>
    <row r="467" ht="15.75" customHeight="1">
      <c r="A467" s="174"/>
      <c r="B467" s="276"/>
      <c r="C467" s="172"/>
      <c r="D467" s="173"/>
      <c r="E467" s="174"/>
      <c r="F467" s="174"/>
      <c r="G467" s="175"/>
      <c r="H467" s="175"/>
      <c r="I467" s="175"/>
      <c r="J467" s="175"/>
      <c r="K467" s="175"/>
      <c r="L467" s="175"/>
      <c r="M467" s="175"/>
      <c r="N467" s="175"/>
      <c r="O467" s="175"/>
      <c r="P467" s="175"/>
      <c r="Q467" s="175"/>
      <c r="R467" s="175"/>
      <c r="S467" s="175"/>
      <c r="T467" s="175"/>
      <c r="U467" s="175"/>
      <c r="V467" s="175"/>
      <c r="W467" s="175"/>
      <c r="X467" s="175"/>
      <c r="Y467" s="175"/>
      <c r="Z467" s="175"/>
    </row>
    <row r="468" ht="15.75" customHeight="1">
      <c r="A468" s="174"/>
      <c r="B468" s="276"/>
      <c r="C468" s="172"/>
      <c r="D468" s="173"/>
      <c r="E468" s="174"/>
      <c r="F468" s="174"/>
      <c r="G468" s="175"/>
      <c r="H468" s="175"/>
      <c r="I468" s="175"/>
      <c r="J468" s="175"/>
      <c r="K468" s="175"/>
      <c r="L468" s="175"/>
      <c r="M468" s="175"/>
      <c r="N468" s="175"/>
      <c r="O468" s="175"/>
      <c r="P468" s="175"/>
      <c r="Q468" s="175"/>
      <c r="R468" s="175"/>
      <c r="S468" s="175"/>
      <c r="T468" s="175"/>
      <c r="U468" s="175"/>
      <c r="V468" s="175"/>
      <c r="W468" s="175"/>
      <c r="X468" s="175"/>
      <c r="Y468" s="175"/>
      <c r="Z468" s="175"/>
    </row>
    <row r="469" ht="15.75" customHeight="1">
      <c r="A469" s="174"/>
      <c r="B469" s="276"/>
      <c r="C469" s="172"/>
      <c r="D469" s="173"/>
      <c r="E469" s="174"/>
      <c r="F469" s="174"/>
      <c r="G469" s="175"/>
      <c r="H469" s="175"/>
      <c r="I469" s="175"/>
      <c r="J469" s="175"/>
      <c r="K469" s="175"/>
      <c r="L469" s="175"/>
      <c r="M469" s="175"/>
      <c r="N469" s="175"/>
      <c r="O469" s="175"/>
      <c r="P469" s="175"/>
      <c r="Q469" s="175"/>
      <c r="R469" s="175"/>
      <c r="S469" s="175"/>
      <c r="T469" s="175"/>
      <c r="U469" s="175"/>
      <c r="V469" s="175"/>
      <c r="W469" s="175"/>
      <c r="X469" s="175"/>
      <c r="Y469" s="175"/>
      <c r="Z469" s="175"/>
    </row>
    <row r="470" ht="15.75" customHeight="1">
      <c r="A470" s="174"/>
      <c r="B470" s="276"/>
      <c r="C470" s="172"/>
      <c r="D470" s="173"/>
      <c r="E470" s="174"/>
      <c r="F470" s="174"/>
      <c r="G470" s="175"/>
      <c r="H470" s="175"/>
      <c r="I470" s="175"/>
      <c r="J470" s="175"/>
      <c r="K470" s="175"/>
      <c r="L470" s="175"/>
      <c r="M470" s="175"/>
      <c r="N470" s="175"/>
      <c r="O470" s="175"/>
      <c r="P470" s="175"/>
      <c r="Q470" s="175"/>
      <c r="R470" s="175"/>
      <c r="S470" s="175"/>
      <c r="T470" s="175"/>
      <c r="U470" s="175"/>
      <c r="V470" s="175"/>
      <c r="W470" s="175"/>
      <c r="X470" s="175"/>
      <c r="Y470" s="175"/>
      <c r="Z470" s="175"/>
    </row>
    <row r="471" ht="15.75" customHeight="1">
      <c r="A471" s="174"/>
      <c r="B471" s="276"/>
      <c r="C471" s="172"/>
      <c r="D471" s="173"/>
      <c r="E471" s="174"/>
      <c r="F471" s="174"/>
      <c r="G471" s="175"/>
      <c r="H471" s="175"/>
      <c r="I471" s="175"/>
      <c r="J471" s="175"/>
      <c r="K471" s="175"/>
      <c r="L471" s="175"/>
      <c r="M471" s="175"/>
      <c r="N471" s="175"/>
      <c r="O471" s="175"/>
      <c r="P471" s="175"/>
      <c r="Q471" s="175"/>
      <c r="R471" s="175"/>
      <c r="S471" s="175"/>
      <c r="T471" s="175"/>
      <c r="U471" s="175"/>
      <c r="V471" s="175"/>
      <c r="W471" s="175"/>
      <c r="X471" s="175"/>
      <c r="Y471" s="175"/>
      <c r="Z471" s="175"/>
    </row>
    <row r="472" ht="15.75" customHeight="1">
      <c r="A472" s="174"/>
      <c r="B472" s="276"/>
      <c r="C472" s="172"/>
      <c r="D472" s="173"/>
      <c r="E472" s="174"/>
      <c r="F472" s="174"/>
      <c r="G472" s="175"/>
      <c r="H472" s="175"/>
      <c r="I472" s="175"/>
      <c r="J472" s="175"/>
      <c r="K472" s="175"/>
      <c r="L472" s="175"/>
      <c r="M472" s="175"/>
      <c r="N472" s="175"/>
      <c r="O472" s="175"/>
      <c r="P472" s="175"/>
      <c r="Q472" s="175"/>
      <c r="R472" s="175"/>
      <c r="S472" s="175"/>
      <c r="T472" s="175"/>
      <c r="U472" s="175"/>
      <c r="V472" s="175"/>
      <c r="W472" s="175"/>
      <c r="X472" s="175"/>
      <c r="Y472" s="175"/>
      <c r="Z472" s="175"/>
    </row>
    <row r="473" ht="15.75" customHeight="1">
      <c r="A473" s="174"/>
      <c r="B473" s="276"/>
      <c r="C473" s="172"/>
      <c r="D473" s="173"/>
      <c r="E473" s="174"/>
      <c r="F473" s="174"/>
      <c r="G473" s="175"/>
      <c r="H473" s="175"/>
      <c r="I473" s="175"/>
      <c r="J473" s="175"/>
      <c r="K473" s="175"/>
      <c r="L473" s="175"/>
      <c r="M473" s="175"/>
      <c r="N473" s="175"/>
      <c r="O473" s="175"/>
      <c r="P473" s="175"/>
      <c r="Q473" s="175"/>
      <c r="R473" s="175"/>
      <c r="S473" s="175"/>
      <c r="T473" s="175"/>
      <c r="U473" s="175"/>
      <c r="V473" s="175"/>
      <c r="W473" s="175"/>
      <c r="X473" s="175"/>
      <c r="Y473" s="175"/>
      <c r="Z473" s="175"/>
    </row>
    <row r="474" ht="15.75" customHeight="1">
      <c r="A474" s="174"/>
      <c r="B474" s="276"/>
      <c r="C474" s="172"/>
      <c r="D474" s="173"/>
      <c r="E474" s="174"/>
      <c r="F474" s="174"/>
      <c r="G474" s="175"/>
      <c r="H474" s="175"/>
      <c r="I474" s="175"/>
      <c r="J474" s="175"/>
      <c r="K474" s="175"/>
      <c r="L474" s="175"/>
      <c r="M474" s="175"/>
      <c r="N474" s="175"/>
      <c r="O474" s="175"/>
      <c r="P474" s="175"/>
      <c r="Q474" s="175"/>
      <c r="R474" s="175"/>
      <c r="S474" s="175"/>
      <c r="T474" s="175"/>
      <c r="U474" s="175"/>
      <c r="V474" s="175"/>
      <c r="W474" s="175"/>
      <c r="X474" s="175"/>
      <c r="Y474" s="175"/>
      <c r="Z474" s="175"/>
    </row>
    <row r="475" ht="15.75" customHeight="1">
      <c r="A475" s="174"/>
      <c r="B475" s="276"/>
      <c r="C475" s="172"/>
      <c r="D475" s="173"/>
      <c r="E475" s="174"/>
      <c r="F475" s="174"/>
      <c r="G475" s="175"/>
      <c r="H475" s="175"/>
      <c r="I475" s="175"/>
      <c r="J475" s="175"/>
      <c r="K475" s="175"/>
      <c r="L475" s="175"/>
      <c r="M475" s="175"/>
      <c r="N475" s="175"/>
      <c r="O475" s="175"/>
      <c r="P475" s="175"/>
      <c r="Q475" s="175"/>
      <c r="R475" s="175"/>
      <c r="S475" s="175"/>
      <c r="T475" s="175"/>
      <c r="U475" s="175"/>
      <c r="V475" s="175"/>
      <c r="W475" s="175"/>
      <c r="X475" s="175"/>
      <c r="Y475" s="175"/>
      <c r="Z475" s="175"/>
    </row>
    <row r="476" ht="15.75" customHeight="1">
      <c r="A476" s="174"/>
      <c r="B476" s="276"/>
      <c r="C476" s="172"/>
      <c r="D476" s="173"/>
      <c r="E476" s="174"/>
      <c r="F476" s="174"/>
      <c r="G476" s="175"/>
      <c r="H476" s="175"/>
      <c r="I476" s="175"/>
      <c r="J476" s="175"/>
      <c r="K476" s="175"/>
      <c r="L476" s="175"/>
      <c r="M476" s="175"/>
      <c r="N476" s="175"/>
      <c r="O476" s="175"/>
      <c r="P476" s="175"/>
      <c r="Q476" s="175"/>
      <c r="R476" s="175"/>
      <c r="S476" s="175"/>
      <c r="T476" s="175"/>
      <c r="U476" s="175"/>
      <c r="V476" s="175"/>
      <c r="W476" s="175"/>
      <c r="X476" s="175"/>
      <c r="Y476" s="175"/>
      <c r="Z476" s="175"/>
    </row>
    <row r="477" ht="15.75" customHeight="1">
      <c r="A477" s="174"/>
      <c r="B477" s="276"/>
      <c r="C477" s="172"/>
      <c r="D477" s="173"/>
      <c r="E477" s="174"/>
      <c r="F477" s="174"/>
      <c r="G477" s="175"/>
      <c r="H477" s="175"/>
      <c r="I477" s="175"/>
      <c r="J477" s="175"/>
      <c r="K477" s="175"/>
      <c r="L477" s="175"/>
      <c r="M477" s="175"/>
      <c r="N477" s="175"/>
      <c r="O477" s="175"/>
      <c r="P477" s="175"/>
      <c r="Q477" s="175"/>
      <c r="R477" s="175"/>
      <c r="S477" s="175"/>
      <c r="T477" s="175"/>
      <c r="U477" s="175"/>
      <c r="V477" s="175"/>
      <c r="W477" s="175"/>
      <c r="X477" s="175"/>
      <c r="Y477" s="175"/>
      <c r="Z477" s="175"/>
    </row>
    <row r="478" ht="15.75" customHeight="1">
      <c r="A478" s="174"/>
      <c r="B478" s="276"/>
      <c r="C478" s="172"/>
      <c r="D478" s="173"/>
      <c r="E478" s="174"/>
      <c r="F478" s="174"/>
      <c r="G478" s="175"/>
      <c r="H478" s="175"/>
      <c r="I478" s="175"/>
      <c r="J478" s="175"/>
      <c r="K478" s="175"/>
      <c r="L478" s="175"/>
      <c r="M478" s="175"/>
      <c r="N478" s="175"/>
      <c r="O478" s="175"/>
      <c r="P478" s="175"/>
      <c r="Q478" s="175"/>
      <c r="R478" s="175"/>
      <c r="S478" s="175"/>
      <c r="T478" s="175"/>
      <c r="U478" s="175"/>
      <c r="V478" s="175"/>
      <c r="W478" s="175"/>
      <c r="X478" s="175"/>
      <c r="Y478" s="175"/>
      <c r="Z478" s="175"/>
    </row>
    <row r="479" ht="15.75" customHeight="1">
      <c r="A479" s="174"/>
      <c r="B479" s="276"/>
      <c r="C479" s="172"/>
      <c r="D479" s="173"/>
      <c r="E479" s="174"/>
      <c r="F479" s="174"/>
      <c r="G479" s="175"/>
      <c r="H479" s="175"/>
      <c r="I479" s="175"/>
      <c r="J479" s="175"/>
      <c r="K479" s="175"/>
      <c r="L479" s="175"/>
      <c r="M479" s="175"/>
      <c r="N479" s="175"/>
      <c r="O479" s="175"/>
      <c r="P479" s="175"/>
      <c r="Q479" s="175"/>
      <c r="R479" s="175"/>
      <c r="S479" s="175"/>
      <c r="T479" s="175"/>
      <c r="U479" s="175"/>
      <c r="V479" s="175"/>
      <c r="W479" s="175"/>
      <c r="X479" s="175"/>
      <c r="Y479" s="175"/>
      <c r="Z479" s="175"/>
    </row>
    <row r="480" ht="15.75" customHeight="1">
      <c r="A480" s="174"/>
      <c r="B480" s="276"/>
      <c r="C480" s="172"/>
      <c r="D480" s="173"/>
      <c r="E480" s="174"/>
      <c r="F480" s="174"/>
      <c r="G480" s="175"/>
      <c r="H480" s="175"/>
      <c r="I480" s="175"/>
      <c r="J480" s="175"/>
      <c r="K480" s="175"/>
      <c r="L480" s="175"/>
      <c r="M480" s="175"/>
      <c r="N480" s="175"/>
      <c r="O480" s="175"/>
      <c r="P480" s="175"/>
      <c r="Q480" s="175"/>
      <c r="R480" s="175"/>
      <c r="S480" s="175"/>
      <c r="T480" s="175"/>
      <c r="U480" s="175"/>
      <c r="V480" s="175"/>
      <c r="W480" s="175"/>
      <c r="X480" s="175"/>
      <c r="Y480" s="175"/>
      <c r="Z480" s="175"/>
    </row>
    <row r="481" ht="15.75" customHeight="1">
      <c r="A481" s="174"/>
      <c r="B481" s="276"/>
      <c r="C481" s="172"/>
      <c r="D481" s="173"/>
      <c r="E481" s="174"/>
      <c r="F481" s="174"/>
      <c r="G481" s="175"/>
      <c r="H481" s="175"/>
      <c r="I481" s="175"/>
      <c r="J481" s="175"/>
      <c r="K481" s="175"/>
      <c r="L481" s="175"/>
      <c r="M481" s="175"/>
      <c r="N481" s="175"/>
      <c r="O481" s="175"/>
      <c r="P481" s="175"/>
      <c r="Q481" s="175"/>
      <c r="R481" s="175"/>
      <c r="S481" s="175"/>
      <c r="T481" s="175"/>
      <c r="U481" s="175"/>
      <c r="V481" s="175"/>
      <c r="W481" s="175"/>
      <c r="X481" s="175"/>
      <c r="Y481" s="175"/>
      <c r="Z481" s="175"/>
    </row>
    <row r="482" ht="15.75" customHeight="1">
      <c r="A482" s="174"/>
      <c r="B482" s="276"/>
      <c r="C482" s="172"/>
      <c r="D482" s="173"/>
      <c r="E482" s="174"/>
      <c r="F482" s="174"/>
      <c r="G482" s="175"/>
      <c r="H482" s="175"/>
      <c r="I482" s="175"/>
      <c r="J482" s="175"/>
      <c r="K482" s="175"/>
      <c r="L482" s="175"/>
      <c r="M482" s="175"/>
      <c r="N482" s="175"/>
      <c r="O482" s="175"/>
      <c r="P482" s="175"/>
      <c r="Q482" s="175"/>
      <c r="R482" s="175"/>
      <c r="S482" s="175"/>
      <c r="T482" s="175"/>
      <c r="U482" s="175"/>
      <c r="V482" s="175"/>
      <c r="W482" s="175"/>
      <c r="X482" s="175"/>
      <c r="Y482" s="175"/>
      <c r="Z482" s="175"/>
    </row>
    <row r="483" ht="15.75" customHeight="1">
      <c r="A483" s="174"/>
      <c r="B483" s="276"/>
      <c r="C483" s="172"/>
      <c r="D483" s="173"/>
      <c r="E483" s="174"/>
      <c r="F483" s="174"/>
      <c r="G483" s="175"/>
      <c r="H483" s="175"/>
      <c r="I483" s="175"/>
      <c r="J483" s="175"/>
      <c r="K483" s="175"/>
      <c r="L483" s="175"/>
      <c r="M483" s="175"/>
      <c r="N483" s="175"/>
      <c r="O483" s="175"/>
      <c r="P483" s="175"/>
      <c r="Q483" s="175"/>
      <c r="R483" s="175"/>
      <c r="S483" s="175"/>
      <c r="T483" s="175"/>
      <c r="U483" s="175"/>
      <c r="V483" s="175"/>
      <c r="W483" s="175"/>
      <c r="X483" s="175"/>
      <c r="Y483" s="175"/>
      <c r="Z483" s="175"/>
    </row>
    <row r="484" ht="15.75" customHeight="1">
      <c r="A484" s="174"/>
      <c r="B484" s="276"/>
      <c r="C484" s="172"/>
      <c r="D484" s="173"/>
      <c r="E484" s="174"/>
      <c r="F484" s="174"/>
      <c r="G484" s="175"/>
      <c r="H484" s="175"/>
      <c r="I484" s="175"/>
      <c r="J484" s="175"/>
      <c r="K484" s="175"/>
      <c r="L484" s="175"/>
      <c r="M484" s="175"/>
      <c r="N484" s="175"/>
      <c r="O484" s="175"/>
      <c r="P484" s="175"/>
      <c r="Q484" s="175"/>
      <c r="R484" s="175"/>
      <c r="S484" s="175"/>
      <c r="T484" s="175"/>
      <c r="U484" s="175"/>
      <c r="V484" s="175"/>
      <c r="W484" s="175"/>
      <c r="X484" s="175"/>
      <c r="Y484" s="175"/>
      <c r="Z484" s="175"/>
    </row>
    <row r="485" ht="15.75" customHeight="1">
      <c r="A485" s="174"/>
      <c r="B485" s="276"/>
      <c r="C485" s="172"/>
      <c r="D485" s="173"/>
      <c r="E485" s="174"/>
      <c r="F485" s="174"/>
      <c r="G485" s="175"/>
      <c r="H485" s="175"/>
      <c r="I485" s="175"/>
      <c r="J485" s="175"/>
      <c r="K485" s="175"/>
      <c r="L485" s="175"/>
      <c r="M485" s="175"/>
      <c r="N485" s="175"/>
      <c r="O485" s="175"/>
      <c r="P485" s="175"/>
      <c r="Q485" s="175"/>
      <c r="R485" s="175"/>
      <c r="S485" s="175"/>
      <c r="T485" s="175"/>
      <c r="U485" s="175"/>
      <c r="V485" s="175"/>
      <c r="W485" s="175"/>
      <c r="X485" s="175"/>
      <c r="Y485" s="175"/>
      <c r="Z485" s="175"/>
    </row>
    <row r="486" ht="15.75" customHeight="1">
      <c r="A486" s="174"/>
      <c r="B486" s="276"/>
      <c r="C486" s="172"/>
      <c r="D486" s="173"/>
      <c r="E486" s="174"/>
      <c r="F486" s="174"/>
      <c r="G486" s="175"/>
      <c r="H486" s="175"/>
      <c r="I486" s="175"/>
      <c r="J486" s="175"/>
      <c r="K486" s="175"/>
      <c r="L486" s="175"/>
      <c r="M486" s="175"/>
      <c r="N486" s="175"/>
      <c r="O486" s="175"/>
      <c r="P486" s="175"/>
      <c r="Q486" s="175"/>
      <c r="R486" s="175"/>
      <c r="S486" s="175"/>
      <c r="T486" s="175"/>
      <c r="U486" s="175"/>
      <c r="V486" s="175"/>
      <c r="W486" s="175"/>
      <c r="X486" s="175"/>
      <c r="Y486" s="175"/>
      <c r="Z486" s="175"/>
    </row>
    <row r="487" ht="15.75" customHeight="1">
      <c r="A487" s="174"/>
      <c r="B487" s="276"/>
      <c r="C487" s="172"/>
      <c r="D487" s="173"/>
      <c r="E487" s="174"/>
      <c r="F487" s="174"/>
      <c r="G487" s="175"/>
      <c r="H487" s="175"/>
      <c r="I487" s="175"/>
      <c r="J487" s="175"/>
      <c r="K487" s="175"/>
      <c r="L487" s="175"/>
      <c r="M487" s="175"/>
      <c r="N487" s="175"/>
      <c r="O487" s="175"/>
      <c r="P487" s="175"/>
      <c r="Q487" s="175"/>
      <c r="R487" s="175"/>
      <c r="S487" s="175"/>
      <c r="T487" s="175"/>
      <c r="U487" s="175"/>
      <c r="V487" s="175"/>
      <c r="W487" s="175"/>
      <c r="X487" s="175"/>
      <c r="Y487" s="175"/>
      <c r="Z487" s="175"/>
    </row>
    <row r="488" ht="15.75" customHeight="1">
      <c r="A488" s="174"/>
      <c r="B488" s="276"/>
      <c r="C488" s="172"/>
      <c r="D488" s="173"/>
      <c r="E488" s="174"/>
      <c r="F488" s="174"/>
      <c r="G488" s="175"/>
      <c r="H488" s="175"/>
      <c r="I488" s="175"/>
      <c r="J488" s="175"/>
      <c r="K488" s="175"/>
      <c r="L488" s="175"/>
      <c r="M488" s="175"/>
      <c r="N488" s="175"/>
      <c r="O488" s="175"/>
      <c r="P488" s="175"/>
      <c r="Q488" s="175"/>
      <c r="R488" s="175"/>
      <c r="S488" s="175"/>
      <c r="T488" s="175"/>
      <c r="U488" s="175"/>
      <c r="V488" s="175"/>
      <c r="W488" s="175"/>
      <c r="X488" s="175"/>
      <c r="Y488" s="175"/>
      <c r="Z488" s="175"/>
    </row>
    <row r="489" ht="15.75" customHeight="1">
      <c r="A489" s="174"/>
      <c r="B489" s="276"/>
      <c r="C489" s="172"/>
      <c r="D489" s="173"/>
      <c r="E489" s="174"/>
      <c r="F489" s="174"/>
      <c r="G489" s="175"/>
      <c r="H489" s="175"/>
      <c r="I489" s="175"/>
      <c r="J489" s="175"/>
      <c r="K489" s="175"/>
      <c r="L489" s="175"/>
      <c r="M489" s="175"/>
      <c r="N489" s="175"/>
      <c r="O489" s="175"/>
      <c r="P489" s="175"/>
      <c r="Q489" s="175"/>
      <c r="R489" s="175"/>
      <c r="S489" s="175"/>
      <c r="T489" s="175"/>
      <c r="U489" s="175"/>
      <c r="V489" s="175"/>
      <c r="W489" s="175"/>
      <c r="X489" s="175"/>
      <c r="Y489" s="175"/>
      <c r="Z489" s="175"/>
    </row>
    <row r="490" ht="15.75" customHeight="1">
      <c r="A490" s="174"/>
      <c r="B490" s="276"/>
      <c r="C490" s="172"/>
      <c r="D490" s="173"/>
      <c r="E490" s="174"/>
      <c r="F490" s="174"/>
      <c r="G490" s="175"/>
      <c r="H490" s="175"/>
      <c r="I490" s="175"/>
      <c r="J490" s="175"/>
      <c r="K490" s="175"/>
      <c r="L490" s="175"/>
      <c r="M490" s="175"/>
      <c r="N490" s="175"/>
      <c r="O490" s="175"/>
      <c r="P490" s="175"/>
      <c r="Q490" s="175"/>
      <c r="R490" s="175"/>
      <c r="S490" s="175"/>
      <c r="T490" s="175"/>
      <c r="U490" s="175"/>
      <c r="V490" s="175"/>
      <c r="W490" s="175"/>
      <c r="X490" s="175"/>
      <c r="Y490" s="175"/>
      <c r="Z490" s="175"/>
    </row>
    <row r="491" ht="15.75" customHeight="1">
      <c r="A491" s="174"/>
      <c r="B491" s="276"/>
      <c r="C491" s="172"/>
      <c r="D491" s="173"/>
      <c r="E491" s="174"/>
      <c r="F491" s="174"/>
      <c r="G491" s="175"/>
      <c r="H491" s="175"/>
      <c r="I491" s="175"/>
      <c r="J491" s="175"/>
      <c r="K491" s="175"/>
      <c r="L491" s="175"/>
      <c r="M491" s="175"/>
      <c r="N491" s="175"/>
      <c r="O491" s="175"/>
      <c r="P491" s="175"/>
      <c r="Q491" s="175"/>
      <c r="R491" s="175"/>
      <c r="S491" s="175"/>
      <c r="T491" s="175"/>
      <c r="U491" s="175"/>
      <c r="V491" s="175"/>
      <c r="W491" s="175"/>
      <c r="X491" s="175"/>
      <c r="Y491" s="175"/>
      <c r="Z491" s="175"/>
    </row>
    <row r="492" ht="15.75" customHeight="1">
      <c r="A492" s="174"/>
      <c r="B492" s="276"/>
      <c r="C492" s="172"/>
      <c r="D492" s="173"/>
      <c r="E492" s="174"/>
      <c r="F492" s="174"/>
      <c r="G492" s="175"/>
      <c r="H492" s="175"/>
      <c r="I492" s="175"/>
      <c r="J492" s="175"/>
      <c r="K492" s="175"/>
      <c r="L492" s="175"/>
      <c r="M492" s="175"/>
      <c r="N492" s="175"/>
      <c r="O492" s="175"/>
      <c r="P492" s="175"/>
      <c r="Q492" s="175"/>
      <c r="R492" s="175"/>
      <c r="S492" s="175"/>
      <c r="T492" s="175"/>
      <c r="U492" s="175"/>
      <c r="V492" s="175"/>
      <c r="W492" s="175"/>
      <c r="X492" s="175"/>
      <c r="Y492" s="175"/>
      <c r="Z492" s="175"/>
    </row>
    <row r="493" ht="15.75" customHeight="1">
      <c r="A493" s="174"/>
      <c r="B493" s="276"/>
      <c r="C493" s="172"/>
      <c r="D493" s="173"/>
      <c r="E493" s="174"/>
      <c r="F493" s="174"/>
      <c r="G493" s="175"/>
      <c r="H493" s="175"/>
      <c r="I493" s="175"/>
      <c r="J493" s="175"/>
      <c r="K493" s="175"/>
      <c r="L493" s="175"/>
      <c r="M493" s="175"/>
      <c r="N493" s="175"/>
      <c r="O493" s="175"/>
      <c r="P493" s="175"/>
      <c r="Q493" s="175"/>
      <c r="R493" s="175"/>
      <c r="S493" s="175"/>
      <c r="T493" s="175"/>
      <c r="U493" s="175"/>
      <c r="V493" s="175"/>
      <c r="W493" s="175"/>
      <c r="X493" s="175"/>
      <c r="Y493" s="175"/>
      <c r="Z493" s="175"/>
    </row>
    <row r="494" ht="15.75" customHeight="1">
      <c r="A494" s="174"/>
      <c r="B494" s="276"/>
      <c r="C494" s="172"/>
      <c r="D494" s="173"/>
      <c r="E494" s="174"/>
      <c r="F494" s="174"/>
      <c r="G494" s="175"/>
      <c r="H494" s="175"/>
      <c r="I494" s="175"/>
      <c r="J494" s="175"/>
      <c r="K494" s="175"/>
      <c r="L494" s="175"/>
      <c r="M494" s="175"/>
      <c r="N494" s="175"/>
      <c r="O494" s="175"/>
      <c r="P494" s="175"/>
      <c r="Q494" s="175"/>
      <c r="R494" s="175"/>
      <c r="S494" s="175"/>
      <c r="T494" s="175"/>
      <c r="U494" s="175"/>
      <c r="V494" s="175"/>
      <c r="W494" s="175"/>
      <c r="X494" s="175"/>
      <c r="Y494" s="175"/>
      <c r="Z494" s="175"/>
    </row>
    <row r="495" ht="15.75" customHeight="1">
      <c r="A495" s="174"/>
      <c r="B495" s="276"/>
      <c r="C495" s="172"/>
      <c r="D495" s="173"/>
      <c r="E495" s="174"/>
      <c r="F495" s="174"/>
      <c r="G495" s="175"/>
      <c r="H495" s="175"/>
      <c r="I495" s="175"/>
      <c r="J495" s="175"/>
      <c r="K495" s="175"/>
      <c r="L495" s="175"/>
      <c r="M495" s="175"/>
      <c r="N495" s="175"/>
      <c r="O495" s="175"/>
      <c r="P495" s="175"/>
      <c r="Q495" s="175"/>
      <c r="R495" s="175"/>
      <c r="S495" s="175"/>
      <c r="T495" s="175"/>
      <c r="U495" s="175"/>
      <c r="V495" s="175"/>
      <c r="W495" s="175"/>
      <c r="X495" s="175"/>
      <c r="Y495" s="175"/>
      <c r="Z495" s="175"/>
    </row>
    <row r="496" ht="15.75" customHeight="1">
      <c r="A496" s="174"/>
      <c r="B496" s="276"/>
      <c r="C496" s="172"/>
      <c r="D496" s="173"/>
      <c r="E496" s="174"/>
      <c r="F496" s="174"/>
      <c r="G496" s="175"/>
      <c r="H496" s="175"/>
      <c r="I496" s="175"/>
      <c r="J496" s="175"/>
      <c r="K496" s="175"/>
      <c r="L496" s="175"/>
      <c r="M496" s="175"/>
      <c r="N496" s="175"/>
      <c r="O496" s="175"/>
      <c r="P496" s="175"/>
      <c r="Q496" s="175"/>
      <c r="R496" s="175"/>
      <c r="S496" s="175"/>
      <c r="T496" s="175"/>
      <c r="U496" s="175"/>
      <c r="V496" s="175"/>
      <c r="W496" s="175"/>
      <c r="X496" s="175"/>
      <c r="Y496" s="175"/>
      <c r="Z496" s="175"/>
    </row>
    <row r="497" ht="15.75" customHeight="1">
      <c r="A497" s="174"/>
      <c r="B497" s="276"/>
      <c r="C497" s="172"/>
      <c r="D497" s="173"/>
      <c r="E497" s="174"/>
      <c r="F497" s="174"/>
      <c r="G497" s="175"/>
      <c r="H497" s="175"/>
      <c r="I497" s="175"/>
      <c r="J497" s="175"/>
      <c r="K497" s="175"/>
      <c r="L497" s="175"/>
      <c r="M497" s="175"/>
      <c r="N497" s="175"/>
      <c r="O497" s="175"/>
      <c r="P497" s="175"/>
      <c r="Q497" s="175"/>
      <c r="R497" s="175"/>
      <c r="S497" s="175"/>
      <c r="T497" s="175"/>
      <c r="U497" s="175"/>
      <c r="V497" s="175"/>
      <c r="W497" s="175"/>
      <c r="X497" s="175"/>
      <c r="Y497" s="175"/>
      <c r="Z497" s="175"/>
    </row>
    <row r="498" ht="15.75" customHeight="1">
      <c r="A498" s="174"/>
      <c r="B498" s="276"/>
      <c r="C498" s="172"/>
      <c r="D498" s="173"/>
      <c r="E498" s="174"/>
      <c r="F498" s="174"/>
      <c r="G498" s="175"/>
      <c r="H498" s="175"/>
      <c r="I498" s="175"/>
      <c r="J498" s="175"/>
      <c r="K498" s="175"/>
      <c r="L498" s="175"/>
      <c r="M498" s="175"/>
      <c r="N498" s="175"/>
      <c r="O498" s="175"/>
      <c r="P498" s="175"/>
      <c r="Q498" s="175"/>
      <c r="R498" s="175"/>
      <c r="S498" s="175"/>
      <c r="T498" s="175"/>
      <c r="U498" s="175"/>
      <c r="V498" s="175"/>
      <c r="W498" s="175"/>
      <c r="X498" s="175"/>
      <c r="Y498" s="175"/>
      <c r="Z498" s="175"/>
    </row>
    <row r="499" ht="15.75" customHeight="1">
      <c r="A499" s="174"/>
      <c r="B499" s="276"/>
      <c r="C499" s="172"/>
      <c r="D499" s="173"/>
      <c r="E499" s="174"/>
      <c r="F499" s="174"/>
      <c r="G499" s="175"/>
      <c r="H499" s="175"/>
      <c r="I499" s="175"/>
      <c r="J499" s="175"/>
      <c r="K499" s="175"/>
      <c r="L499" s="175"/>
      <c r="M499" s="175"/>
      <c r="N499" s="175"/>
      <c r="O499" s="175"/>
      <c r="P499" s="175"/>
      <c r="Q499" s="175"/>
      <c r="R499" s="175"/>
      <c r="S499" s="175"/>
      <c r="T499" s="175"/>
      <c r="U499" s="175"/>
      <c r="V499" s="175"/>
      <c r="W499" s="175"/>
      <c r="X499" s="175"/>
      <c r="Y499" s="175"/>
      <c r="Z499" s="175"/>
    </row>
    <row r="500" ht="15.75" customHeight="1">
      <c r="A500" s="174"/>
      <c r="B500" s="276"/>
      <c r="C500" s="172"/>
      <c r="D500" s="173"/>
      <c r="E500" s="174"/>
      <c r="F500" s="174"/>
      <c r="G500" s="175"/>
      <c r="H500" s="175"/>
      <c r="I500" s="175"/>
      <c r="J500" s="175"/>
      <c r="K500" s="175"/>
      <c r="L500" s="175"/>
      <c r="M500" s="175"/>
      <c r="N500" s="175"/>
      <c r="O500" s="175"/>
      <c r="P500" s="175"/>
      <c r="Q500" s="175"/>
      <c r="R500" s="175"/>
      <c r="S500" s="175"/>
      <c r="T500" s="175"/>
      <c r="U500" s="175"/>
      <c r="V500" s="175"/>
      <c r="W500" s="175"/>
      <c r="X500" s="175"/>
      <c r="Y500" s="175"/>
      <c r="Z500" s="175"/>
    </row>
    <row r="501" ht="15.75" customHeight="1">
      <c r="A501" s="174"/>
      <c r="B501" s="276"/>
      <c r="C501" s="172"/>
      <c r="D501" s="173"/>
      <c r="E501" s="174"/>
      <c r="F501" s="174"/>
      <c r="G501" s="175"/>
      <c r="H501" s="175"/>
      <c r="I501" s="175"/>
      <c r="J501" s="175"/>
      <c r="K501" s="175"/>
      <c r="L501" s="175"/>
      <c r="M501" s="175"/>
      <c r="N501" s="175"/>
      <c r="O501" s="175"/>
      <c r="P501" s="175"/>
      <c r="Q501" s="175"/>
      <c r="R501" s="175"/>
      <c r="S501" s="175"/>
      <c r="T501" s="175"/>
      <c r="U501" s="175"/>
      <c r="V501" s="175"/>
      <c r="W501" s="175"/>
      <c r="X501" s="175"/>
      <c r="Y501" s="175"/>
      <c r="Z501" s="175"/>
    </row>
    <row r="502" ht="15.75" customHeight="1">
      <c r="A502" s="174"/>
      <c r="B502" s="276"/>
      <c r="C502" s="172"/>
      <c r="D502" s="173"/>
      <c r="E502" s="174"/>
      <c r="F502" s="174"/>
      <c r="G502" s="175"/>
      <c r="H502" s="175"/>
      <c r="I502" s="175"/>
      <c r="J502" s="175"/>
      <c r="K502" s="175"/>
      <c r="L502" s="175"/>
      <c r="M502" s="175"/>
      <c r="N502" s="175"/>
      <c r="O502" s="175"/>
      <c r="P502" s="175"/>
      <c r="Q502" s="175"/>
      <c r="R502" s="175"/>
      <c r="S502" s="175"/>
      <c r="T502" s="175"/>
      <c r="U502" s="175"/>
      <c r="V502" s="175"/>
      <c r="W502" s="175"/>
      <c r="X502" s="175"/>
      <c r="Y502" s="175"/>
      <c r="Z502" s="175"/>
    </row>
    <row r="503" ht="15.75" customHeight="1">
      <c r="A503" s="174"/>
      <c r="B503" s="276"/>
      <c r="C503" s="172"/>
      <c r="D503" s="173"/>
      <c r="E503" s="174"/>
      <c r="F503" s="174"/>
      <c r="G503" s="175"/>
      <c r="H503" s="175"/>
      <c r="I503" s="175"/>
      <c r="J503" s="175"/>
      <c r="K503" s="175"/>
      <c r="L503" s="175"/>
      <c r="M503" s="175"/>
      <c r="N503" s="175"/>
      <c r="O503" s="175"/>
      <c r="P503" s="175"/>
      <c r="Q503" s="175"/>
      <c r="R503" s="175"/>
      <c r="S503" s="175"/>
      <c r="T503" s="175"/>
      <c r="U503" s="175"/>
      <c r="V503" s="175"/>
      <c r="W503" s="175"/>
      <c r="X503" s="175"/>
      <c r="Y503" s="175"/>
      <c r="Z503" s="175"/>
    </row>
    <row r="504" ht="15.75" customHeight="1">
      <c r="A504" s="174"/>
      <c r="B504" s="276"/>
      <c r="C504" s="172"/>
      <c r="D504" s="173"/>
      <c r="E504" s="174"/>
      <c r="F504" s="174"/>
      <c r="G504" s="175"/>
      <c r="H504" s="175"/>
      <c r="I504" s="175"/>
      <c r="J504" s="175"/>
      <c r="K504" s="175"/>
      <c r="L504" s="175"/>
      <c r="M504" s="175"/>
      <c r="N504" s="175"/>
      <c r="O504" s="175"/>
      <c r="P504" s="175"/>
      <c r="Q504" s="175"/>
      <c r="R504" s="175"/>
      <c r="S504" s="175"/>
      <c r="T504" s="175"/>
      <c r="U504" s="175"/>
      <c r="V504" s="175"/>
      <c r="W504" s="175"/>
      <c r="X504" s="175"/>
      <c r="Y504" s="175"/>
      <c r="Z504" s="175"/>
    </row>
    <row r="505" ht="15.75" customHeight="1">
      <c r="A505" s="174"/>
      <c r="B505" s="276"/>
      <c r="C505" s="172"/>
      <c r="D505" s="173"/>
      <c r="E505" s="174"/>
      <c r="F505" s="174"/>
      <c r="G505" s="175"/>
      <c r="H505" s="175"/>
      <c r="I505" s="175"/>
      <c r="J505" s="175"/>
      <c r="K505" s="175"/>
      <c r="L505" s="175"/>
      <c r="M505" s="175"/>
      <c r="N505" s="175"/>
      <c r="O505" s="175"/>
      <c r="P505" s="175"/>
      <c r="Q505" s="175"/>
      <c r="R505" s="175"/>
      <c r="S505" s="175"/>
      <c r="T505" s="175"/>
      <c r="U505" s="175"/>
      <c r="V505" s="175"/>
      <c r="W505" s="175"/>
      <c r="X505" s="175"/>
      <c r="Y505" s="175"/>
      <c r="Z505" s="175"/>
    </row>
    <row r="506" ht="15.75" customHeight="1">
      <c r="A506" s="174"/>
      <c r="B506" s="276"/>
      <c r="C506" s="172"/>
      <c r="D506" s="173"/>
      <c r="E506" s="174"/>
      <c r="F506" s="174"/>
      <c r="G506" s="175"/>
      <c r="H506" s="175"/>
      <c r="I506" s="175"/>
      <c r="J506" s="175"/>
      <c r="K506" s="175"/>
      <c r="L506" s="175"/>
      <c r="M506" s="175"/>
      <c r="N506" s="175"/>
      <c r="O506" s="175"/>
      <c r="P506" s="175"/>
      <c r="Q506" s="175"/>
      <c r="R506" s="175"/>
      <c r="S506" s="175"/>
      <c r="T506" s="175"/>
      <c r="U506" s="175"/>
      <c r="V506" s="175"/>
      <c r="W506" s="175"/>
      <c r="X506" s="175"/>
      <c r="Y506" s="175"/>
      <c r="Z506" s="175"/>
    </row>
    <row r="507" ht="15.75" customHeight="1">
      <c r="A507" s="174"/>
      <c r="B507" s="276"/>
      <c r="C507" s="172"/>
      <c r="D507" s="173"/>
      <c r="E507" s="174"/>
      <c r="F507" s="174"/>
      <c r="G507" s="175"/>
      <c r="H507" s="175"/>
      <c r="I507" s="175"/>
      <c r="J507" s="175"/>
      <c r="K507" s="175"/>
      <c r="L507" s="175"/>
      <c r="M507" s="175"/>
      <c r="N507" s="175"/>
      <c r="O507" s="175"/>
      <c r="P507" s="175"/>
      <c r="Q507" s="175"/>
      <c r="R507" s="175"/>
      <c r="S507" s="175"/>
      <c r="T507" s="175"/>
      <c r="U507" s="175"/>
      <c r="V507" s="175"/>
      <c r="W507" s="175"/>
      <c r="X507" s="175"/>
      <c r="Y507" s="175"/>
      <c r="Z507" s="175"/>
    </row>
    <row r="508" ht="15.75" customHeight="1">
      <c r="A508" s="174"/>
      <c r="B508" s="276"/>
      <c r="C508" s="172"/>
      <c r="D508" s="173"/>
      <c r="E508" s="174"/>
      <c r="F508" s="174"/>
      <c r="G508" s="175"/>
      <c r="H508" s="175"/>
      <c r="I508" s="175"/>
      <c r="J508" s="175"/>
      <c r="K508" s="175"/>
      <c r="L508" s="175"/>
      <c r="M508" s="175"/>
      <c r="N508" s="175"/>
      <c r="O508" s="175"/>
      <c r="P508" s="175"/>
      <c r="Q508" s="175"/>
      <c r="R508" s="175"/>
      <c r="S508" s="175"/>
      <c r="T508" s="175"/>
      <c r="U508" s="175"/>
      <c r="V508" s="175"/>
      <c r="W508" s="175"/>
      <c r="X508" s="175"/>
      <c r="Y508" s="175"/>
      <c r="Z508" s="175"/>
    </row>
    <row r="509" ht="15.75" customHeight="1">
      <c r="A509" s="174"/>
      <c r="B509" s="276"/>
      <c r="C509" s="172"/>
      <c r="D509" s="173"/>
      <c r="E509" s="174"/>
      <c r="F509" s="174"/>
      <c r="G509" s="175"/>
      <c r="H509" s="175"/>
      <c r="I509" s="175"/>
      <c r="J509" s="175"/>
      <c r="K509" s="175"/>
      <c r="L509" s="175"/>
      <c r="M509" s="175"/>
      <c r="N509" s="175"/>
      <c r="O509" s="175"/>
      <c r="P509" s="175"/>
      <c r="Q509" s="175"/>
      <c r="R509" s="175"/>
      <c r="S509" s="175"/>
      <c r="T509" s="175"/>
      <c r="U509" s="175"/>
      <c r="V509" s="175"/>
      <c r="W509" s="175"/>
      <c r="X509" s="175"/>
      <c r="Y509" s="175"/>
      <c r="Z509" s="175"/>
    </row>
    <row r="510" ht="15.75" customHeight="1">
      <c r="A510" s="174"/>
      <c r="B510" s="276"/>
      <c r="C510" s="172"/>
      <c r="D510" s="173"/>
      <c r="E510" s="174"/>
      <c r="F510" s="174"/>
      <c r="G510" s="175"/>
      <c r="H510" s="175"/>
      <c r="I510" s="175"/>
      <c r="J510" s="175"/>
      <c r="K510" s="175"/>
      <c r="L510" s="175"/>
      <c r="M510" s="175"/>
      <c r="N510" s="175"/>
      <c r="O510" s="175"/>
      <c r="P510" s="175"/>
      <c r="Q510" s="175"/>
      <c r="R510" s="175"/>
      <c r="S510" s="175"/>
      <c r="T510" s="175"/>
      <c r="U510" s="175"/>
      <c r="V510" s="175"/>
      <c r="W510" s="175"/>
      <c r="X510" s="175"/>
      <c r="Y510" s="175"/>
      <c r="Z510" s="175"/>
    </row>
    <row r="511" ht="15.75" customHeight="1">
      <c r="A511" s="174"/>
      <c r="B511" s="276"/>
      <c r="C511" s="172"/>
      <c r="D511" s="173"/>
      <c r="E511" s="174"/>
      <c r="F511" s="174"/>
      <c r="G511" s="175"/>
      <c r="H511" s="175"/>
      <c r="I511" s="175"/>
      <c r="J511" s="175"/>
      <c r="K511" s="175"/>
      <c r="L511" s="175"/>
      <c r="M511" s="175"/>
      <c r="N511" s="175"/>
      <c r="O511" s="175"/>
      <c r="P511" s="175"/>
      <c r="Q511" s="175"/>
      <c r="R511" s="175"/>
      <c r="S511" s="175"/>
      <c r="T511" s="175"/>
      <c r="U511" s="175"/>
      <c r="V511" s="175"/>
      <c r="W511" s="175"/>
      <c r="X511" s="175"/>
      <c r="Y511" s="175"/>
      <c r="Z511" s="175"/>
    </row>
    <row r="512" ht="15.75" customHeight="1">
      <c r="A512" s="174"/>
      <c r="B512" s="276"/>
      <c r="C512" s="172"/>
      <c r="D512" s="173"/>
      <c r="E512" s="174"/>
      <c r="F512" s="174"/>
      <c r="G512" s="175"/>
      <c r="H512" s="175"/>
      <c r="I512" s="175"/>
      <c r="J512" s="175"/>
      <c r="K512" s="175"/>
      <c r="L512" s="175"/>
      <c r="M512" s="175"/>
      <c r="N512" s="175"/>
      <c r="O512" s="175"/>
      <c r="P512" s="175"/>
      <c r="Q512" s="175"/>
      <c r="R512" s="175"/>
      <c r="S512" s="175"/>
      <c r="T512" s="175"/>
      <c r="U512" s="175"/>
      <c r="V512" s="175"/>
      <c r="W512" s="175"/>
      <c r="X512" s="175"/>
      <c r="Y512" s="175"/>
      <c r="Z512" s="175"/>
    </row>
    <row r="513" ht="15.75" customHeight="1">
      <c r="A513" s="174"/>
      <c r="B513" s="276"/>
      <c r="C513" s="172"/>
      <c r="D513" s="173"/>
      <c r="E513" s="174"/>
      <c r="F513" s="174"/>
      <c r="G513" s="175"/>
      <c r="H513" s="175"/>
      <c r="I513" s="175"/>
      <c r="J513" s="175"/>
      <c r="K513" s="175"/>
      <c r="L513" s="175"/>
      <c r="M513" s="175"/>
      <c r="N513" s="175"/>
      <c r="O513" s="175"/>
      <c r="P513" s="175"/>
      <c r="Q513" s="175"/>
      <c r="R513" s="175"/>
      <c r="S513" s="175"/>
      <c r="T513" s="175"/>
      <c r="U513" s="175"/>
      <c r="V513" s="175"/>
      <c r="W513" s="175"/>
      <c r="X513" s="175"/>
      <c r="Y513" s="175"/>
      <c r="Z513" s="175"/>
    </row>
    <row r="514" ht="15.75" customHeight="1">
      <c r="A514" s="174"/>
      <c r="B514" s="276"/>
      <c r="C514" s="172"/>
      <c r="D514" s="173"/>
      <c r="E514" s="174"/>
      <c r="F514" s="174"/>
      <c r="G514" s="175"/>
      <c r="H514" s="175"/>
      <c r="I514" s="175"/>
      <c r="J514" s="175"/>
      <c r="K514" s="175"/>
      <c r="L514" s="175"/>
      <c r="M514" s="175"/>
      <c r="N514" s="175"/>
      <c r="O514" s="175"/>
      <c r="P514" s="175"/>
      <c r="Q514" s="175"/>
      <c r="R514" s="175"/>
      <c r="S514" s="175"/>
      <c r="T514" s="175"/>
      <c r="U514" s="175"/>
      <c r="V514" s="175"/>
      <c r="W514" s="175"/>
      <c r="X514" s="175"/>
      <c r="Y514" s="175"/>
      <c r="Z514" s="175"/>
    </row>
    <row r="515" ht="15.75" customHeight="1">
      <c r="A515" s="174"/>
      <c r="B515" s="276"/>
      <c r="C515" s="172"/>
      <c r="D515" s="173"/>
      <c r="E515" s="174"/>
      <c r="F515" s="174"/>
      <c r="G515" s="175"/>
      <c r="H515" s="175"/>
      <c r="I515" s="175"/>
      <c r="J515" s="175"/>
      <c r="K515" s="175"/>
      <c r="L515" s="175"/>
      <c r="M515" s="175"/>
      <c r="N515" s="175"/>
      <c r="O515" s="175"/>
      <c r="P515" s="175"/>
      <c r="Q515" s="175"/>
      <c r="R515" s="175"/>
      <c r="S515" s="175"/>
      <c r="T515" s="175"/>
      <c r="U515" s="175"/>
      <c r="V515" s="175"/>
      <c r="W515" s="175"/>
      <c r="X515" s="175"/>
      <c r="Y515" s="175"/>
      <c r="Z515" s="175"/>
    </row>
    <row r="516" ht="15.75" customHeight="1">
      <c r="A516" s="174"/>
      <c r="B516" s="276"/>
      <c r="C516" s="172"/>
      <c r="D516" s="173"/>
      <c r="E516" s="174"/>
      <c r="F516" s="174"/>
      <c r="G516" s="175"/>
      <c r="H516" s="175"/>
      <c r="I516" s="175"/>
      <c r="J516" s="175"/>
      <c r="K516" s="175"/>
      <c r="L516" s="175"/>
      <c r="M516" s="175"/>
      <c r="N516" s="175"/>
      <c r="O516" s="175"/>
      <c r="P516" s="175"/>
      <c r="Q516" s="175"/>
      <c r="R516" s="175"/>
      <c r="S516" s="175"/>
      <c r="T516" s="175"/>
      <c r="U516" s="175"/>
      <c r="V516" s="175"/>
      <c r="W516" s="175"/>
      <c r="X516" s="175"/>
      <c r="Y516" s="175"/>
      <c r="Z516" s="175"/>
    </row>
    <row r="517" ht="15.75" customHeight="1">
      <c r="A517" s="174"/>
      <c r="B517" s="276"/>
      <c r="C517" s="172"/>
      <c r="D517" s="173"/>
      <c r="E517" s="174"/>
      <c r="F517" s="174"/>
      <c r="G517" s="175"/>
      <c r="H517" s="175"/>
      <c r="I517" s="175"/>
      <c r="J517" s="175"/>
      <c r="K517" s="175"/>
      <c r="L517" s="175"/>
      <c r="M517" s="175"/>
      <c r="N517" s="175"/>
      <c r="O517" s="175"/>
      <c r="P517" s="175"/>
      <c r="Q517" s="175"/>
      <c r="R517" s="175"/>
      <c r="S517" s="175"/>
      <c r="T517" s="175"/>
      <c r="U517" s="175"/>
      <c r="V517" s="175"/>
      <c r="W517" s="175"/>
      <c r="X517" s="175"/>
      <c r="Y517" s="175"/>
      <c r="Z517" s="175"/>
    </row>
    <row r="518" ht="15.75" customHeight="1">
      <c r="A518" s="174"/>
      <c r="B518" s="276"/>
      <c r="C518" s="172"/>
      <c r="D518" s="173"/>
      <c r="E518" s="174"/>
      <c r="F518" s="174"/>
      <c r="G518" s="175"/>
      <c r="H518" s="175"/>
      <c r="I518" s="175"/>
      <c r="J518" s="175"/>
      <c r="K518" s="175"/>
      <c r="L518" s="175"/>
      <c r="M518" s="175"/>
      <c r="N518" s="175"/>
      <c r="O518" s="175"/>
      <c r="P518" s="175"/>
      <c r="Q518" s="175"/>
      <c r="R518" s="175"/>
      <c r="S518" s="175"/>
      <c r="T518" s="175"/>
      <c r="U518" s="175"/>
      <c r="V518" s="175"/>
      <c r="W518" s="175"/>
      <c r="X518" s="175"/>
      <c r="Y518" s="175"/>
      <c r="Z518" s="175"/>
    </row>
    <row r="519" ht="15.75" customHeight="1">
      <c r="A519" s="174"/>
      <c r="B519" s="276"/>
      <c r="C519" s="172"/>
      <c r="D519" s="173"/>
      <c r="E519" s="174"/>
      <c r="F519" s="174"/>
      <c r="G519" s="175"/>
      <c r="H519" s="175"/>
      <c r="I519" s="175"/>
      <c r="J519" s="175"/>
      <c r="K519" s="175"/>
      <c r="L519" s="175"/>
      <c r="M519" s="175"/>
      <c r="N519" s="175"/>
      <c r="O519" s="175"/>
      <c r="P519" s="175"/>
      <c r="Q519" s="175"/>
      <c r="R519" s="175"/>
      <c r="S519" s="175"/>
      <c r="T519" s="175"/>
      <c r="U519" s="175"/>
      <c r="V519" s="175"/>
      <c r="W519" s="175"/>
      <c r="X519" s="175"/>
      <c r="Y519" s="175"/>
      <c r="Z519" s="175"/>
    </row>
    <row r="520" ht="15.75" customHeight="1">
      <c r="A520" s="174"/>
      <c r="B520" s="276"/>
      <c r="C520" s="172"/>
      <c r="D520" s="173"/>
      <c r="E520" s="174"/>
      <c r="F520" s="174"/>
      <c r="G520" s="175"/>
      <c r="H520" s="175"/>
      <c r="I520" s="175"/>
      <c r="J520" s="175"/>
      <c r="K520" s="175"/>
      <c r="L520" s="175"/>
      <c r="M520" s="175"/>
      <c r="N520" s="175"/>
      <c r="O520" s="175"/>
      <c r="P520" s="175"/>
      <c r="Q520" s="175"/>
      <c r="R520" s="175"/>
      <c r="S520" s="175"/>
      <c r="T520" s="175"/>
      <c r="U520" s="175"/>
      <c r="V520" s="175"/>
      <c r="W520" s="175"/>
      <c r="X520" s="175"/>
      <c r="Y520" s="175"/>
      <c r="Z520" s="175"/>
    </row>
    <row r="521" ht="15.75" customHeight="1">
      <c r="A521" s="174"/>
      <c r="B521" s="276"/>
      <c r="C521" s="172"/>
      <c r="D521" s="173"/>
      <c r="E521" s="174"/>
      <c r="F521" s="174"/>
      <c r="G521" s="175"/>
      <c r="H521" s="175"/>
      <c r="I521" s="175"/>
      <c r="J521" s="175"/>
      <c r="K521" s="175"/>
      <c r="L521" s="175"/>
      <c r="M521" s="175"/>
      <c r="N521" s="175"/>
      <c r="O521" s="175"/>
      <c r="P521" s="175"/>
      <c r="Q521" s="175"/>
      <c r="R521" s="175"/>
      <c r="S521" s="175"/>
      <c r="T521" s="175"/>
      <c r="U521" s="175"/>
      <c r="V521" s="175"/>
      <c r="W521" s="175"/>
      <c r="X521" s="175"/>
      <c r="Y521" s="175"/>
      <c r="Z521" s="175"/>
    </row>
    <row r="522" ht="15.75" customHeight="1">
      <c r="A522" s="174"/>
      <c r="B522" s="276"/>
      <c r="C522" s="172"/>
      <c r="D522" s="173"/>
      <c r="E522" s="174"/>
      <c r="F522" s="174"/>
      <c r="G522" s="175"/>
      <c r="H522" s="175"/>
      <c r="I522" s="175"/>
      <c r="J522" s="175"/>
      <c r="K522" s="175"/>
      <c r="L522" s="175"/>
      <c r="M522" s="175"/>
      <c r="N522" s="175"/>
      <c r="O522" s="175"/>
      <c r="P522" s="175"/>
      <c r="Q522" s="175"/>
      <c r="R522" s="175"/>
      <c r="S522" s="175"/>
      <c r="T522" s="175"/>
      <c r="U522" s="175"/>
      <c r="V522" s="175"/>
      <c r="W522" s="175"/>
      <c r="X522" s="175"/>
      <c r="Y522" s="175"/>
      <c r="Z522" s="175"/>
    </row>
    <row r="523" ht="15.75" customHeight="1">
      <c r="A523" s="174"/>
      <c r="B523" s="276"/>
      <c r="C523" s="172"/>
      <c r="D523" s="173"/>
      <c r="E523" s="174"/>
      <c r="F523" s="174"/>
      <c r="G523" s="175"/>
      <c r="H523" s="175"/>
      <c r="I523" s="175"/>
      <c r="J523" s="175"/>
      <c r="K523" s="175"/>
      <c r="L523" s="175"/>
      <c r="M523" s="175"/>
      <c r="N523" s="175"/>
      <c r="O523" s="175"/>
      <c r="P523" s="175"/>
      <c r="Q523" s="175"/>
      <c r="R523" s="175"/>
      <c r="S523" s="175"/>
      <c r="T523" s="175"/>
      <c r="U523" s="175"/>
      <c r="V523" s="175"/>
      <c r="W523" s="175"/>
      <c r="X523" s="175"/>
      <c r="Y523" s="175"/>
      <c r="Z523" s="175"/>
    </row>
    <row r="524" ht="15.75" customHeight="1">
      <c r="A524" s="174"/>
      <c r="B524" s="276"/>
      <c r="C524" s="172"/>
      <c r="D524" s="173"/>
      <c r="E524" s="174"/>
      <c r="F524" s="174"/>
      <c r="G524" s="175"/>
      <c r="H524" s="175"/>
      <c r="I524" s="175"/>
      <c r="J524" s="175"/>
      <c r="K524" s="175"/>
      <c r="L524" s="175"/>
      <c r="M524" s="175"/>
      <c r="N524" s="175"/>
      <c r="O524" s="175"/>
      <c r="P524" s="175"/>
      <c r="Q524" s="175"/>
      <c r="R524" s="175"/>
      <c r="S524" s="175"/>
      <c r="T524" s="175"/>
      <c r="U524" s="175"/>
      <c r="V524" s="175"/>
      <c r="W524" s="175"/>
      <c r="X524" s="175"/>
      <c r="Y524" s="175"/>
      <c r="Z524" s="175"/>
    </row>
    <row r="525" ht="15.75" customHeight="1">
      <c r="A525" s="174"/>
      <c r="B525" s="276"/>
      <c r="C525" s="172"/>
      <c r="D525" s="173"/>
      <c r="E525" s="174"/>
      <c r="F525" s="174"/>
      <c r="G525" s="175"/>
      <c r="H525" s="175"/>
      <c r="I525" s="175"/>
      <c r="J525" s="175"/>
      <c r="K525" s="175"/>
      <c r="L525" s="175"/>
      <c r="M525" s="175"/>
      <c r="N525" s="175"/>
      <c r="O525" s="175"/>
      <c r="P525" s="175"/>
      <c r="Q525" s="175"/>
      <c r="R525" s="175"/>
      <c r="S525" s="175"/>
      <c r="T525" s="175"/>
      <c r="U525" s="175"/>
      <c r="V525" s="175"/>
      <c r="W525" s="175"/>
      <c r="X525" s="175"/>
      <c r="Y525" s="175"/>
      <c r="Z525" s="175"/>
    </row>
    <row r="526" ht="15.75" customHeight="1">
      <c r="A526" s="174"/>
      <c r="B526" s="276"/>
      <c r="C526" s="172"/>
      <c r="D526" s="173"/>
      <c r="E526" s="174"/>
      <c r="F526" s="174"/>
      <c r="G526" s="175"/>
      <c r="H526" s="175"/>
      <c r="I526" s="175"/>
      <c r="J526" s="175"/>
      <c r="K526" s="175"/>
      <c r="L526" s="175"/>
      <c r="M526" s="175"/>
      <c r="N526" s="175"/>
      <c r="O526" s="175"/>
      <c r="P526" s="175"/>
      <c r="Q526" s="175"/>
      <c r="R526" s="175"/>
      <c r="S526" s="175"/>
      <c r="T526" s="175"/>
      <c r="U526" s="175"/>
      <c r="V526" s="175"/>
      <c r="W526" s="175"/>
      <c r="X526" s="175"/>
      <c r="Y526" s="175"/>
      <c r="Z526" s="175"/>
    </row>
    <row r="527" ht="15.75" customHeight="1">
      <c r="A527" s="174"/>
      <c r="B527" s="276"/>
      <c r="C527" s="172"/>
      <c r="D527" s="173"/>
      <c r="E527" s="174"/>
      <c r="F527" s="174"/>
      <c r="G527" s="175"/>
      <c r="H527" s="175"/>
      <c r="I527" s="175"/>
      <c r="J527" s="175"/>
      <c r="K527" s="175"/>
      <c r="L527" s="175"/>
      <c r="M527" s="175"/>
      <c r="N527" s="175"/>
      <c r="O527" s="175"/>
      <c r="P527" s="175"/>
      <c r="Q527" s="175"/>
      <c r="R527" s="175"/>
      <c r="S527" s="175"/>
      <c r="T527" s="175"/>
      <c r="U527" s="175"/>
      <c r="V527" s="175"/>
      <c r="W527" s="175"/>
      <c r="X527" s="175"/>
      <c r="Y527" s="175"/>
      <c r="Z527" s="175"/>
    </row>
    <row r="528" ht="15.75" customHeight="1">
      <c r="A528" s="174"/>
      <c r="B528" s="276"/>
      <c r="C528" s="172"/>
      <c r="D528" s="173"/>
      <c r="E528" s="174"/>
      <c r="F528" s="174"/>
      <c r="G528" s="175"/>
      <c r="H528" s="175"/>
      <c r="I528" s="175"/>
      <c r="J528" s="175"/>
      <c r="K528" s="175"/>
      <c r="L528" s="175"/>
      <c r="M528" s="175"/>
      <c r="N528" s="175"/>
      <c r="O528" s="175"/>
      <c r="P528" s="175"/>
      <c r="Q528" s="175"/>
      <c r="R528" s="175"/>
      <c r="S528" s="175"/>
      <c r="T528" s="175"/>
      <c r="U528" s="175"/>
      <c r="V528" s="175"/>
      <c r="W528" s="175"/>
      <c r="X528" s="175"/>
      <c r="Y528" s="175"/>
      <c r="Z528" s="175"/>
    </row>
    <row r="529" ht="15.75" customHeight="1">
      <c r="A529" s="174"/>
      <c r="B529" s="276"/>
      <c r="C529" s="172"/>
      <c r="D529" s="173"/>
      <c r="E529" s="174"/>
      <c r="F529" s="174"/>
      <c r="G529" s="175"/>
      <c r="H529" s="175"/>
      <c r="I529" s="175"/>
      <c r="J529" s="175"/>
      <c r="K529" s="175"/>
      <c r="L529" s="175"/>
      <c r="M529" s="175"/>
      <c r="N529" s="175"/>
      <c r="O529" s="175"/>
      <c r="P529" s="175"/>
      <c r="Q529" s="175"/>
      <c r="R529" s="175"/>
      <c r="S529" s="175"/>
      <c r="T529" s="175"/>
      <c r="U529" s="175"/>
      <c r="V529" s="175"/>
      <c r="W529" s="175"/>
      <c r="X529" s="175"/>
      <c r="Y529" s="175"/>
      <c r="Z529" s="175"/>
    </row>
    <row r="530" ht="15.75" customHeight="1">
      <c r="A530" s="174"/>
      <c r="B530" s="276"/>
      <c r="C530" s="172"/>
      <c r="D530" s="173"/>
      <c r="E530" s="174"/>
      <c r="F530" s="174"/>
      <c r="G530" s="175"/>
      <c r="H530" s="175"/>
      <c r="I530" s="175"/>
      <c r="J530" s="175"/>
      <c r="K530" s="175"/>
      <c r="L530" s="175"/>
      <c r="M530" s="175"/>
      <c r="N530" s="175"/>
      <c r="O530" s="175"/>
      <c r="P530" s="175"/>
      <c r="Q530" s="175"/>
      <c r="R530" s="175"/>
      <c r="S530" s="175"/>
      <c r="T530" s="175"/>
      <c r="U530" s="175"/>
      <c r="V530" s="175"/>
      <c r="W530" s="175"/>
      <c r="X530" s="175"/>
      <c r="Y530" s="175"/>
      <c r="Z530" s="175"/>
    </row>
    <row r="531" ht="15.75" customHeight="1">
      <c r="A531" s="174"/>
      <c r="B531" s="276"/>
      <c r="C531" s="172"/>
      <c r="D531" s="173"/>
      <c r="E531" s="174"/>
      <c r="F531" s="174"/>
      <c r="G531" s="175"/>
      <c r="H531" s="175"/>
      <c r="I531" s="175"/>
      <c r="J531" s="175"/>
      <c r="K531" s="175"/>
      <c r="L531" s="175"/>
      <c r="M531" s="175"/>
      <c r="N531" s="175"/>
      <c r="O531" s="175"/>
      <c r="P531" s="175"/>
      <c r="Q531" s="175"/>
      <c r="R531" s="175"/>
      <c r="S531" s="175"/>
      <c r="T531" s="175"/>
      <c r="U531" s="175"/>
      <c r="V531" s="175"/>
      <c r="W531" s="175"/>
      <c r="X531" s="175"/>
      <c r="Y531" s="175"/>
      <c r="Z531" s="175"/>
    </row>
    <row r="532" ht="15.75" customHeight="1">
      <c r="A532" s="174"/>
      <c r="B532" s="276"/>
      <c r="C532" s="172"/>
      <c r="D532" s="173"/>
      <c r="E532" s="174"/>
      <c r="F532" s="174"/>
      <c r="G532" s="175"/>
      <c r="H532" s="175"/>
      <c r="I532" s="175"/>
      <c r="J532" s="175"/>
      <c r="K532" s="175"/>
      <c r="L532" s="175"/>
      <c r="M532" s="175"/>
      <c r="N532" s="175"/>
      <c r="O532" s="175"/>
      <c r="P532" s="175"/>
      <c r="Q532" s="175"/>
      <c r="R532" s="175"/>
      <c r="S532" s="175"/>
      <c r="T532" s="175"/>
      <c r="U532" s="175"/>
      <c r="V532" s="175"/>
      <c r="W532" s="175"/>
      <c r="X532" s="175"/>
      <c r="Y532" s="175"/>
      <c r="Z532" s="175"/>
    </row>
    <row r="533" ht="15.75" customHeight="1">
      <c r="A533" s="174"/>
      <c r="B533" s="276"/>
      <c r="C533" s="172"/>
      <c r="D533" s="173"/>
      <c r="E533" s="174"/>
      <c r="F533" s="174"/>
      <c r="G533" s="175"/>
      <c r="H533" s="175"/>
      <c r="I533" s="175"/>
      <c r="J533" s="175"/>
      <c r="K533" s="175"/>
      <c r="L533" s="175"/>
      <c r="M533" s="175"/>
      <c r="N533" s="175"/>
      <c r="O533" s="175"/>
      <c r="P533" s="175"/>
      <c r="Q533" s="175"/>
      <c r="R533" s="175"/>
      <c r="S533" s="175"/>
      <c r="T533" s="175"/>
      <c r="U533" s="175"/>
      <c r="V533" s="175"/>
      <c r="W533" s="175"/>
      <c r="X533" s="175"/>
      <c r="Y533" s="175"/>
      <c r="Z533" s="175"/>
    </row>
    <row r="534" ht="15.75" customHeight="1">
      <c r="A534" s="174"/>
      <c r="B534" s="276"/>
      <c r="C534" s="172"/>
      <c r="D534" s="173"/>
      <c r="E534" s="174"/>
      <c r="F534" s="174"/>
      <c r="G534" s="175"/>
      <c r="H534" s="175"/>
      <c r="I534" s="175"/>
      <c r="J534" s="175"/>
      <c r="K534" s="175"/>
      <c r="L534" s="175"/>
      <c r="M534" s="175"/>
      <c r="N534" s="175"/>
      <c r="O534" s="175"/>
      <c r="P534" s="175"/>
      <c r="Q534" s="175"/>
      <c r="R534" s="175"/>
      <c r="S534" s="175"/>
      <c r="T534" s="175"/>
      <c r="U534" s="175"/>
      <c r="V534" s="175"/>
      <c r="W534" s="175"/>
      <c r="X534" s="175"/>
      <c r="Y534" s="175"/>
      <c r="Z534" s="175"/>
    </row>
    <row r="535" ht="15.75" customHeight="1">
      <c r="A535" s="174"/>
      <c r="B535" s="276"/>
      <c r="C535" s="172"/>
      <c r="D535" s="173"/>
      <c r="E535" s="174"/>
      <c r="F535" s="174"/>
      <c r="G535" s="175"/>
      <c r="H535" s="175"/>
      <c r="I535" s="175"/>
      <c r="J535" s="175"/>
      <c r="K535" s="175"/>
      <c r="L535" s="175"/>
      <c r="M535" s="175"/>
      <c r="N535" s="175"/>
      <c r="O535" s="175"/>
      <c r="P535" s="175"/>
      <c r="Q535" s="175"/>
      <c r="R535" s="175"/>
      <c r="S535" s="175"/>
      <c r="T535" s="175"/>
      <c r="U535" s="175"/>
      <c r="V535" s="175"/>
      <c r="W535" s="175"/>
      <c r="X535" s="175"/>
      <c r="Y535" s="175"/>
      <c r="Z535" s="175"/>
    </row>
    <row r="536" ht="15.75" customHeight="1">
      <c r="A536" s="174"/>
      <c r="B536" s="276"/>
      <c r="C536" s="172"/>
      <c r="D536" s="173"/>
      <c r="E536" s="174"/>
      <c r="F536" s="174"/>
      <c r="G536" s="175"/>
      <c r="H536" s="175"/>
      <c r="I536" s="175"/>
      <c r="J536" s="175"/>
      <c r="K536" s="175"/>
      <c r="L536" s="175"/>
      <c r="M536" s="175"/>
      <c r="N536" s="175"/>
      <c r="O536" s="175"/>
      <c r="P536" s="175"/>
      <c r="Q536" s="175"/>
      <c r="R536" s="175"/>
      <c r="S536" s="175"/>
      <c r="T536" s="175"/>
      <c r="U536" s="175"/>
      <c r="V536" s="175"/>
      <c r="W536" s="175"/>
      <c r="X536" s="175"/>
      <c r="Y536" s="175"/>
      <c r="Z536" s="175"/>
    </row>
    <row r="537" ht="15.75" customHeight="1">
      <c r="A537" s="174"/>
      <c r="B537" s="276"/>
      <c r="C537" s="172"/>
      <c r="D537" s="173"/>
      <c r="E537" s="174"/>
      <c r="F537" s="174"/>
      <c r="G537" s="175"/>
      <c r="H537" s="175"/>
      <c r="I537" s="175"/>
      <c r="J537" s="175"/>
      <c r="K537" s="175"/>
      <c r="L537" s="175"/>
      <c r="M537" s="175"/>
      <c r="N537" s="175"/>
      <c r="O537" s="175"/>
      <c r="P537" s="175"/>
      <c r="Q537" s="175"/>
      <c r="R537" s="175"/>
      <c r="S537" s="175"/>
      <c r="T537" s="175"/>
      <c r="U537" s="175"/>
      <c r="V537" s="175"/>
      <c r="W537" s="175"/>
      <c r="X537" s="175"/>
      <c r="Y537" s="175"/>
      <c r="Z537" s="175"/>
    </row>
    <row r="538" ht="15.75" customHeight="1">
      <c r="A538" s="174"/>
      <c r="B538" s="276"/>
      <c r="C538" s="172"/>
      <c r="D538" s="173"/>
      <c r="E538" s="174"/>
      <c r="F538" s="174"/>
      <c r="G538" s="175"/>
      <c r="H538" s="175"/>
      <c r="I538" s="175"/>
      <c r="J538" s="175"/>
      <c r="K538" s="175"/>
      <c r="L538" s="175"/>
      <c r="M538" s="175"/>
      <c r="N538" s="175"/>
      <c r="O538" s="175"/>
      <c r="P538" s="175"/>
      <c r="Q538" s="175"/>
      <c r="R538" s="175"/>
      <c r="S538" s="175"/>
      <c r="T538" s="175"/>
      <c r="U538" s="175"/>
      <c r="V538" s="175"/>
      <c r="W538" s="175"/>
      <c r="X538" s="175"/>
      <c r="Y538" s="175"/>
      <c r="Z538" s="175"/>
    </row>
    <row r="539" ht="15.75" customHeight="1">
      <c r="A539" s="174"/>
      <c r="B539" s="276"/>
      <c r="C539" s="172"/>
      <c r="D539" s="173"/>
      <c r="E539" s="174"/>
      <c r="F539" s="174"/>
      <c r="G539" s="175"/>
      <c r="H539" s="175"/>
      <c r="I539" s="175"/>
      <c r="J539" s="175"/>
      <c r="K539" s="175"/>
      <c r="L539" s="175"/>
      <c r="M539" s="175"/>
      <c r="N539" s="175"/>
      <c r="O539" s="175"/>
      <c r="P539" s="175"/>
      <c r="Q539" s="175"/>
      <c r="R539" s="175"/>
      <c r="S539" s="175"/>
      <c r="T539" s="175"/>
      <c r="U539" s="175"/>
      <c r="V539" s="175"/>
      <c r="W539" s="175"/>
      <c r="X539" s="175"/>
      <c r="Y539" s="175"/>
      <c r="Z539" s="175"/>
    </row>
    <row r="540" ht="15.75" customHeight="1">
      <c r="A540" s="174"/>
      <c r="B540" s="276"/>
      <c r="C540" s="172"/>
      <c r="D540" s="173"/>
      <c r="E540" s="174"/>
      <c r="F540" s="174"/>
      <c r="G540" s="175"/>
      <c r="H540" s="175"/>
      <c r="I540" s="175"/>
      <c r="J540" s="175"/>
      <c r="K540" s="175"/>
      <c r="L540" s="175"/>
      <c r="M540" s="175"/>
      <c r="N540" s="175"/>
      <c r="O540" s="175"/>
      <c r="P540" s="175"/>
      <c r="Q540" s="175"/>
      <c r="R540" s="175"/>
      <c r="S540" s="175"/>
      <c r="T540" s="175"/>
      <c r="U540" s="175"/>
      <c r="V540" s="175"/>
      <c r="W540" s="175"/>
      <c r="X540" s="175"/>
      <c r="Y540" s="175"/>
      <c r="Z540" s="175"/>
    </row>
    <row r="541" ht="15.75" customHeight="1">
      <c r="A541" s="174"/>
      <c r="B541" s="276"/>
      <c r="C541" s="172"/>
      <c r="D541" s="173"/>
      <c r="E541" s="174"/>
      <c r="F541" s="174"/>
      <c r="G541" s="175"/>
      <c r="H541" s="175"/>
      <c r="I541" s="175"/>
      <c r="J541" s="175"/>
      <c r="K541" s="175"/>
      <c r="L541" s="175"/>
      <c r="M541" s="175"/>
      <c r="N541" s="175"/>
      <c r="O541" s="175"/>
      <c r="P541" s="175"/>
      <c r="Q541" s="175"/>
      <c r="R541" s="175"/>
      <c r="S541" s="175"/>
      <c r="T541" s="175"/>
      <c r="U541" s="175"/>
      <c r="V541" s="175"/>
      <c r="W541" s="175"/>
      <c r="X541" s="175"/>
      <c r="Y541" s="175"/>
      <c r="Z541" s="175"/>
    </row>
    <row r="542" ht="15.75" customHeight="1">
      <c r="A542" s="174"/>
      <c r="B542" s="276"/>
      <c r="C542" s="172"/>
      <c r="D542" s="173"/>
      <c r="E542" s="174"/>
      <c r="F542" s="174"/>
      <c r="G542" s="175"/>
      <c r="H542" s="175"/>
      <c r="I542" s="175"/>
      <c r="J542" s="175"/>
      <c r="K542" s="175"/>
      <c r="L542" s="175"/>
      <c r="M542" s="175"/>
      <c r="N542" s="175"/>
      <c r="O542" s="175"/>
      <c r="P542" s="175"/>
      <c r="Q542" s="175"/>
      <c r="R542" s="175"/>
      <c r="S542" s="175"/>
      <c r="T542" s="175"/>
      <c r="U542" s="175"/>
      <c r="V542" s="175"/>
      <c r="W542" s="175"/>
      <c r="X542" s="175"/>
      <c r="Y542" s="175"/>
      <c r="Z542" s="175"/>
    </row>
    <row r="543" ht="15.75" customHeight="1">
      <c r="A543" s="174"/>
      <c r="B543" s="276"/>
      <c r="C543" s="172"/>
      <c r="D543" s="173"/>
      <c r="E543" s="174"/>
      <c r="F543" s="174"/>
      <c r="G543" s="175"/>
      <c r="H543" s="175"/>
      <c r="I543" s="175"/>
      <c r="J543" s="175"/>
      <c r="K543" s="175"/>
      <c r="L543" s="175"/>
      <c r="M543" s="175"/>
      <c r="N543" s="175"/>
      <c r="O543" s="175"/>
      <c r="P543" s="175"/>
      <c r="Q543" s="175"/>
      <c r="R543" s="175"/>
      <c r="S543" s="175"/>
      <c r="T543" s="175"/>
      <c r="U543" s="175"/>
      <c r="V543" s="175"/>
      <c r="W543" s="175"/>
      <c r="X543" s="175"/>
      <c r="Y543" s="175"/>
      <c r="Z543" s="175"/>
    </row>
    <row r="544" ht="15.75" customHeight="1">
      <c r="A544" s="174"/>
      <c r="B544" s="276"/>
      <c r="C544" s="172"/>
      <c r="D544" s="173"/>
      <c r="E544" s="174"/>
      <c r="F544" s="174"/>
      <c r="G544" s="175"/>
      <c r="H544" s="175"/>
      <c r="I544" s="175"/>
      <c r="J544" s="175"/>
      <c r="K544" s="175"/>
      <c r="L544" s="175"/>
      <c r="M544" s="175"/>
      <c r="N544" s="175"/>
      <c r="O544" s="175"/>
      <c r="P544" s="175"/>
      <c r="Q544" s="175"/>
      <c r="R544" s="175"/>
      <c r="S544" s="175"/>
      <c r="T544" s="175"/>
      <c r="U544" s="175"/>
      <c r="V544" s="175"/>
      <c r="W544" s="175"/>
      <c r="X544" s="175"/>
      <c r="Y544" s="175"/>
      <c r="Z544" s="175"/>
    </row>
    <row r="545" ht="15.75" customHeight="1">
      <c r="A545" s="174"/>
      <c r="B545" s="276"/>
      <c r="C545" s="172"/>
      <c r="D545" s="173"/>
      <c r="E545" s="174"/>
      <c r="F545" s="174"/>
      <c r="G545" s="175"/>
      <c r="H545" s="175"/>
      <c r="I545" s="175"/>
      <c r="J545" s="175"/>
      <c r="K545" s="175"/>
      <c r="L545" s="175"/>
      <c r="M545" s="175"/>
      <c r="N545" s="175"/>
      <c r="O545" s="175"/>
      <c r="P545" s="175"/>
      <c r="Q545" s="175"/>
      <c r="R545" s="175"/>
      <c r="S545" s="175"/>
      <c r="T545" s="175"/>
      <c r="U545" s="175"/>
      <c r="V545" s="175"/>
      <c r="W545" s="175"/>
      <c r="X545" s="175"/>
      <c r="Y545" s="175"/>
      <c r="Z545" s="175"/>
    </row>
    <row r="546" ht="15.75" customHeight="1">
      <c r="A546" s="174"/>
      <c r="B546" s="276"/>
      <c r="C546" s="172"/>
      <c r="D546" s="173"/>
      <c r="E546" s="174"/>
      <c r="F546" s="174"/>
      <c r="G546" s="175"/>
      <c r="H546" s="175"/>
      <c r="I546" s="175"/>
      <c r="J546" s="175"/>
      <c r="K546" s="175"/>
      <c r="L546" s="175"/>
      <c r="M546" s="175"/>
      <c r="N546" s="175"/>
      <c r="O546" s="175"/>
      <c r="P546" s="175"/>
      <c r="Q546" s="175"/>
      <c r="R546" s="175"/>
      <c r="S546" s="175"/>
      <c r="T546" s="175"/>
      <c r="U546" s="175"/>
      <c r="V546" s="175"/>
      <c r="W546" s="175"/>
      <c r="X546" s="175"/>
      <c r="Y546" s="175"/>
      <c r="Z546" s="175"/>
    </row>
    <row r="547" ht="15.75" customHeight="1">
      <c r="A547" s="174"/>
      <c r="B547" s="276"/>
      <c r="C547" s="172"/>
      <c r="D547" s="173"/>
      <c r="E547" s="174"/>
      <c r="F547" s="174"/>
      <c r="G547" s="175"/>
      <c r="H547" s="175"/>
      <c r="I547" s="175"/>
      <c r="J547" s="175"/>
      <c r="K547" s="175"/>
      <c r="L547" s="175"/>
      <c r="M547" s="175"/>
      <c r="N547" s="175"/>
      <c r="O547" s="175"/>
      <c r="P547" s="175"/>
      <c r="Q547" s="175"/>
      <c r="R547" s="175"/>
      <c r="S547" s="175"/>
      <c r="T547" s="175"/>
      <c r="U547" s="175"/>
      <c r="V547" s="175"/>
      <c r="W547" s="175"/>
      <c r="X547" s="175"/>
      <c r="Y547" s="175"/>
      <c r="Z547" s="175"/>
    </row>
    <row r="548" ht="15.75" customHeight="1">
      <c r="A548" s="174"/>
      <c r="B548" s="276"/>
      <c r="C548" s="172"/>
      <c r="D548" s="173"/>
      <c r="E548" s="174"/>
      <c r="F548" s="174"/>
      <c r="G548" s="175"/>
      <c r="H548" s="175"/>
      <c r="I548" s="175"/>
      <c r="J548" s="175"/>
      <c r="K548" s="175"/>
      <c r="L548" s="175"/>
      <c r="M548" s="175"/>
      <c r="N548" s="175"/>
      <c r="O548" s="175"/>
      <c r="P548" s="175"/>
      <c r="Q548" s="175"/>
      <c r="R548" s="175"/>
      <c r="S548" s="175"/>
      <c r="T548" s="175"/>
      <c r="U548" s="175"/>
      <c r="V548" s="175"/>
      <c r="W548" s="175"/>
      <c r="X548" s="175"/>
      <c r="Y548" s="175"/>
      <c r="Z548" s="175"/>
    </row>
    <row r="549" ht="15.75" customHeight="1">
      <c r="A549" s="174"/>
      <c r="B549" s="276"/>
      <c r="C549" s="172"/>
      <c r="D549" s="173"/>
      <c r="E549" s="174"/>
      <c r="F549" s="174"/>
      <c r="G549" s="175"/>
      <c r="H549" s="175"/>
      <c r="I549" s="175"/>
      <c r="J549" s="175"/>
      <c r="K549" s="175"/>
      <c r="L549" s="175"/>
      <c r="M549" s="175"/>
      <c r="N549" s="175"/>
      <c r="O549" s="175"/>
      <c r="P549" s="175"/>
      <c r="Q549" s="175"/>
      <c r="R549" s="175"/>
      <c r="S549" s="175"/>
      <c r="T549" s="175"/>
      <c r="U549" s="175"/>
      <c r="V549" s="175"/>
      <c r="W549" s="175"/>
      <c r="X549" s="175"/>
      <c r="Y549" s="175"/>
      <c r="Z549" s="175"/>
    </row>
    <row r="550" ht="15.75" customHeight="1">
      <c r="A550" s="174"/>
      <c r="B550" s="276"/>
      <c r="C550" s="172"/>
      <c r="D550" s="173"/>
      <c r="E550" s="174"/>
      <c r="F550" s="174"/>
      <c r="G550" s="175"/>
      <c r="H550" s="175"/>
      <c r="I550" s="175"/>
      <c r="J550" s="175"/>
      <c r="K550" s="175"/>
      <c r="L550" s="175"/>
      <c r="M550" s="175"/>
      <c r="N550" s="175"/>
      <c r="O550" s="175"/>
      <c r="P550" s="175"/>
      <c r="Q550" s="175"/>
      <c r="R550" s="175"/>
      <c r="S550" s="175"/>
      <c r="T550" s="175"/>
      <c r="U550" s="175"/>
      <c r="V550" s="175"/>
      <c r="W550" s="175"/>
      <c r="X550" s="175"/>
      <c r="Y550" s="175"/>
      <c r="Z550" s="175"/>
    </row>
    <row r="551" ht="15.75" customHeight="1">
      <c r="A551" s="174"/>
      <c r="B551" s="276"/>
      <c r="C551" s="172"/>
      <c r="D551" s="173"/>
      <c r="E551" s="174"/>
      <c r="F551" s="174"/>
      <c r="G551" s="175"/>
      <c r="H551" s="175"/>
      <c r="I551" s="175"/>
      <c r="J551" s="175"/>
      <c r="K551" s="175"/>
      <c r="L551" s="175"/>
      <c r="M551" s="175"/>
      <c r="N551" s="175"/>
      <c r="O551" s="175"/>
      <c r="P551" s="175"/>
      <c r="Q551" s="175"/>
      <c r="R551" s="175"/>
      <c r="S551" s="175"/>
      <c r="T551" s="175"/>
      <c r="U551" s="175"/>
      <c r="V551" s="175"/>
      <c r="W551" s="175"/>
      <c r="X551" s="175"/>
      <c r="Y551" s="175"/>
      <c r="Z551" s="175"/>
    </row>
    <row r="552" ht="15.75" customHeight="1">
      <c r="A552" s="174"/>
      <c r="B552" s="276"/>
      <c r="C552" s="172"/>
      <c r="D552" s="173"/>
      <c r="E552" s="174"/>
      <c r="F552" s="174"/>
      <c r="G552" s="175"/>
      <c r="H552" s="175"/>
      <c r="I552" s="175"/>
      <c r="J552" s="175"/>
      <c r="K552" s="175"/>
      <c r="L552" s="175"/>
      <c r="M552" s="175"/>
      <c r="N552" s="175"/>
      <c r="O552" s="175"/>
      <c r="P552" s="175"/>
      <c r="Q552" s="175"/>
      <c r="R552" s="175"/>
      <c r="S552" s="175"/>
      <c r="T552" s="175"/>
      <c r="U552" s="175"/>
      <c r="V552" s="175"/>
      <c r="W552" s="175"/>
      <c r="X552" s="175"/>
      <c r="Y552" s="175"/>
      <c r="Z552" s="175"/>
    </row>
    <row r="553" ht="15.75" customHeight="1">
      <c r="A553" s="174"/>
      <c r="B553" s="276"/>
      <c r="C553" s="172"/>
      <c r="D553" s="173"/>
      <c r="E553" s="174"/>
      <c r="F553" s="174"/>
      <c r="G553" s="175"/>
      <c r="H553" s="175"/>
      <c r="I553" s="175"/>
      <c r="J553" s="175"/>
      <c r="K553" s="175"/>
      <c r="L553" s="175"/>
      <c r="M553" s="175"/>
      <c r="N553" s="175"/>
      <c r="O553" s="175"/>
      <c r="P553" s="175"/>
      <c r="Q553" s="175"/>
      <c r="R553" s="175"/>
      <c r="S553" s="175"/>
      <c r="T553" s="175"/>
      <c r="U553" s="175"/>
      <c r="V553" s="175"/>
      <c r="W553" s="175"/>
      <c r="X553" s="175"/>
      <c r="Y553" s="175"/>
      <c r="Z553" s="175"/>
    </row>
    <row r="554" ht="15.75" customHeight="1">
      <c r="A554" s="174"/>
      <c r="B554" s="276"/>
      <c r="C554" s="172"/>
      <c r="D554" s="173"/>
      <c r="E554" s="174"/>
      <c r="F554" s="174"/>
      <c r="G554" s="175"/>
      <c r="H554" s="175"/>
      <c r="I554" s="175"/>
      <c r="J554" s="175"/>
      <c r="K554" s="175"/>
      <c r="L554" s="175"/>
      <c r="M554" s="175"/>
      <c r="N554" s="175"/>
      <c r="O554" s="175"/>
      <c r="P554" s="175"/>
      <c r="Q554" s="175"/>
      <c r="R554" s="175"/>
      <c r="S554" s="175"/>
      <c r="T554" s="175"/>
      <c r="U554" s="175"/>
      <c r="V554" s="175"/>
      <c r="W554" s="175"/>
      <c r="X554" s="175"/>
      <c r="Y554" s="175"/>
      <c r="Z554" s="175"/>
    </row>
    <row r="555" ht="15.75" customHeight="1">
      <c r="A555" s="174"/>
      <c r="B555" s="276"/>
      <c r="C555" s="172"/>
      <c r="D555" s="173"/>
      <c r="E555" s="174"/>
      <c r="F555" s="174"/>
      <c r="G555" s="175"/>
      <c r="H555" s="175"/>
      <c r="I555" s="175"/>
      <c r="J555" s="175"/>
      <c r="K555" s="175"/>
      <c r="L555" s="175"/>
      <c r="M555" s="175"/>
      <c r="N555" s="175"/>
      <c r="O555" s="175"/>
      <c r="P555" s="175"/>
      <c r="Q555" s="175"/>
      <c r="R555" s="175"/>
      <c r="S555" s="175"/>
      <c r="T555" s="175"/>
      <c r="U555" s="175"/>
      <c r="V555" s="175"/>
      <c r="W555" s="175"/>
      <c r="X555" s="175"/>
      <c r="Y555" s="175"/>
      <c r="Z555" s="175"/>
    </row>
    <row r="556" ht="15.75" customHeight="1">
      <c r="A556" s="174"/>
      <c r="B556" s="276"/>
      <c r="C556" s="172"/>
      <c r="D556" s="173"/>
      <c r="E556" s="174"/>
      <c r="F556" s="174"/>
      <c r="G556" s="175"/>
      <c r="H556" s="175"/>
      <c r="I556" s="175"/>
      <c r="J556" s="175"/>
      <c r="K556" s="175"/>
      <c r="L556" s="175"/>
      <c r="M556" s="175"/>
      <c r="N556" s="175"/>
      <c r="O556" s="175"/>
      <c r="P556" s="175"/>
      <c r="Q556" s="175"/>
      <c r="R556" s="175"/>
      <c r="S556" s="175"/>
      <c r="T556" s="175"/>
      <c r="U556" s="175"/>
      <c r="V556" s="175"/>
      <c r="W556" s="175"/>
      <c r="X556" s="175"/>
      <c r="Y556" s="175"/>
      <c r="Z556" s="175"/>
    </row>
    <row r="557" ht="15.75" customHeight="1">
      <c r="A557" s="174"/>
      <c r="B557" s="276"/>
      <c r="C557" s="172"/>
      <c r="D557" s="173"/>
      <c r="E557" s="174"/>
      <c r="F557" s="174"/>
      <c r="G557" s="175"/>
      <c r="H557" s="175"/>
      <c r="I557" s="175"/>
      <c r="J557" s="175"/>
      <c r="K557" s="175"/>
      <c r="L557" s="175"/>
      <c r="M557" s="175"/>
      <c r="N557" s="175"/>
      <c r="O557" s="175"/>
      <c r="P557" s="175"/>
      <c r="Q557" s="175"/>
      <c r="R557" s="175"/>
      <c r="S557" s="175"/>
      <c r="T557" s="175"/>
      <c r="U557" s="175"/>
      <c r="V557" s="175"/>
      <c r="W557" s="175"/>
      <c r="X557" s="175"/>
      <c r="Y557" s="175"/>
      <c r="Z557" s="175"/>
    </row>
    <row r="558" ht="15.75" customHeight="1">
      <c r="A558" s="174"/>
      <c r="B558" s="276"/>
      <c r="C558" s="172"/>
      <c r="D558" s="173"/>
      <c r="E558" s="174"/>
      <c r="F558" s="174"/>
      <c r="G558" s="175"/>
      <c r="H558" s="175"/>
      <c r="I558" s="175"/>
      <c r="J558" s="175"/>
      <c r="K558" s="175"/>
      <c r="L558" s="175"/>
      <c r="M558" s="175"/>
      <c r="N558" s="175"/>
      <c r="O558" s="175"/>
      <c r="P558" s="175"/>
      <c r="Q558" s="175"/>
      <c r="R558" s="175"/>
      <c r="S558" s="175"/>
      <c r="T558" s="175"/>
      <c r="U558" s="175"/>
      <c r="V558" s="175"/>
      <c r="W558" s="175"/>
      <c r="X558" s="175"/>
      <c r="Y558" s="175"/>
      <c r="Z558" s="175"/>
    </row>
    <row r="559" ht="15.75" customHeight="1">
      <c r="A559" s="174"/>
      <c r="B559" s="276"/>
      <c r="C559" s="172"/>
      <c r="D559" s="173"/>
      <c r="E559" s="174"/>
      <c r="F559" s="174"/>
      <c r="G559" s="175"/>
      <c r="H559" s="175"/>
      <c r="I559" s="175"/>
      <c r="J559" s="175"/>
      <c r="K559" s="175"/>
      <c r="L559" s="175"/>
      <c r="M559" s="175"/>
      <c r="N559" s="175"/>
      <c r="O559" s="175"/>
      <c r="P559" s="175"/>
      <c r="Q559" s="175"/>
      <c r="R559" s="175"/>
      <c r="S559" s="175"/>
      <c r="T559" s="175"/>
      <c r="U559" s="175"/>
      <c r="V559" s="175"/>
      <c r="W559" s="175"/>
      <c r="X559" s="175"/>
      <c r="Y559" s="175"/>
      <c r="Z559" s="175"/>
    </row>
    <row r="560" ht="15.75" customHeight="1">
      <c r="A560" s="174"/>
      <c r="B560" s="276"/>
      <c r="C560" s="172"/>
      <c r="D560" s="173"/>
      <c r="E560" s="174"/>
      <c r="F560" s="174"/>
      <c r="G560" s="175"/>
      <c r="H560" s="175"/>
      <c r="I560" s="175"/>
      <c r="J560" s="175"/>
      <c r="K560" s="175"/>
      <c r="L560" s="175"/>
      <c r="M560" s="175"/>
      <c r="N560" s="175"/>
      <c r="O560" s="175"/>
      <c r="P560" s="175"/>
      <c r="Q560" s="175"/>
      <c r="R560" s="175"/>
      <c r="S560" s="175"/>
      <c r="T560" s="175"/>
      <c r="U560" s="175"/>
      <c r="V560" s="175"/>
      <c r="W560" s="175"/>
      <c r="X560" s="175"/>
      <c r="Y560" s="175"/>
      <c r="Z560" s="175"/>
    </row>
    <row r="561" ht="15.75" customHeight="1">
      <c r="A561" s="174"/>
      <c r="B561" s="276"/>
      <c r="C561" s="172"/>
      <c r="D561" s="173"/>
      <c r="E561" s="174"/>
      <c r="F561" s="174"/>
      <c r="G561" s="175"/>
      <c r="H561" s="175"/>
      <c r="I561" s="175"/>
      <c r="J561" s="175"/>
      <c r="K561" s="175"/>
      <c r="L561" s="175"/>
      <c r="M561" s="175"/>
      <c r="N561" s="175"/>
      <c r="O561" s="175"/>
      <c r="P561" s="175"/>
      <c r="Q561" s="175"/>
      <c r="R561" s="175"/>
      <c r="S561" s="175"/>
      <c r="T561" s="175"/>
      <c r="U561" s="175"/>
      <c r="V561" s="175"/>
      <c r="W561" s="175"/>
      <c r="X561" s="175"/>
      <c r="Y561" s="175"/>
      <c r="Z561" s="175"/>
    </row>
    <row r="562" ht="15.75" customHeight="1">
      <c r="A562" s="174"/>
      <c r="B562" s="276"/>
      <c r="C562" s="172"/>
      <c r="D562" s="173"/>
      <c r="E562" s="174"/>
      <c r="F562" s="174"/>
      <c r="G562" s="175"/>
      <c r="H562" s="175"/>
      <c r="I562" s="175"/>
      <c r="J562" s="175"/>
      <c r="K562" s="175"/>
      <c r="L562" s="175"/>
      <c r="M562" s="175"/>
      <c r="N562" s="175"/>
      <c r="O562" s="175"/>
      <c r="P562" s="175"/>
      <c r="Q562" s="175"/>
      <c r="R562" s="175"/>
      <c r="S562" s="175"/>
      <c r="T562" s="175"/>
      <c r="U562" s="175"/>
      <c r="V562" s="175"/>
      <c r="W562" s="175"/>
      <c r="X562" s="175"/>
      <c r="Y562" s="175"/>
      <c r="Z562" s="175"/>
    </row>
    <row r="563" ht="15.75" customHeight="1">
      <c r="A563" s="174"/>
      <c r="B563" s="276"/>
      <c r="C563" s="172"/>
      <c r="D563" s="173"/>
      <c r="E563" s="174"/>
      <c r="F563" s="174"/>
      <c r="G563" s="175"/>
      <c r="H563" s="175"/>
      <c r="I563" s="175"/>
      <c r="J563" s="175"/>
      <c r="K563" s="175"/>
      <c r="L563" s="175"/>
      <c r="M563" s="175"/>
      <c r="N563" s="175"/>
      <c r="O563" s="175"/>
      <c r="P563" s="175"/>
      <c r="Q563" s="175"/>
      <c r="R563" s="175"/>
      <c r="S563" s="175"/>
      <c r="T563" s="175"/>
      <c r="U563" s="175"/>
      <c r="V563" s="175"/>
      <c r="W563" s="175"/>
      <c r="X563" s="175"/>
      <c r="Y563" s="175"/>
      <c r="Z563" s="175"/>
    </row>
    <row r="564" ht="15.75" customHeight="1">
      <c r="A564" s="174"/>
      <c r="B564" s="276"/>
      <c r="C564" s="172"/>
      <c r="D564" s="173"/>
      <c r="E564" s="174"/>
      <c r="F564" s="174"/>
      <c r="G564" s="175"/>
      <c r="H564" s="175"/>
      <c r="I564" s="175"/>
      <c r="J564" s="175"/>
      <c r="K564" s="175"/>
      <c r="L564" s="175"/>
      <c r="M564" s="175"/>
      <c r="N564" s="175"/>
      <c r="O564" s="175"/>
      <c r="P564" s="175"/>
      <c r="Q564" s="175"/>
      <c r="R564" s="175"/>
      <c r="S564" s="175"/>
      <c r="T564" s="175"/>
      <c r="U564" s="175"/>
      <c r="V564" s="175"/>
      <c r="W564" s="175"/>
      <c r="X564" s="175"/>
      <c r="Y564" s="175"/>
      <c r="Z564" s="175"/>
    </row>
    <row r="565" ht="15.75" customHeight="1">
      <c r="A565" s="174"/>
      <c r="B565" s="276"/>
      <c r="C565" s="172"/>
      <c r="D565" s="173"/>
      <c r="E565" s="174"/>
      <c r="F565" s="174"/>
      <c r="G565" s="175"/>
      <c r="H565" s="175"/>
      <c r="I565" s="175"/>
      <c r="J565" s="175"/>
      <c r="K565" s="175"/>
      <c r="L565" s="175"/>
      <c r="M565" s="175"/>
      <c r="N565" s="175"/>
      <c r="O565" s="175"/>
      <c r="P565" s="175"/>
      <c r="Q565" s="175"/>
      <c r="R565" s="175"/>
      <c r="S565" s="175"/>
      <c r="T565" s="175"/>
      <c r="U565" s="175"/>
      <c r="V565" s="175"/>
      <c r="W565" s="175"/>
      <c r="X565" s="175"/>
      <c r="Y565" s="175"/>
      <c r="Z565" s="175"/>
    </row>
    <row r="566" ht="15.75" customHeight="1">
      <c r="A566" s="174"/>
      <c r="B566" s="276"/>
      <c r="C566" s="172"/>
      <c r="D566" s="173"/>
      <c r="E566" s="174"/>
      <c r="F566" s="174"/>
      <c r="G566" s="175"/>
      <c r="H566" s="175"/>
      <c r="I566" s="175"/>
      <c r="J566" s="175"/>
      <c r="K566" s="175"/>
      <c r="L566" s="175"/>
      <c r="M566" s="175"/>
      <c r="N566" s="175"/>
      <c r="O566" s="175"/>
      <c r="P566" s="175"/>
      <c r="Q566" s="175"/>
      <c r="R566" s="175"/>
      <c r="S566" s="175"/>
      <c r="T566" s="175"/>
      <c r="U566" s="175"/>
      <c r="V566" s="175"/>
      <c r="W566" s="175"/>
      <c r="X566" s="175"/>
      <c r="Y566" s="175"/>
      <c r="Z566" s="175"/>
    </row>
    <row r="567" ht="15.75" customHeight="1">
      <c r="A567" s="174"/>
      <c r="B567" s="276"/>
      <c r="C567" s="172"/>
      <c r="D567" s="173"/>
      <c r="E567" s="174"/>
      <c r="F567" s="174"/>
      <c r="G567" s="175"/>
      <c r="H567" s="175"/>
      <c r="I567" s="175"/>
      <c r="J567" s="175"/>
      <c r="K567" s="175"/>
      <c r="L567" s="175"/>
      <c r="M567" s="175"/>
      <c r="N567" s="175"/>
      <c r="O567" s="175"/>
      <c r="P567" s="175"/>
      <c r="Q567" s="175"/>
      <c r="R567" s="175"/>
      <c r="S567" s="175"/>
      <c r="T567" s="175"/>
      <c r="U567" s="175"/>
      <c r="V567" s="175"/>
      <c r="W567" s="175"/>
      <c r="X567" s="175"/>
      <c r="Y567" s="175"/>
      <c r="Z567" s="175"/>
    </row>
    <row r="568" ht="15.75" customHeight="1">
      <c r="A568" s="174"/>
      <c r="B568" s="276"/>
      <c r="C568" s="172"/>
      <c r="D568" s="173"/>
      <c r="E568" s="174"/>
      <c r="F568" s="174"/>
      <c r="G568" s="175"/>
      <c r="H568" s="175"/>
      <c r="I568" s="175"/>
      <c r="J568" s="175"/>
      <c r="K568" s="175"/>
      <c r="L568" s="175"/>
      <c r="M568" s="175"/>
      <c r="N568" s="175"/>
      <c r="O568" s="175"/>
      <c r="P568" s="175"/>
      <c r="Q568" s="175"/>
      <c r="R568" s="175"/>
      <c r="S568" s="175"/>
      <c r="T568" s="175"/>
      <c r="U568" s="175"/>
      <c r="V568" s="175"/>
      <c r="W568" s="175"/>
      <c r="X568" s="175"/>
      <c r="Y568" s="175"/>
      <c r="Z568" s="175"/>
    </row>
    <row r="569" ht="15.75" customHeight="1">
      <c r="A569" s="174"/>
      <c r="B569" s="276"/>
      <c r="C569" s="172"/>
      <c r="D569" s="173"/>
      <c r="E569" s="174"/>
      <c r="F569" s="174"/>
      <c r="G569" s="175"/>
      <c r="H569" s="175"/>
      <c r="I569" s="175"/>
      <c r="J569" s="175"/>
      <c r="K569" s="175"/>
      <c r="L569" s="175"/>
      <c r="M569" s="175"/>
      <c r="N569" s="175"/>
      <c r="O569" s="175"/>
      <c r="P569" s="175"/>
      <c r="Q569" s="175"/>
      <c r="R569" s="175"/>
      <c r="S569" s="175"/>
      <c r="T569" s="175"/>
      <c r="U569" s="175"/>
      <c r="V569" s="175"/>
      <c r="W569" s="175"/>
      <c r="X569" s="175"/>
      <c r="Y569" s="175"/>
      <c r="Z569" s="175"/>
    </row>
    <row r="570" ht="15.75" customHeight="1">
      <c r="A570" s="174"/>
      <c r="B570" s="276"/>
      <c r="C570" s="172"/>
      <c r="D570" s="173"/>
      <c r="E570" s="174"/>
      <c r="F570" s="174"/>
      <c r="G570" s="175"/>
      <c r="H570" s="175"/>
      <c r="I570" s="175"/>
      <c r="J570" s="175"/>
      <c r="K570" s="175"/>
      <c r="L570" s="175"/>
      <c r="M570" s="175"/>
      <c r="N570" s="175"/>
      <c r="O570" s="175"/>
      <c r="P570" s="175"/>
      <c r="Q570" s="175"/>
      <c r="R570" s="175"/>
      <c r="S570" s="175"/>
      <c r="T570" s="175"/>
      <c r="U570" s="175"/>
      <c r="V570" s="175"/>
      <c r="W570" s="175"/>
      <c r="X570" s="175"/>
      <c r="Y570" s="175"/>
      <c r="Z570" s="175"/>
    </row>
    <row r="571" ht="15.75" customHeight="1">
      <c r="A571" s="174"/>
      <c r="B571" s="276"/>
      <c r="C571" s="172"/>
      <c r="D571" s="173"/>
      <c r="E571" s="174"/>
      <c r="F571" s="174"/>
      <c r="G571" s="175"/>
      <c r="H571" s="175"/>
      <c r="I571" s="175"/>
      <c r="J571" s="175"/>
      <c r="K571" s="175"/>
      <c r="L571" s="175"/>
      <c r="M571" s="175"/>
      <c r="N571" s="175"/>
      <c r="O571" s="175"/>
      <c r="P571" s="175"/>
      <c r="Q571" s="175"/>
      <c r="R571" s="175"/>
      <c r="S571" s="175"/>
      <c r="T571" s="175"/>
      <c r="U571" s="175"/>
      <c r="V571" s="175"/>
      <c r="W571" s="175"/>
      <c r="X571" s="175"/>
      <c r="Y571" s="175"/>
      <c r="Z571" s="175"/>
    </row>
    <row r="572" ht="15.75" customHeight="1">
      <c r="A572" s="174"/>
      <c r="B572" s="276"/>
      <c r="C572" s="172"/>
      <c r="D572" s="173"/>
      <c r="E572" s="174"/>
      <c r="F572" s="174"/>
      <c r="G572" s="175"/>
      <c r="H572" s="175"/>
      <c r="I572" s="175"/>
      <c r="J572" s="175"/>
      <c r="K572" s="175"/>
      <c r="L572" s="175"/>
      <c r="M572" s="175"/>
      <c r="N572" s="175"/>
      <c r="O572" s="175"/>
      <c r="P572" s="175"/>
      <c r="Q572" s="175"/>
      <c r="R572" s="175"/>
      <c r="S572" s="175"/>
      <c r="T572" s="175"/>
      <c r="U572" s="175"/>
      <c r="V572" s="175"/>
      <c r="W572" s="175"/>
      <c r="X572" s="175"/>
      <c r="Y572" s="175"/>
      <c r="Z572" s="175"/>
    </row>
    <row r="573" ht="15.75" customHeight="1">
      <c r="A573" s="174"/>
      <c r="B573" s="276"/>
      <c r="C573" s="172"/>
      <c r="D573" s="173"/>
      <c r="E573" s="174"/>
      <c r="F573" s="174"/>
      <c r="G573" s="175"/>
      <c r="H573" s="175"/>
      <c r="I573" s="175"/>
      <c r="J573" s="175"/>
      <c r="K573" s="175"/>
      <c r="L573" s="175"/>
      <c r="M573" s="175"/>
      <c r="N573" s="175"/>
      <c r="O573" s="175"/>
      <c r="P573" s="175"/>
      <c r="Q573" s="175"/>
      <c r="R573" s="175"/>
      <c r="S573" s="175"/>
      <c r="T573" s="175"/>
      <c r="U573" s="175"/>
      <c r="V573" s="175"/>
      <c r="W573" s="175"/>
      <c r="X573" s="175"/>
      <c r="Y573" s="175"/>
      <c r="Z573" s="175"/>
    </row>
    <row r="574" ht="15.75" customHeight="1">
      <c r="A574" s="174"/>
      <c r="B574" s="276"/>
      <c r="C574" s="172"/>
      <c r="D574" s="173"/>
      <c r="E574" s="174"/>
      <c r="F574" s="174"/>
      <c r="G574" s="175"/>
      <c r="H574" s="175"/>
      <c r="I574" s="175"/>
      <c r="J574" s="175"/>
      <c r="K574" s="175"/>
      <c r="L574" s="175"/>
      <c r="M574" s="175"/>
      <c r="N574" s="175"/>
      <c r="O574" s="175"/>
      <c r="P574" s="175"/>
      <c r="Q574" s="175"/>
      <c r="R574" s="175"/>
      <c r="S574" s="175"/>
      <c r="T574" s="175"/>
      <c r="U574" s="175"/>
      <c r="V574" s="175"/>
      <c r="W574" s="175"/>
      <c r="X574" s="175"/>
      <c r="Y574" s="175"/>
      <c r="Z574" s="175"/>
    </row>
    <row r="575" ht="15.75" customHeight="1">
      <c r="A575" s="174"/>
      <c r="B575" s="276"/>
      <c r="C575" s="172"/>
      <c r="D575" s="173"/>
      <c r="E575" s="174"/>
      <c r="F575" s="174"/>
      <c r="G575" s="175"/>
      <c r="H575" s="175"/>
      <c r="I575" s="175"/>
      <c r="J575" s="175"/>
      <c r="K575" s="175"/>
      <c r="L575" s="175"/>
      <c r="M575" s="175"/>
      <c r="N575" s="175"/>
      <c r="O575" s="175"/>
      <c r="P575" s="175"/>
      <c r="Q575" s="175"/>
      <c r="R575" s="175"/>
      <c r="S575" s="175"/>
      <c r="T575" s="175"/>
      <c r="U575" s="175"/>
      <c r="V575" s="175"/>
      <c r="W575" s="175"/>
      <c r="X575" s="175"/>
      <c r="Y575" s="175"/>
      <c r="Z575" s="175"/>
    </row>
    <row r="576" ht="15.75" customHeight="1">
      <c r="A576" s="174"/>
      <c r="B576" s="276"/>
      <c r="C576" s="172"/>
      <c r="D576" s="173"/>
      <c r="E576" s="174"/>
      <c r="F576" s="174"/>
      <c r="G576" s="175"/>
      <c r="H576" s="175"/>
      <c r="I576" s="175"/>
      <c r="J576" s="175"/>
      <c r="K576" s="175"/>
      <c r="L576" s="175"/>
      <c r="M576" s="175"/>
      <c r="N576" s="175"/>
      <c r="O576" s="175"/>
      <c r="P576" s="175"/>
      <c r="Q576" s="175"/>
      <c r="R576" s="175"/>
      <c r="S576" s="175"/>
      <c r="T576" s="175"/>
      <c r="U576" s="175"/>
      <c r="V576" s="175"/>
      <c r="W576" s="175"/>
      <c r="X576" s="175"/>
      <c r="Y576" s="175"/>
      <c r="Z576" s="175"/>
    </row>
    <row r="577" ht="15.75" customHeight="1">
      <c r="A577" s="174"/>
      <c r="B577" s="276"/>
      <c r="C577" s="172"/>
      <c r="D577" s="173"/>
      <c r="E577" s="174"/>
      <c r="F577" s="174"/>
      <c r="G577" s="175"/>
      <c r="H577" s="175"/>
      <c r="I577" s="175"/>
      <c r="J577" s="175"/>
      <c r="K577" s="175"/>
      <c r="L577" s="175"/>
      <c r="M577" s="175"/>
      <c r="N577" s="175"/>
      <c r="O577" s="175"/>
      <c r="P577" s="175"/>
      <c r="Q577" s="175"/>
      <c r="R577" s="175"/>
      <c r="S577" s="175"/>
      <c r="T577" s="175"/>
      <c r="U577" s="175"/>
      <c r="V577" s="175"/>
      <c r="W577" s="175"/>
      <c r="X577" s="175"/>
      <c r="Y577" s="175"/>
      <c r="Z577" s="175"/>
    </row>
    <row r="578" ht="15.75" customHeight="1">
      <c r="A578" s="174"/>
      <c r="B578" s="276"/>
      <c r="C578" s="172"/>
      <c r="D578" s="173"/>
      <c r="E578" s="174"/>
      <c r="F578" s="174"/>
      <c r="G578" s="175"/>
      <c r="H578" s="175"/>
      <c r="I578" s="175"/>
      <c r="J578" s="175"/>
      <c r="K578" s="175"/>
      <c r="L578" s="175"/>
      <c r="M578" s="175"/>
      <c r="N578" s="175"/>
      <c r="O578" s="175"/>
      <c r="P578" s="175"/>
      <c r="Q578" s="175"/>
      <c r="R578" s="175"/>
      <c r="S578" s="175"/>
      <c r="T578" s="175"/>
      <c r="U578" s="175"/>
      <c r="V578" s="175"/>
      <c r="W578" s="175"/>
      <c r="X578" s="175"/>
      <c r="Y578" s="175"/>
      <c r="Z578" s="175"/>
    </row>
    <row r="579" ht="15.75" customHeight="1">
      <c r="A579" s="174"/>
      <c r="B579" s="276"/>
      <c r="C579" s="172"/>
      <c r="D579" s="173"/>
      <c r="E579" s="174"/>
      <c r="F579" s="174"/>
      <c r="G579" s="175"/>
      <c r="H579" s="175"/>
      <c r="I579" s="175"/>
      <c r="J579" s="175"/>
      <c r="K579" s="175"/>
      <c r="L579" s="175"/>
      <c r="M579" s="175"/>
      <c r="N579" s="175"/>
      <c r="O579" s="175"/>
      <c r="P579" s="175"/>
      <c r="Q579" s="175"/>
      <c r="R579" s="175"/>
      <c r="S579" s="175"/>
      <c r="T579" s="175"/>
      <c r="U579" s="175"/>
      <c r="V579" s="175"/>
      <c r="W579" s="175"/>
      <c r="X579" s="175"/>
      <c r="Y579" s="175"/>
      <c r="Z579" s="175"/>
    </row>
    <row r="580" ht="15.75" customHeight="1">
      <c r="A580" s="174"/>
      <c r="B580" s="276"/>
      <c r="C580" s="172"/>
      <c r="D580" s="173"/>
      <c r="E580" s="174"/>
      <c r="F580" s="174"/>
      <c r="G580" s="175"/>
      <c r="H580" s="175"/>
      <c r="I580" s="175"/>
      <c r="J580" s="175"/>
      <c r="K580" s="175"/>
      <c r="L580" s="175"/>
      <c r="M580" s="175"/>
      <c r="N580" s="175"/>
      <c r="O580" s="175"/>
      <c r="P580" s="175"/>
      <c r="Q580" s="175"/>
      <c r="R580" s="175"/>
      <c r="S580" s="175"/>
      <c r="T580" s="175"/>
      <c r="U580" s="175"/>
      <c r="V580" s="175"/>
      <c r="W580" s="175"/>
      <c r="X580" s="175"/>
      <c r="Y580" s="175"/>
      <c r="Z580" s="175"/>
    </row>
    <row r="581" ht="15.75" customHeight="1">
      <c r="A581" s="174"/>
      <c r="B581" s="276"/>
      <c r="C581" s="172"/>
      <c r="D581" s="173"/>
      <c r="E581" s="174"/>
      <c r="F581" s="174"/>
      <c r="G581" s="175"/>
      <c r="H581" s="175"/>
      <c r="I581" s="175"/>
      <c r="J581" s="175"/>
      <c r="K581" s="175"/>
      <c r="L581" s="175"/>
      <c r="M581" s="175"/>
      <c r="N581" s="175"/>
      <c r="O581" s="175"/>
      <c r="P581" s="175"/>
      <c r="Q581" s="175"/>
      <c r="R581" s="175"/>
      <c r="S581" s="175"/>
      <c r="T581" s="175"/>
      <c r="U581" s="175"/>
      <c r="V581" s="175"/>
      <c r="W581" s="175"/>
      <c r="X581" s="175"/>
      <c r="Y581" s="175"/>
      <c r="Z581" s="175"/>
    </row>
    <row r="582" ht="15.75" customHeight="1">
      <c r="A582" s="174"/>
      <c r="B582" s="276"/>
      <c r="C582" s="172"/>
      <c r="D582" s="173"/>
      <c r="E582" s="174"/>
      <c r="F582" s="174"/>
      <c r="G582" s="175"/>
      <c r="H582" s="175"/>
      <c r="I582" s="175"/>
      <c r="J582" s="175"/>
      <c r="K582" s="175"/>
      <c r="L582" s="175"/>
      <c r="M582" s="175"/>
      <c r="N582" s="175"/>
      <c r="O582" s="175"/>
      <c r="P582" s="175"/>
      <c r="Q582" s="175"/>
      <c r="R582" s="175"/>
      <c r="S582" s="175"/>
      <c r="T582" s="175"/>
      <c r="U582" s="175"/>
      <c r="V582" s="175"/>
      <c r="W582" s="175"/>
      <c r="X582" s="175"/>
      <c r="Y582" s="175"/>
      <c r="Z582" s="175"/>
    </row>
    <row r="583" ht="15.75" customHeight="1">
      <c r="A583" s="174"/>
      <c r="B583" s="276"/>
      <c r="C583" s="172"/>
      <c r="D583" s="173"/>
      <c r="E583" s="174"/>
      <c r="F583" s="174"/>
      <c r="G583" s="175"/>
      <c r="H583" s="175"/>
      <c r="I583" s="175"/>
      <c r="J583" s="175"/>
      <c r="K583" s="175"/>
      <c r="L583" s="175"/>
      <c r="M583" s="175"/>
      <c r="N583" s="175"/>
      <c r="O583" s="175"/>
      <c r="P583" s="175"/>
      <c r="Q583" s="175"/>
      <c r="R583" s="175"/>
      <c r="S583" s="175"/>
      <c r="T583" s="175"/>
      <c r="U583" s="175"/>
      <c r="V583" s="175"/>
      <c r="W583" s="175"/>
      <c r="X583" s="175"/>
      <c r="Y583" s="175"/>
      <c r="Z583" s="175"/>
    </row>
    <row r="584" ht="15.75" customHeight="1">
      <c r="A584" s="174"/>
      <c r="B584" s="276"/>
      <c r="C584" s="172"/>
      <c r="D584" s="173"/>
      <c r="E584" s="174"/>
      <c r="F584" s="174"/>
      <c r="G584" s="175"/>
      <c r="H584" s="175"/>
      <c r="I584" s="175"/>
      <c r="J584" s="175"/>
      <c r="K584" s="175"/>
      <c r="L584" s="175"/>
      <c r="M584" s="175"/>
      <c r="N584" s="175"/>
      <c r="O584" s="175"/>
      <c r="P584" s="175"/>
      <c r="Q584" s="175"/>
      <c r="R584" s="175"/>
      <c r="S584" s="175"/>
      <c r="T584" s="175"/>
      <c r="U584" s="175"/>
      <c r="V584" s="175"/>
      <c r="W584" s="175"/>
      <c r="X584" s="175"/>
      <c r="Y584" s="175"/>
      <c r="Z584" s="175"/>
    </row>
    <row r="585" ht="15.75" customHeight="1">
      <c r="A585" s="174"/>
      <c r="B585" s="276"/>
      <c r="C585" s="172"/>
      <c r="D585" s="173"/>
      <c r="E585" s="174"/>
      <c r="F585" s="174"/>
      <c r="G585" s="175"/>
      <c r="H585" s="175"/>
      <c r="I585" s="175"/>
      <c r="J585" s="175"/>
      <c r="K585" s="175"/>
      <c r="L585" s="175"/>
      <c r="M585" s="175"/>
      <c r="N585" s="175"/>
      <c r="O585" s="175"/>
      <c r="P585" s="175"/>
      <c r="Q585" s="175"/>
      <c r="R585" s="175"/>
      <c r="S585" s="175"/>
      <c r="T585" s="175"/>
      <c r="U585" s="175"/>
      <c r="V585" s="175"/>
      <c r="W585" s="175"/>
      <c r="X585" s="175"/>
      <c r="Y585" s="175"/>
      <c r="Z585" s="175"/>
    </row>
    <row r="586" ht="15.75" customHeight="1">
      <c r="A586" s="174"/>
      <c r="B586" s="276"/>
      <c r="C586" s="172"/>
      <c r="D586" s="173"/>
      <c r="E586" s="174"/>
      <c r="F586" s="174"/>
      <c r="G586" s="175"/>
      <c r="H586" s="175"/>
      <c r="I586" s="175"/>
      <c r="J586" s="175"/>
      <c r="K586" s="175"/>
      <c r="L586" s="175"/>
      <c r="M586" s="175"/>
      <c r="N586" s="175"/>
      <c r="O586" s="175"/>
      <c r="P586" s="175"/>
      <c r="Q586" s="175"/>
      <c r="R586" s="175"/>
      <c r="S586" s="175"/>
      <c r="T586" s="175"/>
      <c r="U586" s="175"/>
      <c r="V586" s="175"/>
      <c r="W586" s="175"/>
      <c r="X586" s="175"/>
      <c r="Y586" s="175"/>
      <c r="Z586" s="175"/>
    </row>
    <row r="587" ht="15.75" customHeight="1">
      <c r="A587" s="174"/>
      <c r="B587" s="276"/>
      <c r="C587" s="172"/>
      <c r="D587" s="173"/>
      <c r="E587" s="174"/>
      <c r="F587" s="174"/>
      <c r="G587" s="175"/>
      <c r="H587" s="175"/>
      <c r="I587" s="175"/>
      <c r="J587" s="175"/>
      <c r="K587" s="175"/>
      <c r="L587" s="175"/>
      <c r="M587" s="175"/>
      <c r="N587" s="175"/>
      <c r="O587" s="175"/>
      <c r="P587" s="175"/>
      <c r="Q587" s="175"/>
      <c r="R587" s="175"/>
      <c r="S587" s="175"/>
      <c r="T587" s="175"/>
      <c r="U587" s="175"/>
      <c r="V587" s="175"/>
      <c r="W587" s="175"/>
      <c r="X587" s="175"/>
      <c r="Y587" s="175"/>
      <c r="Z587" s="175"/>
    </row>
    <row r="588" ht="15.75" customHeight="1">
      <c r="A588" s="174"/>
      <c r="B588" s="276"/>
      <c r="C588" s="172"/>
      <c r="D588" s="173"/>
      <c r="E588" s="174"/>
      <c r="F588" s="174"/>
      <c r="G588" s="175"/>
      <c r="H588" s="175"/>
      <c r="I588" s="175"/>
      <c r="J588" s="175"/>
      <c r="K588" s="175"/>
      <c r="L588" s="175"/>
      <c r="M588" s="175"/>
      <c r="N588" s="175"/>
      <c r="O588" s="175"/>
      <c r="P588" s="175"/>
      <c r="Q588" s="175"/>
      <c r="R588" s="175"/>
      <c r="S588" s="175"/>
      <c r="T588" s="175"/>
      <c r="U588" s="175"/>
      <c r="V588" s="175"/>
      <c r="W588" s="175"/>
      <c r="X588" s="175"/>
      <c r="Y588" s="175"/>
      <c r="Z588" s="175"/>
    </row>
    <row r="589" ht="15.75" customHeight="1">
      <c r="A589" s="174"/>
      <c r="B589" s="276"/>
      <c r="C589" s="172"/>
      <c r="D589" s="173"/>
      <c r="E589" s="174"/>
      <c r="F589" s="174"/>
      <c r="G589" s="175"/>
      <c r="H589" s="175"/>
      <c r="I589" s="175"/>
      <c r="J589" s="175"/>
      <c r="K589" s="175"/>
      <c r="L589" s="175"/>
      <c r="M589" s="175"/>
      <c r="N589" s="175"/>
      <c r="O589" s="175"/>
      <c r="P589" s="175"/>
      <c r="Q589" s="175"/>
      <c r="R589" s="175"/>
      <c r="S589" s="175"/>
      <c r="T589" s="175"/>
      <c r="U589" s="175"/>
      <c r="V589" s="175"/>
      <c r="W589" s="175"/>
      <c r="X589" s="175"/>
      <c r="Y589" s="175"/>
      <c r="Z589" s="175"/>
    </row>
    <row r="590" ht="15.75" customHeight="1">
      <c r="A590" s="174"/>
      <c r="B590" s="276"/>
      <c r="C590" s="172"/>
      <c r="D590" s="173"/>
      <c r="E590" s="174"/>
      <c r="F590" s="174"/>
      <c r="G590" s="175"/>
      <c r="H590" s="175"/>
      <c r="I590" s="175"/>
      <c r="J590" s="175"/>
      <c r="K590" s="175"/>
      <c r="L590" s="175"/>
      <c r="M590" s="175"/>
      <c r="N590" s="175"/>
      <c r="O590" s="175"/>
      <c r="P590" s="175"/>
      <c r="Q590" s="175"/>
      <c r="R590" s="175"/>
      <c r="S590" s="175"/>
      <c r="T590" s="175"/>
      <c r="U590" s="175"/>
      <c r="V590" s="175"/>
      <c r="W590" s="175"/>
      <c r="X590" s="175"/>
      <c r="Y590" s="175"/>
      <c r="Z590" s="175"/>
    </row>
    <row r="591" ht="15.75" customHeight="1">
      <c r="A591" s="174"/>
      <c r="B591" s="276"/>
      <c r="C591" s="172"/>
      <c r="D591" s="173"/>
      <c r="E591" s="174"/>
      <c r="F591" s="174"/>
      <c r="G591" s="175"/>
      <c r="H591" s="175"/>
      <c r="I591" s="175"/>
      <c r="J591" s="175"/>
      <c r="K591" s="175"/>
      <c r="L591" s="175"/>
      <c r="M591" s="175"/>
      <c r="N591" s="175"/>
      <c r="O591" s="175"/>
      <c r="P591" s="175"/>
      <c r="Q591" s="175"/>
      <c r="R591" s="175"/>
      <c r="S591" s="175"/>
      <c r="T591" s="175"/>
      <c r="U591" s="175"/>
      <c r="V591" s="175"/>
      <c r="W591" s="175"/>
      <c r="X591" s="175"/>
      <c r="Y591" s="175"/>
      <c r="Z591" s="175"/>
    </row>
    <row r="592" ht="15.75" customHeight="1">
      <c r="A592" s="174"/>
      <c r="B592" s="276"/>
      <c r="C592" s="172"/>
      <c r="D592" s="173"/>
      <c r="E592" s="174"/>
      <c r="F592" s="174"/>
      <c r="G592" s="175"/>
      <c r="H592" s="175"/>
      <c r="I592" s="175"/>
      <c r="J592" s="175"/>
      <c r="K592" s="175"/>
      <c r="L592" s="175"/>
      <c r="M592" s="175"/>
      <c r="N592" s="175"/>
      <c r="O592" s="175"/>
      <c r="P592" s="175"/>
      <c r="Q592" s="175"/>
      <c r="R592" s="175"/>
      <c r="S592" s="175"/>
      <c r="T592" s="175"/>
      <c r="U592" s="175"/>
      <c r="V592" s="175"/>
      <c r="W592" s="175"/>
      <c r="X592" s="175"/>
      <c r="Y592" s="175"/>
      <c r="Z592" s="175"/>
    </row>
    <row r="593" ht="15.75" customHeight="1">
      <c r="A593" s="174"/>
      <c r="B593" s="276"/>
      <c r="C593" s="172"/>
      <c r="D593" s="173"/>
      <c r="E593" s="174"/>
      <c r="F593" s="174"/>
      <c r="G593" s="175"/>
      <c r="H593" s="175"/>
      <c r="I593" s="175"/>
      <c r="J593" s="175"/>
      <c r="K593" s="175"/>
      <c r="L593" s="175"/>
      <c r="M593" s="175"/>
      <c r="N593" s="175"/>
      <c r="O593" s="175"/>
      <c r="P593" s="175"/>
      <c r="Q593" s="175"/>
      <c r="R593" s="175"/>
      <c r="S593" s="175"/>
      <c r="T593" s="175"/>
      <c r="U593" s="175"/>
      <c r="V593" s="175"/>
      <c r="W593" s="175"/>
      <c r="X593" s="175"/>
      <c r="Y593" s="175"/>
      <c r="Z593" s="175"/>
    </row>
    <row r="594" ht="15.75" customHeight="1">
      <c r="A594" s="174"/>
      <c r="B594" s="276"/>
      <c r="C594" s="172"/>
      <c r="D594" s="173"/>
      <c r="E594" s="174"/>
      <c r="F594" s="174"/>
      <c r="G594" s="175"/>
      <c r="H594" s="175"/>
      <c r="I594" s="175"/>
      <c r="J594" s="175"/>
      <c r="K594" s="175"/>
      <c r="L594" s="175"/>
      <c r="M594" s="175"/>
      <c r="N594" s="175"/>
      <c r="O594" s="175"/>
      <c r="P594" s="175"/>
      <c r="Q594" s="175"/>
      <c r="R594" s="175"/>
      <c r="S594" s="175"/>
      <c r="T594" s="175"/>
      <c r="U594" s="175"/>
      <c r="V594" s="175"/>
      <c r="W594" s="175"/>
      <c r="X594" s="175"/>
      <c r="Y594" s="175"/>
      <c r="Z594" s="175"/>
    </row>
    <row r="595" ht="15.75" customHeight="1">
      <c r="A595" s="174"/>
      <c r="B595" s="276"/>
      <c r="C595" s="172"/>
      <c r="D595" s="173"/>
      <c r="E595" s="174"/>
      <c r="F595" s="174"/>
      <c r="G595" s="175"/>
      <c r="H595" s="175"/>
      <c r="I595" s="175"/>
      <c r="J595" s="175"/>
      <c r="K595" s="175"/>
      <c r="L595" s="175"/>
      <c r="M595" s="175"/>
      <c r="N595" s="175"/>
      <c r="O595" s="175"/>
      <c r="P595" s="175"/>
      <c r="Q595" s="175"/>
      <c r="R595" s="175"/>
      <c r="S595" s="175"/>
      <c r="T595" s="175"/>
      <c r="U595" s="175"/>
      <c r="V595" s="175"/>
      <c r="W595" s="175"/>
      <c r="X595" s="175"/>
      <c r="Y595" s="175"/>
      <c r="Z595" s="175"/>
    </row>
    <row r="596" ht="15.75" customHeight="1">
      <c r="A596" s="174"/>
      <c r="B596" s="276"/>
      <c r="C596" s="172"/>
      <c r="D596" s="173"/>
      <c r="E596" s="174"/>
      <c r="F596" s="174"/>
      <c r="G596" s="175"/>
      <c r="H596" s="175"/>
      <c r="I596" s="175"/>
      <c r="J596" s="175"/>
      <c r="K596" s="175"/>
      <c r="L596" s="175"/>
      <c r="M596" s="175"/>
      <c r="N596" s="175"/>
      <c r="O596" s="175"/>
      <c r="P596" s="175"/>
      <c r="Q596" s="175"/>
      <c r="R596" s="175"/>
      <c r="S596" s="175"/>
      <c r="T596" s="175"/>
      <c r="U596" s="175"/>
      <c r="V596" s="175"/>
      <c r="W596" s="175"/>
      <c r="X596" s="175"/>
      <c r="Y596" s="175"/>
      <c r="Z596" s="175"/>
    </row>
    <row r="597" ht="15.75" customHeight="1">
      <c r="A597" s="174"/>
      <c r="B597" s="276"/>
      <c r="C597" s="172"/>
      <c r="D597" s="173"/>
      <c r="E597" s="174"/>
      <c r="F597" s="174"/>
      <c r="G597" s="175"/>
      <c r="H597" s="175"/>
      <c r="I597" s="175"/>
      <c r="J597" s="175"/>
      <c r="K597" s="175"/>
      <c r="L597" s="175"/>
      <c r="M597" s="175"/>
      <c r="N597" s="175"/>
      <c r="O597" s="175"/>
      <c r="P597" s="175"/>
      <c r="Q597" s="175"/>
      <c r="R597" s="175"/>
      <c r="S597" s="175"/>
      <c r="T597" s="175"/>
      <c r="U597" s="175"/>
      <c r="V597" s="175"/>
      <c r="W597" s="175"/>
      <c r="X597" s="175"/>
      <c r="Y597" s="175"/>
      <c r="Z597" s="175"/>
    </row>
    <row r="598" ht="15.75" customHeight="1">
      <c r="A598" s="174"/>
      <c r="B598" s="276"/>
      <c r="C598" s="172"/>
      <c r="D598" s="173"/>
      <c r="E598" s="174"/>
      <c r="F598" s="174"/>
      <c r="G598" s="175"/>
      <c r="H598" s="175"/>
      <c r="I598" s="175"/>
      <c r="J598" s="175"/>
      <c r="K598" s="175"/>
      <c r="L598" s="175"/>
      <c r="M598" s="175"/>
      <c r="N598" s="175"/>
      <c r="O598" s="175"/>
      <c r="P598" s="175"/>
      <c r="Q598" s="175"/>
      <c r="R598" s="175"/>
      <c r="S598" s="175"/>
      <c r="T598" s="175"/>
      <c r="U598" s="175"/>
      <c r="V598" s="175"/>
      <c r="W598" s="175"/>
      <c r="X598" s="175"/>
      <c r="Y598" s="175"/>
      <c r="Z598" s="175"/>
    </row>
    <row r="599" ht="15.75" customHeight="1">
      <c r="A599" s="174"/>
      <c r="B599" s="276"/>
      <c r="C599" s="172"/>
      <c r="D599" s="173"/>
      <c r="E599" s="174"/>
      <c r="F599" s="174"/>
      <c r="G599" s="175"/>
      <c r="H599" s="175"/>
      <c r="I599" s="175"/>
      <c r="J599" s="175"/>
      <c r="K599" s="175"/>
      <c r="L599" s="175"/>
      <c r="M599" s="175"/>
      <c r="N599" s="175"/>
      <c r="O599" s="175"/>
      <c r="P599" s="175"/>
      <c r="Q599" s="175"/>
      <c r="R599" s="175"/>
      <c r="S599" s="175"/>
      <c r="T599" s="175"/>
      <c r="U599" s="175"/>
      <c r="V599" s="175"/>
      <c r="W599" s="175"/>
      <c r="X599" s="175"/>
      <c r="Y599" s="175"/>
      <c r="Z599" s="175"/>
    </row>
    <row r="600" ht="15.75" customHeight="1">
      <c r="A600" s="174"/>
      <c r="B600" s="276"/>
      <c r="C600" s="172"/>
      <c r="D600" s="173"/>
      <c r="E600" s="174"/>
      <c r="F600" s="174"/>
      <c r="G600" s="175"/>
      <c r="H600" s="175"/>
      <c r="I600" s="175"/>
      <c r="J600" s="175"/>
      <c r="K600" s="175"/>
      <c r="L600" s="175"/>
      <c r="M600" s="175"/>
      <c r="N600" s="175"/>
      <c r="O600" s="175"/>
      <c r="P600" s="175"/>
      <c r="Q600" s="175"/>
      <c r="R600" s="175"/>
      <c r="S600" s="175"/>
      <c r="T600" s="175"/>
      <c r="U600" s="175"/>
      <c r="V600" s="175"/>
      <c r="W600" s="175"/>
      <c r="X600" s="175"/>
      <c r="Y600" s="175"/>
      <c r="Z600" s="175"/>
    </row>
    <row r="601" ht="15.75" customHeight="1">
      <c r="A601" s="174"/>
      <c r="B601" s="276"/>
      <c r="C601" s="172"/>
      <c r="D601" s="173"/>
      <c r="E601" s="174"/>
      <c r="F601" s="174"/>
      <c r="G601" s="175"/>
      <c r="H601" s="175"/>
      <c r="I601" s="175"/>
      <c r="J601" s="175"/>
      <c r="K601" s="175"/>
      <c r="L601" s="175"/>
      <c r="M601" s="175"/>
      <c r="N601" s="175"/>
      <c r="O601" s="175"/>
      <c r="P601" s="175"/>
      <c r="Q601" s="175"/>
      <c r="R601" s="175"/>
      <c r="S601" s="175"/>
      <c r="T601" s="175"/>
      <c r="U601" s="175"/>
      <c r="V601" s="175"/>
      <c r="W601" s="175"/>
      <c r="X601" s="175"/>
      <c r="Y601" s="175"/>
      <c r="Z601" s="175"/>
    </row>
    <row r="602" ht="15.75" customHeight="1">
      <c r="A602" s="174"/>
      <c r="B602" s="276"/>
      <c r="C602" s="172"/>
      <c r="D602" s="173"/>
      <c r="E602" s="174"/>
      <c r="F602" s="174"/>
      <c r="G602" s="175"/>
      <c r="H602" s="175"/>
      <c r="I602" s="175"/>
      <c r="J602" s="175"/>
      <c r="K602" s="175"/>
      <c r="L602" s="175"/>
      <c r="M602" s="175"/>
      <c r="N602" s="175"/>
      <c r="O602" s="175"/>
      <c r="P602" s="175"/>
      <c r="Q602" s="175"/>
      <c r="R602" s="175"/>
      <c r="S602" s="175"/>
      <c r="T602" s="175"/>
      <c r="U602" s="175"/>
      <c r="V602" s="175"/>
      <c r="W602" s="175"/>
      <c r="X602" s="175"/>
      <c r="Y602" s="175"/>
      <c r="Z602" s="175"/>
    </row>
    <row r="603" ht="15.75" customHeight="1">
      <c r="A603" s="174"/>
      <c r="B603" s="276"/>
      <c r="C603" s="172"/>
      <c r="D603" s="173"/>
      <c r="E603" s="174"/>
      <c r="F603" s="174"/>
      <c r="G603" s="175"/>
      <c r="H603" s="175"/>
      <c r="I603" s="175"/>
      <c r="J603" s="175"/>
      <c r="K603" s="175"/>
      <c r="L603" s="175"/>
      <c r="M603" s="175"/>
      <c r="N603" s="175"/>
      <c r="O603" s="175"/>
      <c r="P603" s="175"/>
      <c r="Q603" s="175"/>
      <c r="R603" s="175"/>
      <c r="S603" s="175"/>
      <c r="T603" s="175"/>
      <c r="U603" s="175"/>
      <c r="V603" s="175"/>
      <c r="W603" s="175"/>
      <c r="X603" s="175"/>
      <c r="Y603" s="175"/>
      <c r="Z603" s="175"/>
    </row>
    <row r="604" ht="15.75" customHeight="1">
      <c r="A604" s="174"/>
      <c r="B604" s="276"/>
      <c r="C604" s="172"/>
      <c r="D604" s="173"/>
      <c r="E604" s="174"/>
      <c r="F604" s="174"/>
      <c r="G604" s="175"/>
      <c r="H604" s="175"/>
      <c r="I604" s="175"/>
      <c r="J604" s="175"/>
      <c r="K604" s="175"/>
      <c r="L604" s="175"/>
      <c r="M604" s="175"/>
      <c r="N604" s="175"/>
      <c r="O604" s="175"/>
      <c r="P604" s="175"/>
      <c r="Q604" s="175"/>
      <c r="R604" s="175"/>
      <c r="S604" s="175"/>
      <c r="T604" s="175"/>
      <c r="U604" s="175"/>
      <c r="V604" s="175"/>
      <c r="W604" s="175"/>
      <c r="X604" s="175"/>
      <c r="Y604" s="175"/>
      <c r="Z604" s="175"/>
    </row>
    <row r="605" ht="15.75" customHeight="1">
      <c r="A605" s="174"/>
      <c r="B605" s="276"/>
      <c r="C605" s="172"/>
      <c r="D605" s="173"/>
      <c r="E605" s="174"/>
      <c r="F605" s="174"/>
      <c r="G605" s="175"/>
      <c r="H605" s="175"/>
      <c r="I605" s="175"/>
      <c r="J605" s="175"/>
      <c r="K605" s="175"/>
      <c r="L605" s="175"/>
      <c r="M605" s="175"/>
      <c r="N605" s="175"/>
      <c r="O605" s="175"/>
      <c r="P605" s="175"/>
      <c r="Q605" s="175"/>
      <c r="R605" s="175"/>
      <c r="S605" s="175"/>
      <c r="T605" s="175"/>
      <c r="U605" s="175"/>
      <c r="V605" s="175"/>
      <c r="W605" s="175"/>
      <c r="X605" s="175"/>
      <c r="Y605" s="175"/>
      <c r="Z605" s="175"/>
    </row>
    <row r="606" ht="15.75" customHeight="1">
      <c r="A606" s="174"/>
      <c r="B606" s="276"/>
      <c r="C606" s="172"/>
      <c r="D606" s="173"/>
      <c r="E606" s="174"/>
      <c r="F606" s="174"/>
      <c r="G606" s="175"/>
      <c r="H606" s="175"/>
      <c r="I606" s="175"/>
      <c r="J606" s="175"/>
      <c r="K606" s="175"/>
      <c r="L606" s="175"/>
      <c r="M606" s="175"/>
      <c r="N606" s="175"/>
      <c r="O606" s="175"/>
      <c r="P606" s="175"/>
      <c r="Q606" s="175"/>
      <c r="R606" s="175"/>
      <c r="S606" s="175"/>
      <c r="T606" s="175"/>
      <c r="U606" s="175"/>
      <c r="V606" s="175"/>
      <c r="W606" s="175"/>
      <c r="X606" s="175"/>
      <c r="Y606" s="175"/>
      <c r="Z606" s="175"/>
    </row>
    <row r="607" ht="15.75" customHeight="1">
      <c r="A607" s="174"/>
      <c r="B607" s="276"/>
      <c r="C607" s="172"/>
      <c r="D607" s="173"/>
      <c r="E607" s="174"/>
      <c r="F607" s="174"/>
      <c r="G607" s="175"/>
      <c r="H607" s="175"/>
      <c r="I607" s="175"/>
      <c r="J607" s="175"/>
      <c r="K607" s="175"/>
      <c r="L607" s="175"/>
      <c r="M607" s="175"/>
      <c r="N607" s="175"/>
      <c r="O607" s="175"/>
      <c r="P607" s="175"/>
      <c r="Q607" s="175"/>
      <c r="R607" s="175"/>
      <c r="S607" s="175"/>
      <c r="T607" s="175"/>
      <c r="U607" s="175"/>
      <c r="V607" s="175"/>
      <c r="W607" s="175"/>
      <c r="X607" s="175"/>
      <c r="Y607" s="175"/>
      <c r="Z607" s="175"/>
    </row>
    <row r="608" ht="15.75" customHeight="1">
      <c r="A608" s="174"/>
      <c r="B608" s="276"/>
      <c r="C608" s="172"/>
      <c r="D608" s="173"/>
      <c r="E608" s="174"/>
      <c r="F608" s="174"/>
      <c r="G608" s="175"/>
      <c r="H608" s="175"/>
      <c r="I608" s="175"/>
      <c r="J608" s="175"/>
      <c r="K608" s="175"/>
      <c r="L608" s="175"/>
      <c r="M608" s="175"/>
      <c r="N608" s="175"/>
      <c r="O608" s="175"/>
      <c r="P608" s="175"/>
      <c r="Q608" s="175"/>
      <c r="R608" s="175"/>
      <c r="S608" s="175"/>
      <c r="T608" s="175"/>
      <c r="U608" s="175"/>
      <c r="V608" s="175"/>
      <c r="W608" s="175"/>
      <c r="X608" s="175"/>
      <c r="Y608" s="175"/>
      <c r="Z608" s="175"/>
    </row>
    <row r="609" ht="15.75" customHeight="1">
      <c r="A609" s="174"/>
      <c r="B609" s="276"/>
      <c r="C609" s="172"/>
      <c r="D609" s="173"/>
      <c r="E609" s="174"/>
      <c r="F609" s="174"/>
      <c r="G609" s="175"/>
      <c r="H609" s="175"/>
      <c r="I609" s="175"/>
      <c r="J609" s="175"/>
      <c r="K609" s="175"/>
      <c r="L609" s="175"/>
      <c r="M609" s="175"/>
      <c r="N609" s="175"/>
      <c r="O609" s="175"/>
      <c r="P609" s="175"/>
      <c r="Q609" s="175"/>
      <c r="R609" s="175"/>
      <c r="S609" s="175"/>
      <c r="T609" s="175"/>
      <c r="U609" s="175"/>
      <c r="V609" s="175"/>
      <c r="W609" s="175"/>
      <c r="X609" s="175"/>
      <c r="Y609" s="175"/>
      <c r="Z609" s="175"/>
    </row>
    <row r="610" ht="15.75" customHeight="1">
      <c r="A610" s="174"/>
      <c r="B610" s="276"/>
      <c r="C610" s="172"/>
      <c r="D610" s="173"/>
      <c r="E610" s="174"/>
      <c r="F610" s="174"/>
      <c r="G610" s="175"/>
      <c r="H610" s="175"/>
      <c r="I610" s="175"/>
      <c r="J610" s="175"/>
      <c r="K610" s="175"/>
      <c r="L610" s="175"/>
      <c r="M610" s="175"/>
      <c r="N610" s="175"/>
      <c r="O610" s="175"/>
      <c r="P610" s="175"/>
      <c r="Q610" s="175"/>
      <c r="R610" s="175"/>
      <c r="S610" s="175"/>
      <c r="T610" s="175"/>
      <c r="U610" s="175"/>
      <c r="V610" s="175"/>
      <c r="W610" s="175"/>
      <c r="X610" s="175"/>
      <c r="Y610" s="175"/>
      <c r="Z610" s="175"/>
    </row>
    <row r="611" ht="15.75" customHeight="1">
      <c r="A611" s="174"/>
      <c r="B611" s="276"/>
      <c r="C611" s="172"/>
      <c r="D611" s="173"/>
      <c r="E611" s="174"/>
      <c r="F611" s="174"/>
      <c r="G611" s="175"/>
      <c r="H611" s="175"/>
      <c r="I611" s="175"/>
      <c r="J611" s="175"/>
      <c r="K611" s="175"/>
      <c r="L611" s="175"/>
      <c r="M611" s="175"/>
      <c r="N611" s="175"/>
      <c r="O611" s="175"/>
      <c r="P611" s="175"/>
      <c r="Q611" s="175"/>
      <c r="R611" s="175"/>
      <c r="S611" s="175"/>
      <c r="T611" s="175"/>
      <c r="U611" s="175"/>
      <c r="V611" s="175"/>
      <c r="W611" s="175"/>
      <c r="X611" s="175"/>
      <c r="Y611" s="175"/>
      <c r="Z611" s="175"/>
    </row>
    <row r="612" ht="15.75" customHeight="1">
      <c r="A612" s="174"/>
      <c r="B612" s="276"/>
      <c r="C612" s="172"/>
      <c r="D612" s="173"/>
      <c r="E612" s="174"/>
      <c r="F612" s="174"/>
      <c r="G612" s="175"/>
      <c r="H612" s="175"/>
      <c r="I612" s="175"/>
      <c r="J612" s="175"/>
      <c r="K612" s="175"/>
      <c r="L612" s="175"/>
      <c r="M612" s="175"/>
      <c r="N612" s="175"/>
      <c r="O612" s="175"/>
      <c r="P612" s="175"/>
      <c r="Q612" s="175"/>
      <c r="R612" s="175"/>
      <c r="S612" s="175"/>
      <c r="T612" s="175"/>
      <c r="U612" s="175"/>
      <c r="V612" s="175"/>
      <c r="W612" s="175"/>
      <c r="X612" s="175"/>
      <c r="Y612" s="175"/>
      <c r="Z612" s="175"/>
    </row>
    <row r="613" ht="15.75" customHeight="1">
      <c r="A613" s="174"/>
      <c r="B613" s="276"/>
      <c r="C613" s="172"/>
      <c r="D613" s="173"/>
      <c r="E613" s="174"/>
      <c r="F613" s="174"/>
      <c r="G613" s="175"/>
      <c r="H613" s="175"/>
      <c r="I613" s="175"/>
      <c r="J613" s="175"/>
      <c r="K613" s="175"/>
      <c r="L613" s="175"/>
      <c r="M613" s="175"/>
      <c r="N613" s="175"/>
      <c r="O613" s="175"/>
      <c r="P613" s="175"/>
      <c r="Q613" s="175"/>
      <c r="R613" s="175"/>
      <c r="S613" s="175"/>
      <c r="T613" s="175"/>
      <c r="U613" s="175"/>
      <c r="V613" s="175"/>
      <c r="W613" s="175"/>
      <c r="X613" s="175"/>
      <c r="Y613" s="175"/>
      <c r="Z613" s="175"/>
    </row>
    <row r="614" ht="15.75" customHeight="1">
      <c r="A614" s="174"/>
      <c r="B614" s="276"/>
      <c r="C614" s="172"/>
      <c r="D614" s="173"/>
      <c r="E614" s="174"/>
      <c r="F614" s="174"/>
      <c r="G614" s="175"/>
      <c r="H614" s="175"/>
      <c r="I614" s="175"/>
      <c r="J614" s="175"/>
      <c r="K614" s="175"/>
      <c r="L614" s="175"/>
      <c r="M614" s="175"/>
      <c r="N614" s="175"/>
      <c r="O614" s="175"/>
      <c r="P614" s="175"/>
      <c r="Q614" s="175"/>
      <c r="R614" s="175"/>
      <c r="S614" s="175"/>
      <c r="T614" s="175"/>
      <c r="U614" s="175"/>
      <c r="V614" s="175"/>
      <c r="W614" s="175"/>
      <c r="X614" s="175"/>
      <c r="Y614" s="175"/>
      <c r="Z614" s="175"/>
    </row>
    <row r="615" ht="15.75" customHeight="1">
      <c r="A615" s="174"/>
      <c r="B615" s="276"/>
      <c r="C615" s="172"/>
      <c r="D615" s="173"/>
      <c r="E615" s="174"/>
      <c r="F615" s="174"/>
      <c r="G615" s="175"/>
      <c r="H615" s="175"/>
      <c r="I615" s="175"/>
      <c r="J615" s="175"/>
      <c r="K615" s="175"/>
      <c r="L615" s="175"/>
      <c r="M615" s="175"/>
      <c r="N615" s="175"/>
      <c r="O615" s="175"/>
      <c r="P615" s="175"/>
      <c r="Q615" s="175"/>
      <c r="R615" s="175"/>
      <c r="S615" s="175"/>
      <c r="T615" s="175"/>
      <c r="U615" s="175"/>
      <c r="V615" s="175"/>
      <c r="W615" s="175"/>
      <c r="X615" s="175"/>
      <c r="Y615" s="175"/>
      <c r="Z615" s="175"/>
    </row>
    <row r="616" ht="15.75" customHeight="1">
      <c r="A616" s="174"/>
      <c r="B616" s="276"/>
      <c r="C616" s="172"/>
      <c r="D616" s="173"/>
      <c r="E616" s="174"/>
      <c r="F616" s="174"/>
      <c r="G616" s="175"/>
      <c r="H616" s="175"/>
      <c r="I616" s="175"/>
      <c r="J616" s="175"/>
      <c r="K616" s="175"/>
      <c r="L616" s="175"/>
      <c r="M616" s="175"/>
      <c r="N616" s="175"/>
      <c r="O616" s="175"/>
      <c r="P616" s="175"/>
      <c r="Q616" s="175"/>
      <c r="R616" s="175"/>
      <c r="S616" s="175"/>
      <c r="T616" s="175"/>
      <c r="U616" s="175"/>
      <c r="V616" s="175"/>
      <c r="W616" s="175"/>
      <c r="X616" s="175"/>
      <c r="Y616" s="175"/>
      <c r="Z616" s="175"/>
    </row>
    <row r="617" ht="15.75" customHeight="1">
      <c r="A617" s="174"/>
      <c r="B617" s="276"/>
      <c r="C617" s="172"/>
      <c r="D617" s="173"/>
      <c r="E617" s="174"/>
      <c r="F617" s="174"/>
      <c r="G617" s="175"/>
      <c r="H617" s="175"/>
      <c r="I617" s="175"/>
      <c r="J617" s="175"/>
      <c r="K617" s="175"/>
      <c r="L617" s="175"/>
      <c r="M617" s="175"/>
      <c r="N617" s="175"/>
      <c r="O617" s="175"/>
      <c r="P617" s="175"/>
      <c r="Q617" s="175"/>
      <c r="R617" s="175"/>
      <c r="S617" s="175"/>
      <c r="T617" s="175"/>
      <c r="U617" s="175"/>
      <c r="V617" s="175"/>
      <c r="W617" s="175"/>
      <c r="X617" s="175"/>
      <c r="Y617" s="175"/>
      <c r="Z617" s="175"/>
    </row>
    <row r="618" ht="15.75" customHeight="1">
      <c r="A618" s="174"/>
      <c r="B618" s="276"/>
      <c r="C618" s="172"/>
      <c r="D618" s="173"/>
      <c r="E618" s="174"/>
      <c r="F618" s="174"/>
      <c r="G618" s="175"/>
      <c r="H618" s="175"/>
      <c r="I618" s="175"/>
      <c r="J618" s="175"/>
      <c r="K618" s="175"/>
      <c r="L618" s="175"/>
      <c r="M618" s="175"/>
      <c r="N618" s="175"/>
      <c r="O618" s="175"/>
      <c r="P618" s="175"/>
      <c r="Q618" s="175"/>
      <c r="R618" s="175"/>
      <c r="S618" s="175"/>
      <c r="T618" s="175"/>
      <c r="U618" s="175"/>
      <c r="V618" s="175"/>
      <c r="W618" s="175"/>
      <c r="X618" s="175"/>
      <c r="Y618" s="175"/>
      <c r="Z618" s="175"/>
    </row>
    <row r="619" ht="15.75" customHeight="1">
      <c r="A619" s="174"/>
      <c r="B619" s="276"/>
      <c r="C619" s="172"/>
      <c r="D619" s="173"/>
      <c r="E619" s="174"/>
      <c r="F619" s="174"/>
      <c r="G619" s="175"/>
      <c r="H619" s="175"/>
      <c r="I619" s="175"/>
      <c r="J619" s="175"/>
      <c r="K619" s="175"/>
      <c r="L619" s="175"/>
      <c r="M619" s="175"/>
      <c r="N619" s="175"/>
      <c r="O619" s="175"/>
      <c r="P619" s="175"/>
      <c r="Q619" s="175"/>
      <c r="R619" s="175"/>
      <c r="S619" s="175"/>
      <c r="T619" s="175"/>
      <c r="U619" s="175"/>
      <c r="V619" s="175"/>
      <c r="W619" s="175"/>
      <c r="X619" s="175"/>
      <c r="Y619" s="175"/>
      <c r="Z619" s="175"/>
    </row>
    <row r="620" ht="15.75" customHeight="1">
      <c r="A620" s="174"/>
      <c r="B620" s="276"/>
      <c r="C620" s="172"/>
      <c r="D620" s="173"/>
      <c r="E620" s="174"/>
      <c r="F620" s="174"/>
      <c r="G620" s="175"/>
      <c r="H620" s="175"/>
      <c r="I620" s="175"/>
      <c r="J620" s="175"/>
      <c r="K620" s="175"/>
      <c r="L620" s="175"/>
      <c r="M620" s="175"/>
      <c r="N620" s="175"/>
      <c r="O620" s="175"/>
      <c r="P620" s="175"/>
      <c r="Q620" s="175"/>
      <c r="R620" s="175"/>
      <c r="S620" s="175"/>
      <c r="T620" s="175"/>
      <c r="U620" s="175"/>
      <c r="V620" s="175"/>
      <c r="W620" s="175"/>
      <c r="X620" s="175"/>
      <c r="Y620" s="175"/>
      <c r="Z620" s="175"/>
    </row>
    <row r="621" ht="15.75" customHeight="1">
      <c r="A621" s="174"/>
      <c r="B621" s="276"/>
      <c r="C621" s="172"/>
      <c r="D621" s="173"/>
      <c r="E621" s="174"/>
      <c r="F621" s="174"/>
      <c r="G621" s="175"/>
      <c r="H621" s="175"/>
      <c r="I621" s="175"/>
      <c r="J621" s="175"/>
      <c r="K621" s="175"/>
      <c r="L621" s="175"/>
      <c r="M621" s="175"/>
      <c r="N621" s="175"/>
      <c r="O621" s="175"/>
      <c r="P621" s="175"/>
      <c r="Q621" s="175"/>
      <c r="R621" s="175"/>
      <c r="S621" s="175"/>
      <c r="T621" s="175"/>
      <c r="U621" s="175"/>
      <c r="V621" s="175"/>
      <c r="W621" s="175"/>
      <c r="X621" s="175"/>
      <c r="Y621" s="175"/>
      <c r="Z621" s="175"/>
    </row>
    <row r="622" ht="15.75" customHeight="1">
      <c r="A622" s="174"/>
      <c r="B622" s="276"/>
      <c r="C622" s="172"/>
      <c r="D622" s="173"/>
      <c r="E622" s="174"/>
      <c r="F622" s="174"/>
      <c r="G622" s="175"/>
      <c r="H622" s="175"/>
      <c r="I622" s="175"/>
      <c r="J622" s="175"/>
      <c r="K622" s="175"/>
      <c r="L622" s="175"/>
      <c r="M622" s="175"/>
      <c r="N622" s="175"/>
      <c r="O622" s="175"/>
      <c r="P622" s="175"/>
      <c r="Q622" s="175"/>
      <c r="R622" s="175"/>
      <c r="S622" s="175"/>
      <c r="T622" s="175"/>
      <c r="U622" s="175"/>
      <c r="V622" s="175"/>
      <c r="W622" s="175"/>
      <c r="X622" s="175"/>
      <c r="Y622" s="175"/>
      <c r="Z622" s="175"/>
    </row>
    <row r="623" ht="15.75" customHeight="1">
      <c r="A623" s="174"/>
      <c r="B623" s="276"/>
      <c r="C623" s="172"/>
      <c r="D623" s="173"/>
      <c r="E623" s="174"/>
      <c r="F623" s="174"/>
      <c r="G623" s="175"/>
      <c r="H623" s="175"/>
      <c r="I623" s="175"/>
      <c r="J623" s="175"/>
      <c r="K623" s="175"/>
      <c r="L623" s="175"/>
      <c r="M623" s="175"/>
      <c r="N623" s="175"/>
      <c r="O623" s="175"/>
      <c r="P623" s="175"/>
      <c r="Q623" s="175"/>
      <c r="R623" s="175"/>
      <c r="S623" s="175"/>
      <c r="T623" s="175"/>
      <c r="U623" s="175"/>
      <c r="V623" s="175"/>
      <c r="W623" s="175"/>
      <c r="X623" s="175"/>
      <c r="Y623" s="175"/>
      <c r="Z623" s="175"/>
    </row>
    <row r="624" ht="15.75" customHeight="1">
      <c r="A624" s="174"/>
      <c r="B624" s="276"/>
      <c r="C624" s="172"/>
      <c r="D624" s="173"/>
      <c r="E624" s="174"/>
      <c r="F624" s="174"/>
      <c r="G624" s="175"/>
      <c r="H624" s="175"/>
      <c r="I624" s="175"/>
      <c r="J624" s="175"/>
      <c r="K624" s="175"/>
      <c r="L624" s="175"/>
      <c r="M624" s="175"/>
      <c r="N624" s="175"/>
      <c r="O624" s="175"/>
      <c r="P624" s="175"/>
      <c r="Q624" s="175"/>
      <c r="R624" s="175"/>
      <c r="S624" s="175"/>
      <c r="T624" s="175"/>
      <c r="U624" s="175"/>
      <c r="V624" s="175"/>
      <c r="W624" s="175"/>
      <c r="X624" s="175"/>
      <c r="Y624" s="175"/>
      <c r="Z624" s="175"/>
    </row>
    <row r="625" ht="15.75" customHeight="1">
      <c r="A625" s="174"/>
      <c r="B625" s="276"/>
      <c r="C625" s="172"/>
      <c r="D625" s="173"/>
      <c r="E625" s="174"/>
      <c r="F625" s="174"/>
      <c r="G625" s="175"/>
      <c r="H625" s="175"/>
      <c r="I625" s="175"/>
      <c r="J625" s="175"/>
      <c r="K625" s="175"/>
      <c r="L625" s="175"/>
      <c r="M625" s="175"/>
      <c r="N625" s="175"/>
      <c r="O625" s="175"/>
      <c r="P625" s="175"/>
      <c r="Q625" s="175"/>
      <c r="R625" s="175"/>
      <c r="S625" s="175"/>
      <c r="T625" s="175"/>
      <c r="U625" s="175"/>
      <c r="V625" s="175"/>
      <c r="W625" s="175"/>
      <c r="X625" s="175"/>
      <c r="Y625" s="175"/>
      <c r="Z625" s="175"/>
    </row>
    <row r="626" ht="15.75" customHeight="1">
      <c r="A626" s="174"/>
      <c r="B626" s="276"/>
      <c r="C626" s="172"/>
      <c r="D626" s="173"/>
      <c r="E626" s="174"/>
      <c r="F626" s="174"/>
      <c r="G626" s="175"/>
      <c r="H626" s="175"/>
      <c r="I626" s="175"/>
      <c r="J626" s="175"/>
      <c r="K626" s="175"/>
      <c r="L626" s="175"/>
      <c r="M626" s="175"/>
      <c r="N626" s="175"/>
      <c r="O626" s="175"/>
      <c r="P626" s="175"/>
      <c r="Q626" s="175"/>
      <c r="R626" s="175"/>
      <c r="S626" s="175"/>
      <c r="T626" s="175"/>
      <c r="U626" s="175"/>
      <c r="V626" s="175"/>
      <c r="W626" s="175"/>
      <c r="X626" s="175"/>
      <c r="Y626" s="175"/>
      <c r="Z626" s="175"/>
    </row>
    <row r="627" ht="15.75" customHeight="1">
      <c r="A627" s="174"/>
      <c r="B627" s="276"/>
      <c r="C627" s="172"/>
      <c r="D627" s="173"/>
      <c r="E627" s="174"/>
      <c r="F627" s="174"/>
      <c r="G627" s="175"/>
      <c r="H627" s="175"/>
      <c r="I627" s="175"/>
      <c r="J627" s="175"/>
      <c r="K627" s="175"/>
      <c r="L627" s="175"/>
      <c r="M627" s="175"/>
      <c r="N627" s="175"/>
      <c r="O627" s="175"/>
      <c r="P627" s="175"/>
      <c r="Q627" s="175"/>
      <c r="R627" s="175"/>
      <c r="S627" s="175"/>
      <c r="T627" s="175"/>
      <c r="U627" s="175"/>
      <c r="V627" s="175"/>
      <c r="W627" s="175"/>
      <c r="X627" s="175"/>
      <c r="Y627" s="175"/>
      <c r="Z627" s="175"/>
    </row>
    <row r="628" ht="15.75" customHeight="1">
      <c r="A628" s="174"/>
      <c r="B628" s="276"/>
      <c r="C628" s="172"/>
      <c r="D628" s="173"/>
      <c r="E628" s="174"/>
      <c r="F628" s="174"/>
      <c r="G628" s="175"/>
      <c r="H628" s="175"/>
      <c r="I628" s="175"/>
      <c r="J628" s="175"/>
      <c r="K628" s="175"/>
      <c r="L628" s="175"/>
      <c r="M628" s="175"/>
      <c r="N628" s="175"/>
      <c r="O628" s="175"/>
      <c r="P628" s="175"/>
      <c r="Q628" s="175"/>
      <c r="R628" s="175"/>
      <c r="S628" s="175"/>
      <c r="T628" s="175"/>
      <c r="U628" s="175"/>
      <c r="V628" s="175"/>
      <c r="W628" s="175"/>
      <c r="X628" s="175"/>
      <c r="Y628" s="175"/>
      <c r="Z628" s="175"/>
    </row>
    <row r="629" ht="15.75" customHeight="1">
      <c r="A629" s="174"/>
      <c r="B629" s="276"/>
      <c r="C629" s="172"/>
      <c r="D629" s="173"/>
      <c r="E629" s="174"/>
      <c r="F629" s="174"/>
      <c r="G629" s="175"/>
      <c r="H629" s="175"/>
      <c r="I629" s="175"/>
      <c r="J629" s="175"/>
      <c r="K629" s="175"/>
      <c r="L629" s="175"/>
      <c r="M629" s="175"/>
      <c r="N629" s="175"/>
      <c r="O629" s="175"/>
      <c r="P629" s="175"/>
      <c r="Q629" s="175"/>
      <c r="R629" s="175"/>
      <c r="S629" s="175"/>
      <c r="T629" s="175"/>
      <c r="U629" s="175"/>
      <c r="V629" s="175"/>
      <c r="W629" s="175"/>
      <c r="X629" s="175"/>
      <c r="Y629" s="175"/>
      <c r="Z629" s="175"/>
    </row>
    <row r="630" ht="15.75" customHeight="1">
      <c r="A630" s="174"/>
      <c r="B630" s="276"/>
      <c r="C630" s="172"/>
      <c r="D630" s="173"/>
      <c r="E630" s="174"/>
      <c r="F630" s="174"/>
      <c r="G630" s="175"/>
      <c r="H630" s="175"/>
      <c r="I630" s="175"/>
      <c r="J630" s="175"/>
      <c r="K630" s="175"/>
      <c r="L630" s="175"/>
      <c r="M630" s="175"/>
      <c r="N630" s="175"/>
      <c r="O630" s="175"/>
      <c r="P630" s="175"/>
      <c r="Q630" s="175"/>
      <c r="R630" s="175"/>
      <c r="S630" s="175"/>
      <c r="T630" s="175"/>
      <c r="U630" s="175"/>
      <c r="V630" s="175"/>
      <c r="W630" s="175"/>
      <c r="X630" s="175"/>
      <c r="Y630" s="175"/>
      <c r="Z630" s="175"/>
    </row>
    <row r="631" ht="15.75" customHeight="1">
      <c r="A631" s="174"/>
      <c r="B631" s="276"/>
      <c r="C631" s="172"/>
      <c r="D631" s="173"/>
      <c r="E631" s="174"/>
      <c r="F631" s="174"/>
      <c r="G631" s="175"/>
      <c r="H631" s="175"/>
      <c r="I631" s="175"/>
      <c r="J631" s="175"/>
      <c r="K631" s="175"/>
      <c r="L631" s="175"/>
      <c r="M631" s="175"/>
      <c r="N631" s="175"/>
      <c r="O631" s="175"/>
      <c r="P631" s="175"/>
      <c r="Q631" s="175"/>
      <c r="R631" s="175"/>
      <c r="S631" s="175"/>
      <c r="T631" s="175"/>
      <c r="U631" s="175"/>
      <c r="V631" s="175"/>
      <c r="W631" s="175"/>
      <c r="X631" s="175"/>
      <c r="Y631" s="175"/>
      <c r="Z631" s="175"/>
    </row>
    <row r="632" ht="15.75" customHeight="1">
      <c r="A632" s="174"/>
      <c r="B632" s="276"/>
      <c r="C632" s="172"/>
      <c r="D632" s="173"/>
      <c r="E632" s="174"/>
      <c r="F632" s="174"/>
      <c r="G632" s="175"/>
      <c r="H632" s="175"/>
      <c r="I632" s="175"/>
      <c r="J632" s="175"/>
      <c r="K632" s="175"/>
      <c r="L632" s="175"/>
      <c r="M632" s="175"/>
      <c r="N632" s="175"/>
      <c r="O632" s="175"/>
      <c r="P632" s="175"/>
      <c r="Q632" s="175"/>
      <c r="R632" s="175"/>
      <c r="S632" s="175"/>
      <c r="T632" s="175"/>
      <c r="U632" s="175"/>
      <c r="V632" s="175"/>
      <c r="W632" s="175"/>
      <c r="X632" s="175"/>
      <c r="Y632" s="175"/>
      <c r="Z632" s="175"/>
    </row>
    <row r="633" ht="15.75" customHeight="1">
      <c r="A633" s="174"/>
      <c r="B633" s="276"/>
      <c r="C633" s="172"/>
      <c r="D633" s="173"/>
      <c r="E633" s="174"/>
      <c r="F633" s="174"/>
      <c r="G633" s="175"/>
      <c r="H633" s="175"/>
      <c r="I633" s="175"/>
      <c r="J633" s="175"/>
      <c r="K633" s="175"/>
      <c r="L633" s="175"/>
      <c r="M633" s="175"/>
      <c r="N633" s="175"/>
      <c r="O633" s="175"/>
      <c r="P633" s="175"/>
      <c r="Q633" s="175"/>
      <c r="R633" s="175"/>
      <c r="S633" s="175"/>
      <c r="T633" s="175"/>
      <c r="U633" s="175"/>
      <c r="V633" s="175"/>
      <c r="W633" s="175"/>
      <c r="X633" s="175"/>
      <c r="Y633" s="175"/>
      <c r="Z633" s="175"/>
    </row>
    <row r="634" ht="15.75" customHeight="1">
      <c r="A634" s="174"/>
      <c r="B634" s="276"/>
      <c r="C634" s="172"/>
      <c r="D634" s="173"/>
      <c r="E634" s="174"/>
      <c r="F634" s="174"/>
      <c r="G634" s="175"/>
      <c r="H634" s="175"/>
      <c r="I634" s="175"/>
      <c r="J634" s="175"/>
      <c r="K634" s="175"/>
      <c r="L634" s="175"/>
      <c r="M634" s="175"/>
      <c r="N634" s="175"/>
      <c r="O634" s="175"/>
      <c r="P634" s="175"/>
      <c r="Q634" s="175"/>
      <c r="R634" s="175"/>
      <c r="S634" s="175"/>
      <c r="T634" s="175"/>
      <c r="U634" s="175"/>
      <c r="V634" s="175"/>
      <c r="W634" s="175"/>
      <c r="X634" s="175"/>
      <c r="Y634" s="175"/>
      <c r="Z634" s="175"/>
    </row>
    <row r="635" ht="15.75" customHeight="1">
      <c r="A635" s="174"/>
      <c r="B635" s="276"/>
      <c r="C635" s="172"/>
      <c r="D635" s="173"/>
      <c r="E635" s="174"/>
      <c r="F635" s="174"/>
      <c r="G635" s="175"/>
      <c r="H635" s="175"/>
      <c r="I635" s="175"/>
      <c r="J635" s="175"/>
      <c r="K635" s="175"/>
      <c r="L635" s="175"/>
      <c r="M635" s="175"/>
      <c r="N635" s="175"/>
      <c r="O635" s="175"/>
      <c r="P635" s="175"/>
      <c r="Q635" s="175"/>
      <c r="R635" s="175"/>
      <c r="S635" s="175"/>
      <c r="T635" s="175"/>
      <c r="U635" s="175"/>
      <c r="V635" s="175"/>
      <c r="W635" s="175"/>
      <c r="X635" s="175"/>
      <c r="Y635" s="175"/>
      <c r="Z635" s="175"/>
    </row>
    <row r="636" ht="15.75" customHeight="1">
      <c r="A636" s="174"/>
      <c r="B636" s="276"/>
      <c r="C636" s="172"/>
      <c r="D636" s="173"/>
      <c r="E636" s="174"/>
      <c r="F636" s="174"/>
      <c r="G636" s="175"/>
      <c r="H636" s="175"/>
      <c r="I636" s="175"/>
      <c r="J636" s="175"/>
      <c r="K636" s="175"/>
      <c r="L636" s="175"/>
      <c r="M636" s="175"/>
      <c r="N636" s="175"/>
      <c r="O636" s="175"/>
      <c r="P636" s="175"/>
      <c r="Q636" s="175"/>
      <c r="R636" s="175"/>
      <c r="S636" s="175"/>
      <c r="T636" s="175"/>
      <c r="U636" s="175"/>
      <c r="V636" s="175"/>
      <c r="W636" s="175"/>
      <c r="X636" s="175"/>
      <c r="Y636" s="175"/>
      <c r="Z636" s="175"/>
    </row>
    <row r="637" ht="15.75" customHeight="1">
      <c r="A637" s="174"/>
      <c r="B637" s="276"/>
      <c r="C637" s="172"/>
      <c r="D637" s="173"/>
      <c r="E637" s="174"/>
      <c r="F637" s="174"/>
      <c r="G637" s="175"/>
      <c r="H637" s="175"/>
      <c r="I637" s="175"/>
      <c r="J637" s="175"/>
      <c r="K637" s="175"/>
      <c r="L637" s="175"/>
      <c r="M637" s="175"/>
      <c r="N637" s="175"/>
      <c r="O637" s="175"/>
      <c r="P637" s="175"/>
      <c r="Q637" s="175"/>
      <c r="R637" s="175"/>
      <c r="S637" s="175"/>
      <c r="T637" s="175"/>
      <c r="U637" s="175"/>
      <c r="V637" s="175"/>
      <c r="W637" s="175"/>
      <c r="X637" s="175"/>
      <c r="Y637" s="175"/>
      <c r="Z637" s="175"/>
    </row>
    <row r="638" ht="15.75" customHeight="1">
      <c r="A638" s="174"/>
      <c r="B638" s="276"/>
      <c r="C638" s="172"/>
      <c r="D638" s="173"/>
      <c r="E638" s="174"/>
      <c r="F638" s="174"/>
      <c r="G638" s="175"/>
      <c r="H638" s="175"/>
      <c r="I638" s="175"/>
      <c r="J638" s="175"/>
      <c r="K638" s="175"/>
      <c r="L638" s="175"/>
      <c r="M638" s="175"/>
      <c r="N638" s="175"/>
      <c r="O638" s="175"/>
      <c r="P638" s="175"/>
      <c r="Q638" s="175"/>
      <c r="R638" s="175"/>
      <c r="S638" s="175"/>
      <c r="T638" s="175"/>
      <c r="U638" s="175"/>
      <c r="V638" s="175"/>
      <c r="W638" s="175"/>
      <c r="X638" s="175"/>
      <c r="Y638" s="175"/>
      <c r="Z638" s="175"/>
    </row>
    <row r="639" ht="15.75" customHeight="1">
      <c r="A639" s="174"/>
      <c r="B639" s="276"/>
      <c r="C639" s="172"/>
      <c r="D639" s="173"/>
      <c r="E639" s="174"/>
      <c r="F639" s="174"/>
      <c r="G639" s="175"/>
      <c r="H639" s="175"/>
      <c r="I639" s="175"/>
      <c r="J639" s="175"/>
      <c r="K639" s="175"/>
      <c r="L639" s="175"/>
      <c r="M639" s="175"/>
      <c r="N639" s="175"/>
      <c r="O639" s="175"/>
      <c r="P639" s="175"/>
      <c r="Q639" s="175"/>
      <c r="R639" s="175"/>
      <c r="S639" s="175"/>
      <c r="T639" s="175"/>
      <c r="U639" s="175"/>
      <c r="V639" s="175"/>
      <c r="W639" s="175"/>
      <c r="X639" s="175"/>
      <c r="Y639" s="175"/>
      <c r="Z639" s="175"/>
    </row>
    <row r="640" ht="15.75" customHeight="1">
      <c r="A640" s="174"/>
      <c r="B640" s="276"/>
      <c r="C640" s="172"/>
      <c r="D640" s="173"/>
      <c r="E640" s="174"/>
      <c r="F640" s="174"/>
      <c r="G640" s="175"/>
      <c r="H640" s="175"/>
      <c r="I640" s="175"/>
      <c r="J640" s="175"/>
      <c r="K640" s="175"/>
      <c r="L640" s="175"/>
      <c r="M640" s="175"/>
      <c r="N640" s="175"/>
      <c r="O640" s="175"/>
      <c r="P640" s="175"/>
      <c r="Q640" s="175"/>
      <c r="R640" s="175"/>
      <c r="S640" s="175"/>
      <c r="T640" s="175"/>
      <c r="U640" s="175"/>
      <c r="V640" s="175"/>
      <c r="W640" s="175"/>
      <c r="X640" s="175"/>
      <c r="Y640" s="175"/>
      <c r="Z640" s="175"/>
    </row>
    <row r="641" ht="15.75" customHeight="1">
      <c r="A641" s="174"/>
      <c r="B641" s="276"/>
      <c r="C641" s="172"/>
      <c r="D641" s="173"/>
      <c r="E641" s="174"/>
      <c r="F641" s="174"/>
      <c r="G641" s="175"/>
      <c r="H641" s="175"/>
      <c r="I641" s="175"/>
      <c r="J641" s="175"/>
      <c r="K641" s="175"/>
      <c r="L641" s="175"/>
      <c r="M641" s="175"/>
      <c r="N641" s="175"/>
      <c r="O641" s="175"/>
      <c r="P641" s="175"/>
      <c r="Q641" s="175"/>
      <c r="R641" s="175"/>
      <c r="S641" s="175"/>
      <c r="T641" s="175"/>
      <c r="U641" s="175"/>
      <c r="V641" s="175"/>
      <c r="W641" s="175"/>
      <c r="X641" s="175"/>
      <c r="Y641" s="175"/>
      <c r="Z641" s="175"/>
    </row>
    <row r="642" ht="15.75" customHeight="1">
      <c r="A642" s="174"/>
      <c r="B642" s="276"/>
      <c r="C642" s="172"/>
      <c r="D642" s="173"/>
      <c r="E642" s="174"/>
      <c r="F642" s="174"/>
      <c r="G642" s="175"/>
      <c r="H642" s="175"/>
      <c r="I642" s="175"/>
      <c r="J642" s="175"/>
      <c r="K642" s="175"/>
      <c r="L642" s="175"/>
      <c r="M642" s="175"/>
      <c r="N642" s="175"/>
      <c r="O642" s="175"/>
      <c r="P642" s="175"/>
      <c r="Q642" s="175"/>
      <c r="R642" s="175"/>
      <c r="S642" s="175"/>
      <c r="T642" s="175"/>
      <c r="U642" s="175"/>
      <c r="V642" s="175"/>
      <c r="W642" s="175"/>
      <c r="X642" s="175"/>
      <c r="Y642" s="175"/>
      <c r="Z642" s="175"/>
    </row>
    <row r="643" ht="15.75" customHeight="1">
      <c r="A643" s="174"/>
      <c r="B643" s="276"/>
      <c r="C643" s="172"/>
      <c r="D643" s="173"/>
      <c r="E643" s="174"/>
      <c r="F643" s="174"/>
      <c r="G643" s="175"/>
      <c r="H643" s="175"/>
      <c r="I643" s="175"/>
      <c r="J643" s="175"/>
      <c r="K643" s="175"/>
      <c r="L643" s="175"/>
      <c r="M643" s="175"/>
      <c r="N643" s="175"/>
      <c r="O643" s="175"/>
      <c r="P643" s="175"/>
      <c r="Q643" s="175"/>
      <c r="R643" s="175"/>
      <c r="S643" s="175"/>
      <c r="T643" s="175"/>
      <c r="U643" s="175"/>
      <c r="V643" s="175"/>
      <c r="W643" s="175"/>
      <c r="X643" s="175"/>
      <c r="Y643" s="175"/>
      <c r="Z643" s="175"/>
    </row>
    <row r="644" ht="15.75" customHeight="1">
      <c r="A644" s="174"/>
      <c r="B644" s="276"/>
      <c r="C644" s="172"/>
      <c r="D644" s="173"/>
      <c r="E644" s="174"/>
      <c r="F644" s="174"/>
      <c r="G644" s="175"/>
      <c r="H644" s="175"/>
      <c r="I644" s="175"/>
      <c r="J644" s="175"/>
      <c r="K644" s="175"/>
      <c r="L644" s="175"/>
      <c r="M644" s="175"/>
      <c r="N644" s="175"/>
      <c r="O644" s="175"/>
      <c r="P644" s="175"/>
      <c r="Q644" s="175"/>
      <c r="R644" s="175"/>
      <c r="S644" s="175"/>
      <c r="T644" s="175"/>
      <c r="U644" s="175"/>
      <c r="V644" s="175"/>
      <c r="W644" s="175"/>
      <c r="X644" s="175"/>
      <c r="Y644" s="175"/>
      <c r="Z644" s="175"/>
    </row>
    <row r="645" ht="15.75" customHeight="1">
      <c r="A645" s="174"/>
      <c r="B645" s="276"/>
      <c r="C645" s="172"/>
      <c r="D645" s="173"/>
      <c r="E645" s="174"/>
      <c r="F645" s="174"/>
      <c r="G645" s="175"/>
      <c r="H645" s="175"/>
      <c r="I645" s="175"/>
      <c r="J645" s="175"/>
      <c r="K645" s="175"/>
      <c r="L645" s="175"/>
      <c r="M645" s="175"/>
      <c r="N645" s="175"/>
      <c r="O645" s="175"/>
      <c r="P645" s="175"/>
      <c r="Q645" s="175"/>
      <c r="R645" s="175"/>
      <c r="S645" s="175"/>
      <c r="T645" s="175"/>
      <c r="U645" s="175"/>
      <c r="V645" s="175"/>
      <c r="W645" s="175"/>
      <c r="X645" s="175"/>
      <c r="Y645" s="175"/>
      <c r="Z645" s="175"/>
    </row>
    <row r="646" ht="15.75" customHeight="1">
      <c r="A646" s="174"/>
      <c r="B646" s="276"/>
      <c r="C646" s="172"/>
      <c r="D646" s="173"/>
      <c r="E646" s="174"/>
      <c r="F646" s="174"/>
      <c r="G646" s="175"/>
      <c r="H646" s="175"/>
      <c r="I646" s="175"/>
      <c r="J646" s="175"/>
      <c r="K646" s="175"/>
      <c r="L646" s="175"/>
      <c r="M646" s="175"/>
      <c r="N646" s="175"/>
      <c r="O646" s="175"/>
      <c r="P646" s="175"/>
      <c r="Q646" s="175"/>
      <c r="R646" s="175"/>
      <c r="S646" s="175"/>
      <c r="T646" s="175"/>
      <c r="U646" s="175"/>
      <c r="V646" s="175"/>
      <c r="W646" s="175"/>
      <c r="X646" s="175"/>
      <c r="Y646" s="175"/>
      <c r="Z646" s="175"/>
    </row>
    <row r="647" ht="15.75" customHeight="1">
      <c r="A647" s="174"/>
      <c r="B647" s="276"/>
      <c r="C647" s="172"/>
      <c r="D647" s="173"/>
      <c r="E647" s="174"/>
      <c r="F647" s="174"/>
      <c r="G647" s="175"/>
      <c r="H647" s="175"/>
      <c r="I647" s="175"/>
      <c r="J647" s="175"/>
      <c r="K647" s="175"/>
      <c r="L647" s="175"/>
      <c r="M647" s="175"/>
      <c r="N647" s="175"/>
      <c r="O647" s="175"/>
      <c r="P647" s="175"/>
      <c r="Q647" s="175"/>
      <c r="R647" s="175"/>
      <c r="S647" s="175"/>
      <c r="T647" s="175"/>
      <c r="U647" s="175"/>
      <c r="V647" s="175"/>
      <c r="W647" s="175"/>
      <c r="X647" s="175"/>
      <c r="Y647" s="175"/>
      <c r="Z647" s="175"/>
    </row>
    <row r="648" ht="15.75" customHeight="1">
      <c r="A648" s="174"/>
      <c r="B648" s="276"/>
      <c r="C648" s="172"/>
      <c r="D648" s="173"/>
      <c r="E648" s="174"/>
      <c r="F648" s="174"/>
      <c r="G648" s="175"/>
      <c r="H648" s="175"/>
      <c r="I648" s="175"/>
      <c r="J648" s="175"/>
      <c r="K648" s="175"/>
      <c r="L648" s="175"/>
      <c r="M648" s="175"/>
      <c r="N648" s="175"/>
      <c r="O648" s="175"/>
      <c r="P648" s="175"/>
      <c r="Q648" s="175"/>
      <c r="R648" s="175"/>
      <c r="S648" s="175"/>
      <c r="T648" s="175"/>
      <c r="U648" s="175"/>
      <c r="V648" s="175"/>
      <c r="W648" s="175"/>
      <c r="X648" s="175"/>
      <c r="Y648" s="175"/>
      <c r="Z648" s="175"/>
    </row>
    <row r="649" ht="15.75" customHeight="1">
      <c r="A649" s="174"/>
      <c r="B649" s="276"/>
      <c r="C649" s="172"/>
      <c r="D649" s="173"/>
      <c r="E649" s="174"/>
      <c r="F649" s="174"/>
      <c r="G649" s="175"/>
      <c r="H649" s="175"/>
      <c r="I649" s="175"/>
      <c r="J649" s="175"/>
      <c r="K649" s="175"/>
      <c r="L649" s="175"/>
      <c r="M649" s="175"/>
      <c r="N649" s="175"/>
      <c r="O649" s="175"/>
      <c r="P649" s="175"/>
      <c r="Q649" s="175"/>
      <c r="R649" s="175"/>
      <c r="S649" s="175"/>
      <c r="T649" s="175"/>
      <c r="U649" s="175"/>
      <c r="V649" s="175"/>
      <c r="W649" s="175"/>
      <c r="X649" s="175"/>
      <c r="Y649" s="175"/>
      <c r="Z649" s="175"/>
    </row>
    <row r="650" ht="15.75" customHeight="1">
      <c r="A650" s="174"/>
      <c r="B650" s="276"/>
      <c r="C650" s="172"/>
      <c r="D650" s="173"/>
      <c r="E650" s="174"/>
      <c r="F650" s="174"/>
      <c r="G650" s="175"/>
      <c r="H650" s="175"/>
      <c r="I650" s="175"/>
      <c r="J650" s="175"/>
      <c r="K650" s="175"/>
      <c r="L650" s="175"/>
      <c r="M650" s="175"/>
      <c r="N650" s="175"/>
      <c r="O650" s="175"/>
      <c r="P650" s="175"/>
      <c r="Q650" s="175"/>
      <c r="R650" s="175"/>
      <c r="S650" s="175"/>
      <c r="T650" s="175"/>
      <c r="U650" s="175"/>
      <c r="V650" s="175"/>
      <c r="W650" s="175"/>
      <c r="X650" s="175"/>
      <c r="Y650" s="175"/>
      <c r="Z650" s="175"/>
    </row>
    <row r="651" ht="15.75" customHeight="1">
      <c r="A651" s="174"/>
      <c r="B651" s="276"/>
      <c r="C651" s="172"/>
      <c r="D651" s="173"/>
      <c r="E651" s="174"/>
      <c r="F651" s="174"/>
      <c r="G651" s="175"/>
      <c r="H651" s="175"/>
      <c r="I651" s="175"/>
      <c r="J651" s="175"/>
      <c r="K651" s="175"/>
      <c r="L651" s="175"/>
      <c r="M651" s="175"/>
      <c r="N651" s="175"/>
      <c r="O651" s="175"/>
      <c r="P651" s="175"/>
      <c r="Q651" s="175"/>
      <c r="R651" s="175"/>
      <c r="S651" s="175"/>
      <c r="T651" s="175"/>
      <c r="U651" s="175"/>
      <c r="V651" s="175"/>
      <c r="W651" s="175"/>
      <c r="X651" s="175"/>
      <c r="Y651" s="175"/>
      <c r="Z651" s="175"/>
    </row>
    <row r="652" ht="15.75" customHeight="1">
      <c r="A652" s="174"/>
      <c r="B652" s="276"/>
      <c r="C652" s="172"/>
      <c r="D652" s="173"/>
      <c r="E652" s="174"/>
      <c r="F652" s="174"/>
      <c r="G652" s="175"/>
      <c r="H652" s="175"/>
      <c r="I652" s="175"/>
      <c r="J652" s="175"/>
      <c r="K652" s="175"/>
      <c r="L652" s="175"/>
      <c r="M652" s="175"/>
      <c r="N652" s="175"/>
      <c r="O652" s="175"/>
      <c r="P652" s="175"/>
      <c r="Q652" s="175"/>
      <c r="R652" s="175"/>
      <c r="S652" s="175"/>
      <c r="T652" s="175"/>
      <c r="U652" s="175"/>
      <c r="V652" s="175"/>
      <c r="W652" s="175"/>
      <c r="X652" s="175"/>
      <c r="Y652" s="175"/>
      <c r="Z652" s="175"/>
    </row>
    <row r="653" ht="15.75" customHeight="1">
      <c r="A653" s="174"/>
      <c r="B653" s="276"/>
      <c r="C653" s="172"/>
      <c r="D653" s="173"/>
      <c r="E653" s="174"/>
      <c r="F653" s="174"/>
      <c r="G653" s="175"/>
      <c r="H653" s="175"/>
      <c r="I653" s="175"/>
      <c r="J653" s="175"/>
      <c r="K653" s="175"/>
      <c r="L653" s="175"/>
      <c r="M653" s="175"/>
      <c r="N653" s="175"/>
      <c r="O653" s="175"/>
      <c r="P653" s="175"/>
      <c r="Q653" s="175"/>
      <c r="R653" s="175"/>
      <c r="S653" s="175"/>
      <c r="T653" s="175"/>
      <c r="U653" s="175"/>
      <c r="V653" s="175"/>
      <c r="W653" s="175"/>
      <c r="X653" s="175"/>
      <c r="Y653" s="175"/>
      <c r="Z653" s="175"/>
    </row>
    <row r="654" ht="15.75" customHeight="1">
      <c r="A654" s="174"/>
      <c r="B654" s="276"/>
      <c r="C654" s="172"/>
      <c r="D654" s="173"/>
      <c r="E654" s="174"/>
      <c r="F654" s="174"/>
      <c r="G654" s="175"/>
      <c r="H654" s="175"/>
      <c r="I654" s="175"/>
      <c r="J654" s="175"/>
      <c r="K654" s="175"/>
      <c r="L654" s="175"/>
      <c r="M654" s="175"/>
      <c r="N654" s="175"/>
      <c r="O654" s="175"/>
      <c r="P654" s="175"/>
      <c r="Q654" s="175"/>
      <c r="R654" s="175"/>
      <c r="S654" s="175"/>
      <c r="T654" s="175"/>
      <c r="U654" s="175"/>
      <c r="V654" s="175"/>
      <c r="W654" s="175"/>
      <c r="X654" s="175"/>
      <c r="Y654" s="175"/>
      <c r="Z654" s="175"/>
    </row>
    <row r="655" ht="15.75" customHeight="1">
      <c r="A655" s="174"/>
      <c r="B655" s="276"/>
      <c r="C655" s="172"/>
      <c r="D655" s="173"/>
      <c r="E655" s="174"/>
      <c r="F655" s="174"/>
      <c r="G655" s="175"/>
      <c r="H655" s="175"/>
      <c r="I655" s="175"/>
      <c r="J655" s="175"/>
      <c r="K655" s="175"/>
      <c r="L655" s="175"/>
      <c r="M655" s="175"/>
      <c r="N655" s="175"/>
      <c r="O655" s="175"/>
      <c r="P655" s="175"/>
      <c r="Q655" s="175"/>
      <c r="R655" s="175"/>
      <c r="S655" s="175"/>
      <c r="T655" s="175"/>
      <c r="U655" s="175"/>
      <c r="V655" s="175"/>
      <c r="W655" s="175"/>
      <c r="X655" s="175"/>
      <c r="Y655" s="175"/>
      <c r="Z655" s="175"/>
    </row>
    <row r="656" ht="15.75" customHeight="1">
      <c r="A656" s="174"/>
      <c r="B656" s="276"/>
      <c r="C656" s="172"/>
      <c r="D656" s="173"/>
      <c r="E656" s="174"/>
      <c r="F656" s="174"/>
      <c r="G656" s="175"/>
      <c r="H656" s="175"/>
      <c r="I656" s="175"/>
      <c r="J656" s="175"/>
      <c r="K656" s="175"/>
      <c r="L656" s="175"/>
      <c r="M656" s="175"/>
      <c r="N656" s="175"/>
      <c r="O656" s="175"/>
      <c r="P656" s="175"/>
      <c r="Q656" s="175"/>
      <c r="R656" s="175"/>
      <c r="S656" s="175"/>
      <c r="T656" s="175"/>
      <c r="U656" s="175"/>
      <c r="V656" s="175"/>
      <c r="W656" s="175"/>
      <c r="X656" s="175"/>
      <c r="Y656" s="175"/>
      <c r="Z656" s="175"/>
    </row>
    <row r="657" ht="15.75" customHeight="1">
      <c r="A657" s="174"/>
      <c r="B657" s="276"/>
      <c r="C657" s="172"/>
      <c r="D657" s="173"/>
      <c r="E657" s="174"/>
      <c r="F657" s="174"/>
      <c r="G657" s="175"/>
      <c r="H657" s="175"/>
      <c r="I657" s="175"/>
      <c r="J657" s="175"/>
      <c r="K657" s="175"/>
      <c r="L657" s="175"/>
      <c r="M657" s="175"/>
      <c r="N657" s="175"/>
      <c r="O657" s="175"/>
      <c r="P657" s="175"/>
      <c r="Q657" s="175"/>
      <c r="R657" s="175"/>
      <c r="S657" s="175"/>
      <c r="T657" s="175"/>
      <c r="U657" s="175"/>
      <c r="V657" s="175"/>
      <c r="W657" s="175"/>
      <c r="X657" s="175"/>
      <c r="Y657" s="175"/>
      <c r="Z657" s="175"/>
    </row>
    <row r="658" ht="15.75" customHeight="1">
      <c r="A658" s="174"/>
      <c r="B658" s="276"/>
      <c r="C658" s="172"/>
      <c r="D658" s="173"/>
      <c r="E658" s="174"/>
      <c r="F658" s="174"/>
      <c r="G658" s="175"/>
      <c r="H658" s="175"/>
      <c r="I658" s="175"/>
      <c r="J658" s="175"/>
      <c r="K658" s="175"/>
      <c r="L658" s="175"/>
      <c r="M658" s="175"/>
      <c r="N658" s="175"/>
      <c r="O658" s="175"/>
      <c r="P658" s="175"/>
      <c r="Q658" s="175"/>
      <c r="R658" s="175"/>
      <c r="S658" s="175"/>
      <c r="T658" s="175"/>
      <c r="U658" s="175"/>
      <c r="V658" s="175"/>
      <c r="W658" s="175"/>
      <c r="X658" s="175"/>
      <c r="Y658" s="175"/>
      <c r="Z658" s="175"/>
    </row>
    <row r="659" ht="15.75" customHeight="1">
      <c r="A659" s="174"/>
      <c r="B659" s="276"/>
      <c r="C659" s="172"/>
      <c r="D659" s="173"/>
      <c r="E659" s="174"/>
      <c r="F659" s="174"/>
      <c r="G659" s="175"/>
      <c r="H659" s="175"/>
      <c r="I659" s="175"/>
      <c r="J659" s="175"/>
      <c r="K659" s="175"/>
      <c r="L659" s="175"/>
      <c r="M659" s="175"/>
      <c r="N659" s="175"/>
      <c r="O659" s="175"/>
      <c r="P659" s="175"/>
      <c r="Q659" s="175"/>
      <c r="R659" s="175"/>
      <c r="S659" s="175"/>
      <c r="T659" s="175"/>
      <c r="U659" s="175"/>
      <c r="V659" s="175"/>
      <c r="W659" s="175"/>
      <c r="X659" s="175"/>
      <c r="Y659" s="175"/>
      <c r="Z659" s="175"/>
    </row>
    <row r="660" ht="15.75" customHeight="1">
      <c r="A660" s="174"/>
      <c r="B660" s="276"/>
      <c r="C660" s="172"/>
      <c r="D660" s="173"/>
      <c r="E660" s="174"/>
      <c r="F660" s="174"/>
      <c r="G660" s="175"/>
      <c r="H660" s="175"/>
      <c r="I660" s="175"/>
      <c r="J660" s="175"/>
      <c r="K660" s="175"/>
      <c r="L660" s="175"/>
      <c r="M660" s="175"/>
      <c r="N660" s="175"/>
      <c r="O660" s="175"/>
      <c r="P660" s="175"/>
      <c r="Q660" s="175"/>
      <c r="R660" s="175"/>
      <c r="S660" s="175"/>
      <c r="T660" s="175"/>
      <c r="U660" s="175"/>
      <c r="V660" s="175"/>
      <c r="W660" s="175"/>
      <c r="X660" s="175"/>
      <c r="Y660" s="175"/>
      <c r="Z660" s="175"/>
    </row>
    <row r="661" ht="15.75" customHeight="1">
      <c r="A661" s="174"/>
      <c r="B661" s="276"/>
      <c r="C661" s="172"/>
      <c r="D661" s="173"/>
      <c r="E661" s="174"/>
      <c r="F661" s="174"/>
      <c r="G661" s="175"/>
      <c r="H661" s="175"/>
      <c r="I661" s="175"/>
      <c r="J661" s="175"/>
      <c r="K661" s="175"/>
      <c r="L661" s="175"/>
      <c r="M661" s="175"/>
      <c r="N661" s="175"/>
      <c r="O661" s="175"/>
      <c r="P661" s="175"/>
      <c r="Q661" s="175"/>
      <c r="R661" s="175"/>
      <c r="S661" s="175"/>
      <c r="T661" s="175"/>
      <c r="U661" s="175"/>
      <c r="V661" s="175"/>
      <c r="W661" s="175"/>
      <c r="X661" s="175"/>
      <c r="Y661" s="175"/>
      <c r="Z661" s="175"/>
    </row>
    <row r="662" ht="15.75" customHeight="1">
      <c r="A662" s="174"/>
      <c r="B662" s="276"/>
      <c r="C662" s="172"/>
      <c r="D662" s="173"/>
      <c r="E662" s="174"/>
      <c r="F662" s="174"/>
      <c r="G662" s="175"/>
      <c r="H662" s="175"/>
      <c r="I662" s="175"/>
      <c r="J662" s="175"/>
      <c r="K662" s="175"/>
      <c r="L662" s="175"/>
      <c r="M662" s="175"/>
      <c r="N662" s="175"/>
      <c r="O662" s="175"/>
      <c r="P662" s="175"/>
      <c r="Q662" s="175"/>
      <c r="R662" s="175"/>
      <c r="S662" s="175"/>
      <c r="T662" s="175"/>
      <c r="U662" s="175"/>
      <c r="V662" s="175"/>
      <c r="W662" s="175"/>
      <c r="X662" s="175"/>
      <c r="Y662" s="175"/>
      <c r="Z662" s="175"/>
    </row>
    <row r="663" ht="15.75" customHeight="1">
      <c r="A663" s="174"/>
      <c r="B663" s="276"/>
      <c r="C663" s="172"/>
      <c r="D663" s="173"/>
      <c r="E663" s="174"/>
      <c r="F663" s="174"/>
      <c r="G663" s="175"/>
      <c r="H663" s="175"/>
      <c r="I663" s="175"/>
      <c r="J663" s="175"/>
      <c r="K663" s="175"/>
      <c r="L663" s="175"/>
      <c r="M663" s="175"/>
      <c r="N663" s="175"/>
      <c r="O663" s="175"/>
      <c r="P663" s="175"/>
      <c r="Q663" s="175"/>
      <c r="R663" s="175"/>
      <c r="S663" s="175"/>
      <c r="T663" s="175"/>
      <c r="U663" s="175"/>
      <c r="V663" s="175"/>
      <c r="W663" s="175"/>
      <c r="X663" s="175"/>
      <c r="Y663" s="175"/>
      <c r="Z663" s="175"/>
    </row>
    <row r="664" ht="15.75" customHeight="1">
      <c r="A664" s="174"/>
      <c r="B664" s="276"/>
      <c r="C664" s="172"/>
      <c r="D664" s="173"/>
      <c r="E664" s="174"/>
      <c r="F664" s="174"/>
      <c r="G664" s="175"/>
      <c r="H664" s="175"/>
      <c r="I664" s="175"/>
      <c r="J664" s="175"/>
      <c r="K664" s="175"/>
      <c r="L664" s="175"/>
      <c r="M664" s="175"/>
      <c r="N664" s="175"/>
      <c r="O664" s="175"/>
      <c r="P664" s="175"/>
      <c r="Q664" s="175"/>
      <c r="R664" s="175"/>
      <c r="S664" s="175"/>
      <c r="T664" s="175"/>
      <c r="U664" s="175"/>
      <c r="V664" s="175"/>
      <c r="W664" s="175"/>
      <c r="X664" s="175"/>
      <c r="Y664" s="175"/>
      <c r="Z664" s="175"/>
    </row>
    <row r="665" ht="15.75" customHeight="1">
      <c r="A665" s="174"/>
      <c r="B665" s="276"/>
      <c r="C665" s="172"/>
      <c r="D665" s="173"/>
      <c r="E665" s="174"/>
      <c r="F665" s="174"/>
      <c r="G665" s="175"/>
      <c r="H665" s="175"/>
      <c r="I665" s="175"/>
      <c r="J665" s="175"/>
      <c r="K665" s="175"/>
      <c r="L665" s="175"/>
      <c r="M665" s="175"/>
      <c r="N665" s="175"/>
      <c r="O665" s="175"/>
      <c r="P665" s="175"/>
      <c r="Q665" s="175"/>
      <c r="R665" s="175"/>
      <c r="S665" s="175"/>
      <c r="T665" s="175"/>
      <c r="U665" s="175"/>
      <c r="V665" s="175"/>
      <c r="W665" s="175"/>
      <c r="X665" s="175"/>
      <c r="Y665" s="175"/>
      <c r="Z665" s="175"/>
    </row>
    <row r="666" ht="15.75" customHeight="1">
      <c r="A666" s="174"/>
      <c r="B666" s="276"/>
      <c r="C666" s="172"/>
      <c r="D666" s="173"/>
      <c r="E666" s="174"/>
      <c r="F666" s="174"/>
      <c r="G666" s="175"/>
      <c r="H666" s="175"/>
      <c r="I666" s="175"/>
      <c r="J666" s="175"/>
      <c r="K666" s="175"/>
      <c r="L666" s="175"/>
      <c r="M666" s="175"/>
      <c r="N666" s="175"/>
      <c r="O666" s="175"/>
      <c r="P666" s="175"/>
      <c r="Q666" s="175"/>
      <c r="R666" s="175"/>
      <c r="S666" s="175"/>
      <c r="T666" s="175"/>
      <c r="U666" s="175"/>
      <c r="V666" s="175"/>
      <c r="W666" s="175"/>
      <c r="X666" s="175"/>
      <c r="Y666" s="175"/>
      <c r="Z666" s="175"/>
    </row>
    <row r="667" ht="15.75" customHeight="1">
      <c r="A667" s="174"/>
      <c r="B667" s="276"/>
      <c r="C667" s="172"/>
      <c r="D667" s="173"/>
      <c r="E667" s="174"/>
      <c r="F667" s="174"/>
      <c r="G667" s="175"/>
      <c r="H667" s="175"/>
      <c r="I667" s="175"/>
      <c r="J667" s="175"/>
      <c r="K667" s="175"/>
      <c r="L667" s="175"/>
      <c r="M667" s="175"/>
      <c r="N667" s="175"/>
      <c r="O667" s="175"/>
      <c r="P667" s="175"/>
      <c r="Q667" s="175"/>
      <c r="R667" s="175"/>
      <c r="S667" s="175"/>
      <c r="T667" s="175"/>
      <c r="U667" s="175"/>
      <c r="V667" s="175"/>
      <c r="W667" s="175"/>
      <c r="X667" s="175"/>
      <c r="Y667" s="175"/>
      <c r="Z667" s="175"/>
    </row>
    <row r="668" ht="15.75" customHeight="1">
      <c r="A668" s="174"/>
      <c r="B668" s="276"/>
      <c r="C668" s="172"/>
      <c r="D668" s="173"/>
      <c r="E668" s="174"/>
      <c r="F668" s="174"/>
      <c r="G668" s="175"/>
      <c r="H668" s="175"/>
      <c r="I668" s="175"/>
      <c r="J668" s="175"/>
      <c r="K668" s="175"/>
      <c r="L668" s="175"/>
      <c r="M668" s="175"/>
      <c r="N668" s="175"/>
      <c r="O668" s="175"/>
      <c r="P668" s="175"/>
      <c r="Q668" s="175"/>
      <c r="R668" s="175"/>
      <c r="S668" s="175"/>
      <c r="T668" s="175"/>
      <c r="U668" s="175"/>
      <c r="V668" s="175"/>
      <c r="W668" s="175"/>
      <c r="X668" s="175"/>
      <c r="Y668" s="175"/>
      <c r="Z668" s="175"/>
    </row>
    <row r="669" ht="15.75" customHeight="1">
      <c r="A669" s="174"/>
      <c r="B669" s="276"/>
      <c r="C669" s="172"/>
      <c r="D669" s="173"/>
      <c r="E669" s="174"/>
      <c r="F669" s="174"/>
      <c r="G669" s="175"/>
      <c r="H669" s="175"/>
      <c r="I669" s="175"/>
      <c r="J669" s="175"/>
      <c r="K669" s="175"/>
      <c r="L669" s="175"/>
      <c r="M669" s="175"/>
      <c r="N669" s="175"/>
      <c r="O669" s="175"/>
      <c r="P669" s="175"/>
      <c r="Q669" s="175"/>
      <c r="R669" s="175"/>
      <c r="S669" s="175"/>
      <c r="T669" s="175"/>
      <c r="U669" s="175"/>
      <c r="V669" s="175"/>
      <c r="W669" s="175"/>
      <c r="X669" s="175"/>
      <c r="Y669" s="175"/>
      <c r="Z669" s="175"/>
    </row>
    <row r="670" ht="15.75" customHeight="1">
      <c r="A670" s="174"/>
      <c r="B670" s="276"/>
      <c r="C670" s="172"/>
      <c r="D670" s="173"/>
      <c r="E670" s="174"/>
      <c r="F670" s="174"/>
      <c r="G670" s="175"/>
      <c r="H670" s="175"/>
      <c r="I670" s="175"/>
      <c r="J670" s="175"/>
      <c r="K670" s="175"/>
      <c r="L670" s="175"/>
      <c r="M670" s="175"/>
      <c r="N670" s="175"/>
      <c r="O670" s="175"/>
      <c r="P670" s="175"/>
      <c r="Q670" s="175"/>
      <c r="R670" s="175"/>
      <c r="S670" s="175"/>
      <c r="T670" s="175"/>
      <c r="U670" s="175"/>
      <c r="V670" s="175"/>
      <c r="W670" s="175"/>
      <c r="X670" s="175"/>
      <c r="Y670" s="175"/>
      <c r="Z670" s="175"/>
    </row>
    <row r="671" ht="15.75" customHeight="1">
      <c r="A671" s="174"/>
      <c r="B671" s="276"/>
      <c r="C671" s="172"/>
      <c r="D671" s="173"/>
      <c r="E671" s="174"/>
      <c r="F671" s="174"/>
      <c r="G671" s="175"/>
      <c r="H671" s="175"/>
      <c r="I671" s="175"/>
      <c r="J671" s="175"/>
      <c r="K671" s="175"/>
      <c r="L671" s="175"/>
      <c r="M671" s="175"/>
      <c r="N671" s="175"/>
      <c r="O671" s="175"/>
      <c r="P671" s="175"/>
      <c r="Q671" s="175"/>
      <c r="R671" s="175"/>
      <c r="S671" s="175"/>
      <c r="T671" s="175"/>
      <c r="U671" s="175"/>
      <c r="V671" s="175"/>
      <c r="W671" s="175"/>
      <c r="X671" s="175"/>
      <c r="Y671" s="175"/>
      <c r="Z671" s="175"/>
    </row>
    <row r="672" ht="15.75" customHeight="1">
      <c r="A672" s="174"/>
      <c r="B672" s="276"/>
      <c r="C672" s="172"/>
      <c r="D672" s="173"/>
      <c r="E672" s="174"/>
      <c r="F672" s="174"/>
      <c r="G672" s="175"/>
      <c r="H672" s="175"/>
      <c r="I672" s="175"/>
      <c r="J672" s="175"/>
      <c r="K672" s="175"/>
      <c r="L672" s="175"/>
      <c r="M672" s="175"/>
      <c r="N672" s="175"/>
      <c r="O672" s="175"/>
      <c r="P672" s="175"/>
      <c r="Q672" s="175"/>
      <c r="R672" s="175"/>
      <c r="S672" s="175"/>
      <c r="T672" s="175"/>
      <c r="U672" s="175"/>
      <c r="V672" s="175"/>
      <c r="W672" s="175"/>
      <c r="X672" s="175"/>
      <c r="Y672" s="175"/>
      <c r="Z672" s="175"/>
    </row>
    <row r="673" ht="15.75" customHeight="1">
      <c r="A673" s="174"/>
      <c r="B673" s="276"/>
      <c r="C673" s="172"/>
      <c r="D673" s="173"/>
      <c r="E673" s="174"/>
      <c r="F673" s="174"/>
      <c r="G673" s="175"/>
      <c r="H673" s="175"/>
      <c r="I673" s="175"/>
      <c r="J673" s="175"/>
      <c r="K673" s="175"/>
      <c r="L673" s="175"/>
      <c r="M673" s="175"/>
      <c r="N673" s="175"/>
      <c r="O673" s="175"/>
      <c r="P673" s="175"/>
      <c r="Q673" s="175"/>
      <c r="R673" s="175"/>
      <c r="S673" s="175"/>
      <c r="T673" s="175"/>
      <c r="U673" s="175"/>
      <c r="V673" s="175"/>
      <c r="W673" s="175"/>
      <c r="X673" s="175"/>
      <c r="Y673" s="175"/>
      <c r="Z673" s="175"/>
    </row>
    <row r="674" ht="15.75" customHeight="1">
      <c r="A674" s="174"/>
      <c r="B674" s="276"/>
      <c r="C674" s="172"/>
      <c r="D674" s="173"/>
      <c r="E674" s="174"/>
      <c r="F674" s="174"/>
      <c r="G674" s="175"/>
      <c r="H674" s="175"/>
      <c r="I674" s="175"/>
      <c r="J674" s="175"/>
      <c r="K674" s="175"/>
      <c r="L674" s="175"/>
      <c r="M674" s="175"/>
      <c r="N674" s="175"/>
      <c r="O674" s="175"/>
      <c r="P674" s="175"/>
      <c r="Q674" s="175"/>
      <c r="R674" s="175"/>
      <c r="S674" s="175"/>
      <c r="T674" s="175"/>
      <c r="U674" s="175"/>
      <c r="V674" s="175"/>
      <c r="W674" s="175"/>
      <c r="X674" s="175"/>
      <c r="Y674" s="175"/>
      <c r="Z674" s="175"/>
    </row>
    <row r="675" ht="15.75" customHeight="1">
      <c r="A675" s="174"/>
      <c r="B675" s="276"/>
      <c r="C675" s="172"/>
      <c r="D675" s="173"/>
      <c r="E675" s="174"/>
      <c r="F675" s="174"/>
      <c r="G675" s="175"/>
      <c r="H675" s="175"/>
      <c r="I675" s="175"/>
      <c r="J675" s="175"/>
      <c r="K675" s="175"/>
      <c r="L675" s="175"/>
      <c r="M675" s="175"/>
      <c r="N675" s="175"/>
      <c r="O675" s="175"/>
      <c r="P675" s="175"/>
      <c r="Q675" s="175"/>
      <c r="R675" s="175"/>
      <c r="S675" s="175"/>
      <c r="T675" s="175"/>
      <c r="U675" s="175"/>
      <c r="V675" s="175"/>
      <c r="W675" s="175"/>
      <c r="X675" s="175"/>
      <c r="Y675" s="175"/>
      <c r="Z675" s="175"/>
    </row>
    <row r="676" ht="15.75" customHeight="1">
      <c r="A676" s="174"/>
      <c r="B676" s="276"/>
      <c r="C676" s="172"/>
      <c r="D676" s="173"/>
      <c r="E676" s="174"/>
      <c r="F676" s="174"/>
      <c r="G676" s="175"/>
      <c r="H676" s="175"/>
      <c r="I676" s="175"/>
      <c r="J676" s="175"/>
      <c r="K676" s="175"/>
      <c r="L676" s="175"/>
      <c r="M676" s="175"/>
      <c r="N676" s="175"/>
      <c r="O676" s="175"/>
      <c r="P676" s="175"/>
      <c r="Q676" s="175"/>
      <c r="R676" s="175"/>
      <c r="S676" s="175"/>
      <c r="T676" s="175"/>
      <c r="U676" s="175"/>
      <c r="V676" s="175"/>
      <c r="W676" s="175"/>
      <c r="X676" s="175"/>
      <c r="Y676" s="175"/>
      <c r="Z676" s="175"/>
    </row>
    <row r="677" ht="15.75" customHeight="1">
      <c r="A677" s="174"/>
      <c r="B677" s="276"/>
      <c r="C677" s="172"/>
      <c r="D677" s="173"/>
      <c r="E677" s="174"/>
      <c r="F677" s="174"/>
      <c r="G677" s="175"/>
      <c r="H677" s="175"/>
      <c r="I677" s="175"/>
      <c r="J677" s="175"/>
      <c r="K677" s="175"/>
      <c r="L677" s="175"/>
      <c r="M677" s="175"/>
      <c r="N677" s="175"/>
      <c r="O677" s="175"/>
      <c r="P677" s="175"/>
      <c r="Q677" s="175"/>
      <c r="R677" s="175"/>
      <c r="S677" s="175"/>
      <c r="T677" s="175"/>
      <c r="U677" s="175"/>
      <c r="V677" s="175"/>
      <c r="W677" s="175"/>
      <c r="X677" s="175"/>
      <c r="Y677" s="175"/>
      <c r="Z677" s="175"/>
    </row>
    <row r="678" ht="15.75" customHeight="1">
      <c r="A678" s="174"/>
      <c r="B678" s="276"/>
      <c r="C678" s="172"/>
      <c r="D678" s="173"/>
      <c r="E678" s="174"/>
      <c r="F678" s="174"/>
      <c r="G678" s="175"/>
      <c r="H678" s="175"/>
      <c r="I678" s="175"/>
      <c r="J678" s="175"/>
      <c r="K678" s="175"/>
      <c r="L678" s="175"/>
      <c r="M678" s="175"/>
      <c r="N678" s="175"/>
      <c r="O678" s="175"/>
      <c r="P678" s="175"/>
      <c r="Q678" s="175"/>
      <c r="R678" s="175"/>
      <c r="S678" s="175"/>
      <c r="T678" s="175"/>
      <c r="U678" s="175"/>
      <c r="V678" s="175"/>
      <c r="W678" s="175"/>
      <c r="X678" s="175"/>
      <c r="Y678" s="175"/>
      <c r="Z678" s="175"/>
    </row>
    <row r="679" ht="15.75" customHeight="1">
      <c r="A679" s="174"/>
      <c r="B679" s="276"/>
      <c r="C679" s="172"/>
      <c r="D679" s="173"/>
      <c r="E679" s="174"/>
      <c r="F679" s="174"/>
      <c r="G679" s="175"/>
      <c r="H679" s="175"/>
      <c r="I679" s="175"/>
      <c r="J679" s="175"/>
      <c r="K679" s="175"/>
      <c r="L679" s="175"/>
      <c r="M679" s="175"/>
      <c r="N679" s="175"/>
      <c r="O679" s="175"/>
      <c r="P679" s="175"/>
      <c r="Q679" s="175"/>
      <c r="R679" s="175"/>
      <c r="S679" s="175"/>
      <c r="T679" s="175"/>
      <c r="U679" s="175"/>
      <c r="V679" s="175"/>
      <c r="W679" s="175"/>
      <c r="X679" s="175"/>
      <c r="Y679" s="175"/>
      <c r="Z679" s="175"/>
    </row>
    <row r="680" ht="15.75" customHeight="1">
      <c r="A680" s="174"/>
      <c r="B680" s="276"/>
      <c r="C680" s="172"/>
      <c r="D680" s="173"/>
      <c r="E680" s="174"/>
      <c r="F680" s="174"/>
      <c r="G680" s="175"/>
      <c r="H680" s="175"/>
      <c r="I680" s="175"/>
      <c r="J680" s="175"/>
      <c r="K680" s="175"/>
      <c r="L680" s="175"/>
      <c r="M680" s="175"/>
      <c r="N680" s="175"/>
      <c r="O680" s="175"/>
      <c r="P680" s="175"/>
      <c r="Q680" s="175"/>
      <c r="R680" s="175"/>
      <c r="S680" s="175"/>
      <c r="T680" s="175"/>
      <c r="U680" s="175"/>
      <c r="V680" s="175"/>
      <c r="W680" s="175"/>
      <c r="X680" s="175"/>
      <c r="Y680" s="175"/>
      <c r="Z680" s="175"/>
    </row>
    <row r="681" ht="15.75" customHeight="1">
      <c r="A681" s="174"/>
      <c r="B681" s="276"/>
      <c r="C681" s="172"/>
      <c r="D681" s="173"/>
      <c r="E681" s="174"/>
      <c r="F681" s="174"/>
      <c r="G681" s="175"/>
      <c r="H681" s="175"/>
      <c r="I681" s="175"/>
      <c r="J681" s="175"/>
      <c r="K681" s="175"/>
      <c r="L681" s="175"/>
      <c r="M681" s="175"/>
      <c r="N681" s="175"/>
      <c r="O681" s="175"/>
      <c r="P681" s="175"/>
      <c r="Q681" s="175"/>
      <c r="R681" s="175"/>
      <c r="S681" s="175"/>
      <c r="T681" s="175"/>
      <c r="U681" s="175"/>
      <c r="V681" s="175"/>
      <c r="W681" s="175"/>
      <c r="X681" s="175"/>
      <c r="Y681" s="175"/>
      <c r="Z681" s="175"/>
    </row>
    <row r="682" ht="15.75" customHeight="1">
      <c r="A682" s="174"/>
      <c r="B682" s="276"/>
      <c r="C682" s="172"/>
      <c r="D682" s="173"/>
      <c r="E682" s="174"/>
      <c r="F682" s="174"/>
      <c r="G682" s="175"/>
      <c r="H682" s="175"/>
      <c r="I682" s="175"/>
      <c r="J682" s="175"/>
      <c r="K682" s="175"/>
      <c r="L682" s="175"/>
      <c r="M682" s="175"/>
      <c r="N682" s="175"/>
      <c r="O682" s="175"/>
      <c r="P682" s="175"/>
      <c r="Q682" s="175"/>
      <c r="R682" s="175"/>
      <c r="S682" s="175"/>
      <c r="T682" s="175"/>
      <c r="U682" s="175"/>
      <c r="V682" s="175"/>
      <c r="W682" s="175"/>
      <c r="X682" s="175"/>
      <c r="Y682" s="175"/>
      <c r="Z682" s="175"/>
    </row>
    <row r="683" ht="15.75" customHeight="1">
      <c r="A683" s="174"/>
      <c r="B683" s="276"/>
      <c r="C683" s="172"/>
      <c r="D683" s="173"/>
      <c r="E683" s="174"/>
      <c r="F683" s="174"/>
      <c r="G683" s="175"/>
      <c r="H683" s="175"/>
      <c r="I683" s="175"/>
      <c r="J683" s="175"/>
      <c r="K683" s="175"/>
      <c r="L683" s="175"/>
      <c r="M683" s="175"/>
      <c r="N683" s="175"/>
      <c r="O683" s="175"/>
      <c r="P683" s="175"/>
      <c r="Q683" s="175"/>
      <c r="R683" s="175"/>
      <c r="S683" s="175"/>
      <c r="T683" s="175"/>
      <c r="U683" s="175"/>
      <c r="V683" s="175"/>
      <c r="W683" s="175"/>
      <c r="X683" s="175"/>
      <c r="Y683" s="175"/>
      <c r="Z683" s="175"/>
    </row>
    <row r="684" ht="15.75" customHeight="1">
      <c r="A684" s="174"/>
      <c r="B684" s="276"/>
      <c r="C684" s="172"/>
      <c r="D684" s="173"/>
      <c r="E684" s="174"/>
      <c r="F684" s="174"/>
      <c r="G684" s="175"/>
      <c r="H684" s="175"/>
      <c r="I684" s="175"/>
      <c r="J684" s="175"/>
      <c r="K684" s="175"/>
      <c r="L684" s="175"/>
      <c r="M684" s="175"/>
      <c r="N684" s="175"/>
      <c r="O684" s="175"/>
      <c r="P684" s="175"/>
      <c r="Q684" s="175"/>
      <c r="R684" s="175"/>
      <c r="S684" s="175"/>
      <c r="T684" s="175"/>
      <c r="U684" s="175"/>
      <c r="V684" s="175"/>
      <c r="W684" s="175"/>
      <c r="X684" s="175"/>
      <c r="Y684" s="175"/>
      <c r="Z684" s="175"/>
    </row>
    <row r="685" ht="15.75" customHeight="1">
      <c r="A685" s="174"/>
      <c r="B685" s="276"/>
      <c r="C685" s="172"/>
      <c r="D685" s="173"/>
      <c r="E685" s="174"/>
      <c r="F685" s="174"/>
      <c r="G685" s="175"/>
      <c r="H685" s="175"/>
      <c r="I685" s="175"/>
      <c r="J685" s="175"/>
      <c r="K685" s="175"/>
      <c r="L685" s="175"/>
      <c r="M685" s="175"/>
      <c r="N685" s="175"/>
      <c r="O685" s="175"/>
      <c r="P685" s="175"/>
      <c r="Q685" s="175"/>
      <c r="R685" s="175"/>
      <c r="S685" s="175"/>
      <c r="T685" s="175"/>
      <c r="U685" s="175"/>
      <c r="V685" s="175"/>
      <c r="W685" s="175"/>
      <c r="X685" s="175"/>
      <c r="Y685" s="175"/>
      <c r="Z685" s="175"/>
    </row>
    <row r="686" ht="15.75" customHeight="1">
      <c r="A686" s="174"/>
      <c r="B686" s="276"/>
      <c r="C686" s="172"/>
      <c r="D686" s="173"/>
      <c r="E686" s="174"/>
      <c r="F686" s="174"/>
      <c r="G686" s="175"/>
      <c r="H686" s="175"/>
      <c r="I686" s="175"/>
      <c r="J686" s="175"/>
      <c r="K686" s="175"/>
      <c r="L686" s="175"/>
      <c r="M686" s="175"/>
      <c r="N686" s="175"/>
      <c r="O686" s="175"/>
      <c r="P686" s="175"/>
      <c r="Q686" s="175"/>
      <c r="R686" s="175"/>
      <c r="S686" s="175"/>
      <c r="T686" s="175"/>
      <c r="U686" s="175"/>
      <c r="V686" s="175"/>
      <c r="W686" s="175"/>
      <c r="X686" s="175"/>
      <c r="Y686" s="175"/>
      <c r="Z686" s="175"/>
    </row>
    <row r="687" ht="15.75" customHeight="1">
      <c r="A687" s="174"/>
      <c r="B687" s="276"/>
      <c r="C687" s="172"/>
      <c r="D687" s="173"/>
      <c r="E687" s="174"/>
      <c r="F687" s="174"/>
      <c r="G687" s="175"/>
      <c r="H687" s="175"/>
      <c r="I687" s="175"/>
      <c r="J687" s="175"/>
      <c r="K687" s="175"/>
      <c r="L687" s="175"/>
      <c r="M687" s="175"/>
      <c r="N687" s="175"/>
      <c r="O687" s="175"/>
      <c r="P687" s="175"/>
      <c r="Q687" s="175"/>
      <c r="R687" s="175"/>
      <c r="S687" s="175"/>
      <c r="T687" s="175"/>
      <c r="U687" s="175"/>
      <c r="V687" s="175"/>
      <c r="W687" s="175"/>
      <c r="X687" s="175"/>
      <c r="Y687" s="175"/>
      <c r="Z687" s="175"/>
    </row>
    <row r="688" ht="15.75" customHeight="1">
      <c r="A688" s="174"/>
      <c r="B688" s="276"/>
      <c r="C688" s="172"/>
      <c r="D688" s="173"/>
      <c r="E688" s="174"/>
      <c r="F688" s="174"/>
      <c r="G688" s="175"/>
      <c r="H688" s="175"/>
      <c r="I688" s="175"/>
      <c r="J688" s="175"/>
      <c r="K688" s="175"/>
      <c r="L688" s="175"/>
      <c r="M688" s="175"/>
      <c r="N688" s="175"/>
      <c r="O688" s="175"/>
      <c r="P688" s="175"/>
      <c r="Q688" s="175"/>
      <c r="R688" s="175"/>
      <c r="S688" s="175"/>
      <c r="T688" s="175"/>
      <c r="U688" s="175"/>
      <c r="V688" s="175"/>
      <c r="W688" s="175"/>
      <c r="X688" s="175"/>
      <c r="Y688" s="175"/>
      <c r="Z688" s="175"/>
    </row>
    <row r="689" ht="15.75" customHeight="1">
      <c r="A689" s="174"/>
      <c r="B689" s="276"/>
      <c r="C689" s="172"/>
      <c r="D689" s="173"/>
      <c r="E689" s="174"/>
      <c r="F689" s="174"/>
      <c r="G689" s="175"/>
      <c r="H689" s="175"/>
      <c r="I689" s="175"/>
      <c r="J689" s="175"/>
      <c r="K689" s="175"/>
      <c r="L689" s="175"/>
      <c r="M689" s="175"/>
      <c r="N689" s="175"/>
      <c r="O689" s="175"/>
      <c r="P689" s="175"/>
      <c r="Q689" s="175"/>
      <c r="R689" s="175"/>
      <c r="S689" s="175"/>
      <c r="T689" s="175"/>
      <c r="U689" s="175"/>
      <c r="V689" s="175"/>
      <c r="W689" s="175"/>
      <c r="X689" s="175"/>
      <c r="Y689" s="175"/>
      <c r="Z689" s="175"/>
    </row>
    <row r="690" ht="15.75" customHeight="1">
      <c r="A690" s="174"/>
      <c r="B690" s="276"/>
      <c r="C690" s="172"/>
      <c r="D690" s="173"/>
      <c r="E690" s="174"/>
      <c r="F690" s="174"/>
      <c r="G690" s="175"/>
      <c r="H690" s="175"/>
      <c r="I690" s="175"/>
      <c r="J690" s="175"/>
      <c r="K690" s="175"/>
      <c r="L690" s="175"/>
      <c r="M690" s="175"/>
      <c r="N690" s="175"/>
      <c r="O690" s="175"/>
      <c r="P690" s="175"/>
      <c r="Q690" s="175"/>
      <c r="R690" s="175"/>
      <c r="S690" s="175"/>
      <c r="T690" s="175"/>
      <c r="U690" s="175"/>
      <c r="V690" s="175"/>
      <c r="W690" s="175"/>
      <c r="X690" s="175"/>
      <c r="Y690" s="175"/>
      <c r="Z690" s="175"/>
    </row>
    <row r="691" ht="15.75" customHeight="1">
      <c r="A691" s="174"/>
      <c r="B691" s="276"/>
      <c r="C691" s="172"/>
      <c r="D691" s="173"/>
      <c r="E691" s="174"/>
      <c r="F691" s="174"/>
      <c r="G691" s="175"/>
      <c r="H691" s="175"/>
      <c r="I691" s="175"/>
      <c r="J691" s="175"/>
      <c r="K691" s="175"/>
      <c r="L691" s="175"/>
      <c r="M691" s="175"/>
      <c r="N691" s="175"/>
      <c r="O691" s="175"/>
      <c r="P691" s="175"/>
      <c r="Q691" s="175"/>
      <c r="R691" s="175"/>
      <c r="S691" s="175"/>
      <c r="T691" s="175"/>
      <c r="U691" s="175"/>
      <c r="V691" s="175"/>
      <c r="W691" s="175"/>
      <c r="X691" s="175"/>
      <c r="Y691" s="175"/>
      <c r="Z691" s="175"/>
    </row>
    <row r="692" ht="15.75" customHeight="1">
      <c r="A692" s="174"/>
      <c r="B692" s="276"/>
      <c r="C692" s="172"/>
      <c r="D692" s="173"/>
      <c r="E692" s="174"/>
      <c r="F692" s="174"/>
      <c r="G692" s="175"/>
      <c r="H692" s="175"/>
      <c r="I692" s="175"/>
      <c r="J692" s="175"/>
      <c r="K692" s="175"/>
      <c r="L692" s="175"/>
      <c r="M692" s="175"/>
      <c r="N692" s="175"/>
      <c r="O692" s="175"/>
      <c r="P692" s="175"/>
      <c r="Q692" s="175"/>
      <c r="R692" s="175"/>
      <c r="S692" s="175"/>
      <c r="T692" s="175"/>
      <c r="U692" s="175"/>
      <c r="V692" s="175"/>
      <c r="W692" s="175"/>
      <c r="X692" s="175"/>
      <c r="Y692" s="175"/>
      <c r="Z692" s="175"/>
    </row>
    <row r="693" ht="15.75" customHeight="1">
      <c r="A693" s="174"/>
      <c r="B693" s="276"/>
      <c r="C693" s="172"/>
      <c r="D693" s="173"/>
      <c r="E693" s="174"/>
      <c r="F693" s="174"/>
      <c r="G693" s="175"/>
      <c r="H693" s="175"/>
      <c r="I693" s="175"/>
      <c r="J693" s="175"/>
      <c r="K693" s="175"/>
      <c r="L693" s="175"/>
      <c r="M693" s="175"/>
      <c r="N693" s="175"/>
      <c r="O693" s="175"/>
      <c r="P693" s="175"/>
      <c r="Q693" s="175"/>
      <c r="R693" s="175"/>
      <c r="S693" s="175"/>
      <c r="T693" s="175"/>
      <c r="U693" s="175"/>
      <c r="V693" s="175"/>
      <c r="W693" s="175"/>
      <c r="X693" s="175"/>
      <c r="Y693" s="175"/>
      <c r="Z693" s="175"/>
    </row>
    <row r="694" ht="15.75" customHeight="1">
      <c r="A694" s="174"/>
      <c r="B694" s="276"/>
      <c r="C694" s="172"/>
      <c r="D694" s="173"/>
      <c r="E694" s="174"/>
      <c r="F694" s="174"/>
      <c r="G694" s="175"/>
      <c r="H694" s="175"/>
      <c r="I694" s="175"/>
      <c r="J694" s="175"/>
      <c r="K694" s="175"/>
      <c r="L694" s="175"/>
      <c r="M694" s="175"/>
      <c r="N694" s="175"/>
      <c r="O694" s="175"/>
      <c r="P694" s="175"/>
      <c r="Q694" s="175"/>
      <c r="R694" s="175"/>
      <c r="S694" s="175"/>
      <c r="T694" s="175"/>
      <c r="U694" s="175"/>
      <c r="V694" s="175"/>
      <c r="W694" s="175"/>
      <c r="X694" s="175"/>
      <c r="Y694" s="175"/>
      <c r="Z694" s="175"/>
    </row>
    <row r="695" ht="15.75" customHeight="1">
      <c r="A695" s="174"/>
      <c r="B695" s="276"/>
      <c r="C695" s="172"/>
      <c r="D695" s="173"/>
      <c r="E695" s="174"/>
      <c r="F695" s="174"/>
      <c r="G695" s="175"/>
      <c r="H695" s="175"/>
      <c r="I695" s="175"/>
      <c r="J695" s="175"/>
      <c r="K695" s="175"/>
      <c r="L695" s="175"/>
      <c r="M695" s="175"/>
      <c r="N695" s="175"/>
      <c r="O695" s="175"/>
      <c r="P695" s="175"/>
      <c r="Q695" s="175"/>
      <c r="R695" s="175"/>
      <c r="S695" s="175"/>
      <c r="T695" s="175"/>
      <c r="U695" s="175"/>
      <c r="V695" s="175"/>
      <c r="W695" s="175"/>
      <c r="X695" s="175"/>
      <c r="Y695" s="175"/>
      <c r="Z695" s="175"/>
    </row>
    <row r="696" ht="15.75" customHeight="1">
      <c r="A696" s="174"/>
      <c r="B696" s="276"/>
      <c r="C696" s="172"/>
      <c r="D696" s="173"/>
      <c r="E696" s="174"/>
      <c r="F696" s="174"/>
      <c r="G696" s="175"/>
      <c r="H696" s="175"/>
      <c r="I696" s="175"/>
      <c r="J696" s="175"/>
      <c r="K696" s="175"/>
      <c r="L696" s="175"/>
      <c r="M696" s="175"/>
      <c r="N696" s="175"/>
      <c r="O696" s="175"/>
      <c r="P696" s="175"/>
      <c r="Q696" s="175"/>
      <c r="R696" s="175"/>
      <c r="S696" s="175"/>
      <c r="T696" s="175"/>
      <c r="U696" s="175"/>
      <c r="V696" s="175"/>
      <c r="W696" s="175"/>
      <c r="X696" s="175"/>
      <c r="Y696" s="175"/>
      <c r="Z696" s="175"/>
    </row>
    <row r="697" ht="15.75" customHeight="1">
      <c r="A697" s="174"/>
      <c r="B697" s="276"/>
      <c r="C697" s="172"/>
      <c r="D697" s="173"/>
      <c r="E697" s="174"/>
      <c r="F697" s="174"/>
      <c r="G697" s="175"/>
      <c r="H697" s="175"/>
      <c r="I697" s="175"/>
      <c r="J697" s="175"/>
      <c r="K697" s="175"/>
      <c r="L697" s="175"/>
      <c r="M697" s="175"/>
      <c r="N697" s="175"/>
      <c r="O697" s="175"/>
      <c r="P697" s="175"/>
      <c r="Q697" s="175"/>
      <c r="R697" s="175"/>
      <c r="S697" s="175"/>
      <c r="T697" s="175"/>
      <c r="U697" s="175"/>
      <c r="V697" s="175"/>
      <c r="W697" s="175"/>
      <c r="X697" s="175"/>
      <c r="Y697" s="175"/>
      <c r="Z697" s="175"/>
    </row>
    <row r="698" ht="15.75" customHeight="1">
      <c r="A698" s="174"/>
      <c r="B698" s="276"/>
      <c r="C698" s="172"/>
      <c r="D698" s="173"/>
      <c r="E698" s="174"/>
      <c r="F698" s="174"/>
      <c r="G698" s="175"/>
      <c r="H698" s="175"/>
      <c r="I698" s="175"/>
      <c r="J698" s="175"/>
      <c r="K698" s="175"/>
      <c r="L698" s="175"/>
      <c r="M698" s="175"/>
      <c r="N698" s="175"/>
      <c r="O698" s="175"/>
      <c r="P698" s="175"/>
      <c r="Q698" s="175"/>
      <c r="R698" s="175"/>
      <c r="S698" s="175"/>
      <c r="T698" s="175"/>
      <c r="U698" s="175"/>
      <c r="V698" s="175"/>
      <c r="W698" s="175"/>
      <c r="X698" s="175"/>
      <c r="Y698" s="175"/>
      <c r="Z698" s="175"/>
    </row>
    <row r="699" ht="15.75" customHeight="1">
      <c r="A699" s="174"/>
      <c r="B699" s="276"/>
      <c r="C699" s="172"/>
      <c r="D699" s="173"/>
      <c r="E699" s="174"/>
      <c r="F699" s="174"/>
      <c r="G699" s="175"/>
      <c r="H699" s="175"/>
      <c r="I699" s="175"/>
      <c r="J699" s="175"/>
      <c r="K699" s="175"/>
      <c r="L699" s="175"/>
      <c r="M699" s="175"/>
      <c r="N699" s="175"/>
      <c r="O699" s="175"/>
      <c r="P699" s="175"/>
      <c r="Q699" s="175"/>
      <c r="R699" s="175"/>
      <c r="S699" s="175"/>
      <c r="T699" s="175"/>
      <c r="U699" s="175"/>
      <c r="V699" s="175"/>
      <c r="W699" s="175"/>
      <c r="X699" s="175"/>
      <c r="Y699" s="175"/>
      <c r="Z699" s="175"/>
    </row>
    <row r="700" ht="15.75" customHeight="1">
      <c r="A700" s="174"/>
      <c r="B700" s="276"/>
      <c r="C700" s="172"/>
      <c r="D700" s="173"/>
      <c r="E700" s="174"/>
      <c r="F700" s="174"/>
      <c r="G700" s="175"/>
      <c r="H700" s="175"/>
      <c r="I700" s="175"/>
      <c r="J700" s="175"/>
      <c r="K700" s="175"/>
      <c r="L700" s="175"/>
      <c r="M700" s="175"/>
      <c r="N700" s="175"/>
      <c r="O700" s="175"/>
      <c r="P700" s="175"/>
      <c r="Q700" s="175"/>
      <c r="R700" s="175"/>
      <c r="S700" s="175"/>
      <c r="T700" s="175"/>
      <c r="U700" s="175"/>
      <c r="V700" s="175"/>
      <c r="W700" s="175"/>
      <c r="X700" s="175"/>
      <c r="Y700" s="175"/>
      <c r="Z700" s="175"/>
    </row>
    <row r="701" ht="15.75" customHeight="1">
      <c r="A701" s="174"/>
      <c r="B701" s="276"/>
      <c r="C701" s="172"/>
      <c r="D701" s="173"/>
      <c r="E701" s="174"/>
      <c r="F701" s="174"/>
      <c r="G701" s="175"/>
      <c r="H701" s="175"/>
      <c r="I701" s="175"/>
      <c r="J701" s="175"/>
      <c r="K701" s="175"/>
      <c r="L701" s="175"/>
      <c r="M701" s="175"/>
      <c r="N701" s="175"/>
      <c r="O701" s="175"/>
      <c r="P701" s="175"/>
      <c r="Q701" s="175"/>
      <c r="R701" s="175"/>
      <c r="S701" s="175"/>
      <c r="T701" s="175"/>
      <c r="U701" s="175"/>
      <c r="V701" s="175"/>
      <c r="W701" s="175"/>
      <c r="X701" s="175"/>
      <c r="Y701" s="175"/>
      <c r="Z701" s="175"/>
    </row>
    <row r="702" ht="15.75" customHeight="1">
      <c r="A702" s="174"/>
      <c r="B702" s="276"/>
      <c r="C702" s="172"/>
      <c r="D702" s="173"/>
      <c r="E702" s="174"/>
      <c r="F702" s="174"/>
      <c r="G702" s="175"/>
      <c r="H702" s="175"/>
      <c r="I702" s="175"/>
      <c r="J702" s="175"/>
      <c r="K702" s="175"/>
      <c r="L702" s="175"/>
      <c r="M702" s="175"/>
      <c r="N702" s="175"/>
      <c r="O702" s="175"/>
      <c r="P702" s="175"/>
      <c r="Q702" s="175"/>
      <c r="R702" s="175"/>
      <c r="S702" s="175"/>
      <c r="T702" s="175"/>
      <c r="U702" s="175"/>
      <c r="V702" s="175"/>
      <c r="W702" s="175"/>
      <c r="X702" s="175"/>
      <c r="Y702" s="175"/>
      <c r="Z702" s="175"/>
    </row>
    <row r="703" ht="15.75" customHeight="1">
      <c r="A703" s="174"/>
      <c r="B703" s="276"/>
      <c r="C703" s="172"/>
      <c r="D703" s="173"/>
      <c r="E703" s="174"/>
      <c r="F703" s="174"/>
      <c r="G703" s="175"/>
      <c r="H703" s="175"/>
      <c r="I703" s="175"/>
      <c r="J703" s="175"/>
      <c r="K703" s="175"/>
      <c r="L703" s="175"/>
      <c r="M703" s="175"/>
      <c r="N703" s="175"/>
      <c r="O703" s="175"/>
      <c r="P703" s="175"/>
      <c r="Q703" s="175"/>
      <c r="R703" s="175"/>
      <c r="S703" s="175"/>
      <c r="T703" s="175"/>
      <c r="U703" s="175"/>
      <c r="V703" s="175"/>
      <c r="W703" s="175"/>
      <c r="X703" s="175"/>
      <c r="Y703" s="175"/>
      <c r="Z703" s="175"/>
    </row>
    <row r="704" ht="15.75" customHeight="1">
      <c r="A704" s="174"/>
      <c r="B704" s="276"/>
      <c r="C704" s="172"/>
      <c r="D704" s="173"/>
      <c r="E704" s="174"/>
      <c r="F704" s="174"/>
      <c r="G704" s="175"/>
      <c r="H704" s="175"/>
      <c r="I704" s="175"/>
      <c r="J704" s="175"/>
      <c r="K704" s="175"/>
      <c r="L704" s="175"/>
      <c r="M704" s="175"/>
      <c r="N704" s="175"/>
      <c r="O704" s="175"/>
      <c r="P704" s="175"/>
      <c r="Q704" s="175"/>
      <c r="R704" s="175"/>
      <c r="S704" s="175"/>
      <c r="T704" s="175"/>
      <c r="U704" s="175"/>
      <c r="V704" s="175"/>
      <c r="W704" s="175"/>
      <c r="X704" s="175"/>
      <c r="Y704" s="175"/>
      <c r="Z704" s="175"/>
    </row>
    <row r="705" ht="15.75" customHeight="1">
      <c r="A705" s="174"/>
      <c r="B705" s="276"/>
      <c r="C705" s="172"/>
      <c r="D705" s="173"/>
      <c r="E705" s="174"/>
      <c r="F705" s="174"/>
      <c r="G705" s="175"/>
      <c r="H705" s="175"/>
      <c r="I705" s="175"/>
      <c r="J705" s="175"/>
      <c r="K705" s="175"/>
      <c r="L705" s="175"/>
      <c r="M705" s="175"/>
      <c r="N705" s="175"/>
      <c r="O705" s="175"/>
      <c r="P705" s="175"/>
      <c r="Q705" s="175"/>
      <c r="R705" s="175"/>
      <c r="S705" s="175"/>
      <c r="T705" s="175"/>
      <c r="U705" s="175"/>
      <c r="V705" s="175"/>
      <c r="W705" s="175"/>
      <c r="X705" s="175"/>
      <c r="Y705" s="175"/>
      <c r="Z705" s="175"/>
    </row>
    <row r="706" ht="15.75" customHeight="1">
      <c r="A706" s="174"/>
      <c r="B706" s="276"/>
      <c r="C706" s="172"/>
      <c r="D706" s="173"/>
      <c r="E706" s="174"/>
      <c r="F706" s="174"/>
      <c r="G706" s="175"/>
      <c r="H706" s="175"/>
      <c r="I706" s="175"/>
      <c r="J706" s="175"/>
      <c r="K706" s="175"/>
      <c r="L706" s="175"/>
      <c r="M706" s="175"/>
      <c r="N706" s="175"/>
      <c r="O706" s="175"/>
      <c r="P706" s="175"/>
      <c r="Q706" s="175"/>
      <c r="R706" s="175"/>
      <c r="S706" s="175"/>
      <c r="T706" s="175"/>
      <c r="U706" s="175"/>
      <c r="V706" s="175"/>
      <c r="W706" s="175"/>
      <c r="X706" s="175"/>
      <c r="Y706" s="175"/>
      <c r="Z706" s="175"/>
    </row>
    <row r="707" ht="15.75" customHeight="1">
      <c r="A707" s="174"/>
      <c r="B707" s="276"/>
      <c r="C707" s="172"/>
      <c r="D707" s="173"/>
      <c r="E707" s="174"/>
      <c r="F707" s="174"/>
      <c r="G707" s="175"/>
      <c r="H707" s="175"/>
      <c r="I707" s="175"/>
      <c r="J707" s="175"/>
      <c r="K707" s="175"/>
      <c r="L707" s="175"/>
      <c r="M707" s="175"/>
      <c r="N707" s="175"/>
      <c r="O707" s="175"/>
      <c r="P707" s="175"/>
      <c r="Q707" s="175"/>
      <c r="R707" s="175"/>
      <c r="S707" s="175"/>
      <c r="T707" s="175"/>
      <c r="U707" s="175"/>
      <c r="V707" s="175"/>
      <c r="W707" s="175"/>
      <c r="X707" s="175"/>
      <c r="Y707" s="175"/>
      <c r="Z707" s="175"/>
    </row>
    <row r="708" ht="15.75" customHeight="1">
      <c r="A708" s="174"/>
      <c r="B708" s="276"/>
      <c r="C708" s="172"/>
      <c r="D708" s="173"/>
      <c r="E708" s="174"/>
      <c r="F708" s="174"/>
      <c r="G708" s="175"/>
      <c r="H708" s="175"/>
      <c r="I708" s="175"/>
      <c r="J708" s="175"/>
      <c r="K708" s="175"/>
      <c r="L708" s="175"/>
      <c r="M708" s="175"/>
      <c r="N708" s="175"/>
      <c r="O708" s="175"/>
      <c r="P708" s="175"/>
      <c r="Q708" s="175"/>
      <c r="R708" s="175"/>
      <c r="S708" s="175"/>
      <c r="T708" s="175"/>
      <c r="U708" s="175"/>
      <c r="V708" s="175"/>
      <c r="W708" s="175"/>
      <c r="X708" s="175"/>
      <c r="Y708" s="175"/>
      <c r="Z708" s="175"/>
    </row>
    <row r="709" ht="15.75" customHeight="1">
      <c r="A709" s="174"/>
      <c r="B709" s="276"/>
      <c r="C709" s="172"/>
      <c r="D709" s="173"/>
      <c r="E709" s="174"/>
      <c r="F709" s="174"/>
      <c r="G709" s="175"/>
      <c r="H709" s="175"/>
      <c r="I709" s="175"/>
      <c r="J709" s="175"/>
      <c r="K709" s="175"/>
      <c r="L709" s="175"/>
      <c r="M709" s="175"/>
      <c r="N709" s="175"/>
      <c r="O709" s="175"/>
      <c r="P709" s="175"/>
      <c r="Q709" s="175"/>
      <c r="R709" s="175"/>
      <c r="S709" s="175"/>
      <c r="T709" s="175"/>
      <c r="U709" s="175"/>
      <c r="V709" s="175"/>
      <c r="W709" s="175"/>
      <c r="X709" s="175"/>
      <c r="Y709" s="175"/>
      <c r="Z709" s="175"/>
    </row>
    <row r="710" ht="15.75" customHeight="1">
      <c r="A710" s="174"/>
      <c r="B710" s="276"/>
      <c r="C710" s="172"/>
      <c r="D710" s="173"/>
      <c r="E710" s="174"/>
      <c r="F710" s="174"/>
      <c r="G710" s="175"/>
      <c r="H710" s="175"/>
      <c r="I710" s="175"/>
      <c r="J710" s="175"/>
      <c r="K710" s="175"/>
      <c r="L710" s="175"/>
      <c r="M710" s="175"/>
      <c r="N710" s="175"/>
      <c r="O710" s="175"/>
      <c r="P710" s="175"/>
      <c r="Q710" s="175"/>
      <c r="R710" s="175"/>
      <c r="S710" s="175"/>
      <c r="T710" s="175"/>
      <c r="U710" s="175"/>
      <c r="V710" s="175"/>
      <c r="W710" s="175"/>
      <c r="X710" s="175"/>
      <c r="Y710" s="175"/>
      <c r="Z710" s="175"/>
    </row>
    <row r="711" ht="15.75" customHeight="1">
      <c r="A711" s="174"/>
      <c r="B711" s="276"/>
      <c r="C711" s="172"/>
      <c r="D711" s="173"/>
      <c r="E711" s="174"/>
      <c r="F711" s="174"/>
      <c r="G711" s="175"/>
      <c r="H711" s="175"/>
      <c r="I711" s="175"/>
      <c r="J711" s="175"/>
      <c r="K711" s="175"/>
      <c r="L711" s="175"/>
      <c r="M711" s="175"/>
      <c r="N711" s="175"/>
      <c r="O711" s="175"/>
      <c r="P711" s="175"/>
      <c r="Q711" s="175"/>
      <c r="R711" s="175"/>
      <c r="S711" s="175"/>
      <c r="T711" s="175"/>
      <c r="U711" s="175"/>
      <c r="V711" s="175"/>
      <c r="W711" s="175"/>
      <c r="X711" s="175"/>
      <c r="Y711" s="175"/>
      <c r="Z711" s="175"/>
    </row>
    <row r="712" ht="15.75" customHeight="1">
      <c r="A712" s="174"/>
      <c r="B712" s="276"/>
      <c r="C712" s="172"/>
      <c r="D712" s="173"/>
      <c r="E712" s="174"/>
      <c r="F712" s="174"/>
      <c r="G712" s="175"/>
      <c r="H712" s="175"/>
      <c r="I712" s="175"/>
      <c r="J712" s="175"/>
      <c r="K712" s="175"/>
      <c r="L712" s="175"/>
      <c r="M712" s="175"/>
      <c r="N712" s="175"/>
      <c r="O712" s="175"/>
      <c r="P712" s="175"/>
      <c r="Q712" s="175"/>
      <c r="R712" s="175"/>
      <c r="S712" s="175"/>
      <c r="T712" s="175"/>
      <c r="U712" s="175"/>
      <c r="V712" s="175"/>
      <c r="W712" s="175"/>
      <c r="X712" s="175"/>
      <c r="Y712" s="175"/>
      <c r="Z712" s="175"/>
    </row>
    <row r="713" ht="15.75" customHeight="1">
      <c r="A713" s="174"/>
      <c r="B713" s="276"/>
      <c r="C713" s="172"/>
      <c r="D713" s="173"/>
      <c r="E713" s="174"/>
      <c r="F713" s="174"/>
      <c r="G713" s="175"/>
      <c r="H713" s="175"/>
      <c r="I713" s="175"/>
      <c r="J713" s="175"/>
      <c r="K713" s="175"/>
      <c r="L713" s="175"/>
      <c r="M713" s="175"/>
      <c r="N713" s="175"/>
      <c r="O713" s="175"/>
      <c r="P713" s="175"/>
      <c r="Q713" s="175"/>
      <c r="R713" s="175"/>
      <c r="S713" s="175"/>
      <c r="T713" s="175"/>
      <c r="U713" s="175"/>
      <c r="V713" s="175"/>
      <c r="W713" s="175"/>
      <c r="X713" s="175"/>
      <c r="Y713" s="175"/>
      <c r="Z713" s="175"/>
    </row>
    <row r="714" ht="15.75" customHeight="1">
      <c r="A714" s="174"/>
      <c r="B714" s="276"/>
      <c r="C714" s="172"/>
      <c r="D714" s="173"/>
      <c r="E714" s="174"/>
      <c r="F714" s="174"/>
      <c r="G714" s="175"/>
      <c r="H714" s="175"/>
      <c r="I714" s="175"/>
      <c r="J714" s="175"/>
      <c r="K714" s="175"/>
      <c r="L714" s="175"/>
      <c r="M714" s="175"/>
      <c r="N714" s="175"/>
      <c r="O714" s="175"/>
      <c r="P714" s="175"/>
      <c r="Q714" s="175"/>
      <c r="R714" s="175"/>
      <c r="S714" s="175"/>
      <c r="T714" s="175"/>
      <c r="U714" s="175"/>
      <c r="V714" s="175"/>
      <c r="W714" s="175"/>
      <c r="X714" s="175"/>
      <c r="Y714" s="175"/>
      <c r="Z714" s="175"/>
    </row>
    <row r="715" ht="15.75" customHeight="1">
      <c r="A715" s="174"/>
      <c r="B715" s="276"/>
      <c r="C715" s="172"/>
      <c r="D715" s="173"/>
      <c r="E715" s="174"/>
      <c r="F715" s="174"/>
      <c r="G715" s="175"/>
      <c r="H715" s="175"/>
      <c r="I715" s="175"/>
      <c r="J715" s="175"/>
      <c r="K715" s="175"/>
      <c r="L715" s="175"/>
      <c r="M715" s="175"/>
      <c r="N715" s="175"/>
      <c r="O715" s="175"/>
      <c r="P715" s="175"/>
      <c r="Q715" s="175"/>
      <c r="R715" s="175"/>
      <c r="S715" s="175"/>
      <c r="T715" s="175"/>
      <c r="U715" s="175"/>
      <c r="V715" s="175"/>
      <c r="W715" s="175"/>
      <c r="X715" s="175"/>
      <c r="Y715" s="175"/>
      <c r="Z715" s="175"/>
    </row>
    <row r="716" ht="15.75" customHeight="1">
      <c r="A716" s="174"/>
      <c r="B716" s="276"/>
      <c r="C716" s="172"/>
      <c r="D716" s="173"/>
      <c r="E716" s="174"/>
      <c r="F716" s="174"/>
      <c r="G716" s="175"/>
      <c r="H716" s="175"/>
      <c r="I716" s="175"/>
      <c r="J716" s="175"/>
      <c r="K716" s="175"/>
      <c r="L716" s="175"/>
      <c r="M716" s="175"/>
      <c r="N716" s="175"/>
      <c r="O716" s="175"/>
      <c r="P716" s="175"/>
      <c r="Q716" s="175"/>
      <c r="R716" s="175"/>
      <c r="S716" s="175"/>
      <c r="T716" s="175"/>
      <c r="U716" s="175"/>
      <c r="V716" s="175"/>
      <c r="W716" s="175"/>
      <c r="X716" s="175"/>
      <c r="Y716" s="175"/>
      <c r="Z716" s="175"/>
    </row>
    <row r="717" ht="15.75" customHeight="1">
      <c r="A717" s="174"/>
      <c r="B717" s="276"/>
      <c r="C717" s="172"/>
      <c r="D717" s="173"/>
      <c r="E717" s="174"/>
      <c r="F717" s="174"/>
      <c r="G717" s="175"/>
      <c r="H717" s="175"/>
      <c r="I717" s="175"/>
      <c r="J717" s="175"/>
      <c r="K717" s="175"/>
      <c r="L717" s="175"/>
      <c r="M717" s="175"/>
      <c r="N717" s="175"/>
      <c r="O717" s="175"/>
      <c r="P717" s="175"/>
      <c r="Q717" s="175"/>
      <c r="R717" s="175"/>
      <c r="S717" s="175"/>
      <c r="T717" s="175"/>
      <c r="U717" s="175"/>
      <c r="V717" s="175"/>
      <c r="W717" s="175"/>
      <c r="X717" s="175"/>
      <c r="Y717" s="175"/>
      <c r="Z717" s="175"/>
    </row>
    <row r="718" ht="15.75" customHeight="1">
      <c r="A718" s="174"/>
      <c r="B718" s="276"/>
      <c r="C718" s="172"/>
      <c r="D718" s="173"/>
      <c r="E718" s="174"/>
      <c r="F718" s="174"/>
      <c r="G718" s="175"/>
      <c r="H718" s="175"/>
      <c r="I718" s="175"/>
      <c r="J718" s="175"/>
      <c r="K718" s="175"/>
      <c r="L718" s="175"/>
      <c r="M718" s="175"/>
      <c r="N718" s="175"/>
      <c r="O718" s="175"/>
      <c r="P718" s="175"/>
      <c r="Q718" s="175"/>
      <c r="R718" s="175"/>
      <c r="S718" s="175"/>
      <c r="T718" s="175"/>
      <c r="U718" s="175"/>
      <c r="V718" s="175"/>
      <c r="W718" s="175"/>
      <c r="X718" s="175"/>
      <c r="Y718" s="175"/>
      <c r="Z718" s="175"/>
    </row>
    <row r="719" ht="15.75" customHeight="1">
      <c r="A719" s="174"/>
      <c r="B719" s="276"/>
      <c r="C719" s="172"/>
      <c r="D719" s="173"/>
      <c r="E719" s="174"/>
      <c r="F719" s="174"/>
      <c r="G719" s="175"/>
      <c r="H719" s="175"/>
      <c r="I719" s="175"/>
      <c r="J719" s="175"/>
      <c r="K719" s="175"/>
      <c r="L719" s="175"/>
      <c r="M719" s="175"/>
      <c r="N719" s="175"/>
      <c r="O719" s="175"/>
      <c r="P719" s="175"/>
      <c r="Q719" s="175"/>
      <c r="R719" s="175"/>
      <c r="S719" s="175"/>
      <c r="T719" s="175"/>
      <c r="U719" s="175"/>
      <c r="V719" s="175"/>
      <c r="W719" s="175"/>
      <c r="X719" s="175"/>
      <c r="Y719" s="175"/>
      <c r="Z719" s="175"/>
    </row>
    <row r="720" ht="15.75" customHeight="1">
      <c r="A720" s="174"/>
      <c r="B720" s="276"/>
      <c r="C720" s="172"/>
      <c r="D720" s="173"/>
      <c r="E720" s="174"/>
      <c r="F720" s="174"/>
      <c r="G720" s="175"/>
      <c r="H720" s="175"/>
      <c r="I720" s="175"/>
      <c r="J720" s="175"/>
      <c r="K720" s="175"/>
      <c r="L720" s="175"/>
      <c r="M720" s="175"/>
      <c r="N720" s="175"/>
      <c r="O720" s="175"/>
      <c r="P720" s="175"/>
      <c r="Q720" s="175"/>
      <c r="R720" s="175"/>
      <c r="S720" s="175"/>
      <c r="T720" s="175"/>
      <c r="U720" s="175"/>
      <c r="V720" s="175"/>
      <c r="W720" s="175"/>
      <c r="X720" s="175"/>
      <c r="Y720" s="175"/>
      <c r="Z720" s="175"/>
    </row>
    <row r="721" ht="15.75" customHeight="1">
      <c r="A721" s="174"/>
      <c r="B721" s="276"/>
      <c r="C721" s="172"/>
      <c r="D721" s="173"/>
      <c r="E721" s="174"/>
      <c r="F721" s="174"/>
      <c r="G721" s="175"/>
      <c r="H721" s="175"/>
      <c r="I721" s="175"/>
      <c r="J721" s="175"/>
      <c r="K721" s="175"/>
      <c r="L721" s="175"/>
      <c r="M721" s="175"/>
      <c r="N721" s="175"/>
      <c r="O721" s="175"/>
      <c r="P721" s="175"/>
      <c r="Q721" s="175"/>
      <c r="R721" s="175"/>
      <c r="S721" s="175"/>
      <c r="T721" s="175"/>
      <c r="U721" s="175"/>
      <c r="V721" s="175"/>
      <c r="W721" s="175"/>
      <c r="X721" s="175"/>
      <c r="Y721" s="175"/>
      <c r="Z721" s="175"/>
    </row>
    <row r="722" ht="15.75" customHeight="1">
      <c r="A722" s="174"/>
      <c r="B722" s="276"/>
      <c r="C722" s="172"/>
      <c r="D722" s="173"/>
      <c r="E722" s="174"/>
      <c r="F722" s="174"/>
      <c r="G722" s="175"/>
      <c r="H722" s="175"/>
      <c r="I722" s="175"/>
      <c r="J722" s="175"/>
      <c r="K722" s="175"/>
      <c r="L722" s="175"/>
      <c r="M722" s="175"/>
      <c r="N722" s="175"/>
      <c r="O722" s="175"/>
      <c r="P722" s="175"/>
      <c r="Q722" s="175"/>
      <c r="R722" s="175"/>
      <c r="S722" s="175"/>
      <c r="T722" s="175"/>
      <c r="U722" s="175"/>
      <c r="V722" s="175"/>
      <c r="W722" s="175"/>
      <c r="X722" s="175"/>
      <c r="Y722" s="175"/>
      <c r="Z722" s="175"/>
    </row>
    <row r="723" ht="15.75" customHeight="1">
      <c r="A723" s="174"/>
      <c r="B723" s="276"/>
      <c r="C723" s="172"/>
      <c r="D723" s="173"/>
      <c r="E723" s="174"/>
      <c r="F723" s="174"/>
      <c r="G723" s="175"/>
      <c r="H723" s="175"/>
      <c r="I723" s="175"/>
      <c r="J723" s="175"/>
      <c r="K723" s="175"/>
      <c r="L723" s="175"/>
      <c r="M723" s="175"/>
      <c r="N723" s="175"/>
      <c r="O723" s="175"/>
      <c r="P723" s="175"/>
      <c r="Q723" s="175"/>
      <c r="R723" s="175"/>
      <c r="S723" s="175"/>
      <c r="T723" s="175"/>
      <c r="U723" s="175"/>
      <c r="V723" s="175"/>
      <c r="W723" s="175"/>
      <c r="X723" s="175"/>
      <c r="Y723" s="175"/>
      <c r="Z723" s="175"/>
    </row>
    <row r="724" ht="15.75" customHeight="1">
      <c r="A724" s="174"/>
      <c r="B724" s="276"/>
      <c r="C724" s="172"/>
      <c r="D724" s="173"/>
      <c r="E724" s="174"/>
      <c r="F724" s="174"/>
      <c r="G724" s="175"/>
      <c r="H724" s="175"/>
      <c r="I724" s="175"/>
      <c r="J724" s="175"/>
      <c r="K724" s="175"/>
      <c r="L724" s="175"/>
      <c r="M724" s="175"/>
      <c r="N724" s="175"/>
      <c r="O724" s="175"/>
      <c r="P724" s="175"/>
      <c r="Q724" s="175"/>
      <c r="R724" s="175"/>
      <c r="S724" s="175"/>
      <c r="T724" s="175"/>
      <c r="U724" s="175"/>
      <c r="V724" s="175"/>
      <c r="W724" s="175"/>
      <c r="X724" s="175"/>
      <c r="Y724" s="175"/>
      <c r="Z724" s="175"/>
    </row>
    <row r="725" ht="15.75" customHeight="1">
      <c r="A725" s="174"/>
      <c r="B725" s="276"/>
      <c r="C725" s="172"/>
      <c r="D725" s="173"/>
      <c r="E725" s="174"/>
      <c r="F725" s="174"/>
      <c r="G725" s="175"/>
      <c r="H725" s="175"/>
      <c r="I725" s="175"/>
      <c r="J725" s="175"/>
      <c r="K725" s="175"/>
      <c r="L725" s="175"/>
      <c r="M725" s="175"/>
      <c r="N725" s="175"/>
      <c r="O725" s="175"/>
      <c r="P725" s="175"/>
      <c r="Q725" s="175"/>
      <c r="R725" s="175"/>
      <c r="S725" s="175"/>
      <c r="T725" s="175"/>
      <c r="U725" s="175"/>
      <c r="V725" s="175"/>
      <c r="W725" s="175"/>
      <c r="X725" s="175"/>
      <c r="Y725" s="175"/>
      <c r="Z725" s="175"/>
    </row>
    <row r="726" ht="15.75" customHeight="1">
      <c r="A726" s="174"/>
      <c r="B726" s="276"/>
      <c r="C726" s="172"/>
      <c r="D726" s="173"/>
      <c r="E726" s="174"/>
      <c r="F726" s="174"/>
      <c r="G726" s="175"/>
      <c r="H726" s="175"/>
      <c r="I726" s="175"/>
      <c r="J726" s="175"/>
      <c r="K726" s="175"/>
      <c r="L726" s="175"/>
      <c r="M726" s="175"/>
      <c r="N726" s="175"/>
      <c r="O726" s="175"/>
      <c r="P726" s="175"/>
      <c r="Q726" s="175"/>
      <c r="R726" s="175"/>
      <c r="S726" s="175"/>
      <c r="T726" s="175"/>
      <c r="U726" s="175"/>
      <c r="V726" s="175"/>
      <c r="W726" s="175"/>
      <c r="X726" s="175"/>
      <c r="Y726" s="175"/>
      <c r="Z726" s="175"/>
    </row>
    <row r="727" ht="15.75" customHeight="1">
      <c r="A727" s="174"/>
      <c r="B727" s="276"/>
      <c r="C727" s="172"/>
      <c r="D727" s="173"/>
      <c r="E727" s="174"/>
      <c r="F727" s="174"/>
      <c r="G727" s="175"/>
      <c r="H727" s="175"/>
      <c r="I727" s="175"/>
      <c r="J727" s="175"/>
      <c r="K727" s="175"/>
      <c r="L727" s="175"/>
      <c r="M727" s="175"/>
      <c r="N727" s="175"/>
      <c r="O727" s="175"/>
      <c r="P727" s="175"/>
      <c r="Q727" s="175"/>
      <c r="R727" s="175"/>
      <c r="S727" s="175"/>
      <c r="T727" s="175"/>
      <c r="U727" s="175"/>
      <c r="V727" s="175"/>
      <c r="W727" s="175"/>
      <c r="X727" s="175"/>
      <c r="Y727" s="175"/>
      <c r="Z727" s="175"/>
    </row>
    <row r="728" ht="15.75" customHeight="1">
      <c r="A728" s="174"/>
      <c r="B728" s="276"/>
      <c r="C728" s="172"/>
      <c r="D728" s="173"/>
      <c r="E728" s="174"/>
      <c r="F728" s="174"/>
      <c r="G728" s="175"/>
      <c r="H728" s="175"/>
      <c r="I728" s="175"/>
      <c r="J728" s="175"/>
      <c r="K728" s="175"/>
      <c r="L728" s="175"/>
      <c r="M728" s="175"/>
      <c r="N728" s="175"/>
      <c r="O728" s="175"/>
      <c r="P728" s="175"/>
      <c r="Q728" s="175"/>
      <c r="R728" s="175"/>
      <c r="S728" s="175"/>
      <c r="T728" s="175"/>
      <c r="U728" s="175"/>
      <c r="V728" s="175"/>
      <c r="W728" s="175"/>
      <c r="X728" s="175"/>
      <c r="Y728" s="175"/>
      <c r="Z728" s="175"/>
    </row>
    <row r="729" ht="15.75" customHeight="1">
      <c r="A729" s="174"/>
      <c r="B729" s="276"/>
      <c r="C729" s="172"/>
      <c r="D729" s="173"/>
      <c r="E729" s="174"/>
      <c r="F729" s="174"/>
      <c r="G729" s="175"/>
      <c r="H729" s="175"/>
      <c r="I729" s="175"/>
      <c r="J729" s="175"/>
      <c r="K729" s="175"/>
      <c r="L729" s="175"/>
      <c r="M729" s="175"/>
      <c r="N729" s="175"/>
      <c r="O729" s="175"/>
      <c r="P729" s="175"/>
      <c r="Q729" s="175"/>
      <c r="R729" s="175"/>
      <c r="S729" s="175"/>
      <c r="T729" s="175"/>
      <c r="U729" s="175"/>
      <c r="V729" s="175"/>
      <c r="W729" s="175"/>
      <c r="X729" s="175"/>
      <c r="Y729" s="175"/>
      <c r="Z729" s="175"/>
    </row>
    <row r="730" ht="15.75" customHeight="1">
      <c r="A730" s="174"/>
      <c r="B730" s="276"/>
      <c r="C730" s="172"/>
      <c r="D730" s="173"/>
      <c r="E730" s="174"/>
      <c r="F730" s="174"/>
      <c r="G730" s="175"/>
      <c r="H730" s="175"/>
      <c r="I730" s="175"/>
      <c r="J730" s="175"/>
      <c r="K730" s="175"/>
      <c r="L730" s="175"/>
      <c r="M730" s="175"/>
      <c r="N730" s="175"/>
      <c r="O730" s="175"/>
      <c r="P730" s="175"/>
      <c r="Q730" s="175"/>
      <c r="R730" s="175"/>
      <c r="S730" s="175"/>
      <c r="T730" s="175"/>
      <c r="U730" s="175"/>
      <c r="V730" s="175"/>
      <c r="W730" s="175"/>
      <c r="X730" s="175"/>
      <c r="Y730" s="175"/>
      <c r="Z730" s="175"/>
    </row>
    <row r="731" ht="15.75" customHeight="1">
      <c r="A731" s="174"/>
      <c r="B731" s="276"/>
      <c r="C731" s="172"/>
      <c r="D731" s="173"/>
      <c r="E731" s="174"/>
      <c r="F731" s="174"/>
      <c r="G731" s="175"/>
      <c r="H731" s="175"/>
      <c r="I731" s="175"/>
      <c r="J731" s="175"/>
      <c r="K731" s="175"/>
      <c r="L731" s="175"/>
      <c r="M731" s="175"/>
      <c r="N731" s="175"/>
      <c r="O731" s="175"/>
      <c r="P731" s="175"/>
      <c r="Q731" s="175"/>
      <c r="R731" s="175"/>
      <c r="S731" s="175"/>
      <c r="T731" s="175"/>
      <c r="U731" s="175"/>
      <c r="V731" s="175"/>
      <c r="W731" s="175"/>
      <c r="X731" s="175"/>
      <c r="Y731" s="175"/>
      <c r="Z731" s="175"/>
    </row>
    <row r="732" ht="15.75" customHeight="1">
      <c r="A732" s="174"/>
      <c r="B732" s="276"/>
      <c r="C732" s="172"/>
      <c r="D732" s="173"/>
      <c r="E732" s="174"/>
      <c r="F732" s="174"/>
      <c r="G732" s="175"/>
      <c r="H732" s="175"/>
      <c r="I732" s="175"/>
      <c r="J732" s="175"/>
      <c r="K732" s="175"/>
      <c r="L732" s="175"/>
      <c r="M732" s="175"/>
      <c r="N732" s="175"/>
      <c r="O732" s="175"/>
      <c r="P732" s="175"/>
      <c r="Q732" s="175"/>
      <c r="R732" s="175"/>
      <c r="S732" s="175"/>
      <c r="T732" s="175"/>
      <c r="U732" s="175"/>
      <c r="V732" s="175"/>
      <c r="W732" s="175"/>
      <c r="X732" s="175"/>
      <c r="Y732" s="175"/>
      <c r="Z732" s="175"/>
    </row>
    <row r="733" ht="15.75" customHeight="1">
      <c r="A733" s="174"/>
      <c r="B733" s="276"/>
      <c r="C733" s="172"/>
      <c r="D733" s="173"/>
      <c r="E733" s="174"/>
      <c r="F733" s="174"/>
      <c r="G733" s="175"/>
      <c r="H733" s="175"/>
      <c r="I733" s="175"/>
      <c r="J733" s="175"/>
      <c r="K733" s="175"/>
      <c r="L733" s="175"/>
      <c r="M733" s="175"/>
      <c r="N733" s="175"/>
      <c r="O733" s="175"/>
      <c r="P733" s="175"/>
      <c r="Q733" s="175"/>
      <c r="R733" s="175"/>
      <c r="S733" s="175"/>
      <c r="T733" s="175"/>
      <c r="U733" s="175"/>
      <c r="V733" s="175"/>
      <c r="W733" s="175"/>
      <c r="X733" s="175"/>
      <c r="Y733" s="175"/>
      <c r="Z733" s="175"/>
    </row>
    <row r="734" ht="15.75" customHeight="1">
      <c r="A734" s="174"/>
      <c r="B734" s="276"/>
      <c r="C734" s="172"/>
      <c r="D734" s="173"/>
      <c r="E734" s="174"/>
      <c r="F734" s="174"/>
      <c r="G734" s="175"/>
      <c r="H734" s="175"/>
      <c r="I734" s="175"/>
      <c r="J734" s="175"/>
      <c r="K734" s="175"/>
      <c r="L734" s="175"/>
      <c r="M734" s="175"/>
      <c r="N734" s="175"/>
      <c r="O734" s="175"/>
      <c r="P734" s="175"/>
      <c r="Q734" s="175"/>
      <c r="R734" s="175"/>
      <c r="S734" s="175"/>
      <c r="T734" s="175"/>
      <c r="U734" s="175"/>
      <c r="V734" s="175"/>
      <c r="W734" s="175"/>
      <c r="X734" s="175"/>
      <c r="Y734" s="175"/>
      <c r="Z734" s="175"/>
    </row>
    <row r="735" ht="15.75" customHeight="1">
      <c r="A735" s="174"/>
      <c r="B735" s="276"/>
      <c r="C735" s="172"/>
      <c r="D735" s="173"/>
      <c r="E735" s="174"/>
      <c r="F735" s="174"/>
      <c r="G735" s="175"/>
      <c r="H735" s="175"/>
      <c r="I735" s="175"/>
      <c r="J735" s="175"/>
      <c r="K735" s="175"/>
      <c r="L735" s="175"/>
      <c r="M735" s="175"/>
      <c r="N735" s="175"/>
      <c r="O735" s="175"/>
      <c r="P735" s="175"/>
      <c r="Q735" s="175"/>
      <c r="R735" s="175"/>
      <c r="S735" s="175"/>
      <c r="T735" s="175"/>
      <c r="U735" s="175"/>
      <c r="V735" s="175"/>
      <c r="W735" s="175"/>
      <c r="X735" s="175"/>
      <c r="Y735" s="175"/>
      <c r="Z735" s="175"/>
    </row>
    <row r="736" ht="15.75" customHeight="1">
      <c r="A736" s="174"/>
      <c r="B736" s="276"/>
      <c r="C736" s="172"/>
      <c r="D736" s="173"/>
      <c r="E736" s="174"/>
      <c r="F736" s="174"/>
      <c r="G736" s="175"/>
      <c r="H736" s="175"/>
      <c r="I736" s="175"/>
      <c r="J736" s="175"/>
      <c r="K736" s="175"/>
      <c r="L736" s="175"/>
      <c r="M736" s="175"/>
      <c r="N736" s="175"/>
      <c r="O736" s="175"/>
      <c r="P736" s="175"/>
      <c r="Q736" s="175"/>
      <c r="R736" s="175"/>
      <c r="S736" s="175"/>
      <c r="T736" s="175"/>
      <c r="U736" s="175"/>
      <c r="V736" s="175"/>
      <c r="W736" s="175"/>
      <c r="X736" s="175"/>
      <c r="Y736" s="175"/>
      <c r="Z736" s="175"/>
    </row>
    <row r="737" ht="15.75" customHeight="1">
      <c r="A737" s="174"/>
      <c r="B737" s="276"/>
      <c r="C737" s="172"/>
      <c r="D737" s="173"/>
      <c r="E737" s="174"/>
      <c r="F737" s="174"/>
      <c r="G737" s="175"/>
      <c r="H737" s="175"/>
      <c r="I737" s="175"/>
      <c r="J737" s="175"/>
      <c r="K737" s="175"/>
      <c r="L737" s="175"/>
      <c r="M737" s="175"/>
      <c r="N737" s="175"/>
      <c r="O737" s="175"/>
      <c r="P737" s="175"/>
      <c r="Q737" s="175"/>
      <c r="R737" s="175"/>
      <c r="S737" s="175"/>
      <c r="T737" s="175"/>
      <c r="U737" s="175"/>
      <c r="V737" s="175"/>
      <c r="W737" s="175"/>
      <c r="X737" s="175"/>
      <c r="Y737" s="175"/>
      <c r="Z737" s="175"/>
    </row>
    <row r="738" ht="15.75" customHeight="1">
      <c r="A738" s="174"/>
      <c r="B738" s="276"/>
      <c r="C738" s="172"/>
      <c r="D738" s="173"/>
      <c r="E738" s="174"/>
      <c r="F738" s="174"/>
      <c r="G738" s="175"/>
      <c r="H738" s="175"/>
      <c r="I738" s="175"/>
      <c r="J738" s="175"/>
      <c r="K738" s="175"/>
      <c r="L738" s="175"/>
      <c r="M738" s="175"/>
      <c r="N738" s="175"/>
      <c r="O738" s="175"/>
      <c r="P738" s="175"/>
      <c r="Q738" s="175"/>
      <c r="R738" s="175"/>
      <c r="S738" s="175"/>
      <c r="T738" s="175"/>
      <c r="U738" s="175"/>
      <c r="V738" s="175"/>
      <c r="W738" s="175"/>
      <c r="X738" s="175"/>
      <c r="Y738" s="175"/>
      <c r="Z738" s="175"/>
    </row>
    <row r="739" ht="15.75" customHeight="1">
      <c r="A739" s="174"/>
      <c r="B739" s="276"/>
      <c r="C739" s="172"/>
      <c r="D739" s="173"/>
      <c r="E739" s="174"/>
      <c r="F739" s="174"/>
      <c r="G739" s="175"/>
      <c r="H739" s="175"/>
      <c r="I739" s="175"/>
      <c r="J739" s="175"/>
      <c r="K739" s="175"/>
      <c r="L739" s="175"/>
      <c r="M739" s="175"/>
      <c r="N739" s="175"/>
      <c r="O739" s="175"/>
      <c r="P739" s="175"/>
      <c r="Q739" s="175"/>
      <c r="R739" s="175"/>
      <c r="S739" s="175"/>
      <c r="T739" s="175"/>
      <c r="U739" s="175"/>
      <c r="V739" s="175"/>
      <c r="W739" s="175"/>
      <c r="X739" s="175"/>
      <c r="Y739" s="175"/>
      <c r="Z739" s="175"/>
    </row>
    <row r="740" ht="15.75" customHeight="1">
      <c r="A740" s="174"/>
      <c r="B740" s="276"/>
      <c r="C740" s="172"/>
      <c r="D740" s="173"/>
      <c r="E740" s="174"/>
      <c r="F740" s="174"/>
      <c r="G740" s="175"/>
      <c r="H740" s="175"/>
      <c r="I740" s="175"/>
      <c r="J740" s="175"/>
      <c r="K740" s="175"/>
      <c r="L740" s="175"/>
      <c r="M740" s="175"/>
      <c r="N740" s="175"/>
      <c r="O740" s="175"/>
      <c r="P740" s="175"/>
      <c r="Q740" s="175"/>
      <c r="R740" s="175"/>
      <c r="S740" s="175"/>
      <c r="T740" s="175"/>
      <c r="U740" s="175"/>
      <c r="V740" s="175"/>
      <c r="W740" s="175"/>
      <c r="X740" s="175"/>
      <c r="Y740" s="175"/>
      <c r="Z740" s="175"/>
    </row>
    <row r="741" ht="15.75" customHeight="1">
      <c r="A741" s="174"/>
      <c r="B741" s="276"/>
      <c r="C741" s="172"/>
      <c r="D741" s="173"/>
      <c r="E741" s="174"/>
      <c r="F741" s="174"/>
      <c r="G741" s="175"/>
      <c r="H741" s="175"/>
      <c r="I741" s="175"/>
      <c r="J741" s="175"/>
      <c r="K741" s="175"/>
      <c r="L741" s="175"/>
      <c r="M741" s="175"/>
      <c r="N741" s="175"/>
      <c r="O741" s="175"/>
      <c r="P741" s="175"/>
      <c r="Q741" s="175"/>
      <c r="R741" s="175"/>
      <c r="S741" s="175"/>
      <c r="T741" s="175"/>
      <c r="U741" s="175"/>
      <c r="V741" s="175"/>
      <c r="W741" s="175"/>
      <c r="X741" s="175"/>
      <c r="Y741" s="175"/>
      <c r="Z741" s="175"/>
    </row>
    <row r="742" ht="15.75" customHeight="1">
      <c r="A742" s="174"/>
      <c r="B742" s="276"/>
      <c r="C742" s="172"/>
      <c r="D742" s="173"/>
      <c r="E742" s="174"/>
      <c r="F742" s="174"/>
      <c r="G742" s="175"/>
      <c r="H742" s="175"/>
      <c r="I742" s="175"/>
      <c r="J742" s="175"/>
      <c r="K742" s="175"/>
      <c r="L742" s="175"/>
      <c r="M742" s="175"/>
      <c r="N742" s="175"/>
      <c r="O742" s="175"/>
      <c r="P742" s="175"/>
      <c r="Q742" s="175"/>
      <c r="R742" s="175"/>
      <c r="S742" s="175"/>
      <c r="T742" s="175"/>
      <c r="U742" s="175"/>
      <c r="V742" s="175"/>
      <c r="W742" s="175"/>
      <c r="X742" s="175"/>
      <c r="Y742" s="175"/>
      <c r="Z742" s="175"/>
    </row>
    <row r="743" ht="15.75" customHeight="1">
      <c r="A743" s="174"/>
      <c r="B743" s="276"/>
      <c r="C743" s="172"/>
      <c r="D743" s="173"/>
      <c r="E743" s="174"/>
      <c r="F743" s="174"/>
      <c r="G743" s="175"/>
      <c r="H743" s="175"/>
      <c r="I743" s="175"/>
      <c r="J743" s="175"/>
      <c r="K743" s="175"/>
      <c r="L743" s="175"/>
      <c r="M743" s="175"/>
      <c r="N743" s="175"/>
      <c r="O743" s="175"/>
      <c r="P743" s="175"/>
      <c r="Q743" s="175"/>
      <c r="R743" s="175"/>
      <c r="S743" s="175"/>
      <c r="T743" s="175"/>
      <c r="U743" s="175"/>
      <c r="V743" s="175"/>
      <c r="W743" s="175"/>
      <c r="X743" s="175"/>
      <c r="Y743" s="175"/>
      <c r="Z743" s="175"/>
    </row>
    <row r="744" ht="15.75" customHeight="1">
      <c r="A744" s="174"/>
      <c r="B744" s="276"/>
      <c r="C744" s="172"/>
      <c r="D744" s="173"/>
      <c r="E744" s="174"/>
      <c r="F744" s="174"/>
      <c r="G744" s="175"/>
      <c r="H744" s="175"/>
      <c r="I744" s="175"/>
      <c r="J744" s="175"/>
      <c r="K744" s="175"/>
      <c r="L744" s="175"/>
      <c r="M744" s="175"/>
      <c r="N744" s="175"/>
      <c r="O744" s="175"/>
      <c r="P744" s="175"/>
      <c r="Q744" s="175"/>
      <c r="R744" s="175"/>
      <c r="S744" s="175"/>
      <c r="T744" s="175"/>
      <c r="U744" s="175"/>
      <c r="V744" s="175"/>
      <c r="W744" s="175"/>
      <c r="X744" s="175"/>
      <c r="Y744" s="175"/>
      <c r="Z744" s="175"/>
    </row>
    <row r="745" ht="15.75" customHeight="1">
      <c r="A745" s="174"/>
      <c r="B745" s="276"/>
      <c r="C745" s="172"/>
      <c r="D745" s="173"/>
      <c r="E745" s="174"/>
      <c r="F745" s="174"/>
      <c r="G745" s="175"/>
      <c r="H745" s="175"/>
      <c r="I745" s="175"/>
      <c r="J745" s="175"/>
      <c r="K745" s="175"/>
      <c r="L745" s="175"/>
      <c r="M745" s="175"/>
      <c r="N745" s="175"/>
      <c r="O745" s="175"/>
      <c r="P745" s="175"/>
      <c r="Q745" s="175"/>
      <c r="R745" s="175"/>
      <c r="S745" s="175"/>
      <c r="T745" s="175"/>
      <c r="U745" s="175"/>
      <c r="V745" s="175"/>
      <c r="W745" s="175"/>
      <c r="X745" s="175"/>
      <c r="Y745" s="175"/>
      <c r="Z745" s="175"/>
    </row>
    <row r="746" ht="15.75" customHeight="1">
      <c r="A746" s="174"/>
      <c r="B746" s="276"/>
      <c r="C746" s="172"/>
      <c r="D746" s="173"/>
      <c r="E746" s="174"/>
      <c r="F746" s="174"/>
      <c r="G746" s="175"/>
      <c r="H746" s="175"/>
      <c r="I746" s="175"/>
      <c r="J746" s="175"/>
      <c r="K746" s="175"/>
      <c r="L746" s="175"/>
      <c r="M746" s="175"/>
      <c r="N746" s="175"/>
      <c r="O746" s="175"/>
      <c r="P746" s="175"/>
      <c r="Q746" s="175"/>
      <c r="R746" s="175"/>
      <c r="S746" s="175"/>
      <c r="T746" s="175"/>
      <c r="U746" s="175"/>
      <c r="V746" s="175"/>
      <c r="W746" s="175"/>
      <c r="X746" s="175"/>
      <c r="Y746" s="175"/>
      <c r="Z746" s="175"/>
    </row>
    <row r="747" ht="15.75" customHeight="1">
      <c r="A747" s="174"/>
      <c r="B747" s="276"/>
      <c r="C747" s="172"/>
      <c r="D747" s="173"/>
      <c r="E747" s="174"/>
      <c r="F747" s="174"/>
      <c r="G747" s="175"/>
      <c r="H747" s="175"/>
      <c r="I747" s="175"/>
      <c r="J747" s="175"/>
      <c r="K747" s="175"/>
      <c r="L747" s="175"/>
      <c r="M747" s="175"/>
      <c r="N747" s="175"/>
      <c r="O747" s="175"/>
      <c r="P747" s="175"/>
      <c r="Q747" s="175"/>
      <c r="R747" s="175"/>
      <c r="S747" s="175"/>
      <c r="T747" s="175"/>
      <c r="U747" s="175"/>
      <c r="V747" s="175"/>
      <c r="W747" s="175"/>
      <c r="X747" s="175"/>
      <c r="Y747" s="175"/>
      <c r="Z747" s="175"/>
    </row>
    <row r="748" ht="15.75" customHeight="1">
      <c r="A748" s="174"/>
      <c r="B748" s="276"/>
      <c r="C748" s="172"/>
      <c r="D748" s="173"/>
      <c r="E748" s="174"/>
      <c r="F748" s="174"/>
      <c r="G748" s="175"/>
      <c r="H748" s="175"/>
      <c r="I748" s="175"/>
      <c r="J748" s="175"/>
      <c r="K748" s="175"/>
      <c r="L748" s="175"/>
      <c r="M748" s="175"/>
      <c r="N748" s="175"/>
      <c r="O748" s="175"/>
      <c r="P748" s="175"/>
      <c r="Q748" s="175"/>
      <c r="R748" s="175"/>
      <c r="S748" s="175"/>
      <c r="T748" s="175"/>
      <c r="U748" s="175"/>
      <c r="V748" s="175"/>
      <c r="W748" s="175"/>
      <c r="X748" s="175"/>
      <c r="Y748" s="175"/>
      <c r="Z748" s="175"/>
    </row>
    <row r="749" ht="15.75" customHeight="1">
      <c r="A749" s="174"/>
      <c r="B749" s="276"/>
      <c r="C749" s="172"/>
      <c r="D749" s="173"/>
      <c r="E749" s="174"/>
      <c r="F749" s="174"/>
      <c r="G749" s="175"/>
      <c r="H749" s="175"/>
      <c r="I749" s="175"/>
      <c r="J749" s="175"/>
      <c r="K749" s="175"/>
      <c r="L749" s="175"/>
      <c r="M749" s="175"/>
      <c r="N749" s="175"/>
      <c r="O749" s="175"/>
      <c r="P749" s="175"/>
      <c r="Q749" s="175"/>
      <c r="R749" s="175"/>
      <c r="S749" s="175"/>
      <c r="T749" s="175"/>
      <c r="U749" s="175"/>
      <c r="V749" s="175"/>
      <c r="W749" s="175"/>
      <c r="X749" s="175"/>
      <c r="Y749" s="175"/>
      <c r="Z749" s="175"/>
    </row>
    <row r="750" ht="15.75" customHeight="1">
      <c r="A750" s="174"/>
      <c r="B750" s="276"/>
      <c r="C750" s="172"/>
      <c r="D750" s="173"/>
      <c r="E750" s="174"/>
      <c r="F750" s="174"/>
      <c r="G750" s="175"/>
      <c r="H750" s="175"/>
      <c r="I750" s="175"/>
      <c r="J750" s="175"/>
      <c r="K750" s="175"/>
      <c r="L750" s="175"/>
      <c r="M750" s="175"/>
      <c r="N750" s="175"/>
      <c r="O750" s="175"/>
      <c r="P750" s="175"/>
      <c r="Q750" s="175"/>
      <c r="R750" s="175"/>
      <c r="S750" s="175"/>
      <c r="T750" s="175"/>
      <c r="U750" s="175"/>
      <c r="V750" s="175"/>
      <c r="W750" s="175"/>
      <c r="X750" s="175"/>
      <c r="Y750" s="175"/>
      <c r="Z750" s="175"/>
    </row>
    <row r="751" ht="15.75" customHeight="1">
      <c r="A751" s="174"/>
      <c r="B751" s="276"/>
      <c r="C751" s="172"/>
      <c r="D751" s="173"/>
      <c r="E751" s="174"/>
      <c r="F751" s="174"/>
      <c r="G751" s="175"/>
      <c r="H751" s="175"/>
      <c r="I751" s="175"/>
      <c r="J751" s="175"/>
      <c r="K751" s="175"/>
      <c r="L751" s="175"/>
      <c r="M751" s="175"/>
      <c r="N751" s="175"/>
      <c r="O751" s="175"/>
      <c r="P751" s="175"/>
      <c r="Q751" s="175"/>
      <c r="R751" s="175"/>
      <c r="S751" s="175"/>
      <c r="T751" s="175"/>
      <c r="U751" s="175"/>
      <c r="V751" s="175"/>
      <c r="W751" s="175"/>
      <c r="X751" s="175"/>
      <c r="Y751" s="175"/>
      <c r="Z751" s="175"/>
    </row>
    <row r="752" ht="15.75" customHeight="1">
      <c r="A752" s="174"/>
      <c r="B752" s="276"/>
      <c r="C752" s="172"/>
      <c r="D752" s="173"/>
      <c r="E752" s="174"/>
      <c r="F752" s="174"/>
      <c r="G752" s="175"/>
      <c r="H752" s="175"/>
      <c r="I752" s="175"/>
      <c r="J752" s="175"/>
      <c r="K752" s="175"/>
      <c r="L752" s="175"/>
      <c r="M752" s="175"/>
      <c r="N752" s="175"/>
      <c r="O752" s="175"/>
      <c r="P752" s="175"/>
      <c r="Q752" s="175"/>
      <c r="R752" s="175"/>
      <c r="S752" s="175"/>
      <c r="T752" s="175"/>
      <c r="U752" s="175"/>
      <c r="V752" s="175"/>
      <c r="W752" s="175"/>
      <c r="X752" s="175"/>
      <c r="Y752" s="175"/>
      <c r="Z752" s="175"/>
    </row>
    <row r="753" ht="15.75" customHeight="1">
      <c r="A753" s="174"/>
      <c r="B753" s="276"/>
      <c r="C753" s="172"/>
      <c r="D753" s="173"/>
      <c r="E753" s="174"/>
      <c r="F753" s="174"/>
      <c r="G753" s="175"/>
      <c r="H753" s="175"/>
      <c r="I753" s="175"/>
      <c r="J753" s="175"/>
      <c r="K753" s="175"/>
      <c r="L753" s="175"/>
      <c r="M753" s="175"/>
      <c r="N753" s="175"/>
      <c r="O753" s="175"/>
      <c r="P753" s="175"/>
      <c r="Q753" s="175"/>
      <c r="R753" s="175"/>
      <c r="S753" s="175"/>
      <c r="T753" s="175"/>
      <c r="U753" s="175"/>
      <c r="V753" s="175"/>
      <c r="W753" s="175"/>
      <c r="X753" s="175"/>
      <c r="Y753" s="175"/>
      <c r="Z753" s="175"/>
    </row>
    <row r="754" ht="15.75" customHeight="1">
      <c r="A754" s="174"/>
      <c r="B754" s="276"/>
      <c r="C754" s="172"/>
      <c r="D754" s="173"/>
      <c r="E754" s="174"/>
      <c r="F754" s="174"/>
      <c r="G754" s="175"/>
      <c r="H754" s="175"/>
      <c r="I754" s="175"/>
      <c r="J754" s="175"/>
      <c r="K754" s="175"/>
      <c r="L754" s="175"/>
      <c r="M754" s="175"/>
      <c r="N754" s="175"/>
      <c r="O754" s="175"/>
      <c r="P754" s="175"/>
      <c r="Q754" s="175"/>
      <c r="R754" s="175"/>
      <c r="S754" s="175"/>
      <c r="T754" s="175"/>
      <c r="U754" s="175"/>
      <c r="V754" s="175"/>
      <c r="W754" s="175"/>
      <c r="X754" s="175"/>
      <c r="Y754" s="175"/>
      <c r="Z754" s="175"/>
    </row>
    <row r="755" ht="15.75" customHeight="1">
      <c r="A755" s="174"/>
      <c r="B755" s="276"/>
      <c r="C755" s="172"/>
      <c r="D755" s="173"/>
      <c r="E755" s="174"/>
      <c r="F755" s="174"/>
      <c r="G755" s="175"/>
      <c r="H755" s="175"/>
      <c r="I755" s="175"/>
      <c r="J755" s="175"/>
      <c r="K755" s="175"/>
      <c r="L755" s="175"/>
      <c r="M755" s="175"/>
      <c r="N755" s="175"/>
      <c r="O755" s="175"/>
      <c r="P755" s="175"/>
      <c r="Q755" s="175"/>
      <c r="R755" s="175"/>
      <c r="S755" s="175"/>
      <c r="T755" s="175"/>
      <c r="U755" s="175"/>
      <c r="V755" s="175"/>
      <c r="W755" s="175"/>
      <c r="X755" s="175"/>
      <c r="Y755" s="175"/>
      <c r="Z755" s="175"/>
    </row>
    <row r="756" ht="15.75" customHeight="1">
      <c r="A756" s="174"/>
      <c r="B756" s="276"/>
      <c r="C756" s="172"/>
      <c r="D756" s="173"/>
      <c r="E756" s="174"/>
      <c r="F756" s="174"/>
      <c r="G756" s="175"/>
      <c r="H756" s="175"/>
      <c r="I756" s="175"/>
      <c r="J756" s="175"/>
      <c r="K756" s="175"/>
      <c r="L756" s="175"/>
      <c r="M756" s="175"/>
      <c r="N756" s="175"/>
      <c r="O756" s="175"/>
      <c r="P756" s="175"/>
      <c r="Q756" s="175"/>
      <c r="R756" s="175"/>
      <c r="S756" s="175"/>
      <c r="T756" s="175"/>
      <c r="U756" s="175"/>
      <c r="V756" s="175"/>
      <c r="W756" s="175"/>
      <c r="X756" s="175"/>
      <c r="Y756" s="175"/>
      <c r="Z756" s="175"/>
    </row>
    <row r="757" ht="15.75" customHeight="1">
      <c r="A757" s="174"/>
      <c r="B757" s="276"/>
      <c r="C757" s="172"/>
      <c r="D757" s="173"/>
      <c r="E757" s="174"/>
      <c r="F757" s="174"/>
      <c r="G757" s="175"/>
      <c r="H757" s="175"/>
      <c r="I757" s="175"/>
      <c r="J757" s="175"/>
      <c r="K757" s="175"/>
      <c r="L757" s="175"/>
      <c r="M757" s="175"/>
      <c r="N757" s="175"/>
      <c r="O757" s="175"/>
      <c r="P757" s="175"/>
      <c r="Q757" s="175"/>
      <c r="R757" s="175"/>
      <c r="S757" s="175"/>
      <c r="T757" s="175"/>
      <c r="U757" s="175"/>
      <c r="V757" s="175"/>
      <c r="W757" s="175"/>
      <c r="X757" s="175"/>
      <c r="Y757" s="175"/>
      <c r="Z757" s="175"/>
    </row>
    <row r="758" ht="15.75" customHeight="1">
      <c r="A758" s="174"/>
      <c r="B758" s="276"/>
      <c r="C758" s="172"/>
      <c r="D758" s="173"/>
      <c r="E758" s="174"/>
      <c r="F758" s="174"/>
      <c r="G758" s="175"/>
      <c r="H758" s="175"/>
      <c r="I758" s="175"/>
      <c r="J758" s="175"/>
      <c r="K758" s="175"/>
      <c r="L758" s="175"/>
      <c r="M758" s="175"/>
      <c r="N758" s="175"/>
      <c r="O758" s="175"/>
      <c r="P758" s="175"/>
      <c r="Q758" s="175"/>
      <c r="R758" s="175"/>
      <c r="S758" s="175"/>
      <c r="T758" s="175"/>
      <c r="U758" s="175"/>
      <c r="V758" s="175"/>
      <c r="W758" s="175"/>
      <c r="X758" s="175"/>
      <c r="Y758" s="175"/>
      <c r="Z758" s="175"/>
    </row>
    <row r="759" ht="15.75" customHeight="1">
      <c r="A759" s="174"/>
      <c r="B759" s="276"/>
      <c r="C759" s="172"/>
      <c r="D759" s="173"/>
      <c r="E759" s="174"/>
      <c r="F759" s="174"/>
      <c r="G759" s="175"/>
      <c r="H759" s="175"/>
      <c r="I759" s="175"/>
      <c r="J759" s="175"/>
      <c r="K759" s="175"/>
      <c r="L759" s="175"/>
      <c r="M759" s="175"/>
      <c r="N759" s="175"/>
      <c r="O759" s="175"/>
      <c r="P759" s="175"/>
      <c r="Q759" s="175"/>
      <c r="R759" s="175"/>
      <c r="S759" s="175"/>
      <c r="T759" s="175"/>
      <c r="U759" s="175"/>
      <c r="V759" s="175"/>
      <c r="W759" s="175"/>
      <c r="X759" s="175"/>
      <c r="Y759" s="175"/>
      <c r="Z759" s="175"/>
    </row>
    <row r="760" ht="15.75" customHeight="1">
      <c r="A760" s="174"/>
      <c r="B760" s="276"/>
      <c r="C760" s="172"/>
      <c r="D760" s="173"/>
      <c r="E760" s="174"/>
      <c r="F760" s="174"/>
      <c r="G760" s="175"/>
      <c r="H760" s="175"/>
      <c r="I760" s="175"/>
      <c r="J760" s="175"/>
      <c r="K760" s="175"/>
      <c r="L760" s="175"/>
      <c r="M760" s="175"/>
      <c r="N760" s="175"/>
      <c r="O760" s="175"/>
      <c r="P760" s="175"/>
      <c r="Q760" s="175"/>
      <c r="R760" s="175"/>
      <c r="S760" s="175"/>
      <c r="T760" s="175"/>
      <c r="U760" s="175"/>
      <c r="V760" s="175"/>
      <c r="W760" s="175"/>
      <c r="X760" s="175"/>
      <c r="Y760" s="175"/>
      <c r="Z760" s="175"/>
    </row>
    <row r="761" ht="15.75" customHeight="1">
      <c r="A761" s="174"/>
      <c r="B761" s="276"/>
      <c r="C761" s="172"/>
      <c r="D761" s="173"/>
      <c r="E761" s="174"/>
      <c r="F761" s="174"/>
      <c r="G761" s="175"/>
      <c r="H761" s="175"/>
      <c r="I761" s="175"/>
      <c r="J761" s="175"/>
      <c r="K761" s="175"/>
      <c r="L761" s="175"/>
      <c r="M761" s="175"/>
      <c r="N761" s="175"/>
      <c r="O761" s="175"/>
      <c r="P761" s="175"/>
      <c r="Q761" s="175"/>
      <c r="R761" s="175"/>
      <c r="S761" s="175"/>
      <c r="T761" s="175"/>
      <c r="U761" s="175"/>
      <c r="V761" s="175"/>
      <c r="W761" s="175"/>
      <c r="X761" s="175"/>
      <c r="Y761" s="175"/>
      <c r="Z761" s="175"/>
    </row>
    <row r="762" ht="15.75" customHeight="1">
      <c r="A762" s="174"/>
      <c r="B762" s="276"/>
      <c r="C762" s="172"/>
      <c r="D762" s="173"/>
      <c r="E762" s="174"/>
      <c r="F762" s="174"/>
      <c r="G762" s="175"/>
      <c r="H762" s="175"/>
      <c r="I762" s="175"/>
      <c r="J762" s="175"/>
      <c r="K762" s="175"/>
      <c r="L762" s="175"/>
      <c r="M762" s="175"/>
      <c r="N762" s="175"/>
      <c r="O762" s="175"/>
      <c r="P762" s="175"/>
      <c r="Q762" s="175"/>
      <c r="R762" s="175"/>
      <c r="S762" s="175"/>
      <c r="T762" s="175"/>
      <c r="U762" s="175"/>
      <c r="V762" s="175"/>
      <c r="W762" s="175"/>
      <c r="X762" s="175"/>
      <c r="Y762" s="175"/>
      <c r="Z762" s="175"/>
    </row>
    <row r="763" ht="15.75" customHeight="1">
      <c r="A763" s="174"/>
      <c r="B763" s="276"/>
      <c r="C763" s="172"/>
      <c r="D763" s="173"/>
      <c r="E763" s="174"/>
      <c r="F763" s="174"/>
      <c r="G763" s="175"/>
      <c r="H763" s="175"/>
      <c r="I763" s="175"/>
      <c r="J763" s="175"/>
      <c r="K763" s="175"/>
      <c r="L763" s="175"/>
      <c r="M763" s="175"/>
      <c r="N763" s="175"/>
      <c r="O763" s="175"/>
      <c r="P763" s="175"/>
      <c r="Q763" s="175"/>
      <c r="R763" s="175"/>
      <c r="S763" s="175"/>
      <c r="T763" s="175"/>
      <c r="U763" s="175"/>
      <c r="V763" s="175"/>
      <c r="W763" s="175"/>
      <c r="X763" s="175"/>
      <c r="Y763" s="175"/>
      <c r="Z763" s="175"/>
    </row>
    <row r="764" ht="15.75" customHeight="1">
      <c r="A764" s="174"/>
      <c r="B764" s="276"/>
      <c r="C764" s="172"/>
      <c r="D764" s="173"/>
      <c r="E764" s="174"/>
      <c r="F764" s="174"/>
      <c r="G764" s="175"/>
      <c r="H764" s="175"/>
      <c r="I764" s="175"/>
      <c r="J764" s="175"/>
      <c r="K764" s="175"/>
      <c r="L764" s="175"/>
      <c r="M764" s="175"/>
      <c r="N764" s="175"/>
      <c r="O764" s="175"/>
      <c r="P764" s="175"/>
      <c r="Q764" s="175"/>
      <c r="R764" s="175"/>
      <c r="S764" s="175"/>
      <c r="T764" s="175"/>
      <c r="U764" s="175"/>
      <c r="V764" s="175"/>
      <c r="W764" s="175"/>
      <c r="X764" s="175"/>
      <c r="Y764" s="175"/>
      <c r="Z764" s="175"/>
    </row>
    <row r="765" ht="15.75" customHeight="1">
      <c r="A765" s="174"/>
      <c r="B765" s="276"/>
      <c r="C765" s="172"/>
      <c r="D765" s="173"/>
      <c r="E765" s="174"/>
      <c r="F765" s="174"/>
      <c r="G765" s="175"/>
      <c r="H765" s="175"/>
      <c r="I765" s="175"/>
      <c r="J765" s="175"/>
      <c r="K765" s="175"/>
      <c r="L765" s="175"/>
      <c r="M765" s="175"/>
      <c r="N765" s="175"/>
      <c r="O765" s="175"/>
      <c r="P765" s="175"/>
      <c r="Q765" s="175"/>
      <c r="R765" s="175"/>
      <c r="S765" s="175"/>
      <c r="T765" s="175"/>
      <c r="U765" s="175"/>
      <c r="V765" s="175"/>
      <c r="W765" s="175"/>
      <c r="X765" s="175"/>
      <c r="Y765" s="175"/>
      <c r="Z765" s="175"/>
    </row>
    <row r="766" ht="15.75" customHeight="1">
      <c r="A766" s="174"/>
      <c r="B766" s="276"/>
      <c r="C766" s="172"/>
      <c r="D766" s="173"/>
      <c r="E766" s="174"/>
      <c r="F766" s="174"/>
      <c r="G766" s="175"/>
      <c r="H766" s="175"/>
      <c r="I766" s="175"/>
      <c r="J766" s="175"/>
      <c r="K766" s="175"/>
      <c r="L766" s="175"/>
      <c r="M766" s="175"/>
      <c r="N766" s="175"/>
      <c r="O766" s="175"/>
      <c r="P766" s="175"/>
      <c r="Q766" s="175"/>
      <c r="R766" s="175"/>
      <c r="S766" s="175"/>
      <c r="T766" s="175"/>
      <c r="U766" s="175"/>
      <c r="V766" s="175"/>
      <c r="W766" s="175"/>
      <c r="X766" s="175"/>
      <c r="Y766" s="175"/>
      <c r="Z766" s="175"/>
    </row>
    <row r="767" ht="15.75" customHeight="1">
      <c r="A767" s="174"/>
      <c r="B767" s="276"/>
      <c r="C767" s="172"/>
      <c r="D767" s="173"/>
      <c r="E767" s="174"/>
      <c r="F767" s="174"/>
      <c r="G767" s="175"/>
      <c r="H767" s="175"/>
      <c r="I767" s="175"/>
      <c r="J767" s="175"/>
      <c r="K767" s="175"/>
      <c r="L767" s="175"/>
      <c r="M767" s="175"/>
      <c r="N767" s="175"/>
      <c r="O767" s="175"/>
      <c r="P767" s="175"/>
      <c r="Q767" s="175"/>
      <c r="R767" s="175"/>
      <c r="S767" s="175"/>
      <c r="T767" s="175"/>
      <c r="U767" s="175"/>
      <c r="V767" s="175"/>
      <c r="W767" s="175"/>
      <c r="X767" s="175"/>
      <c r="Y767" s="175"/>
      <c r="Z767" s="175"/>
    </row>
    <row r="768" ht="15.75" customHeight="1">
      <c r="A768" s="174"/>
      <c r="B768" s="276"/>
      <c r="C768" s="172"/>
      <c r="D768" s="173"/>
      <c r="E768" s="174"/>
      <c r="F768" s="174"/>
      <c r="G768" s="175"/>
      <c r="H768" s="175"/>
      <c r="I768" s="175"/>
      <c r="J768" s="175"/>
      <c r="K768" s="175"/>
      <c r="L768" s="175"/>
      <c r="M768" s="175"/>
      <c r="N768" s="175"/>
      <c r="O768" s="175"/>
      <c r="P768" s="175"/>
      <c r="Q768" s="175"/>
      <c r="R768" s="175"/>
      <c r="S768" s="175"/>
      <c r="T768" s="175"/>
      <c r="U768" s="175"/>
      <c r="V768" s="175"/>
      <c r="W768" s="175"/>
      <c r="X768" s="175"/>
      <c r="Y768" s="175"/>
      <c r="Z768" s="175"/>
    </row>
    <row r="769" ht="15.75" customHeight="1">
      <c r="A769" s="174"/>
      <c r="B769" s="276"/>
      <c r="C769" s="172"/>
      <c r="D769" s="173"/>
      <c r="E769" s="174"/>
      <c r="F769" s="174"/>
      <c r="G769" s="175"/>
      <c r="H769" s="175"/>
      <c r="I769" s="175"/>
      <c r="J769" s="175"/>
      <c r="K769" s="175"/>
      <c r="L769" s="175"/>
      <c r="M769" s="175"/>
      <c r="N769" s="175"/>
      <c r="O769" s="175"/>
      <c r="P769" s="175"/>
      <c r="Q769" s="175"/>
      <c r="R769" s="175"/>
      <c r="S769" s="175"/>
      <c r="T769" s="175"/>
      <c r="U769" s="175"/>
      <c r="V769" s="175"/>
      <c r="W769" s="175"/>
      <c r="X769" s="175"/>
      <c r="Y769" s="175"/>
      <c r="Z769" s="175"/>
    </row>
    <row r="770" ht="15.75" customHeight="1">
      <c r="A770" s="174"/>
      <c r="B770" s="276"/>
      <c r="C770" s="172"/>
      <c r="D770" s="173"/>
      <c r="E770" s="174"/>
      <c r="F770" s="174"/>
      <c r="G770" s="175"/>
      <c r="H770" s="175"/>
      <c r="I770" s="175"/>
      <c r="J770" s="175"/>
      <c r="K770" s="175"/>
      <c r="L770" s="175"/>
      <c r="M770" s="175"/>
      <c r="N770" s="175"/>
      <c r="O770" s="175"/>
      <c r="P770" s="175"/>
      <c r="Q770" s="175"/>
      <c r="R770" s="175"/>
      <c r="S770" s="175"/>
      <c r="T770" s="175"/>
      <c r="U770" s="175"/>
      <c r="V770" s="175"/>
      <c r="W770" s="175"/>
      <c r="X770" s="175"/>
      <c r="Y770" s="175"/>
      <c r="Z770" s="175"/>
    </row>
    <row r="771" ht="15.75" customHeight="1">
      <c r="A771" s="174"/>
      <c r="B771" s="276"/>
      <c r="C771" s="172"/>
      <c r="D771" s="173"/>
      <c r="E771" s="174"/>
      <c r="F771" s="174"/>
      <c r="G771" s="175"/>
      <c r="H771" s="175"/>
      <c r="I771" s="175"/>
      <c r="J771" s="175"/>
      <c r="K771" s="175"/>
      <c r="L771" s="175"/>
      <c r="M771" s="175"/>
      <c r="N771" s="175"/>
      <c r="O771" s="175"/>
      <c r="P771" s="175"/>
      <c r="Q771" s="175"/>
      <c r="R771" s="175"/>
      <c r="S771" s="175"/>
      <c r="T771" s="175"/>
      <c r="U771" s="175"/>
      <c r="V771" s="175"/>
      <c r="W771" s="175"/>
      <c r="X771" s="175"/>
      <c r="Y771" s="175"/>
      <c r="Z771" s="175"/>
    </row>
    <row r="772" ht="15.75" customHeight="1">
      <c r="A772" s="174"/>
      <c r="B772" s="276"/>
      <c r="C772" s="172"/>
      <c r="D772" s="173"/>
      <c r="E772" s="174"/>
      <c r="F772" s="174"/>
      <c r="G772" s="175"/>
      <c r="H772" s="175"/>
      <c r="I772" s="175"/>
      <c r="J772" s="175"/>
      <c r="K772" s="175"/>
      <c r="L772" s="175"/>
      <c r="M772" s="175"/>
      <c r="N772" s="175"/>
      <c r="O772" s="175"/>
      <c r="P772" s="175"/>
      <c r="Q772" s="175"/>
      <c r="R772" s="175"/>
      <c r="S772" s="175"/>
      <c r="T772" s="175"/>
      <c r="U772" s="175"/>
      <c r="V772" s="175"/>
      <c r="W772" s="175"/>
      <c r="X772" s="175"/>
      <c r="Y772" s="175"/>
      <c r="Z772" s="175"/>
    </row>
    <row r="773" ht="15.75" customHeight="1">
      <c r="A773" s="174"/>
      <c r="B773" s="276"/>
      <c r="C773" s="172"/>
      <c r="D773" s="173"/>
      <c r="E773" s="174"/>
      <c r="F773" s="174"/>
      <c r="G773" s="175"/>
      <c r="H773" s="175"/>
      <c r="I773" s="175"/>
      <c r="J773" s="175"/>
      <c r="K773" s="175"/>
      <c r="L773" s="175"/>
      <c r="M773" s="175"/>
      <c r="N773" s="175"/>
      <c r="O773" s="175"/>
      <c r="P773" s="175"/>
      <c r="Q773" s="175"/>
      <c r="R773" s="175"/>
      <c r="S773" s="175"/>
      <c r="T773" s="175"/>
      <c r="U773" s="175"/>
      <c r="V773" s="175"/>
      <c r="W773" s="175"/>
      <c r="X773" s="175"/>
      <c r="Y773" s="175"/>
      <c r="Z773" s="175"/>
    </row>
    <row r="774" ht="15.75" customHeight="1">
      <c r="A774" s="174"/>
      <c r="B774" s="276"/>
      <c r="C774" s="172"/>
      <c r="D774" s="173"/>
      <c r="E774" s="174"/>
      <c r="F774" s="174"/>
      <c r="G774" s="175"/>
      <c r="H774" s="175"/>
      <c r="I774" s="175"/>
      <c r="J774" s="175"/>
      <c r="K774" s="175"/>
      <c r="L774" s="175"/>
      <c r="M774" s="175"/>
      <c r="N774" s="175"/>
      <c r="O774" s="175"/>
      <c r="P774" s="175"/>
      <c r="Q774" s="175"/>
      <c r="R774" s="175"/>
      <c r="S774" s="175"/>
      <c r="T774" s="175"/>
      <c r="U774" s="175"/>
      <c r="V774" s="175"/>
      <c r="W774" s="175"/>
      <c r="X774" s="175"/>
      <c r="Y774" s="175"/>
      <c r="Z774" s="175"/>
    </row>
    <row r="775" ht="15.75" customHeight="1">
      <c r="A775" s="174"/>
      <c r="B775" s="276"/>
      <c r="C775" s="172"/>
      <c r="D775" s="173"/>
      <c r="E775" s="174"/>
      <c r="F775" s="174"/>
      <c r="G775" s="175"/>
      <c r="H775" s="175"/>
      <c r="I775" s="175"/>
      <c r="J775" s="175"/>
      <c r="K775" s="175"/>
      <c r="L775" s="175"/>
      <c r="M775" s="175"/>
      <c r="N775" s="175"/>
      <c r="O775" s="175"/>
      <c r="P775" s="175"/>
      <c r="Q775" s="175"/>
      <c r="R775" s="175"/>
      <c r="S775" s="175"/>
      <c r="T775" s="175"/>
      <c r="U775" s="175"/>
      <c r="V775" s="175"/>
      <c r="W775" s="175"/>
      <c r="X775" s="175"/>
      <c r="Y775" s="175"/>
      <c r="Z775" s="175"/>
    </row>
    <row r="776" ht="15.75" customHeight="1">
      <c r="A776" s="174"/>
      <c r="B776" s="276"/>
      <c r="C776" s="172"/>
      <c r="D776" s="173"/>
      <c r="E776" s="174"/>
      <c r="F776" s="174"/>
      <c r="G776" s="175"/>
      <c r="H776" s="175"/>
      <c r="I776" s="175"/>
      <c r="J776" s="175"/>
      <c r="K776" s="175"/>
      <c r="L776" s="175"/>
      <c r="M776" s="175"/>
      <c r="N776" s="175"/>
      <c r="O776" s="175"/>
      <c r="P776" s="175"/>
      <c r="Q776" s="175"/>
      <c r="R776" s="175"/>
      <c r="S776" s="175"/>
      <c r="T776" s="175"/>
      <c r="U776" s="175"/>
      <c r="V776" s="175"/>
      <c r="W776" s="175"/>
      <c r="X776" s="175"/>
      <c r="Y776" s="175"/>
      <c r="Z776" s="175"/>
    </row>
    <row r="777" ht="15.75" customHeight="1">
      <c r="A777" s="174"/>
      <c r="B777" s="276"/>
      <c r="C777" s="172"/>
      <c r="D777" s="173"/>
      <c r="E777" s="174"/>
      <c r="F777" s="174"/>
      <c r="G777" s="175"/>
      <c r="H777" s="175"/>
      <c r="I777" s="175"/>
      <c r="J777" s="175"/>
      <c r="K777" s="175"/>
      <c r="L777" s="175"/>
      <c r="M777" s="175"/>
      <c r="N777" s="175"/>
      <c r="O777" s="175"/>
      <c r="P777" s="175"/>
      <c r="Q777" s="175"/>
      <c r="R777" s="175"/>
      <c r="S777" s="175"/>
      <c r="T777" s="175"/>
      <c r="U777" s="175"/>
      <c r="V777" s="175"/>
      <c r="W777" s="175"/>
      <c r="X777" s="175"/>
      <c r="Y777" s="175"/>
      <c r="Z777" s="175"/>
    </row>
    <row r="778" ht="15.75" customHeight="1">
      <c r="A778" s="174"/>
      <c r="B778" s="276"/>
      <c r="C778" s="172"/>
      <c r="D778" s="173"/>
      <c r="E778" s="174"/>
      <c r="F778" s="174"/>
      <c r="G778" s="175"/>
      <c r="H778" s="175"/>
      <c r="I778" s="175"/>
      <c r="J778" s="175"/>
      <c r="K778" s="175"/>
      <c r="L778" s="175"/>
      <c r="M778" s="175"/>
      <c r="N778" s="175"/>
      <c r="O778" s="175"/>
      <c r="P778" s="175"/>
      <c r="Q778" s="175"/>
      <c r="R778" s="175"/>
      <c r="S778" s="175"/>
      <c r="T778" s="175"/>
      <c r="U778" s="175"/>
      <c r="V778" s="175"/>
      <c r="W778" s="175"/>
      <c r="X778" s="175"/>
      <c r="Y778" s="175"/>
      <c r="Z778" s="175"/>
    </row>
    <row r="779" ht="15.75" customHeight="1">
      <c r="A779" s="174"/>
      <c r="B779" s="276"/>
      <c r="C779" s="172"/>
      <c r="D779" s="173"/>
      <c r="E779" s="174"/>
      <c r="F779" s="174"/>
      <c r="G779" s="175"/>
      <c r="H779" s="175"/>
      <c r="I779" s="175"/>
      <c r="J779" s="175"/>
      <c r="K779" s="175"/>
      <c r="L779" s="175"/>
      <c r="M779" s="175"/>
      <c r="N779" s="175"/>
      <c r="O779" s="175"/>
      <c r="P779" s="175"/>
      <c r="Q779" s="175"/>
      <c r="R779" s="175"/>
      <c r="S779" s="175"/>
      <c r="T779" s="175"/>
      <c r="U779" s="175"/>
      <c r="V779" s="175"/>
      <c r="W779" s="175"/>
      <c r="X779" s="175"/>
      <c r="Y779" s="175"/>
      <c r="Z779" s="175"/>
    </row>
    <row r="780" ht="15.75" customHeight="1">
      <c r="A780" s="174"/>
      <c r="B780" s="276"/>
      <c r="C780" s="172"/>
      <c r="D780" s="173"/>
      <c r="E780" s="174"/>
      <c r="F780" s="174"/>
      <c r="G780" s="175"/>
      <c r="H780" s="175"/>
      <c r="I780" s="175"/>
      <c r="J780" s="175"/>
      <c r="K780" s="175"/>
      <c r="L780" s="175"/>
      <c r="M780" s="175"/>
      <c r="N780" s="175"/>
      <c r="O780" s="175"/>
      <c r="P780" s="175"/>
      <c r="Q780" s="175"/>
      <c r="R780" s="175"/>
      <c r="S780" s="175"/>
      <c r="T780" s="175"/>
      <c r="U780" s="175"/>
      <c r="V780" s="175"/>
      <c r="W780" s="175"/>
      <c r="X780" s="175"/>
      <c r="Y780" s="175"/>
      <c r="Z780" s="175"/>
    </row>
    <row r="781" ht="15.75" customHeight="1">
      <c r="A781" s="174"/>
      <c r="B781" s="276"/>
      <c r="C781" s="172"/>
      <c r="D781" s="173"/>
      <c r="E781" s="174"/>
      <c r="F781" s="174"/>
      <c r="G781" s="175"/>
      <c r="H781" s="175"/>
      <c r="I781" s="175"/>
      <c r="J781" s="175"/>
      <c r="K781" s="175"/>
      <c r="L781" s="175"/>
      <c r="M781" s="175"/>
      <c r="N781" s="175"/>
      <c r="O781" s="175"/>
      <c r="P781" s="175"/>
      <c r="Q781" s="175"/>
      <c r="R781" s="175"/>
      <c r="S781" s="175"/>
      <c r="T781" s="175"/>
      <c r="U781" s="175"/>
      <c r="V781" s="175"/>
      <c r="W781" s="175"/>
      <c r="X781" s="175"/>
      <c r="Y781" s="175"/>
      <c r="Z781" s="175"/>
    </row>
    <row r="782" ht="15.75" customHeight="1">
      <c r="A782" s="174"/>
      <c r="B782" s="276"/>
      <c r="C782" s="172"/>
      <c r="D782" s="173"/>
      <c r="E782" s="174"/>
      <c r="F782" s="174"/>
      <c r="G782" s="175"/>
      <c r="H782" s="175"/>
      <c r="I782" s="175"/>
      <c r="J782" s="175"/>
      <c r="K782" s="175"/>
      <c r="L782" s="175"/>
      <c r="M782" s="175"/>
      <c r="N782" s="175"/>
      <c r="O782" s="175"/>
      <c r="P782" s="175"/>
      <c r="Q782" s="175"/>
      <c r="R782" s="175"/>
      <c r="S782" s="175"/>
      <c r="T782" s="175"/>
      <c r="U782" s="175"/>
      <c r="V782" s="175"/>
      <c r="W782" s="175"/>
      <c r="X782" s="175"/>
      <c r="Y782" s="175"/>
      <c r="Z782" s="175"/>
    </row>
    <row r="783" ht="15.75" customHeight="1">
      <c r="A783" s="174"/>
      <c r="B783" s="276"/>
      <c r="C783" s="172"/>
      <c r="D783" s="173"/>
      <c r="E783" s="174"/>
      <c r="F783" s="174"/>
      <c r="G783" s="175"/>
      <c r="H783" s="175"/>
      <c r="I783" s="175"/>
      <c r="J783" s="175"/>
      <c r="K783" s="175"/>
      <c r="L783" s="175"/>
      <c r="M783" s="175"/>
      <c r="N783" s="175"/>
      <c r="O783" s="175"/>
      <c r="P783" s="175"/>
      <c r="Q783" s="175"/>
      <c r="R783" s="175"/>
      <c r="S783" s="175"/>
      <c r="T783" s="175"/>
      <c r="U783" s="175"/>
      <c r="V783" s="175"/>
      <c r="W783" s="175"/>
      <c r="X783" s="175"/>
      <c r="Y783" s="175"/>
      <c r="Z783" s="175"/>
    </row>
    <row r="784" ht="15.75" customHeight="1">
      <c r="A784" s="174"/>
      <c r="B784" s="276"/>
      <c r="C784" s="172"/>
      <c r="D784" s="173"/>
      <c r="E784" s="174"/>
      <c r="F784" s="174"/>
      <c r="G784" s="175"/>
      <c r="H784" s="175"/>
      <c r="I784" s="175"/>
      <c r="J784" s="175"/>
      <c r="K784" s="175"/>
      <c r="L784" s="175"/>
      <c r="M784" s="175"/>
      <c r="N784" s="175"/>
      <c r="O784" s="175"/>
      <c r="P784" s="175"/>
      <c r="Q784" s="175"/>
      <c r="R784" s="175"/>
      <c r="S784" s="175"/>
      <c r="T784" s="175"/>
      <c r="U784" s="175"/>
      <c r="V784" s="175"/>
      <c r="W784" s="175"/>
      <c r="X784" s="175"/>
      <c r="Y784" s="175"/>
      <c r="Z784" s="175"/>
    </row>
    <row r="785" ht="15.75" customHeight="1">
      <c r="A785" s="174"/>
      <c r="B785" s="276"/>
      <c r="C785" s="172"/>
      <c r="D785" s="173"/>
      <c r="E785" s="174"/>
      <c r="F785" s="174"/>
      <c r="G785" s="175"/>
      <c r="H785" s="175"/>
      <c r="I785" s="175"/>
      <c r="J785" s="175"/>
      <c r="K785" s="175"/>
      <c r="L785" s="175"/>
      <c r="M785" s="175"/>
      <c r="N785" s="175"/>
      <c r="O785" s="175"/>
      <c r="P785" s="175"/>
      <c r="Q785" s="175"/>
      <c r="R785" s="175"/>
      <c r="S785" s="175"/>
      <c r="T785" s="175"/>
      <c r="U785" s="175"/>
      <c r="V785" s="175"/>
      <c r="W785" s="175"/>
      <c r="X785" s="175"/>
      <c r="Y785" s="175"/>
      <c r="Z785" s="175"/>
    </row>
    <row r="786" ht="15.75" customHeight="1">
      <c r="A786" s="174"/>
      <c r="B786" s="276"/>
      <c r="C786" s="172"/>
      <c r="D786" s="173"/>
      <c r="E786" s="174"/>
      <c r="F786" s="174"/>
      <c r="G786" s="175"/>
      <c r="H786" s="175"/>
      <c r="I786" s="175"/>
      <c r="J786" s="175"/>
      <c r="K786" s="175"/>
      <c r="L786" s="175"/>
      <c r="M786" s="175"/>
      <c r="N786" s="175"/>
      <c r="O786" s="175"/>
      <c r="P786" s="175"/>
      <c r="Q786" s="175"/>
      <c r="R786" s="175"/>
      <c r="S786" s="175"/>
      <c r="T786" s="175"/>
      <c r="U786" s="175"/>
      <c r="V786" s="175"/>
      <c r="W786" s="175"/>
      <c r="X786" s="175"/>
      <c r="Y786" s="175"/>
      <c r="Z786" s="175"/>
    </row>
    <row r="787" ht="15.75" customHeight="1">
      <c r="A787" s="174"/>
      <c r="B787" s="276"/>
      <c r="C787" s="172"/>
      <c r="D787" s="173"/>
      <c r="E787" s="174"/>
      <c r="F787" s="174"/>
      <c r="G787" s="175"/>
      <c r="H787" s="175"/>
      <c r="I787" s="175"/>
      <c r="J787" s="175"/>
      <c r="K787" s="175"/>
      <c r="L787" s="175"/>
      <c r="M787" s="175"/>
      <c r="N787" s="175"/>
      <c r="O787" s="175"/>
      <c r="P787" s="175"/>
      <c r="Q787" s="175"/>
      <c r="R787" s="175"/>
      <c r="S787" s="175"/>
      <c r="T787" s="175"/>
      <c r="U787" s="175"/>
      <c r="V787" s="175"/>
      <c r="W787" s="175"/>
      <c r="X787" s="175"/>
      <c r="Y787" s="175"/>
      <c r="Z787" s="175"/>
    </row>
    <row r="788" ht="15.75" customHeight="1">
      <c r="A788" s="174"/>
      <c r="B788" s="276"/>
      <c r="C788" s="172"/>
      <c r="D788" s="173"/>
      <c r="E788" s="174"/>
      <c r="F788" s="174"/>
      <c r="G788" s="175"/>
      <c r="H788" s="175"/>
      <c r="I788" s="175"/>
      <c r="J788" s="175"/>
      <c r="K788" s="175"/>
      <c r="L788" s="175"/>
      <c r="M788" s="175"/>
      <c r="N788" s="175"/>
      <c r="O788" s="175"/>
      <c r="P788" s="175"/>
      <c r="Q788" s="175"/>
      <c r="R788" s="175"/>
      <c r="S788" s="175"/>
      <c r="T788" s="175"/>
      <c r="U788" s="175"/>
      <c r="V788" s="175"/>
      <c r="W788" s="175"/>
      <c r="X788" s="175"/>
      <c r="Y788" s="175"/>
      <c r="Z788" s="175"/>
    </row>
    <row r="789" ht="15.75" customHeight="1">
      <c r="A789" s="174"/>
      <c r="B789" s="276"/>
      <c r="C789" s="172"/>
      <c r="D789" s="173"/>
      <c r="E789" s="174"/>
      <c r="F789" s="174"/>
      <c r="G789" s="175"/>
      <c r="H789" s="175"/>
      <c r="I789" s="175"/>
      <c r="J789" s="175"/>
      <c r="K789" s="175"/>
      <c r="L789" s="175"/>
      <c r="M789" s="175"/>
      <c r="N789" s="175"/>
      <c r="O789" s="175"/>
      <c r="P789" s="175"/>
      <c r="Q789" s="175"/>
      <c r="R789" s="175"/>
      <c r="S789" s="175"/>
      <c r="T789" s="175"/>
      <c r="U789" s="175"/>
      <c r="V789" s="175"/>
      <c r="W789" s="175"/>
      <c r="X789" s="175"/>
      <c r="Y789" s="175"/>
      <c r="Z789" s="175"/>
    </row>
    <row r="790" ht="15.75" customHeight="1">
      <c r="A790" s="174"/>
      <c r="B790" s="276"/>
      <c r="C790" s="172"/>
      <c r="D790" s="173"/>
      <c r="E790" s="174"/>
      <c r="F790" s="174"/>
      <c r="G790" s="175"/>
      <c r="H790" s="175"/>
      <c r="I790" s="175"/>
      <c r="J790" s="175"/>
      <c r="K790" s="175"/>
      <c r="L790" s="175"/>
      <c r="M790" s="175"/>
      <c r="N790" s="175"/>
      <c r="O790" s="175"/>
      <c r="P790" s="175"/>
      <c r="Q790" s="175"/>
      <c r="R790" s="175"/>
      <c r="S790" s="175"/>
      <c r="T790" s="175"/>
      <c r="U790" s="175"/>
      <c r="V790" s="175"/>
      <c r="W790" s="175"/>
      <c r="X790" s="175"/>
      <c r="Y790" s="175"/>
      <c r="Z790" s="175"/>
    </row>
    <row r="791" ht="15.75" customHeight="1">
      <c r="A791" s="174"/>
      <c r="B791" s="276"/>
      <c r="C791" s="172"/>
      <c r="D791" s="173"/>
      <c r="E791" s="174"/>
      <c r="F791" s="174"/>
      <c r="G791" s="175"/>
      <c r="H791" s="175"/>
      <c r="I791" s="175"/>
      <c r="J791" s="175"/>
      <c r="K791" s="175"/>
      <c r="L791" s="175"/>
      <c r="M791" s="175"/>
      <c r="N791" s="175"/>
      <c r="O791" s="175"/>
      <c r="P791" s="175"/>
      <c r="Q791" s="175"/>
      <c r="R791" s="175"/>
      <c r="S791" s="175"/>
      <c r="T791" s="175"/>
      <c r="U791" s="175"/>
      <c r="V791" s="175"/>
      <c r="W791" s="175"/>
      <c r="X791" s="175"/>
      <c r="Y791" s="175"/>
      <c r="Z791" s="175"/>
    </row>
    <row r="792" ht="15.75" customHeight="1">
      <c r="A792" s="174"/>
      <c r="B792" s="276"/>
      <c r="C792" s="172"/>
      <c r="D792" s="173"/>
      <c r="E792" s="174"/>
      <c r="F792" s="174"/>
      <c r="G792" s="175"/>
      <c r="H792" s="175"/>
      <c r="I792" s="175"/>
      <c r="J792" s="175"/>
      <c r="K792" s="175"/>
      <c r="L792" s="175"/>
      <c r="M792" s="175"/>
      <c r="N792" s="175"/>
      <c r="O792" s="175"/>
      <c r="P792" s="175"/>
      <c r="Q792" s="175"/>
      <c r="R792" s="175"/>
      <c r="S792" s="175"/>
      <c r="T792" s="175"/>
      <c r="U792" s="175"/>
      <c r="V792" s="175"/>
      <c r="W792" s="175"/>
      <c r="X792" s="175"/>
      <c r="Y792" s="175"/>
      <c r="Z792" s="175"/>
    </row>
    <row r="793" ht="15.75" customHeight="1">
      <c r="A793" s="174"/>
      <c r="B793" s="276"/>
      <c r="C793" s="172"/>
      <c r="D793" s="173"/>
      <c r="E793" s="174"/>
      <c r="F793" s="174"/>
      <c r="G793" s="175"/>
      <c r="H793" s="175"/>
      <c r="I793" s="175"/>
      <c r="J793" s="175"/>
      <c r="K793" s="175"/>
      <c r="L793" s="175"/>
      <c r="M793" s="175"/>
      <c r="N793" s="175"/>
      <c r="O793" s="175"/>
      <c r="P793" s="175"/>
      <c r="Q793" s="175"/>
      <c r="R793" s="175"/>
      <c r="S793" s="175"/>
      <c r="T793" s="175"/>
      <c r="U793" s="175"/>
      <c r="V793" s="175"/>
      <c r="W793" s="175"/>
      <c r="X793" s="175"/>
      <c r="Y793" s="175"/>
      <c r="Z793" s="175"/>
    </row>
    <row r="794" ht="15.75" customHeight="1">
      <c r="A794" s="174"/>
      <c r="B794" s="276"/>
      <c r="C794" s="172"/>
      <c r="D794" s="173"/>
      <c r="E794" s="174"/>
      <c r="F794" s="174"/>
      <c r="G794" s="175"/>
      <c r="H794" s="175"/>
      <c r="I794" s="175"/>
      <c r="J794" s="175"/>
      <c r="K794" s="175"/>
      <c r="L794" s="175"/>
      <c r="M794" s="175"/>
      <c r="N794" s="175"/>
      <c r="O794" s="175"/>
      <c r="P794" s="175"/>
      <c r="Q794" s="175"/>
      <c r="R794" s="175"/>
      <c r="S794" s="175"/>
      <c r="T794" s="175"/>
      <c r="U794" s="175"/>
      <c r="V794" s="175"/>
      <c r="W794" s="175"/>
      <c r="X794" s="175"/>
      <c r="Y794" s="175"/>
      <c r="Z794" s="175"/>
    </row>
    <row r="795" ht="15.75" customHeight="1">
      <c r="A795" s="174"/>
      <c r="B795" s="276"/>
      <c r="C795" s="172"/>
      <c r="D795" s="173"/>
      <c r="E795" s="174"/>
      <c r="F795" s="174"/>
      <c r="G795" s="175"/>
      <c r="H795" s="175"/>
      <c r="I795" s="175"/>
      <c r="J795" s="175"/>
      <c r="K795" s="175"/>
      <c r="L795" s="175"/>
      <c r="M795" s="175"/>
      <c r="N795" s="175"/>
      <c r="O795" s="175"/>
      <c r="P795" s="175"/>
      <c r="Q795" s="175"/>
      <c r="R795" s="175"/>
      <c r="S795" s="175"/>
      <c r="T795" s="175"/>
      <c r="U795" s="175"/>
      <c r="V795" s="175"/>
      <c r="W795" s="175"/>
      <c r="X795" s="175"/>
      <c r="Y795" s="175"/>
      <c r="Z795" s="175"/>
    </row>
    <row r="796" ht="15.75" customHeight="1">
      <c r="A796" s="174"/>
      <c r="B796" s="276"/>
      <c r="C796" s="172"/>
      <c r="D796" s="173"/>
      <c r="E796" s="174"/>
      <c r="F796" s="174"/>
      <c r="G796" s="175"/>
      <c r="H796" s="175"/>
      <c r="I796" s="175"/>
      <c r="J796" s="175"/>
      <c r="K796" s="175"/>
      <c r="L796" s="175"/>
      <c r="M796" s="175"/>
      <c r="N796" s="175"/>
      <c r="O796" s="175"/>
      <c r="P796" s="175"/>
      <c r="Q796" s="175"/>
      <c r="R796" s="175"/>
      <c r="S796" s="175"/>
      <c r="T796" s="175"/>
      <c r="U796" s="175"/>
      <c r="V796" s="175"/>
      <c r="W796" s="175"/>
      <c r="X796" s="175"/>
      <c r="Y796" s="175"/>
      <c r="Z796" s="175"/>
    </row>
    <row r="797" ht="15.75" customHeight="1">
      <c r="A797" s="174"/>
      <c r="B797" s="276"/>
      <c r="C797" s="172"/>
      <c r="D797" s="173"/>
      <c r="E797" s="174"/>
      <c r="F797" s="174"/>
      <c r="G797" s="175"/>
      <c r="H797" s="175"/>
      <c r="I797" s="175"/>
      <c r="J797" s="175"/>
      <c r="K797" s="175"/>
      <c r="L797" s="175"/>
      <c r="M797" s="175"/>
      <c r="N797" s="175"/>
      <c r="O797" s="175"/>
      <c r="P797" s="175"/>
      <c r="Q797" s="175"/>
      <c r="R797" s="175"/>
      <c r="S797" s="175"/>
      <c r="T797" s="175"/>
      <c r="U797" s="175"/>
      <c r="V797" s="175"/>
      <c r="W797" s="175"/>
      <c r="X797" s="175"/>
      <c r="Y797" s="175"/>
      <c r="Z797" s="175"/>
    </row>
    <row r="798" ht="15.75" customHeight="1">
      <c r="A798" s="174"/>
      <c r="B798" s="276"/>
      <c r="C798" s="172"/>
      <c r="D798" s="173"/>
      <c r="E798" s="174"/>
      <c r="F798" s="174"/>
      <c r="G798" s="175"/>
      <c r="H798" s="175"/>
      <c r="I798" s="175"/>
      <c r="J798" s="175"/>
      <c r="K798" s="175"/>
      <c r="L798" s="175"/>
      <c r="M798" s="175"/>
      <c r="N798" s="175"/>
      <c r="O798" s="175"/>
      <c r="P798" s="175"/>
      <c r="Q798" s="175"/>
      <c r="R798" s="175"/>
      <c r="S798" s="175"/>
      <c r="T798" s="175"/>
      <c r="U798" s="175"/>
      <c r="V798" s="175"/>
      <c r="W798" s="175"/>
      <c r="X798" s="175"/>
      <c r="Y798" s="175"/>
      <c r="Z798" s="175"/>
    </row>
    <row r="799" ht="15.75" customHeight="1">
      <c r="A799" s="174"/>
      <c r="B799" s="276"/>
      <c r="C799" s="172"/>
      <c r="D799" s="173"/>
      <c r="E799" s="174"/>
      <c r="F799" s="174"/>
      <c r="G799" s="175"/>
      <c r="H799" s="175"/>
      <c r="I799" s="175"/>
      <c r="J799" s="175"/>
      <c r="K799" s="175"/>
      <c r="L799" s="175"/>
      <c r="M799" s="175"/>
      <c r="N799" s="175"/>
      <c r="O799" s="175"/>
      <c r="P799" s="175"/>
      <c r="Q799" s="175"/>
      <c r="R799" s="175"/>
      <c r="S799" s="175"/>
      <c r="T799" s="175"/>
      <c r="U799" s="175"/>
      <c r="V799" s="175"/>
      <c r="W799" s="175"/>
      <c r="X799" s="175"/>
      <c r="Y799" s="175"/>
      <c r="Z799" s="175"/>
    </row>
    <row r="800" ht="15.75" customHeight="1">
      <c r="A800" s="174"/>
      <c r="B800" s="276"/>
      <c r="C800" s="172"/>
      <c r="D800" s="173"/>
      <c r="E800" s="174"/>
      <c r="F800" s="174"/>
      <c r="G800" s="175"/>
      <c r="H800" s="175"/>
      <c r="I800" s="175"/>
      <c r="J800" s="175"/>
      <c r="K800" s="175"/>
      <c r="L800" s="175"/>
      <c r="M800" s="175"/>
      <c r="N800" s="175"/>
      <c r="O800" s="175"/>
      <c r="P800" s="175"/>
      <c r="Q800" s="175"/>
      <c r="R800" s="175"/>
      <c r="S800" s="175"/>
      <c r="T800" s="175"/>
      <c r="U800" s="175"/>
      <c r="V800" s="175"/>
      <c r="W800" s="175"/>
      <c r="X800" s="175"/>
      <c r="Y800" s="175"/>
      <c r="Z800" s="175"/>
    </row>
    <row r="801" ht="15.75" customHeight="1">
      <c r="A801" s="174"/>
      <c r="B801" s="276"/>
      <c r="C801" s="172"/>
      <c r="D801" s="173"/>
      <c r="E801" s="174"/>
      <c r="F801" s="174"/>
      <c r="G801" s="175"/>
      <c r="H801" s="175"/>
      <c r="I801" s="175"/>
      <c r="J801" s="175"/>
      <c r="K801" s="175"/>
      <c r="L801" s="175"/>
      <c r="M801" s="175"/>
      <c r="N801" s="175"/>
      <c r="O801" s="175"/>
      <c r="P801" s="175"/>
      <c r="Q801" s="175"/>
      <c r="R801" s="175"/>
      <c r="S801" s="175"/>
      <c r="T801" s="175"/>
      <c r="U801" s="175"/>
      <c r="V801" s="175"/>
      <c r="W801" s="175"/>
      <c r="X801" s="175"/>
      <c r="Y801" s="175"/>
      <c r="Z801" s="175"/>
    </row>
    <row r="802" ht="15.75" customHeight="1">
      <c r="A802" s="174"/>
      <c r="B802" s="276"/>
      <c r="C802" s="172"/>
      <c r="D802" s="173"/>
      <c r="E802" s="174"/>
      <c r="F802" s="174"/>
      <c r="G802" s="175"/>
      <c r="H802" s="175"/>
      <c r="I802" s="175"/>
      <c r="J802" s="175"/>
      <c r="K802" s="175"/>
      <c r="L802" s="175"/>
      <c r="M802" s="175"/>
      <c r="N802" s="175"/>
      <c r="O802" s="175"/>
      <c r="P802" s="175"/>
      <c r="Q802" s="175"/>
      <c r="R802" s="175"/>
      <c r="S802" s="175"/>
      <c r="T802" s="175"/>
      <c r="U802" s="175"/>
      <c r="V802" s="175"/>
      <c r="W802" s="175"/>
      <c r="X802" s="175"/>
      <c r="Y802" s="175"/>
      <c r="Z802" s="175"/>
    </row>
    <row r="803" ht="15.75" customHeight="1">
      <c r="A803" s="174"/>
      <c r="B803" s="276"/>
      <c r="C803" s="172"/>
      <c r="D803" s="173"/>
      <c r="E803" s="174"/>
      <c r="F803" s="174"/>
      <c r="G803" s="175"/>
      <c r="H803" s="175"/>
      <c r="I803" s="175"/>
      <c r="J803" s="175"/>
      <c r="K803" s="175"/>
      <c r="L803" s="175"/>
      <c r="M803" s="175"/>
      <c r="N803" s="175"/>
      <c r="O803" s="175"/>
      <c r="P803" s="175"/>
      <c r="Q803" s="175"/>
      <c r="R803" s="175"/>
      <c r="S803" s="175"/>
      <c r="T803" s="175"/>
      <c r="U803" s="175"/>
      <c r="V803" s="175"/>
      <c r="W803" s="175"/>
      <c r="X803" s="175"/>
      <c r="Y803" s="175"/>
      <c r="Z803" s="175"/>
    </row>
    <row r="804" ht="15.75" customHeight="1">
      <c r="A804" s="174"/>
      <c r="B804" s="276"/>
      <c r="C804" s="172"/>
      <c r="D804" s="173"/>
      <c r="E804" s="174"/>
      <c r="F804" s="174"/>
      <c r="G804" s="175"/>
      <c r="H804" s="175"/>
      <c r="I804" s="175"/>
      <c r="J804" s="175"/>
      <c r="K804" s="175"/>
      <c r="L804" s="175"/>
      <c r="M804" s="175"/>
      <c r="N804" s="175"/>
      <c r="O804" s="175"/>
      <c r="P804" s="175"/>
      <c r="Q804" s="175"/>
      <c r="R804" s="175"/>
      <c r="S804" s="175"/>
      <c r="T804" s="175"/>
      <c r="U804" s="175"/>
      <c r="V804" s="175"/>
      <c r="W804" s="175"/>
      <c r="X804" s="175"/>
      <c r="Y804" s="175"/>
      <c r="Z804" s="175"/>
    </row>
    <row r="805" ht="15.75" customHeight="1">
      <c r="A805" s="174"/>
      <c r="B805" s="276"/>
      <c r="C805" s="172"/>
      <c r="D805" s="173"/>
      <c r="E805" s="174"/>
      <c r="F805" s="174"/>
      <c r="G805" s="175"/>
      <c r="H805" s="175"/>
      <c r="I805" s="175"/>
      <c r="J805" s="175"/>
      <c r="K805" s="175"/>
      <c r="L805" s="175"/>
      <c r="M805" s="175"/>
      <c r="N805" s="175"/>
      <c r="O805" s="175"/>
      <c r="P805" s="175"/>
      <c r="Q805" s="175"/>
      <c r="R805" s="175"/>
      <c r="S805" s="175"/>
      <c r="T805" s="175"/>
      <c r="U805" s="175"/>
      <c r="V805" s="175"/>
      <c r="W805" s="175"/>
      <c r="X805" s="175"/>
      <c r="Y805" s="175"/>
      <c r="Z805" s="175"/>
    </row>
    <row r="806" ht="15.75" customHeight="1">
      <c r="A806" s="174"/>
      <c r="B806" s="276"/>
      <c r="C806" s="172"/>
      <c r="D806" s="173"/>
      <c r="E806" s="174"/>
      <c r="F806" s="174"/>
      <c r="G806" s="175"/>
      <c r="H806" s="175"/>
      <c r="I806" s="175"/>
      <c r="J806" s="175"/>
      <c r="K806" s="175"/>
      <c r="L806" s="175"/>
      <c r="M806" s="175"/>
      <c r="N806" s="175"/>
      <c r="O806" s="175"/>
      <c r="P806" s="175"/>
      <c r="Q806" s="175"/>
      <c r="R806" s="175"/>
      <c r="S806" s="175"/>
      <c r="T806" s="175"/>
      <c r="U806" s="175"/>
      <c r="V806" s="175"/>
      <c r="W806" s="175"/>
      <c r="X806" s="175"/>
      <c r="Y806" s="175"/>
      <c r="Z806" s="175"/>
    </row>
    <row r="807" ht="15.75" customHeight="1">
      <c r="A807" s="174"/>
      <c r="B807" s="276"/>
      <c r="C807" s="172"/>
      <c r="D807" s="173"/>
      <c r="E807" s="174"/>
      <c r="F807" s="174"/>
      <c r="G807" s="175"/>
      <c r="H807" s="175"/>
      <c r="I807" s="175"/>
      <c r="J807" s="175"/>
      <c r="K807" s="175"/>
      <c r="L807" s="175"/>
      <c r="M807" s="175"/>
      <c r="N807" s="175"/>
      <c r="O807" s="175"/>
      <c r="P807" s="175"/>
      <c r="Q807" s="175"/>
      <c r="R807" s="175"/>
      <c r="S807" s="175"/>
      <c r="T807" s="175"/>
      <c r="U807" s="175"/>
      <c r="V807" s="175"/>
      <c r="W807" s="175"/>
      <c r="X807" s="175"/>
      <c r="Y807" s="175"/>
      <c r="Z807" s="175"/>
    </row>
    <row r="808" ht="15.75" customHeight="1">
      <c r="A808" s="174"/>
      <c r="B808" s="276"/>
      <c r="C808" s="172"/>
      <c r="D808" s="173"/>
      <c r="E808" s="174"/>
      <c r="F808" s="174"/>
      <c r="G808" s="175"/>
      <c r="H808" s="175"/>
      <c r="I808" s="175"/>
      <c r="J808" s="175"/>
      <c r="K808" s="175"/>
      <c r="L808" s="175"/>
      <c r="M808" s="175"/>
      <c r="N808" s="175"/>
      <c r="O808" s="175"/>
      <c r="P808" s="175"/>
      <c r="Q808" s="175"/>
      <c r="R808" s="175"/>
      <c r="S808" s="175"/>
      <c r="T808" s="175"/>
      <c r="U808" s="175"/>
      <c r="V808" s="175"/>
      <c r="W808" s="175"/>
      <c r="X808" s="175"/>
      <c r="Y808" s="175"/>
      <c r="Z808" s="175"/>
    </row>
    <row r="809" ht="15.75" customHeight="1">
      <c r="A809" s="174"/>
      <c r="B809" s="276"/>
      <c r="C809" s="172"/>
      <c r="D809" s="173"/>
      <c r="E809" s="174"/>
      <c r="F809" s="174"/>
      <c r="G809" s="175"/>
      <c r="H809" s="175"/>
      <c r="I809" s="175"/>
      <c r="J809" s="175"/>
      <c r="K809" s="175"/>
      <c r="L809" s="175"/>
      <c r="M809" s="175"/>
      <c r="N809" s="175"/>
      <c r="O809" s="175"/>
      <c r="P809" s="175"/>
      <c r="Q809" s="175"/>
      <c r="R809" s="175"/>
      <c r="S809" s="175"/>
      <c r="T809" s="175"/>
      <c r="U809" s="175"/>
      <c r="V809" s="175"/>
      <c r="W809" s="175"/>
      <c r="X809" s="175"/>
      <c r="Y809" s="175"/>
      <c r="Z809" s="175"/>
    </row>
    <row r="810" ht="15.75" customHeight="1">
      <c r="A810" s="174"/>
      <c r="B810" s="276"/>
      <c r="C810" s="172"/>
      <c r="D810" s="173"/>
      <c r="E810" s="174"/>
      <c r="F810" s="174"/>
      <c r="G810" s="175"/>
      <c r="H810" s="175"/>
      <c r="I810" s="175"/>
      <c r="J810" s="175"/>
      <c r="K810" s="175"/>
      <c r="L810" s="175"/>
      <c r="M810" s="175"/>
      <c r="N810" s="175"/>
      <c r="O810" s="175"/>
      <c r="P810" s="175"/>
      <c r="Q810" s="175"/>
      <c r="R810" s="175"/>
      <c r="S810" s="175"/>
      <c r="T810" s="175"/>
      <c r="U810" s="175"/>
      <c r="V810" s="175"/>
      <c r="W810" s="175"/>
      <c r="X810" s="175"/>
      <c r="Y810" s="175"/>
      <c r="Z810" s="175"/>
    </row>
    <row r="811" ht="15.75" customHeight="1">
      <c r="A811" s="174"/>
      <c r="B811" s="276"/>
      <c r="C811" s="172"/>
      <c r="D811" s="173"/>
      <c r="E811" s="174"/>
      <c r="F811" s="174"/>
      <c r="G811" s="175"/>
      <c r="H811" s="175"/>
      <c r="I811" s="175"/>
      <c r="J811" s="175"/>
      <c r="K811" s="175"/>
      <c r="L811" s="175"/>
      <c r="M811" s="175"/>
      <c r="N811" s="175"/>
      <c r="O811" s="175"/>
      <c r="P811" s="175"/>
      <c r="Q811" s="175"/>
      <c r="R811" s="175"/>
      <c r="S811" s="175"/>
      <c r="T811" s="175"/>
      <c r="U811" s="175"/>
      <c r="V811" s="175"/>
      <c r="W811" s="175"/>
      <c r="X811" s="175"/>
      <c r="Y811" s="175"/>
      <c r="Z811" s="175"/>
    </row>
    <row r="812" ht="15.75" customHeight="1">
      <c r="A812" s="174"/>
      <c r="B812" s="276"/>
      <c r="C812" s="172"/>
      <c r="D812" s="173"/>
      <c r="E812" s="174"/>
      <c r="F812" s="174"/>
      <c r="G812" s="175"/>
      <c r="H812" s="175"/>
      <c r="I812" s="175"/>
      <c r="J812" s="175"/>
      <c r="K812" s="175"/>
      <c r="L812" s="175"/>
      <c r="M812" s="175"/>
      <c r="N812" s="175"/>
      <c r="O812" s="175"/>
      <c r="P812" s="175"/>
      <c r="Q812" s="175"/>
      <c r="R812" s="175"/>
      <c r="S812" s="175"/>
      <c r="T812" s="175"/>
      <c r="U812" s="175"/>
      <c r="V812" s="175"/>
      <c r="W812" s="175"/>
      <c r="X812" s="175"/>
      <c r="Y812" s="175"/>
      <c r="Z812" s="175"/>
    </row>
    <row r="813" ht="15.75" customHeight="1">
      <c r="A813" s="174"/>
      <c r="B813" s="276"/>
      <c r="C813" s="172"/>
      <c r="D813" s="173"/>
      <c r="E813" s="174"/>
      <c r="F813" s="174"/>
      <c r="G813" s="175"/>
      <c r="H813" s="175"/>
      <c r="I813" s="175"/>
      <c r="J813" s="175"/>
      <c r="K813" s="175"/>
      <c r="L813" s="175"/>
      <c r="M813" s="175"/>
      <c r="N813" s="175"/>
      <c r="O813" s="175"/>
      <c r="P813" s="175"/>
      <c r="Q813" s="175"/>
      <c r="R813" s="175"/>
      <c r="S813" s="175"/>
      <c r="T813" s="175"/>
      <c r="U813" s="175"/>
      <c r="V813" s="175"/>
      <c r="W813" s="175"/>
      <c r="X813" s="175"/>
      <c r="Y813" s="175"/>
      <c r="Z813" s="175"/>
    </row>
    <row r="814" ht="15.75" customHeight="1">
      <c r="A814" s="174"/>
      <c r="B814" s="276"/>
      <c r="C814" s="172"/>
      <c r="D814" s="173"/>
      <c r="E814" s="174"/>
      <c r="F814" s="174"/>
      <c r="G814" s="175"/>
      <c r="H814" s="175"/>
      <c r="I814" s="175"/>
      <c r="J814" s="175"/>
      <c r="K814" s="175"/>
      <c r="L814" s="175"/>
      <c r="M814" s="175"/>
      <c r="N814" s="175"/>
      <c r="O814" s="175"/>
      <c r="P814" s="175"/>
      <c r="Q814" s="175"/>
      <c r="R814" s="175"/>
      <c r="S814" s="175"/>
      <c r="T814" s="175"/>
      <c r="U814" s="175"/>
      <c r="V814" s="175"/>
      <c r="W814" s="175"/>
      <c r="X814" s="175"/>
      <c r="Y814" s="175"/>
      <c r="Z814" s="175"/>
    </row>
    <row r="815" ht="15.75" customHeight="1">
      <c r="A815" s="174"/>
      <c r="B815" s="276"/>
      <c r="C815" s="172"/>
      <c r="D815" s="173"/>
      <c r="E815" s="174"/>
      <c r="F815" s="174"/>
      <c r="G815" s="175"/>
      <c r="H815" s="175"/>
      <c r="I815" s="175"/>
      <c r="J815" s="175"/>
      <c r="K815" s="175"/>
      <c r="L815" s="175"/>
      <c r="M815" s="175"/>
      <c r="N815" s="175"/>
      <c r="O815" s="175"/>
      <c r="P815" s="175"/>
      <c r="Q815" s="175"/>
      <c r="R815" s="175"/>
      <c r="S815" s="175"/>
      <c r="T815" s="175"/>
      <c r="U815" s="175"/>
      <c r="V815" s="175"/>
      <c r="W815" s="175"/>
      <c r="X815" s="175"/>
      <c r="Y815" s="175"/>
      <c r="Z815" s="175"/>
    </row>
    <row r="816" ht="15.75" customHeight="1">
      <c r="A816" s="174"/>
      <c r="B816" s="276"/>
      <c r="C816" s="172"/>
      <c r="D816" s="173"/>
      <c r="E816" s="174"/>
      <c r="F816" s="174"/>
      <c r="G816" s="175"/>
      <c r="H816" s="175"/>
      <c r="I816" s="175"/>
      <c r="J816" s="175"/>
      <c r="K816" s="175"/>
      <c r="L816" s="175"/>
      <c r="M816" s="175"/>
      <c r="N816" s="175"/>
      <c r="O816" s="175"/>
      <c r="P816" s="175"/>
      <c r="Q816" s="175"/>
      <c r="R816" s="175"/>
      <c r="S816" s="175"/>
      <c r="T816" s="175"/>
      <c r="U816" s="175"/>
      <c r="V816" s="175"/>
      <c r="W816" s="175"/>
      <c r="X816" s="175"/>
      <c r="Y816" s="175"/>
      <c r="Z816" s="175"/>
    </row>
    <row r="817" ht="15.75" customHeight="1">
      <c r="A817" s="174"/>
      <c r="B817" s="276"/>
      <c r="C817" s="172"/>
      <c r="D817" s="173"/>
      <c r="E817" s="174"/>
      <c r="F817" s="174"/>
      <c r="G817" s="175"/>
      <c r="H817" s="175"/>
      <c r="I817" s="175"/>
      <c r="J817" s="175"/>
      <c r="K817" s="175"/>
      <c r="L817" s="175"/>
      <c r="M817" s="175"/>
      <c r="N817" s="175"/>
      <c r="O817" s="175"/>
      <c r="P817" s="175"/>
      <c r="Q817" s="175"/>
      <c r="R817" s="175"/>
      <c r="S817" s="175"/>
      <c r="T817" s="175"/>
      <c r="U817" s="175"/>
      <c r="V817" s="175"/>
      <c r="W817" s="175"/>
      <c r="X817" s="175"/>
      <c r="Y817" s="175"/>
      <c r="Z817" s="175"/>
    </row>
    <row r="818" ht="15.75" customHeight="1">
      <c r="A818" s="174"/>
      <c r="B818" s="276"/>
      <c r="C818" s="172"/>
      <c r="D818" s="173"/>
      <c r="E818" s="174"/>
      <c r="F818" s="174"/>
      <c r="G818" s="175"/>
      <c r="H818" s="175"/>
      <c r="I818" s="175"/>
      <c r="J818" s="175"/>
      <c r="K818" s="175"/>
      <c r="L818" s="175"/>
      <c r="M818" s="175"/>
      <c r="N818" s="175"/>
      <c r="O818" s="175"/>
      <c r="P818" s="175"/>
      <c r="Q818" s="175"/>
      <c r="R818" s="175"/>
      <c r="S818" s="175"/>
      <c r="T818" s="175"/>
      <c r="U818" s="175"/>
      <c r="V818" s="175"/>
      <c r="W818" s="175"/>
      <c r="X818" s="175"/>
      <c r="Y818" s="175"/>
      <c r="Z818" s="175"/>
    </row>
    <row r="819" ht="15.75" customHeight="1">
      <c r="A819" s="174"/>
      <c r="B819" s="276"/>
      <c r="C819" s="172"/>
      <c r="D819" s="173"/>
      <c r="E819" s="174"/>
      <c r="F819" s="174"/>
      <c r="G819" s="175"/>
      <c r="H819" s="175"/>
      <c r="I819" s="175"/>
      <c r="J819" s="175"/>
      <c r="K819" s="175"/>
      <c r="L819" s="175"/>
      <c r="M819" s="175"/>
      <c r="N819" s="175"/>
      <c r="O819" s="175"/>
      <c r="P819" s="175"/>
      <c r="Q819" s="175"/>
      <c r="R819" s="175"/>
      <c r="S819" s="175"/>
      <c r="T819" s="175"/>
      <c r="U819" s="175"/>
      <c r="V819" s="175"/>
      <c r="W819" s="175"/>
      <c r="X819" s="175"/>
      <c r="Y819" s="175"/>
      <c r="Z819" s="175"/>
    </row>
    <row r="820" ht="15.75" customHeight="1">
      <c r="A820" s="174"/>
      <c r="B820" s="276"/>
      <c r="C820" s="172"/>
      <c r="D820" s="173"/>
      <c r="E820" s="174"/>
      <c r="F820" s="174"/>
      <c r="G820" s="175"/>
      <c r="H820" s="175"/>
      <c r="I820" s="175"/>
      <c r="J820" s="175"/>
      <c r="K820" s="175"/>
      <c r="L820" s="175"/>
      <c r="M820" s="175"/>
      <c r="N820" s="175"/>
      <c r="O820" s="175"/>
      <c r="P820" s="175"/>
      <c r="Q820" s="175"/>
      <c r="R820" s="175"/>
      <c r="S820" s="175"/>
      <c r="T820" s="175"/>
      <c r="U820" s="175"/>
      <c r="V820" s="175"/>
      <c r="W820" s="175"/>
      <c r="X820" s="175"/>
      <c r="Y820" s="175"/>
      <c r="Z820" s="175"/>
    </row>
    <row r="821" ht="15.75" customHeight="1">
      <c r="A821" s="174"/>
      <c r="B821" s="276"/>
      <c r="C821" s="172"/>
      <c r="D821" s="173"/>
      <c r="E821" s="174"/>
      <c r="F821" s="174"/>
      <c r="G821" s="175"/>
      <c r="H821" s="175"/>
      <c r="I821" s="175"/>
      <c r="J821" s="175"/>
      <c r="K821" s="175"/>
      <c r="L821" s="175"/>
      <c r="M821" s="175"/>
      <c r="N821" s="175"/>
      <c r="O821" s="175"/>
      <c r="P821" s="175"/>
      <c r="Q821" s="175"/>
      <c r="R821" s="175"/>
      <c r="S821" s="175"/>
      <c r="T821" s="175"/>
      <c r="U821" s="175"/>
      <c r="V821" s="175"/>
      <c r="W821" s="175"/>
      <c r="X821" s="175"/>
      <c r="Y821" s="175"/>
      <c r="Z821" s="175"/>
    </row>
    <row r="822" ht="15.75" customHeight="1">
      <c r="A822" s="174"/>
      <c r="B822" s="276"/>
      <c r="C822" s="172"/>
      <c r="D822" s="173"/>
      <c r="E822" s="174"/>
      <c r="F822" s="174"/>
      <c r="G822" s="175"/>
      <c r="H822" s="175"/>
      <c r="I822" s="175"/>
      <c r="J822" s="175"/>
      <c r="K822" s="175"/>
      <c r="L822" s="175"/>
      <c r="M822" s="175"/>
      <c r="N822" s="175"/>
      <c r="O822" s="175"/>
      <c r="P822" s="175"/>
      <c r="Q822" s="175"/>
      <c r="R822" s="175"/>
      <c r="S822" s="175"/>
      <c r="T822" s="175"/>
      <c r="U822" s="175"/>
      <c r="V822" s="175"/>
      <c r="W822" s="175"/>
      <c r="X822" s="175"/>
      <c r="Y822" s="175"/>
      <c r="Z822" s="175"/>
    </row>
    <row r="823" ht="15.75" customHeight="1">
      <c r="A823" s="174"/>
      <c r="B823" s="276"/>
      <c r="C823" s="172"/>
      <c r="D823" s="173"/>
      <c r="E823" s="174"/>
      <c r="F823" s="174"/>
      <c r="G823" s="175"/>
      <c r="H823" s="175"/>
      <c r="I823" s="175"/>
      <c r="J823" s="175"/>
      <c r="K823" s="175"/>
      <c r="L823" s="175"/>
      <c r="M823" s="175"/>
      <c r="N823" s="175"/>
      <c r="O823" s="175"/>
      <c r="P823" s="175"/>
      <c r="Q823" s="175"/>
      <c r="R823" s="175"/>
      <c r="S823" s="175"/>
      <c r="T823" s="175"/>
      <c r="U823" s="175"/>
      <c r="V823" s="175"/>
      <c r="W823" s="175"/>
      <c r="X823" s="175"/>
      <c r="Y823" s="175"/>
      <c r="Z823" s="175"/>
    </row>
    <row r="824" ht="15.75" customHeight="1">
      <c r="A824" s="174"/>
      <c r="B824" s="276"/>
      <c r="C824" s="172"/>
      <c r="D824" s="173"/>
      <c r="E824" s="174"/>
      <c r="F824" s="174"/>
      <c r="G824" s="175"/>
      <c r="H824" s="175"/>
      <c r="I824" s="175"/>
      <c r="J824" s="175"/>
      <c r="K824" s="175"/>
      <c r="L824" s="175"/>
      <c r="M824" s="175"/>
      <c r="N824" s="175"/>
      <c r="O824" s="175"/>
      <c r="P824" s="175"/>
      <c r="Q824" s="175"/>
      <c r="R824" s="175"/>
      <c r="S824" s="175"/>
      <c r="T824" s="175"/>
      <c r="U824" s="175"/>
      <c r="V824" s="175"/>
      <c r="W824" s="175"/>
      <c r="X824" s="175"/>
      <c r="Y824" s="175"/>
      <c r="Z824" s="175"/>
    </row>
    <row r="825" ht="15.75" customHeight="1">
      <c r="A825" s="174"/>
      <c r="B825" s="276"/>
      <c r="C825" s="172"/>
      <c r="D825" s="173"/>
      <c r="E825" s="174"/>
      <c r="F825" s="174"/>
      <c r="G825" s="175"/>
      <c r="H825" s="175"/>
      <c r="I825" s="175"/>
      <c r="J825" s="175"/>
      <c r="K825" s="175"/>
      <c r="L825" s="175"/>
      <c r="M825" s="175"/>
      <c r="N825" s="175"/>
      <c r="O825" s="175"/>
      <c r="P825" s="175"/>
      <c r="Q825" s="175"/>
      <c r="R825" s="175"/>
      <c r="S825" s="175"/>
      <c r="T825" s="175"/>
      <c r="U825" s="175"/>
      <c r="V825" s="175"/>
      <c r="W825" s="175"/>
      <c r="X825" s="175"/>
      <c r="Y825" s="175"/>
      <c r="Z825" s="175"/>
    </row>
    <row r="826" ht="15.75" customHeight="1">
      <c r="A826" s="174"/>
      <c r="B826" s="276"/>
      <c r="C826" s="172"/>
      <c r="D826" s="173"/>
      <c r="E826" s="174"/>
      <c r="F826" s="174"/>
      <c r="G826" s="175"/>
      <c r="H826" s="175"/>
      <c r="I826" s="175"/>
      <c r="J826" s="175"/>
      <c r="K826" s="175"/>
      <c r="L826" s="175"/>
      <c r="M826" s="175"/>
      <c r="N826" s="175"/>
      <c r="O826" s="175"/>
      <c r="P826" s="175"/>
      <c r="Q826" s="175"/>
      <c r="R826" s="175"/>
      <c r="S826" s="175"/>
      <c r="T826" s="175"/>
      <c r="U826" s="175"/>
      <c r="V826" s="175"/>
      <c r="W826" s="175"/>
      <c r="X826" s="175"/>
      <c r="Y826" s="175"/>
      <c r="Z826" s="175"/>
    </row>
    <row r="827" ht="15.75" customHeight="1">
      <c r="A827" s="174"/>
      <c r="B827" s="276"/>
      <c r="C827" s="172"/>
      <c r="D827" s="173"/>
      <c r="E827" s="174"/>
      <c r="F827" s="174"/>
      <c r="G827" s="175"/>
      <c r="H827" s="175"/>
      <c r="I827" s="175"/>
      <c r="J827" s="175"/>
      <c r="K827" s="175"/>
      <c r="L827" s="175"/>
      <c r="M827" s="175"/>
      <c r="N827" s="175"/>
      <c r="O827" s="175"/>
      <c r="P827" s="175"/>
      <c r="Q827" s="175"/>
      <c r="R827" s="175"/>
      <c r="S827" s="175"/>
      <c r="T827" s="175"/>
      <c r="U827" s="175"/>
      <c r="V827" s="175"/>
      <c r="W827" s="175"/>
      <c r="X827" s="175"/>
      <c r="Y827" s="175"/>
      <c r="Z827" s="175"/>
    </row>
    <row r="828" ht="15.75" customHeight="1">
      <c r="A828" s="174"/>
      <c r="B828" s="276"/>
      <c r="C828" s="172"/>
      <c r="D828" s="173"/>
      <c r="E828" s="174"/>
      <c r="F828" s="174"/>
      <c r="G828" s="175"/>
      <c r="H828" s="175"/>
      <c r="I828" s="175"/>
      <c r="J828" s="175"/>
      <c r="K828" s="175"/>
      <c r="L828" s="175"/>
      <c r="M828" s="175"/>
      <c r="N828" s="175"/>
      <c r="O828" s="175"/>
      <c r="P828" s="175"/>
      <c r="Q828" s="175"/>
      <c r="R828" s="175"/>
      <c r="S828" s="175"/>
      <c r="T828" s="175"/>
      <c r="U828" s="175"/>
      <c r="V828" s="175"/>
      <c r="W828" s="175"/>
      <c r="X828" s="175"/>
      <c r="Y828" s="175"/>
      <c r="Z828" s="175"/>
    </row>
    <row r="829" ht="15.75" customHeight="1">
      <c r="A829" s="174"/>
      <c r="B829" s="276"/>
      <c r="C829" s="172"/>
      <c r="D829" s="173"/>
      <c r="E829" s="174"/>
      <c r="F829" s="174"/>
      <c r="G829" s="175"/>
      <c r="H829" s="175"/>
      <c r="I829" s="175"/>
      <c r="J829" s="175"/>
      <c r="K829" s="175"/>
      <c r="L829" s="175"/>
      <c r="M829" s="175"/>
      <c r="N829" s="175"/>
      <c r="O829" s="175"/>
      <c r="P829" s="175"/>
      <c r="Q829" s="175"/>
      <c r="R829" s="175"/>
      <c r="S829" s="175"/>
      <c r="T829" s="175"/>
      <c r="U829" s="175"/>
      <c r="V829" s="175"/>
      <c r="W829" s="175"/>
      <c r="X829" s="175"/>
      <c r="Y829" s="175"/>
      <c r="Z829" s="175"/>
    </row>
    <row r="830" ht="15.75" customHeight="1">
      <c r="A830" s="174"/>
      <c r="B830" s="276"/>
      <c r="C830" s="172"/>
      <c r="D830" s="173"/>
      <c r="E830" s="174"/>
      <c r="F830" s="174"/>
      <c r="G830" s="175"/>
      <c r="H830" s="175"/>
      <c r="I830" s="175"/>
      <c r="J830" s="175"/>
      <c r="K830" s="175"/>
      <c r="L830" s="175"/>
      <c r="M830" s="175"/>
      <c r="N830" s="175"/>
      <c r="O830" s="175"/>
      <c r="P830" s="175"/>
      <c r="Q830" s="175"/>
      <c r="R830" s="175"/>
      <c r="S830" s="175"/>
      <c r="T830" s="175"/>
      <c r="U830" s="175"/>
      <c r="V830" s="175"/>
      <c r="W830" s="175"/>
      <c r="X830" s="175"/>
      <c r="Y830" s="175"/>
      <c r="Z830" s="175"/>
    </row>
    <row r="831" ht="15.75" customHeight="1">
      <c r="A831" s="174"/>
      <c r="B831" s="276"/>
      <c r="C831" s="172"/>
      <c r="D831" s="173"/>
      <c r="E831" s="174"/>
      <c r="F831" s="174"/>
      <c r="G831" s="175"/>
      <c r="H831" s="175"/>
      <c r="I831" s="175"/>
      <c r="J831" s="175"/>
      <c r="K831" s="175"/>
      <c r="L831" s="175"/>
      <c r="M831" s="175"/>
      <c r="N831" s="175"/>
      <c r="O831" s="175"/>
      <c r="P831" s="175"/>
      <c r="Q831" s="175"/>
      <c r="R831" s="175"/>
      <c r="S831" s="175"/>
      <c r="T831" s="175"/>
      <c r="U831" s="175"/>
      <c r="V831" s="175"/>
      <c r="W831" s="175"/>
      <c r="X831" s="175"/>
      <c r="Y831" s="175"/>
      <c r="Z831" s="175"/>
    </row>
    <row r="832" ht="15.75" customHeight="1">
      <c r="A832" s="174"/>
      <c r="B832" s="276"/>
      <c r="C832" s="172"/>
      <c r="D832" s="173"/>
      <c r="E832" s="174"/>
      <c r="F832" s="174"/>
      <c r="G832" s="175"/>
      <c r="H832" s="175"/>
      <c r="I832" s="175"/>
      <c r="J832" s="175"/>
      <c r="K832" s="175"/>
      <c r="L832" s="175"/>
      <c r="M832" s="175"/>
      <c r="N832" s="175"/>
      <c r="O832" s="175"/>
      <c r="P832" s="175"/>
      <c r="Q832" s="175"/>
      <c r="R832" s="175"/>
      <c r="S832" s="175"/>
      <c r="T832" s="175"/>
      <c r="U832" s="175"/>
      <c r="V832" s="175"/>
      <c r="W832" s="175"/>
      <c r="X832" s="175"/>
      <c r="Y832" s="175"/>
      <c r="Z832" s="175"/>
    </row>
    <row r="833" ht="15.75" customHeight="1">
      <c r="A833" s="174"/>
      <c r="B833" s="276"/>
      <c r="C833" s="172"/>
      <c r="D833" s="173"/>
      <c r="E833" s="174"/>
      <c r="F833" s="174"/>
      <c r="G833" s="175"/>
      <c r="H833" s="175"/>
      <c r="I833" s="175"/>
      <c r="J833" s="175"/>
      <c r="K833" s="175"/>
      <c r="L833" s="175"/>
      <c r="M833" s="175"/>
      <c r="N833" s="175"/>
      <c r="O833" s="175"/>
      <c r="P833" s="175"/>
      <c r="Q833" s="175"/>
      <c r="R833" s="175"/>
      <c r="S833" s="175"/>
      <c r="T833" s="175"/>
      <c r="U833" s="175"/>
      <c r="V833" s="175"/>
      <c r="W833" s="175"/>
      <c r="X833" s="175"/>
      <c r="Y833" s="175"/>
      <c r="Z833" s="175"/>
    </row>
    <row r="834" ht="15.75" customHeight="1">
      <c r="A834" s="174"/>
      <c r="B834" s="276"/>
      <c r="C834" s="172"/>
      <c r="D834" s="173"/>
      <c r="E834" s="174"/>
      <c r="F834" s="174"/>
      <c r="G834" s="175"/>
      <c r="H834" s="175"/>
      <c r="I834" s="175"/>
      <c r="J834" s="175"/>
      <c r="K834" s="175"/>
      <c r="L834" s="175"/>
      <c r="M834" s="175"/>
      <c r="N834" s="175"/>
      <c r="O834" s="175"/>
      <c r="P834" s="175"/>
      <c r="Q834" s="175"/>
      <c r="R834" s="175"/>
      <c r="S834" s="175"/>
      <c r="T834" s="175"/>
      <c r="U834" s="175"/>
      <c r="V834" s="175"/>
      <c r="W834" s="175"/>
      <c r="X834" s="175"/>
      <c r="Y834" s="175"/>
      <c r="Z834" s="175"/>
    </row>
    <row r="835" ht="15.75" customHeight="1">
      <c r="A835" s="174"/>
      <c r="B835" s="276"/>
      <c r="C835" s="172"/>
      <c r="D835" s="173"/>
      <c r="E835" s="174"/>
      <c r="F835" s="174"/>
      <c r="G835" s="175"/>
      <c r="H835" s="175"/>
      <c r="I835" s="175"/>
      <c r="J835" s="175"/>
      <c r="K835" s="175"/>
      <c r="L835" s="175"/>
      <c r="M835" s="175"/>
      <c r="N835" s="175"/>
      <c r="O835" s="175"/>
      <c r="P835" s="175"/>
      <c r="Q835" s="175"/>
      <c r="R835" s="175"/>
      <c r="S835" s="175"/>
      <c r="T835" s="175"/>
      <c r="U835" s="175"/>
      <c r="V835" s="175"/>
      <c r="W835" s="175"/>
      <c r="X835" s="175"/>
      <c r="Y835" s="175"/>
      <c r="Z835" s="175"/>
    </row>
    <row r="836" ht="15.75" customHeight="1">
      <c r="A836" s="174"/>
      <c r="B836" s="276"/>
      <c r="C836" s="172"/>
      <c r="D836" s="173"/>
      <c r="E836" s="174"/>
      <c r="F836" s="174"/>
      <c r="G836" s="175"/>
      <c r="H836" s="175"/>
      <c r="I836" s="175"/>
      <c r="J836" s="175"/>
      <c r="K836" s="175"/>
      <c r="L836" s="175"/>
      <c r="M836" s="175"/>
      <c r="N836" s="175"/>
      <c r="O836" s="175"/>
      <c r="P836" s="175"/>
      <c r="Q836" s="175"/>
      <c r="R836" s="175"/>
      <c r="S836" s="175"/>
      <c r="T836" s="175"/>
      <c r="U836" s="175"/>
      <c r="V836" s="175"/>
      <c r="W836" s="175"/>
      <c r="X836" s="175"/>
      <c r="Y836" s="175"/>
      <c r="Z836" s="175"/>
    </row>
    <row r="837" ht="15.75" customHeight="1">
      <c r="A837" s="174"/>
      <c r="B837" s="276"/>
      <c r="C837" s="172"/>
      <c r="D837" s="173"/>
      <c r="E837" s="174"/>
      <c r="F837" s="174"/>
      <c r="G837" s="175"/>
      <c r="H837" s="175"/>
      <c r="I837" s="175"/>
      <c r="J837" s="175"/>
      <c r="K837" s="175"/>
      <c r="L837" s="175"/>
      <c r="M837" s="175"/>
      <c r="N837" s="175"/>
      <c r="O837" s="175"/>
      <c r="P837" s="175"/>
      <c r="Q837" s="175"/>
      <c r="R837" s="175"/>
      <c r="S837" s="175"/>
      <c r="T837" s="175"/>
      <c r="U837" s="175"/>
      <c r="V837" s="175"/>
      <c r="W837" s="175"/>
      <c r="X837" s="175"/>
      <c r="Y837" s="175"/>
      <c r="Z837" s="175"/>
    </row>
    <row r="838" ht="15.75" customHeight="1">
      <c r="A838" s="174"/>
      <c r="B838" s="276"/>
      <c r="C838" s="172"/>
      <c r="D838" s="173"/>
      <c r="E838" s="174"/>
      <c r="F838" s="174"/>
      <c r="G838" s="175"/>
      <c r="H838" s="175"/>
      <c r="I838" s="175"/>
      <c r="J838" s="175"/>
      <c r="K838" s="175"/>
      <c r="L838" s="175"/>
      <c r="M838" s="175"/>
      <c r="N838" s="175"/>
      <c r="O838" s="175"/>
      <c r="P838" s="175"/>
      <c r="Q838" s="175"/>
      <c r="R838" s="175"/>
      <c r="S838" s="175"/>
      <c r="T838" s="175"/>
      <c r="U838" s="175"/>
      <c r="V838" s="175"/>
      <c r="W838" s="175"/>
      <c r="X838" s="175"/>
      <c r="Y838" s="175"/>
      <c r="Z838" s="175"/>
    </row>
    <row r="839" ht="15.75" customHeight="1">
      <c r="A839" s="174"/>
      <c r="B839" s="276"/>
      <c r="C839" s="172"/>
      <c r="D839" s="173"/>
      <c r="E839" s="174"/>
      <c r="F839" s="174"/>
      <c r="G839" s="175"/>
      <c r="H839" s="175"/>
      <c r="I839" s="175"/>
      <c r="J839" s="175"/>
      <c r="K839" s="175"/>
      <c r="L839" s="175"/>
      <c r="M839" s="175"/>
      <c r="N839" s="175"/>
      <c r="O839" s="175"/>
      <c r="P839" s="175"/>
      <c r="Q839" s="175"/>
      <c r="R839" s="175"/>
      <c r="S839" s="175"/>
      <c r="T839" s="175"/>
      <c r="U839" s="175"/>
      <c r="V839" s="175"/>
      <c r="W839" s="175"/>
      <c r="X839" s="175"/>
      <c r="Y839" s="175"/>
      <c r="Z839" s="175"/>
    </row>
    <row r="840" ht="15.75" customHeight="1">
      <c r="A840" s="174"/>
      <c r="B840" s="276"/>
      <c r="C840" s="172"/>
      <c r="D840" s="173"/>
      <c r="E840" s="174"/>
      <c r="F840" s="174"/>
      <c r="G840" s="175"/>
      <c r="H840" s="175"/>
      <c r="I840" s="175"/>
      <c r="J840" s="175"/>
      <c r="K840" s="175"/>
      <c r="L840" s="175"/>
      <c r="M840" s="175"/>
      <c r="N840" s="175"/>
      <c r="O840" s="175"/>
      <c r="P840" s="175"/>
      <c r="Q840" s="175"/>
      <c r="R840" s="175"/>
      <c r="S840" s="175"/>
      <c r="T840" s="175"/>
      <c r="U840" s="175"/>
      <c r="V840" s="175"/>
      <c r="W840" s="175"/>
      <c r="X840" s="175"/>
      <c r="Y840" s="175"/>
      <c r="Z840" s="175"/>
    </row>
    <row r="841" ht="15.75" customHeight="1">
      <c r="A841" s="174"/>
      <c r="B841" s="276"/>
      <c r="C841" s="172"/>
      <c r="D841" s="173"/>
      <c r="E841" s="174"/>
      <c r="F841" s="174"/>
      <c r="G841" s="175"/>
      <c r="H841" s="175"/>
      <c r="I841" s="175"/>
      <c r="J841" s="175"/>
      <c r="K841" s="175"/>
      <c r="L841" s="175"/>
      <c r="M841" s="175"/>
      <c r="N841" s="175"/>
      <c r="O841" s="175"/>
      <c r="P841" s="175"/>
      <c r="Q841" s="175"/>
      <c r="R841" s="175"/>
      <c r="S841" s="175"/>
      <c r="T841" s="175"/>
      <c r="U841" s="175"/>
      <c r="V841" s="175"/>
      <c r="W841" s="175"/>
      <c r="X841" s="175"/>
      <c r="Y841" s="175"/>
      <c r="Z841" s="175"/>
    </row>
    <row r="842" ht="15.75" customHeight="1">
      <c r="A842" s="174"/>
      <c r="B842" s="276"/>
      <c r="C842" s="172"/>
      <c r="D842" s="173"/>
      <c r="E842" s="174"/>
      <c r="F842" s="174"/>
      <c r="G842" s="175"/>
      <c r="H842" s="175"/>
      <c r="I842" s="175"/>
      <c r="J842" s="175"/>
      <c r="K842" s="175"/>
      <c r="L842" s="175"/>
      <c r="M842" s="175"/>
      <c r="N842" s="175"/>
      <c r="O842" s="175"/>
      <c r="P842" s="175"/>
      <c r="Q842" s="175"/>
      <c r="R842" s="175"/>
      <c r="S842" s="175"/>
      <c r="T842" s="175"/>
      <c r="U842" s="175"/>
      <c r="V842" s="175"/>
      <c r="W842" s="175"/>
      <c r="X842" s="175"/>
      <c r="Y842" s="175"/>
      <c r="Z842" s="175"/>
    </row>
    <row r="843" ht="15.75" customHeight="1">
      <c r="A843" s="174"/>
      <c r="B843" s="276"/>
      <c r="C843" s="172"/>
      <c r="D843" s="173"/>
      <c r="E843" s="174"/>
      <c r="F843" s="174"/>
      <c r="G843" s="175"/>
      <c r="H843" s="175"/>
      <c r="I843" s="175"/>
      <c r="J843" s="175"/>
      <c r="K843" s="175"/>
      <c r="L843" s="175"/>
      <c r="M843" s="175"/>
      <c r="N843" s="175"/>
      <c r="O843" s="175"/>
      <c r="P843" s="175"/>
      <c r="Q843" s="175"/>
      <c r="R843" s="175"/>
      <c r="S843" s="175"/>
      <c r="T843" s="175"/>
      <c r="U843" s="175"/>
      <c r="V843" s="175"/>
      <c r="W843" s="175"/>
      <c r="X843" s="175"/>
      <c r="Y843" s="175"/>
      <c r="Z843" s="175"/>
    </row>
    <row r="844" ht="15.75" customHeight="1">
      <c r="A844" s="174"/>
      <c r="B844" s="276"/>
      <c r="C844" s="172"/>
      <c r="D844" s="173"/>
      <c r="E844" s="174"/>
      <c r="F844" s="174"/>
      <c r="G844" s="175"/>
      <c r="H844" s="175"/>
      <c r="I844" s="175"/>
      <c r="J844" s="175"/>
      <c r="K844" s="175"/>
      <c r="L844" s="175"/>
      <c r="M844" s="175"/>
      <c r="N844" s="175"/>
      <c r="O844" s="175"/>
      <c r="P844" s="175"/>
      <c r="Q844" s="175"/>
      <c r="R844" s="175"/>
      <c r="S844" s="175"/>
      <c r="T844" s="175"/>
      <c r="U844" s="175"/>
      <c r="V844" s="175"/>
      <c r="W844" s="175"/>
      <c r="X844" s="175"/>
      <c r="Y844" s="175"/>
      <c r="Z844" s="175"/>
    </row>
    <row r="845" ht="15.75" customHeight="1">
      <c r="A845" s="174"/>
      <c r="B845" s="276"/>
      <c r="C845" s="172"/>
      <c r="D845" s="173"/>
      <c r="E845" s="174"/>
      <c r="F845" s="174"/>
      <c r="G845" s="175"/>
      <c r="H845" s="175"/>
      <c r="I845" s="175"/>
      <c r="J845" s="175"/>
      <c r="K845" s="175"/>
      <c r="L845" s="175"/>
      <c r="M845" s="175"/>
      <c r="N845" s="175"/>
      <c r="O845" s="175"/>
      <c r="P845" s="175"/>
      <c r="Q845" s="175"/>
      <c r="R845" s="175"/>
      <c r="S845" s="175"/>
      <c r="T845" s="175"/>
      <c r="U845" s="175"/>
      <c r="V845" s="175"/>
      <c r="W845" s="175"/>
      <c r="X845" s="175"/>
      <c r="Y845" s="175"/>
      <c r="Z845" s="175"/>
    </row>
    <row r="846" ht="15.75" customHeight="1">
      <c r="A846" s="174"/>
      <c r="B846" s="276"/>
      <c r="C846" s="172"/>
      <c r="D846" s="173"/>
      <c r="E846" s="174"/>
      <c r="F846" s="174"/>
      <c r="G846" s="175"/>
      <c r="H846" s="175"/>
      <c r="I846" s="175"/>
      <c r="J846" s="175"/>
      <c r="K846" s="175"/>
      <c r="L846" s="175"/>
      <c r="M846" s="175"/>
      <c r="N846" s="175"/>
      <c r="O846" s="175"/>
      <c r="P846" s="175"/>
      <c r="Q846" s="175"/>
      <c r="R846" s="175"/>
      <c r="S846" s="175"/>
      <c r="T846" s="175"/>
      <c r="U846" s="175"/>
      <c r="V846" s="175"/>
      <c r="W846" s="175"/>
      <c r="X846" s="175"/>
      <c r="Y846" s="175"/>
      <c r="Z846" s="175"/>
    </row>
    <row r="847" ht="15.75" customHeight="1">
      <c r="A847" s="174"/>
      <c r="B847" s="276"/>
      <c r="C847" s="172"/>
      <c r="D847" s="173"/>
      <c r="E847" s="174"/>
      <c r="F847" s="174"/>
      <c r="G847" s="175"/>
      <c r="H847" s="175"/>
      <c r="I847" s="175"/>
      <c r="J847" s="175"/>
      <c r="K847" s="175"/>
      <c r="L847" s="175"/>
      <c r="M847" s="175"/>
      <c r="N847" s="175"/>
      <c r="O847" s="175"/>
      <c r="P847" s="175"/>
      <c r="Q847" s="175"/>
      <c r="R847" s="175"/>
      <c r="S847" s="175"/>
      <c r="T847" s="175"/>
      <c r="U847" s="175"/>
      <c r="V847" s="175"/>
      <c r="W847" s="175"/>
      <c r="X847" s="175"/>
      <c r="Y847" s="175"/>
      <c r="Z847" s="175"/>
    </row>
    <row r="848" ht="15.75" customHeight="1">
      <c r="A848" s="174"/>
      <c r="B848" s="276"/>
      <c r="C848" s="172"/>
      <c r="D848" s="173"/>
      <c r="E848" s="174"/>
      <c r="F848" s="174"/>
      <c r="G848" s="175"/>
      <c r="H848" s="175"/>
      <c r="I848" s="175"/>
      <c r="J848" s="175"/>
      <c r="K848" s="175"/>
      <c r="L848" s="175"/>
      <c r="M848" s="175"/>
      <c r="N848" s="175"/>
      <c r="O848" s="175"/>
      <c r="P848" s="175"/>
      <c r="Q848" s="175"/>
      <c r="R848" s="175"/>
      <c r="S848" s="175"/>
      <c r="T848" s="175"/>
      <c r="U848" s="175"/>
      <c r="V848" s="175"/>
      <c r="W848" s="175"/>
      <c r="X848" s="175"/>
      <c r="Y848" s="175"/>
      <c r="Z848" s="175"/>
    </row>
    <row r="849" ht="15.75" customHeight="1">
      <c r="A849" s="174"/>
      <c r="B849" s="276"/>
      <c r="C849" s="172"/>
      <c r="D849" s="173"/>
      <c r="E849" s="174"/>
      <c r="F849" s="174"/>
      <c r="G849" s="175"/>
      <c r="H849" s="175"/>
      <c r="I849" s="175"/>
      <c r="J849" s="175"/>
      <c r="K849" s="175"/>
      <c r="L849" s="175"/>
      <c r="M849" s="175"/>
      <c r="N849" s="175"/>
      <c r="O849" s="175"/>
      <c r="P849" s="175"/>
      <c r="Q849" s="175"/>
      <c r="R849" s="175"/>
      <c r="S849" s="175"/>
      <c r="T849" s="175"/>
      <c r="U849" s="175"/>
      <c r="V849" s="175"/>
      <c r="W849" s="175"/>
      <c r="X849" s="175"/>
      <c r="Y849" s="175"/>
      <c r="Z849" s="175"/>
    </row>
    <row r="850" ht="15.75" customHeight="1">
      <c r="A850" s="174"/>
      <c r="B850" s="276"/>
      <c r="C850" s="172"/>
      <c r="D850" s="173"/>
      <c r="E850" s="174"/>
      <c r="F850" s="174"/>
      <c r="G850" s="175"/>
      <c r="H850" s="175"/>
      <c r="I850" s="175"/>
      <c r="J850" s="175"/>
      <c r="K850" s="175"/>
      <c r="L850" s="175"/>
      <c r="M850" s="175"/>
      <c r="N850" s="175"/>
      <c r="O850" s="175"/>
      <c r="P850" s="175"/>
      <c r="Q850" s="175"/>
      <c r="R850" s="175"/>
      <c r="S850" s="175"/>
      <c r="T850" s="175"/>
      <c r="U850" s="175"/>
      <c r="V850" s="175"/>
      <c r="W850" s="175"/>
      <c r="X850" s="175"/>
      <c r="Y850" s="175"/>
      <c r="Z850" s="175"/>
    </row>
    <row r="851" ht="15.75" customHeight="1">
      <c r="A851" s="174"/>
      <c r="B851" s="276"/>
      <c r="C851" s="172"/>
      <c r="D851" s="173"/>
      <c r="E851" s="174"/>
      <c r="F851" s="174"/>
      <c r="G851" s="175"/>
      <c r="H851" s="175"/>
      <c r="I851" s="175"/>
      <c r="J851" s="175"/>
      <c r="K851" s="175"/>
      <c r="L851" s="175"/>
      <c r="M851" s="175"/>
      <c r="N851" s="175"/>
      <c r="O851" s="175"/>
      <c r="P851" s="175"/>
      <c r="Q851" s="175"/>
      <c r="R851" s="175"/>
      <c r="S851" s="175"/>
      <c r="T851" s="175"/>
      <c r="U851" s="175"/>
      <c r="V851" s="175"/>
      <c r="W851" s="175"/>
      <c r="X851" s="175"/>
      <c r="Y851" s="175"/>
      <c r="Z851" s="175"/>
    </row>
    <row r="852" ht="15.75" customHeight="1">
      <c r="A852" s="174"/>
      <c r="B852" s="276"/>
      <c r="C852" s="172"/>
      <c r="D852" s="173"/>
      <c r="E852" s="174"/>
      <c r="F852" s="174"/>
      <c r="G852" s="175"/>
      <c r="H852" s="175"/>
      <c r="I852" s="175"/>
      <c r="J852" s="175"/>
      <c r="K852" s="175"/>
      <c r="L852" s="175"/>
      <c r="M852" s="175"/>
      <c r="N852" s="175"/>
      <c r="O852" s="175"/>
      <c r="P852" s="175"/>
      <c r="Q852" s="175"/>
      <c r="R852" s="175"/>
      <c r="S852" s="175"/>
      <c r="T852" s="175"/>
      <c r="U852" s="175"/>
      <c r="V852" s="175"/>
      <c r="W852" s="175"/>
      <c r="X852" s="175"/>
      <c r="Y852" s="175"/>
      <c r="Z852" s="175"/>
    </row>
    <row r="853" ht="15.75" customHeight="1">
      <c r="A853" s="174"/>
      <c r="B853" s="276"/>
      <c r="C853" s="172"/>
      <c r="D853" s="173"/>
      <c r="E853" s="174"/>
      <c r="F853" s="174"/>
      <c r="G853" s="175"/>
      <c r="H853" s="175"/>
      <c r="I853" s="175"/>
      <c r="J853" s="175"/>
      <c r="K853" s="175"/>
      <c r="L853" s="175"/>
      <c r="M853" s="175"/>
      <c r="N853" s="175"/>
      <c r="O853" s="175"/>
      <c r="P853" s="175"/>
      <c r="Q853" s="175"/>
      <c r="R853" s="175"/>
      <c r="S853" s="175"/>
      <c r="T853" s="175"/>
      <c r="U853" s="175"/>
      <c r="V853" s="175"/>
      <c r="W853" s="175"/>
      <c r="X853" s="175"/>
      <c r="Y853" s="175"/>
      <c r="Z853" s="175"/>
    </row>
    <row r="854" ht="15.75" customHeight="1">
      <c r="A854" s="174"/>
      <c r="B854" s="276"/>
      <c r="C854" s="172"/>
      <c r="D854" s="173"/>
      <c r="E854" s="174"/>
      <c r="F854" s="174"/>
      <c r="G854" s="175"/>
      <c r="H854" s="175"/>
      <c r="I854" s="175"/>
      <c r="J854" s="175"/>
      <c r="K854" s="175"/>
      <c r="L854" s="175"/>
      <c r="M854" s="175"/>
      <c r="N854" s="175"/>
      <c r="O854" s="175"/>
      <c r="P854" s="175"/>
      <c r="Q854" s="175"/>
      <c r="R854" s="175"/>
      <c r="S854" s="175"/>
      <c r="T854" s="175"/>
      <c r="U854" s="175"/>
      <c r="V854" s="175"/>
      <c r="W854" s="175"/>
      <c r="X854" s="175"/>
      <c r="Y854" s="175"/>
      <c r="Z854" s="175"/>
    </row>
    <row r="855" ht="15.75" customHeight="1">
      <c r="A855" s="174"/>
      <c r="B855" s="276"/>
      <c r="C855" s="172"/>
      <c r="D855" s="173"/>
      <c r="E855" s="174"/>
      <c r="F855" s="174"/>
      <c r="G855" s="175"/>
      <c r="H855" s="175"/>
      <c r="I855" s="175"/>
      <c r="J855" s="175"/>
      <c r="K855" s="175"/>
      <c r="L855" s="175"/>
      <c r="M855" s="175"/>
      <c r="N855" s="175"/>
      <c r="O855" s="175"/>
      <c r="P855" s="175"/>
      <c r="Q855" s="175"/>
      <c r="R855" s="175"/>
      <c r="S855" s="175"/>
      <c r="T855" s="175"/>
      <c r="U855" s="175"/>
      <c r="V855" s="175"/>
      <c r="W855" s="175"/>
      <c r="X855" s="175"/>
      <c r="Y855" s="175"/>
      <c r="Z855" s="175"/>
    </row>
    <row r="856" ht="15.75" customHeight="1">
      <c r="A856" s="174"/>
      <c r="B856" s="276"/>
      <c r="C856" s="172"/>
      <c r="D856" s="173"/>
      <c r="E856" s="174"/>
      <c r="F856" s="174"/>
      <c r="G856" s="175"/>
      <c r="H856" s="175"/>
      <c r="I856" s="175"/>
      <c r="J856" s="175"/>
      <c r="K856" s="175"/>
      <c r="L856" s="175"/>
      <c r="M856" s="175"/>
      <c r="N856" s="175"/>
      <c r="O856" s="175"/>
      <c r="P856" s="175"/>
      <c r="Q856" s="175"/>
      <c r="R856" s="175"/>
      <c r="S856" s="175"/>
      <c r="T856" s="175"/>
      <c r="U856" s="175"/>
      <c r="V856" s="175"/>
      <c r="W856" s="175"/>
      <c r="X856" s="175"/>
      <c r="Y856" s="175"/>
      <c r="Z856" s="175"/>
    </row>
    <row r="857" ht="15.75" customHeight="1">
      <c r="A857" s="174"/>
      <c r="B857" s="276"/>
      <c r="C857" s="172"/>
      <c r="D857" s="173"/>
      <c r="E857" s="174"/>
      <c r="F857" s="174"/>
      <c r="G857" s="175"/>
      <c r="H857" s="175"/>
      <c r="I857" s="175"/>
      <c r="J857" s="175"/>
      <c r="K857" s="175"/>
      <c r="L857" s="175"/>
      <c r="M857" s="175"/>
      <c r="N857" s="175"/>
      <c r="O857" s="175"/>
      <c r="P857" s="175"/>
      <c r="Q857" s="175"/>
      <c r="R857" s="175"/>
      <c r="S857" s="175"/>
      <c r="T857" s="175"/>
      <c r="U857" s="175"/>
      <c r="V857" s="175"/>
      <c r="W857" s="175"/>
      <c r="X857" s="175"/>
      <c r="Y857" s="175"/>
      <c r="Z857" s="175"/>
    </row>
    <row r="858" ht="15.75" customHeight="1">
      <c r="A858" s="174"/>
      <c r="B858" s="276"/>
      <c r="C858" s="172"/>
      <c r="D858" s="173"/>
      <c r="E858" s="174"/>
      <c r="F858" s="174"/>
      <c r="G858" s="175"/>
      <c r="H858" s="175"/>
      <c r="I858" s="175"/>
      <c r="J858" s="175"/>
      <c r="K858" s="175"/>
      <c r="L858" s="175"/>
      <c r="M858" s="175"/>
      <c r="N858" s="175"/>
      <c r="O858" s="175"/>
      <c r="P858" s="175"/>
      <c r="Q858" s="175"/>
      <c r="R858" s="175"/>
      <c r="S858" s="175"/>
      <c r="T858" s="175"/>
      <c r="U858" s="175"/>
      <c r="V858" s="175"/>
      <c r="W858" s="175"/>
      <c r="X858" s="175"/>
      <c r="Y858" s="175"/>
      <c r="Z858" s="175"/>
    </row>
    <row r="859" ht="15.75" customHeight="1">
      <c r="A859" s="174"/>
      <c r="B859" s="276"/>
      <c r="C859" s="172"/>
      <c r="D859" s="173"/>
      <c r="E859" s="174"/>
      <c r="F859" s="174"/>
      <c r="G859" s="175"/>
      <c r="H859" s="175"/>
      <c r="I859" s="175"/>
      <c r="J859" s="175"/>
      <c r="K859" s="175"/>
      <c r="L859" s="175"/>
      <c r="M859" s="175"/>
      <c r="N859" s="175"/>
      <c r="O859" s="175"/>
      <c r="P859" s="175"/>
      <c r="Q859" s="175"/>
      <c r="R859" s="175"/>
      <c r="S859" s="175"/>
      <c r="T859" s="175"/>
      <c r="U859" s="175"/>
      <c r="V859" s="175"/>
      <c r="W859" s="175"/>
      <c r="X859" s="175"/>
      <c r="Y859" s="175"/>
      <c r="Z859" s="175"/>
    </row>
    <row r="860" ht="15.75" customHeight="1">
      <c r="A860" s="174"/>
      <c r="B860" s="276"/>
      <c r="C860" s="172"/>
      <c r="D860" s="173"/>
      <c r="E860" s="174"/>
      <c r="F860" s="174"/>
      <c r="G860" s="175"/>
      <c r="H860" s="175"/>
      <c r="I860" s="175"/>
      <c r="J860" s="175"/>
      <c r="K860" s="175"/>
      <c r="L860" s="175"/>
      <c r="M860" s="175"/>
      <c r="N860" s="175"/>
      <c r="O860" s="175"/>
      <c r="P860" s="175"/>
      <c r="Q860" s="175"/>
      <c r="R860" s="175"/>
      <c r="S860" s="175"/>
      <c r="T860" s="175"/>
      <c r="U860" s="175"/>
      <c r="V860" s="175"/>
      <c r="W860" s="175"/>
      <c r="X860" s="175"/>
      <c r="Y860" s="175"/>
      <c r="Z860" s="175"/>
    </row>
    <row r="861" ht="15.75" customHeight="1">
      <c r="A861" s="174"/>
      <c r="B861" s="276"/>
      <c r="C861" s="172"/>
      <c r="D861" s="173"/>
      <c r="E861" s="174"/>
      <c r="F861" s="174"/>
      <c r="G861" s="175"/>
      <c r="H861" s="175"/>
      <c r="I861" s="175"/>
      <c r="J861" s="175"/>
      <c r="K861" s="175"/>
      <c r="L861" s="175"/>
      <c r="M861" s="175"/>
      <c r="N861" s="175"/>
      <c r="O861" s="175"/>
      <c r="P861" s="175"/>
      <c r="Q861" s="175"/>
      <c r="R861" s="175"/>
      <c r="S861" s="175"/>
      <c r="T861" s="175"/>
      <c r="U861" s="175"/>
      <c r="V861" s="175"/>
      <c r="W861" s="175"/>
      <c r="X861" s="175"/>
      <c r="Y861" s="175"/>
      <c r="Z861" s="175"/>
    </row>
    <row r="862" ht="15.75" customHeight="1">
      <c r="A862" s="174"/>
      <c r="B862" s="276"/>
      <c r="C862" s="172"/>
      <c r="D862" s="173"/>
      <c r="E862" s="174"/>
      <c r="F862" s="174"/>
      <c r="G862" s="175"/>
      <c r="H862" s="175"/>
      <c r="I862" s="175"/>
      <c r="J862" s="175"/>
      <c r="K862" s="175"/>
      <c r="L862" s="175"/>
      <c r="M862" s="175"/>
      <c r="N862" s="175"/>
      <c r="O862" s="175"/>
      <c r="P862" s="175"/>
      <c r="Q862" s="175"/>
      <c r="R862" s="175"/>
      <c r="S862" s="175"/>
      <c r="T862" s="175"/>
      <c r="U862" s="175"/>
      <c r="V862" s="175"/>
      <c r="W862" s="175"/>
      <c r="X862" s="175"/>
      <c r="Y862" s="175"/>
      <c r="Z862" s="175"/>
    </row>
    <row r="863" ht="15.75" customHeight="1">
      <c r="A863" s="174"/>
      <c r="B863" s="276"/>
      <c r="C863" s="172"/>
      <c r="D863" s="173"/>
      <c r="E863" s="174"/>
      <c r="F863" s="174"/>
      <c r="G863" s="175"/>
      <c r="H863" s="175"/>
      <c r="I863" s="175"/>
      <c r="J863" s="175"/>
      <c r="K863" s="175"/>
      <c r="L863" s="175"/>
      <c r="M863" s="175"/>
      <c r="N863" s="175"/>
      <c r="O863" s="175"/>
      <c r="P863" s="175"/>
      <c r="Q863" s="175"/>
      <c r="R863" s="175"/>
      <c r="S863" s="175"/>
      <c r="T863" s="175"/>
      <c r="U863" s="175"/>
      <c r="V863" s="175"/>
      <c r="W863" s="175"/>
      <c r="X863" s="175"/>
      <c r="Y863" s="175"/>
      <c r="Z863" s="175"/>
    </row>
    <row r="864" ht="15.75" customHeight="1">
      <c r="A864" s="174"/>
      <c r="B864" s="276"/>
      <c r="C864" s="172"/>
      <c r="D864" s="173"/>
      <c r="E864" s="174"/>
      <c r="F864" s="174"/>
      <c r="G864" s="175"/>
      <c r="H864" s="175"/>
      <c r="I864" s="175"/>
      <c r="J864" s="175"/>
      <c r="K864" s="175"/>
      <c r="L864" s="175"/>
      <c r="M864" s="175"/>
      <c r="N864" s="175"/>
      <c r="O864" s="175"/>
      <c r="P864" s="175"/>
      <c r="Q864" s="175"/>
      <c r="R864" s="175"/>
      <c r="S864" s="175"/>
      <c r="T864" s="175"/>
      <c r="U864" s="175"/>
      <c r="V864" s="175"/>
      <c r="W864" s="175"/>
      <c r="X864" s="175"/>
      <c r="Y864" s="175"/>
      <c r="Z864" s="175"/>
    </row>
    <row r="865" ht="15.75" customHeight="1">
      <c r="A865" s="174"/>
      <c r="B865" s="276"/>
      <c r="C865" s="172"/>
      <c r="D865" s="173"/>
      <c r="E865" s="174"/>
      <c r="F865" s="174"/>
      <c r="G865" s="175"/>
      <c r="H865" s="175"/>
      <c r="I865" s="175"/>
      <c r="J865" s="175"/>
      <c r="K865" s="175"/>
      <c r="L865" s="175"/>
      <c r="M865" s="175"/>
      <c r="N865" s="175"/>
      <c r="O865" s="175"/>
      <c r="P865" s="175"/>
      <c r="Q865" s="175"/>
      <c r="R865" s="175"/>
      <c r="S865" s="175"/>
      <c r="T865" s="175"/>
      <c r="U865" s="175"/>
      <c r="V865" s="175"/>
      <c r="W865" s="175"/>
      <c r="X865" s="175"/>
      <c r="Y865" s="175"/>
      <c r="Z865" s="175"/>
    </row>
    <row r="866" ht="15.75" customHeight="1">
      <c r="A866" s="174"/>
      <c r="B866" s="276"/>
      <c r="C866" s="172"/>
      <c r="D866" s="173"/>
      <c r="E866" s="174"/>
      <c r="F866" s="174"/>
      <c r="G866" s="175"/>
      <c r="H866" s="175"/>
      <c r="I866" s="175"/>
      <c r="J866" s="175"/>
      <c r="K866" s="175"/>
      <c r="L866" s="175"/>
      <c r="M866" s="175"/>
      <c r="N866" s="175"/>
      <c r="O866" s="175"/>
      <c r="P866" s="175"/>
      <c r="Q866" s="175"/>
      <c r="R866" s="175"/>
      <c r="S866" s="175"/>
      <c r="T866" s="175"/>
      <c r="U866" s="175"/>
      <c r="V866" s="175"/>
      <c r="W866" s="175"/>
      <c r="X866" s="175"/>
      <c r="Y866" s="175"/>
      <c r="Z866" s="175"/>
    </row>
    <row r="867" ht="15.75" customHeight="1">
      <c r="A867" s="174"/>
      <c r="B867" s="276"/>
      <c r="C867" s="172"/>
      <c r="D867" s="173"/>
      <c r="E867" s="174"/>
      <c r="F867" s="174"/>
      <c r="G867" s="175"/>
      <c r="H867" s="175"/>
      <c r="I867" s="175"/>
      <c r="J867" s="175"/>
      <c r="K867" s="175"/>
      <c r="L867" s="175"/>
      <c r="M867" s="175"/>
      <c r="N867" s="175"/>
      <c r="O867" s="175"/>
      <c r="P867" s="175"/>
      <c r="Q867" s="175"/>
      <c r="R867" s="175"/>
      <c r="S867" s="175"/>
      <c r="T867" s="175"/>
      <c r="U867" s="175"/>
      <c r="V867" s="175"/>
      <c r="W867" s="175"/>
      <c r="X867" s="175"/>
      <c r="Y867" s="175"/>
      <c r="Z867" s="175"/>
    </row>
    <row r="868" ht="15.75" customHeight="1">
      <c r="A868" s="174"/>
      <c r="B868" s="276"/>
      <c r="C868" s="172"/>
      <c r="D868" s="173"/>
      <c r="E868" s="174"/>
      <c r="F868" s="174"/>
      <c r="G868" s="175"/>
      <c r="H868" s="175"/>
      <c r="I868" s="175"/>
      <c r="J868" s="175"/>
      <c r="K868" s="175"/>
      <c r="L868" s="175"/>
      <c r="M868" s="175"/>
      <c r="N868" s="175"/>
      <c r="O868" s="175"/>
      <c r="P868" s="175"/>
      <c r="Q868" s="175"/>
      <c r="R868" s="175"/>
      <c r="S868" s="175"/>
      <c r="T868" s="175"/>
      <c r="U868" s="175"/>
      <c r="V868" s="175"/>
      <c r="W868" s="175"/>
      <c r="X868" s="175"/>
      <c r="Y868" s="175"/>
      <c r="Z868" s="175"/>
    </row>
    <row r="869" ht="15.75" customHeight="1">
      <c r="A869" s="174"/>
      <c r="B869" s="276"/>
      <c r="C869" s="172"/>
      <c r="D869" s="173"/>
      <c r="E869" s="174"/>
      <c r="F869" s="174"/>
      <c r="G869" s="175"/>
      <c r="H869" s="175"/>
      <c r="I869" s="175"/>
      <c r="J869" s="175"/>
      <c r="K869" s="175"/>
      <c r="L869" s="175"/>
      <c r="M869" s="175"/>
      <c r="N869" s="175"/>
      <c r="O869" s="175"/>
      <c r="P869" s="175"/>
      <c r="Q869" s="175"/>
      <c r="R869" s="175"/>
      <c r="S869" s="175"/>
      <c r="T869" s="175"/>
      <c r="U869" s="175"/>
      <c r="V869" s="175"/>
      <c r="W869" s="175"/>
      <c r="X869" s="175"/>
      <c r="Y869" s="175"/>
      <c r="Z869" s="175"/>
    </row>
    <row r="870" ht="15.75" customHeight="1">
      <c r="A870" s="174"/>
      <c r="B870" s="276"/>
      <c r="C870" s="172"/>
      <c r="D870" s="173"/>
      <c r="E870" s="174"/>
      <c r="F870" s="174"/>
      <c r="G870" s="175"/>
      <c r="H870" s="175"/>
      <c r="I870" s="175"/>
      <c r="J870" s="175"/>
      <c r="K870" s="175"/>
      <c r="L870" s="175"/>
      <c r="M870" s="175"/>
      <c r="N870" s="175"/>
      <c r="O870" s="175"/>
      <c r="P870" s="175"/>
      <c r="Q870" s="175"/>
      <c r="R870" s="175"/>
      <c r="S870" s="175"/>
      <c r="T870" s="175"/>
      <c r="U870" s="175"/>
      <c r="V870" s="175"/>
      <c r="W870" s="175"/>
      <c r="X870" s="175"/>
      <c r="Y870" s="175"/>
      <c r="Z870" s="175"/>
    </row>
    <row r="871" ht="15.75" customHeight="1">
      <c r="A871" s="174"/>
      <c r="B871" s="276"/>
      <c r="C871" s="172"/>
      <c r="D871" s="173"/>
      <c r="E871" s="174"/>
      <c r="F871" s="174"/>
      <c r="G871" s="175"/>
      <c r="H871" s="175"/>
      <c r="I871" s="175"/>
      <c r="J871" s="175"/>
      <c r="K871" s="175"/>
      <c r="L871" s="175"/>
      <c r="M871" s="175"/>
      <c r="N871" s="175"/>
      <c r="O871" s="175"/>
      <c r="P871" s="175"/>
      <c r="Q871" s="175"/>
      <c r="R871" s="175"/>
      <c r="S871" s="175"/>
      <c r="T871" s="175"/>
      <c r="U871" s="175"/>
      <c r="V871" s="175"/>
      <c r="W871" s="175"/>
      <c r="X871" s="175"/>
      <c r="Y871" s="175"/>
      <c r="Z871" s="175"/>
    </row>
    <row r="872" ht="15.75" customHeight="1">
      <c r="A872" s="174"/>
      <c r="B872" s="276"/>
      <c r="C872" s="172"/>
      <c r="D872" s="173"/>
      <c r="E872" s="174"/>
      <c r="F872" s="174"/>
      <c r="G872" s="175"/>
      <c r="H872" s="175"/>
      <c r="I872" s="175"/>
      <c r="J872" s="175"/>
      <c r="K872" s="175"/>
      <c r="L872" s="175"/>
      <c r="M872" s="175"/>
      <c r="N872" s="175"/>
      <c r="O872" s="175"/>
      <c r="P872" s="175"/>
      <c r="Q872" s="175"/>
      <c r="R872" s="175"/>
      <c r="S872" s="175"/>
      <c r="T872" s="175"/>
      <c r="U872" s="175"/>
      <c r="V872" s="175"/>
      <c r="W872" s="175"/>
      <c r="X872" s="175"/>
      <c r="Y872" s="175"/>
      <c r="Z872" s="175"/>
    </row>
    <row r="873" ht="15.75" customHeight="1">
      <c r="A873" s="174"/>
      <c r="B873" s="276"/>
      <c r="C873" s="172"/>
      <c r="D873" s="173"/>
      <c r="E873" s="174"/>
      <c r="F873" s="174"/>
      <c r="G873" s="175"/>
      <c r="H873" s="175"/>
      <c r="I873" s="175"/>
      <c r="J873" s="175"/>
      <c r="K873" s="175"/>
      <c r="L873" s="175"/>
      <c r="M873" s="175"/>
      <c r="N873" s="175"/>
      <c r="O873" s="175"/>
      <c r="P873" s="175"/>
      <c r="Q873" s="175"/>
      <c r="R873" s="175"/>
      <c r="S873" s="175"/>
      <c r="T873" s="175"/>
      <c r="U873" s="175"/>
      <c r="V873" s="175"/>
      <c r="W873" s="175"/>
      <c r="X873" s="175"/>
      <c r="Y873" s="175"/>
      <c r="Z873" s="175"/>
    </row>
    <row r="874" ht="15.75" customHeight="1">
      <c r="A874" s="174"/>
      <c r="B874" s="276"/>
      <c r="C874" s="172"/>
      <c r="D874" s="173"/>
      <c r="E874" s="174"/>
      <c r="F874" s="174"/>
      <c r="G874" s="175"/>
      <c r="H874" s="175"/>
      <c r="I874" s="175"/>
      <c r="J874" s="175"/>
      <c r="K874" s="175"/>
      <c r="L874" s="175"/>
      <c r="M874" s="175"/>
      <c r="N874" s="175"/>
      <c r="O874" s="175"/>
      <c r="P874" s="175"/>
      <c r="Q874" s="175"/>
      <c r="R874" s="175"/>
      <c r="S874" s="175"/>
      <c r="T874" s="175"/>
      <c r="U874" s="175"/>
      <c r="V874" s="175"/>
      <c r="W874" s="175"/>
      <c r="X874" s="175"/>
      <c r="Y874" s="175"/>
      <c r="Z874" s="175"/>
    </row>
    <row r="875" ht="15.75" customHeight="1">
      <c r="A875" s="174"/>
      <c r="B875" s="276"/>
      <c r="C875" s="172"/>
      <c r="D875" s="173"/>
      <c r="E875" s="174"/>
      <c r="F875" s="174"/>
      <c r="G875" s="175"/>
      <c r="H875" s="175"/>
      <c r="I875" s="175"/>
      <c r="J875" s="175"/>
      <c r="K875" s="175"/>
      <c r="L875" s="175"/>
      <c r="M875" s="175"/>
      <c r="N875" s="175"/>
      <c r="O875" s="175"/>
      <c r="P875" s="175"/>
      <c r="Q875" s="175"/>
      <c r="R875" s="175"/>
      <c r="S875" s="175"/>
      <c r="T875" s="175"/>
      <c r="U875" s="175"/>
      <c r="V875" s="175"/>
      <c r="W875" s="175"/>
      <c r="X875" s="175"/>
      <c r="Y875" s="175"/>
      <c r="Z875" s="175"/>
    </row>
    <row r="876" ht="15.75" customHeight="1">
      <c r="A876" s="174"/>
      <c r="B876" s="276"/>
      <c r="C876" s="172"/>
      <c r="D876" s="173"/>
      <c r="E876" s="174"/>
      <c r="F876" s="174"/>
      <c r="G876" s="175"/>
      <c r="H876" s="175"/>
      <c r="I876" s="175"/>
      <c r="J876" s="175"/>
      <c r="K876" s="175"/>
      <c r="L876" s="175"/>
      <c r="M876" s="175"/>
      <c r="N876" s="175"/>
      <c r="O876" s="175"/>
      <c r="P876" s="175"/>
      <c r="Q876" s="175"/>
      <c r="R876" s="175"/>
      <c r="S876" s="175"/>
      <c r="T876" s="175"/>
      <c r="U876" s="175"/>
      <c r="V876" s="175"/>
      <c r="W876" s="175"/>
      <c r="X876" s="175"/>
      <c r="Y876" s="175"/>
      <c r="Z876" s="175"/>
    </row>
    <row r="877" ht="15.75" customHeight="1">
      <c r="A877" s="174"/>
      <c r="B877" s="276"/>
      <c r="C877" s="172"/>
      <c r="D877" s="173"/>
      <c r="E877" s="174"/>
      <c r="F877" s="174"/>
      <c r="G877" s="175"/>
      <c r="H877" s="175"/>
      <c r="I877" s="175"/>
      <c r="J877" s="175"/>
      <c r="K877" s="175"/>
      <c r="L877" s="175"/>
      <c r="M877" s="175"/>
      <c r="N877" s="175"/>
      <c r="O877" s="175"/>
      <c r="P877" s="175"/>
      <c r="Q877" s="175"/>
      <c r="R877" s="175"/>
      <c r="S877" s="175"/>
      <c r="T877" s="175"/>
      <c r="U877" s="175"/>
      <c r="V877" s="175"/>
      <c r="W877" s="175"/>
      <c r="X877" s="175"/>
      <c r="Y877" s="175"/>
      <c r="Z877" s="175"/>
    </row>
    <row r="878" ht="15.75" customHeight="1">
      <c r="A878" s="174"/>
      <c r="B878" s="276"/>
      <c r="C878" s="172"/>
      <c r="D878" s="173"/>
      <c r="E878" s="174"/>
      <c r="F878" s="174"/>
      <c r="G878" s="175"/>
      <c r="H878" s="175"/>
      <c r="I878" s="175"/>
      <c r="J878" s="175"/>
      <c r="K878" s="175"/>
      <c r="L878" s="175"/>
      <c r="M878" s="175"/>
      <c r="N878" s="175"/>
      <c r="O878" s="175"/>
      <c r="P878" s="175"/>
      <c r="Q878" s="175"/>
      <c r="R878" s="175"/>
      <c r="S878" s="175"/>
      <c r="T878" s="175"/>
      <c r="U878" s="175"/>
      <c r="V878" s="175"/>
      <c r="W878" s="175"/>
      <c r="X878" s="175"/>
      <c r="Y878" s="175"/>
      <c r="Z878" s="175"/>
    </row>
    <row r="879" ht="15.75" customHeight="1">
      <c r="A879" s="174"/>
      <c r="B879" s="276"/>
      <c r="C879" s="172"/>
      <c r="D879" s="173"/>
      <c r="E879" s="174"/>
      <c r="F879" s="174"/>
      <c r="G879" s="175"/>
      <c r="H879" s="175"/>
      <c r="I879" s="175"/>
      <c r="J879" s="175"/>
      <c r="K879" s="175"/>
      <c r="L879" s="175"/>
      <c r="M879" s="175"/>
      <c r="N879" s="175"/>
      <c r="O879" s="175"/>
      <c r="P879" s="175"/>
      <c r="Q879" s="175"/>
      <c r="R879" s="175"/>
      <c r="S879" s="175"/>
      <c r="T879" s="175"/>
      <c r="U879" s="175"/>
      <c r="V879" s="175"/>
      <c r="W879" s="175"/>
      <c r="X879" s="175"/>
      <c r="Y879" s="175"/>
      <c r="Z879" s="175"/>
    </row>
    <row r="880" ht="15.75" customHeight="1">
      <c r="A880" s="174"/>
      <c r="B880" s="276"/>
      <c r="C880" s="172"/>
      <c r="D880" s="173"/>
      <c r="E880" s="174"/>
      <c r="F880" s="174"/>
      <c r="G880" s="175"/>
      <c r="H880" s="175"/>
      <c r="I880" s="175"/>
      <c r="J880" s="175"/>
      <c r="K880" s="175"/>
      <c r="L880" s="175"/>
      <c r="M880" s="175"/>
      <c r="N880" s="175"/>
      <c r="O880" s="175"/>
      <c r="P880" s="175"/>
      <c r="Q880" s="175"/>
      <c r="R880" s="175"/>
      <c r="S880" s="175"/>
      <c r="T880" s="175"/>
      <c r="U880" s="175"/>
      <c r="V880" s="175"/>
      <c r="W880" s="175"/>
      <c r="X880" s="175"/>
      <c r="Y880" s="175"/>
      <c r="Z880" s="175"/>
    </row>
    <row r="881" ht="15.75" customHeight="1">
      <c r="A881" s="174"/>
      <c r="B881" s="276"/>
      <c r="C881" s="172"/>
      <c r="D881" s="173"/>
      <c r="E881" s="174"/>
      <c r="F881" s="174"/>
      <c r="G881" s="175"/>
      <c r="H881" s="175"/>
      <c r="I881" s="175"/>
      <c r="J881" s="175"/>
      <c r="K881" s="175"/>
      <c r="L881" s="175"/>
      <c r="M881" s="175"/>
      <c r="N881" s="175"/>
      <c r="O881" s="175"/>
      <c r="P881" s="175"/>
      <c r="Q881" s="175"/>
      <c r="R881" s="175"/>
      <c r="S881" s="175"/>
      <c r="T881" s="175"/>
      <c r="U881" s="175"/>
      <c r="V881" s="175"/>
      <c r="W881" s="175"/>
      <c r="X881" s="175"/>
      <c r="Y881" s="175"/>
      <c r="Z881" s="175"/>
    </row>
    <row r="882" ht="15.75" customHeight="1">
      <c r="A882" s="174"/>
      <c r="B882" s="276"/>
      <c r="C882" s="172"/>
      <c r="D882" s="173"/>
      <c r="E882" s="174"/>
      <c r="F882" s="174"/>
      <c r="G882" s="175"/>
      <c r="H882" s="175"/>
      <c r="I882" s="175"/>
      <c r="J882" s="175"/>
      <c r="K882" s="175"/>
      <c r="L882" s="175"/>
      <c r="M882" s="175"/>
      <c r="N882" s="175"/>
      <c r="O882" s="175"/>
      <c r="P882" s="175"/>
      <c r="Q882" s="175"/>
      <c r="R882" s="175"/>
      <c r="S882" s="175"/>
      <c r="T882" s="175"/>
      <c r="U882" s="175"/>
      <c r="V882" s="175"/>
      <c r="W882" s="175"/>
      <c r="X882" s="175"/>
      <c r="Y882" s="175"/>
      <c r="Z882" s="175"/>
    </row>
    <row r="883" ht="15.75" customHeight="1">
      <c r="A883" s="174"/>
      <c r="B883" s="276"/>
      <c r="C883" s="172"/>
      <c r="D883" s="173"/>
      <c r="E883" s="174"/>
      <c r="F883" s="174"/>
      <c r="G883" s="175"/>
      <c r="H883" s="175"/>
      <c r="I883" s="175"/>
      <c r="J883" s="175"/>
      <c r="K883" s="175"/>
      <c r="L883" s="175"/>
      <c r="M883" s="175"/>
      <c r="N883" s="175"/>
      <c r="O883" s="175"/>
      <c r="P883" s="175"/>
      <c r="Q883" s="175"/>
      <c r="R883" s="175"/>
      <c r="S883" s="175"/>
      <c r="T883" s="175"/>
      <c r="U883" s="175"/>
      <c r="V883" s="175"/>
      <c r="W883" s="175"/>
      <c r="X883" s="175"/>
      <c r="Y883" s="175"/>
      <c r="Z883" s="175"/>
    </row>
    <row r="884" ht="15.75" customHeight="1">
      <c r="A884" s="174"/>
      <c r="B884" s="276"/>
      <c r="C884" s="172"/>
      <c r="D884" s="173"/>
      <c r="E884" s="174"/>
      <c r="F884" s="174"/>
      <c r="G884" s="175"/>
      <c r="H884" s="175"/>
      <c r="I884" s="175"/>
      <c r="J884" s="175"/>
      <c r="K884" s="175"/>
      <c r="L884" s="175"/>
      <c r="M884" s="175"/>
      <c r="N884" s="175"/>
      <c r="O884" s="175"/>
      <c r="P884" s="175"/>
      <c r="Q884" s="175"/>
      <c r="R884" s="175"/>
      <c r="S884" s="175"/>
      <c r="T884" s="175"/>
      <c r="U884" s="175"/>
      <c r="V884" s="175"/>
      <c r="W884" s="175"/>
      <c r="X884" s="175"/>
      <c r="Y884" s="175"/>
      <c r="Z884" s="175"/>
    </row>
    <row r="885" ht="15.75" customHeight="1">
      <c r="A885" s="174"/>
      <c r="B885" s="276"/>
      <c r="C885" s="172"/>
      <c r="D885" s="173"/>
      <c r="E885" s="174"/>
      <c r="F885" s="174"/>
      <c r="G885" s="175"/>
      <c r="H885" s="175"/>
      <c r="I885" s="175"/>
      <c r="J885" s="175"/>
      <c r="K885" s="175"/>
      <c r="L885" s="175"/>
      <c r="M885" s="175"/>
      <c r="N885" s="175"/>
      <c r="O885" s="175"/>
      <c r="P885" s="175"/>
      <c r="Q885" s="175"/>
      <c r="R885" s="175"/>
      <c r="S885" s="175"/>
      <c r="T885" s="175"/>
      <c r="U885" s="175"/>
      <c r="V885" s="175"/>
      <c r="W885" s="175"/>
      <c r="X885" s="175"/>
      <c r="Y885" s="175"/>
      <c r="Z885" s="175"/>
    </row>
    <row r="886" ht="15.75" customHeight="1">
      <c r="A886" s="174"/>
      <c r="B886" s="276"/>
      <c r="C886" s="172"/>
      <c r="D886" s="173"/>
      <c r="E886" s="174"/>
      <c r="F886" s="174"/>
      <c r="G886" s="175"/>
      <c r="H886" s="175"/>
      <c r="I886" s="175"/>
      <c r="J886" s="175"/>
      <c r="K886" s="175"/>
      <c r="L886" s="175"/>
      <c r="M886" s="175"/>
      <c r="N886" s="175"/>
      <c r="O886" s="175"/>
      <c r="P886" s="175"/>
      <c r="Q886" s="175"/>
      <c r="R886" s="175"/>
      <c r="S886" s="175"/>
      <c r="T886" s="175"/>
      <c r="U886" s="175"/>
      <c r="V886" s="175"/>
      <c r="W886" s="175"/>
      <c r="X886" s="175"/>
      <c r="Y886" s="175"/>
      <c r="Z886" s="175"/>
    </row>
    <row r="887" ht="15.75" customHeight="1">
      <c r="A887" s="174"/>
      <c r="B887" s="276"/>
      <c r="C887" s="172"/>
      <c r="D887" s="173"/>
      <c r="E887" s="174"/>
      <c r="F887" s="174"/>
      <c r="G887" s="175"/>
      <c r="H887" s="175"/>
      <c r="I887" s="175"/>
      <c r="J887" s="175"/>
      <c r="K887" s="175"/>
      <c r="L887" s="175"/>
      <c r="M887" s="175"/>
      <c r="N887" s="175"/>
      <c r="O887" s="175"/>
      <c r="P887" s="175"/>
      <c r="Q887" s="175"/>
      <c r="R887" s="175"/>
      <c r="S887" s="175"/>
      <c r="T887" s="175"/>
      <c r="U887" s="175"/>
      <c r="V887" s="175"/>
      <c r="W887" s="175"/>
      <c r="X887" s="175"/>
      <c r="Y887" s="175"/>
      <c r="Z887" s="175"/>
    </row>
    <row r="888" ht="15.75" customHeight="1">
      <c r="A888" s="174"/>
      <c r="B888" s="276"/>
      <c r="C888" s="172"/>
      <c r="D888" s="173"/>
      <c r="E888" s="174"/>
      <c r="F888" s="174"/>
      <c r="G888" s="175"/>
      <c r="H888" s="175"/>
      <c r="I888" s="175"/>
      <c r="J888" s="175"/>
      <c r="K888" s="175"/>
      <c r="L888" s="175"/>
      <c r="M888" s="175"/>
      <c r="N888" s="175"/>
      <c r="O888" s="175"/>
      <c r="P888" s="175"/>
      <c r="Q888" s="175"/>
      <c r="R888" s="175"/>
      <c r="S888" s="175"/>
      <c r="T888" s="175"/>
      <c r="U888" s="175"/>
      <c r="V888" s="175"/>
      <c r="W888" s="175"/>
      <c r="X888" s="175"/>
      <c r="Y888" s="175"/>
      <c r="Z888" s="175"/>
    </row>
    <row r="889" ht="15.75" customHeight="1">
      <c r="A889" s="174"/>
      <c r="B889" s="276"/>
      <c r="C889" s="172"/>
      <c r="D889" s="173"/>
      <c r="E889" s="174"/>
      <c r="F889" s="174"/>
      <c r="G889" s="175"/>
      <c r="H889" s="175"/>
      <c r="I889" s="175"/>
      <c r="J889" s="175"/>
      <c r="K889" s="175"/>
      <c r="L889" s="175"/>
      <c r="M889" s="175"/>
      <c r="N889" s="175"/>
      <c r="O889" s="175"/>
      <c r="P889" s="175"/>
      <c r="Q889" s="175"/>
      <c r="R889" s="175"/>
      <c r="S889" s="175"/>
      <c r="T889" s="175"/>
      <c r="U889" s="175"/>
      <c r="V889" s="175"/>
      <c r="W889" s="175"/>
      <c r="X889" s="175"/>
      <c r="Y889" s="175"/>
      <c r="Z889" s="175"/>
    </row>
    <row r="890" ht="15.75" customHeight="1">
      <c r="A890" s="174"/>
      <c r="B890" s="276"/>
      <c r="C890" s="172"/>
      <c r="D890" s="173"/>
      <c r="E890" s="174"/>
      <c r="F890" s="174"/>
      <c r="G890" s="175"/>
      <c r="H890" s="175"/>
      <c r="I890" s="175"/>
      <c r="J890" s="175"/>
      <c r="K890" s="175"/>
      <c r="L890" s="175"/>
      <c r="M890" s="175"/>
      <c r="N890" s="175"/>
      <c r="O890" s="175"/>
      <c r="P890" s="175"/>
      <c r="Q890" s="175"/>
      <c r="R890" s="175"/>
      <c r="S890" s="175"/>
      <c r="T890" s="175"/>
      <c r="U890" s="175"/>
      <c r="V890" s="175"/>
      <c r="W890" s="175"/>
      <c r="X890" s="175"/>
      <c r="Y890" s="175"/>
      <c r="Z890" s="175"/>
    </row>
    <row r="891" ht="15.75" customHeight="1">
      <c r="A891" s="174"/>
      <c r="B891" s="276"/>
      <c r="C891" s="172"/>
      <c r="D891" s="173"/>
      <c r="E891" s="174"/>
      <c r="F891" s="174"/>
      <c r="G891" s="175"/>
      <c r="H891" s="175"/>
      <c r="I891" s="175"/>
      <c r="J891" s="175"/>
      <c r="K891" s="175"/>
      <c r="L891" s="175"/>
      <c r="M891" s="175"/>
      <c r="N891" s="175"/>
      <c r="O891" s="175"/>
      <c r="P891" s="175"/>
      <c r="Q891" s="175"/>
      <c r="R891" s="175"/>
      <c r="S891" s="175"/>
      <c r="T891" s="175"/>
      <c r="U891" s="175"/>
      <c r="V891" s="175"/>
      <c r="W891" s="175"/>
      <c r="X891" s="175"/>
      <c r="Y891" s="175"/>
      <c r="Z891" s="175"/>
    </row>
    <row r="892" ht="15.75" customHeight="1">
      <c r="A892" s="174"/>
      <c r="B892" s="276"/>
      <c r="C892" s="172"/>
      <c r="D892" s="173"/>
      <c r="E892" s="174"/>
      <c r="F892" s="174"/>
      <c r="G892" s="175"/>
      <c r="H892" s="175"/>
      <c r="I892" s="175"/>
      <c r="J892" s="175"/>
      <c r="K892" s="175"/>
      <c r="L892" s="175"/>
      <c r="M892" s="175"/>
      <c r="N892" s="175"/>
      <c r="O892" s="175"/>
      <c r="P892" s="175"/>
      <c r="Q892" s="175"/>
      <c r="R892" s="175"/>
      <c r="S892" s="175"/>
      <c r="T892" s="175"/>
      <c r="U892" s="175"/>
      <c r="V892" s="175"/>
      <c r="W892" s="175"/>
      <c r="X892" s="175"/>
      <c r="Y892" s="175"/>
      <c r="Z892" s="175"/>
    </row>
    <row r="893" ht="15.75" customHeight="1">
      <c r="A893" s="174"/>
      <c r="B893" s="276"/>
      <c r="C893" s="172"/>
      <c r="D893" s="173"/>
      <c r="E893" s="174"/>
      <c r="F893" s="174"/>
      <c r="G893" s="175"/>
      <c r="H893" s="175"/>
      <c r="I893" s="175"/>
      <c r="J893" s="175"/>
      <c r="K893" s="175"/>
      <c r="L893" s="175"/>
      <c r="M893" s="175"/>
      <c r="N893" s="175"/>
      <c r="O893" s="175"/>
      <c r="P893" s="175"/>
      <c r="Q893" s="175"/>
      <c r="R893" s="175"/>
      <c r="S893" s="175"/>
      <c r="T893" s="175"/>
      <c r="U893" s="175"/>
      <c r="V893" s="175"/>
      <c r="W893" s="175"/>
      <c r="X893" s="175"/>
      <c r="Y893" s="175"/>
      <c r="Z893" s="175"/>
    </row>
    <row r="894" ht="15.75" customHeight="1">
      <c r="A894" s="174"/>
      <c r="B894" s="276"/>
      <c r="C894" s="172"/>
      <c r="D894" s="173"/>
      <c r="E894" s="174"/>
      <c r="F894" s="174"/>
      <c r="G894" s="175"/>
      <c r="H894" s="175"/>
      <c r="I894" s="175"/>
      <c r="J894" s="175"/>
      <c r="K894" s="175"/>
      <c r="L894" s="175"/>
      <c r="M894" s="175"/>
      <c r="N894" s="175"/>
      <c r="O894" s="175"/>
      <c r="P894" s="175"/>
      <c r="Q894" s="175"/>
      <c r="R894" s="175"/>
      <c r="S894" s="175"/>
      <c r="T894" s="175"/>
      <c r="U894" s="175"/>
      <c r="V894" s="175"/>
      <c r="W894" s="175"/>
      <c r="X894" s="175"/>
      <c r="Y894" s="175"/>
      <c r="Z894" s="175"/>
    </row>
    <row r="895" ht="15.75" customHeight="1">
      <c r="A895" s="174"/>
      <c r="B895" s="276"/>
      <c r="C895" s="172"/>
      <c r="D895" s="173"/>
      <c r="E895" s="174"/>
      <c r="F895" s="174"/>
      <c r="G895" s="175"/>
      <c r="H895" s="175"/>
      <c r="I895" s="175"/>
      <c r="J895" s="175"/>
      <c r="K895" s="175"/>
      <c r="L895" s="175"/>
      <c r="M895" s="175"/>
      <c r="N895" s="175"/>
      <c r="O895" s="175"/>
      <c r="P895" s="175"/>
      <c r="Q895" s="175"/>
      <c r="R895" s="175"/>
      <c r="S895" s="175"/>
      <c r="T895" s="175"/>
      <c r="U895" s="175"/>
      <c r="V895" s="175"/>
      <c r="W895" s="175"/>
      <c r="X895" s="175"/>
      <c r="Y895" s="175"/>
      <c r="Z895" s="175"/>
    </row>
    <row r="896" ht="15.75" customHeight="1">
      <c r="A896" s="174"/>
      <c r="B896" s="276"/>
      <c r="C896" s="172"/>
      <c r="D896" s="173"/>
      <c r="E896" s="174"/>
      <c r="F896" s="174"/>
      <c r="G896" s="175"/>
      <c r="H896" s="175"/>
      <c r="I896" s="175"/>
      <c r="J896" s="175"/>
      <c r="K896" s="175"/>
      <c r="L896" s="175"/>
      <c r="M896" s="175"/>
      <c r="N896" s="175"/>
      <c r="O896" s="175"/>
      <c r="P896" s="175"/>
      <c r="Q896" s="175"/>
      <c r="R896" s="175"/>
      <c r="S896" s="175"/>
      <c r="T896" s="175"/>
      <c r="U896" s="175"/>
      <c r="V896" s="175"/>
      <c r="W896" s="175"/>
      <c r="X896" s="175"/>
      <c r="Y896" s="175"/>
      <c r="Z896" s="175"/>
    </row>
    <row r="897" ht="15.75" customHeight="1">
      <c r="A897" s="174"/>
      <c r="B897" s="276"/>
      <c r="C897" s="172"/>
      <c r="D897" s="173"/>
      <c r="E897" s="174"/>
      <c r="F897" s="174"/>
      <c r="G897" s="175"/>
      <c r="H897" s="175"/>
      <c r="I897" s="175"/>
      <c r="J897" s="175"/>
      <c r="K897" s="175"/>
      <c r="L897" s="175"/>
      <c r="M897" s="175"/>
      <c r="N897" s="175"/>
      <c r="O897" s="175"/>
      <c r="P897" s="175"/>
      <c r="Q897" s="175"/>
      <c r="R897" s="175"/>
      <c r="S897" s="175"/>
      <c r="T897" s="175"/>
      <c r="U897" s="175"/>
      <c r="V897" s="175"/>
      <c r="W897" s="175"/>
      <c r="X897" s="175"/>
      <c r="Y897" s="175"/>
      <c r="Z897" s="175"/>
    </row>
    <row r="898" ht="15.75" customHeight="1">
      <c r="A898" s="174"/>
      <c r="B898" s="276"/>
      <c r="C898" s="172"/>
      <c r="D898" s="173"/>
      <c r="E898" s="174"/>
      <c r="F898" s="174"/>
      <c r="G898" s="175"/>
      <c r="H898" s="175"/>
      <c r="I898" s="175"/>
      <c r="J898" s="175"/>
      <c r="K898" s="175"/>
      <c r="L898" s="175"/>
      <c r="M898" s="175"/>
      <c r="N898" s="175"/>
      <c r="O898" s="175"/>
      <c r="P898" s="175"/>
      <c r="Q898" s="175"/>
      <c r="R898" s="175"/>
      <c r="S898" s="175"/>
      <c r="T898" s="175"/>
      <c r="U898" s="175"/>
      <c r="V898" s="175"/>
      <c r="W898" s="175"/>
      <c r="X898" s="175"/>
      <c r="Y898" s="175"/>
      <c r="Z898" s="175"/>
    </row>
    <row r="899" ht="15.75" customHeight="1">
      <c r="A899" s="174"/>
      <c r="B899" s="276"/>
      <c r="C899" s="172"/>
      <c r="D899" s="173"/>
      <c r="E899" s="174"/>
      <c r="F899" s="174"/>
      <c r="G899" s="175"/>
      <c r="H899" s="175"/>
      <c r="I899" s="175"/>
      <c r="J899" s="175"/>
      <c r="K899" s="175"/>
      <c r="L899" s="175"/>
      <c r="M899" s="175"/>
      <c r="N899" s="175"/>
      <c r="O899" s="175"/>
      <c r="P899" s="175"/>
      <c r="Q899" s="175"/>
      <c r="R899" s="175"/>
      <c r="S899" s="175"/>
      <c r="T899" s="175"/>
      <c r="U899" s="175"/>
      <c r="V899" s="175"/>
      <c r="W899" s="175"/>
      <c r="X899" s="175"/>
      <c r="Y899" s="175"/>
      <c r="Z899" s="175"/>
    </row>
    <row r="900" ht="15.75" customHeight="1">
      <c r="A900" s="174"/>
      <c r="B900" s="276"/>
      <c r="C900" s="172"/>
      <c r="D900" s="173"/>
      <c r="E900" s="174"/>
      <c r="F900" s="174"/>
      <c r="G900" s="175"/>
      <c r="H900" s="175"/>
      <c r="I900" s="175"/>
      <c r="J900" s="175"/>
      <c r="K900" s="175"/>
      <c r="L900" s="175"/>
      <c r="M900" s="175"/>
      <c r="N900" s="175"/>
      <c r="O900" s="175"/>
      <c r="P900" s="175"/>
      <c r="Q900" s="175"/>
      <c r="R900" s="175"/>
      <c r="S900" s="175"/>
      <c r="T900" s="175"/>
      <c r="U900" s="175"/>
      <c r="V900" s="175"/>
      <c r="W900" s="175"/>
      <c r="X900" s="175"/>
      <c r="Y900" s="175"/>
      <c r="Z900" s="175"/>
    </row>
    <row r="901" ht="15.75" customHeight="1">
      <c r="A901" s="174"/>
      <c r="B901" s="276"/>
      <c r="C901" s="172"/>
      <c r="D901" s="173"/>
      <c r="E901" s="174"/>
      <c r="F901" s="174"/>
      <c r="G901" s="175"/>
      <c r="H901" s="175"/>
      <c r="I901" s="175"/>
      <c r="J901" s="175"/>
      <c r="K901" s="175"/>
      <c r="L901" s="175"/>
      <c r="M901" s="175"/>
      <c r="N901" s="175"/>
      <c r="O901" s="175"/>
      <c r="P901" s="175"/>
      <c r="Q901" s="175"/>
      <c r="R901" s="175"/>
      <c r="S901" s="175"/>
      <c r="T901" s="175"/>
      <c r="U901" s="175"/>
      <c r="V901" s="175"/>
      <c r="W901" s="175"/>
      <c r="X901" s="175"/>
      <c r="Y901" s="175"/>
      <c r="Z901" s="175"/>
    </row>
    <row r="902" ht="15.75" customHeight="1">
      <c r="A902" s="174"/>
      <c r="B902" s="276"/>
      <c r="C902" s="172"/>
      <c r="D902" s="173"/>
      <c r="E902" s="174"/>
      <c r="F902" s="174"/>
      <c r="G902" s="175"/>
      <c r="H902" s="175"/>
      <c r="I902" s="175"/>
      <c r="J902" s="175"/>
      <c r="K902" s="175"/>
      <c r="L902" s="175"/>
      <c r="M902" s="175"/>
      <c r="N902" s="175"/>
      <c r="O902" s="175"/>
      <c r="P902" s="175"/>
      <c r="Q902" s="175"/>
      <c r="R902" s="175"/>
      <c r="S902" s="175"/>
      <c r="T902" s="175"/>
      <c r="U902" s="175"/>
      <c r="V902" s="175"/>
      <c r="W902" s="175"/>
      <c r="X902" s="175"/>
      <c r="Y902" s="175"/>
      <c r="Z902" s="175"/>
    </row>
    <row r="903" ht="15.75" customHeight="1">
      <c r="A903" s="174"/>
      <c r="B903" s="276"/>
      <c r="C903" s="172"/>
      <c r="D903" s="173"/>
      <c r="E903" s="174"/>
      <c r="F903" s="174"/>
      <c r="G903" s="175"/>
      <c r="H903" s="175"/>
      <c r="I903" s="175"/>
      <c r="J903" s="175"/>
      <c r="K903" s="175"/>
      <c r="L903" s="175"/>
      <c r="M903" s="175"/>
      <c r="N903" s="175"/>
      <c r="O903" s="175"/>
      <c r="P903" s="175"/>
      <c r="Q903" s="175"/>
      <c r="R903" s="175"/>
      <c r="S903" s="175"/>
      <c r="T903" s="175"/>
      <c r="U903" s="175"/>
      <c r="V903" s="175"/>
      <c r="W903" s="175"/>
      <c r="X903" s="175"/>
      <c r="Y903" s="175"/>
      <c r="Z903" s="175"/>
    </row>
    <row r="904" ht="15.75" customHeight="1">
      <c r="A904" s="174"/>
      <c r="B904" s="276"/>
      <c r="C904" s="172"/>
      <c r="D904" s="173"/>
      <c r="E904" s="174"/>
      <c r="F904" s="174"/>
      <c r="G904" s="175"/>
      <c r="H904" s="175"/>
      <c r="I904" s="175"/>
      <c r="J904" s="175"/>
      <c r="K904" s="175"/>
      <c r="L904" s="175"/>
      <c r="M904" s="175"/>
      <c r="N904" s="175"/>
      <c r="O904" s="175"/>
      <c r="P904" s="175"/>
      <c r="Q904" s="175"/>
      <c r="R904" s="175"/>
      <c r="S904" s="175"/>
      <c r="T904" s="175"/>
      <c r="U904" s="175"/>
      <c r="V904" s="175"/>
      <c r="W904" s="175"/>
      <c r="X904" s="175"/>
      <c r="Y904" s="175"/>
      <c r="Z904" s="175"/>
    </row>
    <row r="905" ht="15.75" customHeight="1">
      <c r="A905" s="174"/>
      <c r="B905" s="276"/>
      <c r="C905" s="172"/>
      <c r="D905" s="173"/>
      <c r="E905" s="174"/>
      <c r="F905" s="174"/>
      <c r="G905" s="175"/>
      <c r="H905" s="175"/>
      <c r="I905" s="175"/>
      <c r="J905" s="175"/>
      <c r="K905" s="175"/>
      <c r="L905" s="175"/>
      <c r="M905" s="175"/>
      <c r="N905" s="175"/>
      <c r="O905" s="175"/>
      <c r="P905" s="175"/>
      <c r="Q905" s="175"/>
      <c r="R905" s="175"/>
      <c r="S905" s="175"/>
      <c r="T905" s="175"/>
      <c r="U905" s="175"/>
      <c r="V905" s="175"/>
      <c r="W905" s="175"/>
      <c r="X905" s="175"/>
      <c r="Y905" s="175"/>
      <c r="Z905" s="175"/>
    </row>
    <row r="906" ht="15.75" customHeight="1">
      <c r="A906" s="174"/>
      <c r="B906" s="276"/>
      <c r="C906" s="172"/>
      <c r="D906" s="173"/>
      <c r="E906" s="174"/>
      <c r="F906" s="174"/>
      <c r="G906" s="175"/>
      <c r="H906" s="175"/>
      <c r="I906" s="175"/>
      <c r="J906" s="175"/>
      <c r="K906" s="175"/>
      <c r="L906" s="175"/>
      <c r="M906" s="175"/>
      <c r="N906" s="175"/>
      <c r="O906" s="175"/>
      <c r="P906" s="175"/>
      <c r="Q906" s="175"/>
      <c r="R906" s="175"/>
      <c r="S906" s="175"/>
      <c r="T906" s="175"/>
      <c r="U906" s="175"/>
      <c r="V906" s="175"/>
      <c r="W906" s="175"/>
      <c r="X906" s="175"/>
      <c r="Y906" s="175"/>
      <c r="Z906" s="175"/>
    </row>
    <row r="907" ht="15.75" customHeight="1">
      <c r="A907" s="174"/>
      <c r="B907" s="276"/>
      <c r="C907" s="172"/>
      <c r="D907" s="173"/>
      <c r="E907" s="174"/>
      <c r="F907" s="174"/>
      <c r="G907" s="175"/>
      <c r="H907" s="175"/>
      <c r="I907" s="175"/>
      <c r="J907" s="175"/>
      <c r="K907" s="175"/>
      <c r="L907" s="175"/>
      <c r="M907" s="175"/>
      <c r="N907" s="175"/>
      <c r="O907" s="175"/>
      <c r="P907" s="175"/>
      <c r="Q907" s="175"/>
      <c r="R907" s="175"/>
      <c r="S907" s="175"/>
      <c r="T907" s="175"/>
      <c r="U907" s="175"/>
      <c r="V907" s="175"/>
      <c r="W907" s="175"/>
      <c r="X907" s="175"/>
      <c r="Y907" s="175"/>
      <c r="Z907" s="175"/>
    </row>
    <row r="908" ht="15.75" customHeight="1">
      <c r="A908" s="174"/>
      <c r="B908" s="276"/>
      <c r="C908" s="172"/>
      <c r="D908" s="173"/>
      <c r="E908" s="174"/>
      <c r="F908" s="174"/>
      <c r="G908" s="175"/>
      <c r="H908" s="175"/>
      <c r="I908" s="175"/>
      <c r="J908" s="175"/>
      <c r="K908" s="175"/>
      <c r="L908" s="175"/>
      <c r="M908" s="175"/>
      <c r="N908" s="175"/>
      <c r="O908" s="175"/>
      <c r="P908" s="175"/>
      <c r="Q908" s="175"/>
      <c r="R908" s="175"/>
      <c r="S908" s="175"/>
      <c r="T908" s="175"/>
      <c r="U908" s="175"/>
      <c r="V908" s="175"/>
      <c r="W908" s="175"/>
      <c r="X908" s="175"/>
      <c r="Y908" s="175"/>
      <c r="Z908" s="175"/>
    </row>
    <row r="909" ht="15.75" customHeight="1">
      <c r="A909" s="174"/>
      <c r="B909" s="276"/>
      <c r="C909" s="172"/>
      <c r="D909" s="173"/>
      <c r="E909" s="174"/>
      <c r="F909" s="174"/>
      <c r="G909" s="175"/>
      <c r="H909" s="175"/>
      <c r="I909" s="175"/>
      <c r="J909" s="175"/>
      <c r="K909" s="175"/>
      <c r="L909" s="175"/>
      <c r="M909" s="175"/>
      <c r="N909" s="175"/>
      <c r="O909" s="175"/>
      <c r="P909" s="175"/>
      <c r="Q909" s="175"/>
      <c r="R909" s="175"/>
      <c r="S909" s="175"/>
      <c r="T909" s="175"/>
      <c r="U909" s="175"/>
      <c r="V909" s="175"/>
      <c r="W909" s="175"/>
      <c r="X909" s="175"/>
      <c r="Y909" s="175"/>
      <c r="Z909" s="175"/>
    </row>
    <row r="910" ht="15.75" customHeight="1">
      <c r="A910" s="174"/>
      <c r="B910" s="276"/>
      <c r="C910" s="172"/>
      <c r="D910" s="173"/>
      <c r="E910" s="174"/>
      <c r="F910" s="174"/>
      <c r="G910" s="175"/>
      <c r="H910" s="175"/>
      <c r="I910" s="175"/>
      <c r="J910" s="175"/>
      <c r="K910" s="175"/>
      <c r="L910" s="175"/>
      <c r="M910" s="175"/>
      <c r="N910" s="175"/>
      <c r="O910" s="175"/>
      <c r="P910" s="175"/>
      <c r="Q910" s="175"/>
      <c r="R910" s="175"/>
      <c r="S910" s="175"/>
      <c r="T910" s="175"/>
      <c r="U910" s="175"/>
      <c r="V910" s="175"/>
      <c r="W910" s="175"/>
      <c r="X910" s="175"/>
      <c r="Y910" s="175"/>
      <c r="Z910" s="175"/>
    </row>
    <row r="911" ht="15.75" customHeight="1">
      <c r="A911" s="174"/>
      <c r="B911" s="276"/>
      <c r="C911" s="172"/>
      <c r="D911" s="173"/>
      <c r="E911" s="174"/>
      <c r="F911" s="174"/>
      <c r="G911" s="175"/>
      <c r="H911" s="175"/>
      <c r="I911" s="175"/>
      <c r="J911" s="175"/>
      <c r="K911" s="175"/>
      <c r="L911" s="175"/>
      <c r="M911" s="175"/>
      <c r="N911" s="175"/>
      <c r="O911" s="175"/>
      <c r="P911" s="175"/>
      <c r="Q911" s="175"/>
      <c r="R911" s="175"/>
      <c r="S911" s="175"/>
      <c r="T911" s="175"/>
      <c r="U911" s="175"/>
      <c r="V911" s="175"/>
      <c r="W911" s="175"/>
      <c r="X911" s="175"/>
      <c r="Y911" s="175"/>
      <c r="Z911" s="175"/>
    </row>
    <row r="912" ht="15.75" customHeight="1">
      <c r="A912" s="174"/>
      <c r="B912" s="276"/>
      <c r="C912" s="172"/>
      <c r="D912" s="173"/>
      <c r="E912" s="174"/>
      <c r="F912" s="174"/>
      <c r="G912" s="175"/>
      <c r="H912" s="175"/>
      <c r="I912" s="175"/>
      <c r="J912" s="175"/>
      <c r="K912" s="175"/>
      <c r="L912" s="175"/>
      <c r="M912" s="175"/>
      <c r="N912" s="175"/>
      <c r="O912" s="175"/>
      <c r="P912" s="175"/>
      <c r="Q912" s="175"/>
      <c r="R912" s="175"/>
      <c r="S912" s="175"/>
      <c r="T912" s="175"/>
      <c r="U912" s="175"/>
      <c r="V912" s="175"/>
      <c r="W912" s="175"/>
      <c r="X912" s="175"/>
      <c r="Y912" s="175"/>
      <c r="Z912" s="175"/>
    </row>
    <row r="913" ht="15.75" customHeight="1">
      <c r="A913" s="174"/>
      <c r="B913" s="276"/>
      <c r="C913" s="172"/>
      <c r="D913" s="173"/>
      <c r="E913" s="174"/>
      <c r="F913" s="174"/>
      <c r="G913" s="175"/>
      <c r="H913" s="175"/>
      <c r="I913" s="175"/>
      <c r="J913" s="175"/>
      <c r="K913" s="175"/>
      <c r="L913" s="175"/>
      <c r="M913" s="175"/>
      <c r="N913" s="175"/>
      <c r="O913" s="175"/>
      <c r="P913" s="175"/>
      <c r="Q913" s="175"/>
      <c r="R913" s="175"/>
      <c r="S913" s="175"/>
      <c r="T913" s="175"/>
      <c r="U913" s="175"/>
      <c r="V913" s="175"/>
      <c r="W913" s="175"/>
      <c r="X913" s="175"/>
      <c r="Y913" s="175"/>
      <c r="Z913" s="175"/>
    </row>
    <row r="914" ht="15.75" customHeight="1">
      <c r="A914" s="174"/>
      <c r="B914" s="276"/>
      <c r="C914" s="172"/>
      <c r="D914" s="173"/>
      <c r="E914" s="174"/>
      <c r="F914" s="174"/>
      <c r="G914" s="175"/>
      <c r="H914" s="175"/>
      <c r="I914" s="175"/>
      <c r="J914" s="175"/>
      <c r="K914" s="175"/>
      <c r="L914" s="175"/>
      <c r="M914" s="175"/>
      <c r="N914" s="175"/>
      <c r="O914" s="175"/>
      <c r="P914" s="175"/>
      <c r="Q914" s="175"/>
      <c r="R914" s="175"/>
      <c r="S914" s="175"/>
      <c r="T914" s="175"/>
      <c r="U914" s="175"/>
      <c r="V914" s="175"/>
      <c r="W914" s="175"/>
      <c r="X914" s="175"/>
      <c r="Y914" s="175"/>
      <c r="Z914" s="175"/>
    </row>
    <row r="915" ht="15.75" customHeight="1">
      <c r="A915" s="174"/>
      <c r="B915" s="276"/>
      <c r="C915" s="172"/>
      <c r="D915" s="173"/>
      <c r="E915" s="174"/>
      <c r="F915" s="174"/>
      <c r="G915" s="175"/>
      <c r="H915" s="175"/>
      <c r="I915" s="175"/>
      <c r="J915" s="175"/>
      <c r="K915" s="175"/>
      <c r="L915" s="175"/>
      <c r="M915" s="175"/>
      <c r="N915" s="175"/>
      <c r="O915" s="175"/>
      <c r="P915" s="175"/>
      <c r="Q915" s="175"/>
      <c r="R915" s="175"/>
      <c r="S915" s="175"/>
      <c r="T915" s="175"/>
      <c r="U915" s="175"/>
      <c r="V915" s="175"/>
      <c r="W915" s="175"/>
      <c r="X915" s="175"/>
      <c r="Y915" s="175"/>
      <c r="Z915" s="175"/>
    </row>
    <row r="916" ht="15.75" customHeight="1">
      <c r="A916" s="174"/>
      <c r="B916" s="276"/>
      <c r="C916" s="172"/>
      <c r="D916" s="173"/>
      <c r="E916" s="174"/>
      <c r="F916" s="174"/>
      <c r="G916" s="175"/>
      <c r="H916" s="175"/>
      <c r="I916" s="175"/>
      <c r="J916" s="175"/>
      <c r="K916" s="175"/>
      <c r="L916" s="175"/>
      <c r="M916" s="175"/>
      <c r="N916" s="175"/>
      <c r="O916" s="175"/>
      <c r="P916" s="175"/>
      <c r="Q916" s="175"/>
      <c r="R916" s="175"/>
      <c r="S916" s="175"/>
      <c r="T916" s="175"/>
      <c r="U916" s="175"/>
      <c r="V916" s="175"/>
      <c r="W916" s="175"/>
      <c r="X916" s="175"/>
      <c r="Y916" s="175"/>
      <c r="Z916" s="175"/>
    </row>
    <row r="917" ht="15.75" customHeight="1">
      <c r="A917" s="174"/>
      <c r="B917" s="276"/>
      <c r="C917" s="172"/>
      <c r="D917" s="173"/>
      <c r="E917" s="174"/>
      <c r="F917" s="174"/>
      <c r="G917" s="175"/>
      <c r="H917" s="175"/>
      <c r="I917" s="175"/>
      <c r="J917" s="175"/>
      <c r="K917" s="175"/>
      <c r="L917" s="175"/>
      <c r="M917" s="175"/>
      <c r="N917" s="175"/>
      <c r="O917" s="175"/>
      <c r="P917" s="175"/>
      <c r="Q917" s="175"/>
      <c r="R917" s="175"/>
      <c r="S917" s="175"/>
      <c r="T917" s="175"/>
      <c r="U917" s="175"/>
      <c r="V917" s="175"/>
      <c r="W917" s="175"/>
      <c r="X917" s="175"/>
      <c r="Y917" s="175"/>
      <c r="Z917" s="175"/>
    </row>
    <row r="918" ht="15.75" customHeight="1">
      <c r="A918" s="174"/>
      <c r="B918" s="276"/>
      <c r="C918" s="172"/>
      <c r="D918" s="173"/>
      <c r="E918" s="174"/>
      <c r="F918" s="174"/>
      <c r="G918" s="175"/>
      <c r="H918" s="175"/>
      <c r="I918" s="175"/>
      <c r="J918" s="175"/>
      <c r="K918" s="175"/>
      <c r="L918" s="175"/>
      <c r="M918" s="175"/>
      <c r="N918" s="175"/>
      <c r="O918" s="175"/>
      <c r="P918" s="175"/>
      <c r="Q918" s="175"/>
      <c r="R918" s="175"/>
      <c r="S918" s="175"/>
      <c r="T918" s="175"/>
      <c r="U918" s="175"/>
      <c r="V918" s="175"/>
      <c r="W918" s="175"/>
      <c r="X918" s="175"/>
      <c r="Y918" s="175"/>
      <c r="Z918" s="175"/>
    </row>
    <row r="919" ht="15.75" customHeight="1">
      <c r="A919" s="174"/>
      <c r="B919" s="276"/>
      <c r="C919" s="172"/>
      <c r="D919" s="173"/>
      <c r="E919" s="174"/>
      <c r="F919" s="174"/>
      <c r="G919" s="175"/>
      <c r="H919" s="175"/>
      <c r="I919" s="175"/>
      <c r="J919" s="175"/>
      <c r="K919" s="175"/>
      <c r="L919" s="175"/>
      <c r="M919" s="175"/>
      <c r="N919" s="175"/>
      <c r="O919" s="175"/>
      <c r="P919" s="175"/>
      <c r="Q919" s="175"/>
      <c r="R919" s="175"/>
      <c r="S919" s="175"/>
      <c r="T919" s="175"/>
      <c r="U919" s="175"/>
      <c r="V919" s="175"/>
      <c r="W919" s="175"/>
      <c r="X919" s="175"/>
      <c r="Y919" s="175"/>
      <c r="Z919" s="175"/>
    </row>
    <row r="920" ht="15.75" customHeight="1">
      <c r="A920" s="174"/>
      <c r="B920" s="276"/>
      <c r="C920" s="172"/>
      <c r="D920" s="173"/>
      <c r="E920" s="174"/>
      <c r="F920" s="174"/>
      <c r="G920" s="175"/>
      <c r="H920" s="175"/>
      <c r="I920" s="175"/>
      <c r="J920" s="175"/>
      <c r="K920" s="175"/>
      <c r="L920" s="175"/>
      <c r="M920" s="175"/>
      <c r="N920" s="175"/>
      <c r="O920" s="175"/>
      <c r="P920" s="175"/>
      <c r="Q920" s="175"/>
      <c r="R920" s="175"/>
      <c r="S920" s="175"/>
      <c r="T920" s="175"/>
      <c r="U920" s="175"/>
      <c r="V920" s="175"/>
      <c r="W920" s="175"/>
      <c r="X920" s="175"/>
      <c r="Y920" s="175"/>
      <c r="Z920" s="175"/>
    </row>
    <row r="921" ht="15.75" customHeight="1">
      <c r="A921" s="174"/>
      <c r="B921" s="276"/>
      <c r="C921" s="172"/>
      <c r="D921" s="173"/>
      <c r="E921" s="174"/>
      <c r="F921" s="174"/>
      <c r="G921" s="175"/>
      <c r="H921" s="175"/>
      <c r="I921" s="175"/>
      <c r="J921" s="175"/>
      <c r="K921" s="175"/>
      <c r="L921" s="175"/>
      <c r="M921" s="175"/>
      <c r="N921" s="175"/>
      <c r="O921" s="175"/>
      <c r="P921" s="175"/>
      <c r="Q921" s="175"/>
      <c r="R921" s="175"/>
      <c r="S921" s="175"/>
      <c r="T921" s="175"/>
      <c r="U921" s="175"/>
      <c r="V921" s="175"/>
      <c r="W921" s="175"/>
      <c r="X921" s="175"/>
      <c r="Y921" s="175"/>
      <c r="Z921" s="175"/>
    </row>
    <row r="922" ht="15.75" customHeight="1">
      <c r="A922" s="174"/>
      <c r="B922" s="276"/>
      <c r="C922" s="172"/>
      <c r="D922" s="173"/>
      <c r="E922" s="174"/>
      <c r="F922" s="174"/>
      <c r="G922" s="175"/>
      <c r="H922" s="175"/>
      <c r="I922" s="175"/>
      <c r="J922" s="175"/>
      <c r="K922" s="175"/>
      <c r="L922" s="175"/>
      <c r="M922" s="175"/>
      <c r="N922" s="175"/>
      <c r="O922" s="175"/>
      <c r="P922" s="175"/>
      <c r="Q922" s="175"/>
      <c r="R922" s="175"/>
      <c r="S922" s="175"/>
      <c r="T922" s="175"/>
      <c r="U922" s="175"/>
      <c r="V922" s="175"/>
      <c r="W922" s="175"/>
      <c r="X922" s="175"/>
      <c r="Y922" s="175"/>
      <c r="Z922" s="175"/>
    </row>
    <row r="923" ht="15.75" customHeight="1">
      <c r="A923" s="174"/>
      <c r="B923" s="276"/>
      <c r="C923" s="172"/>
      <c r="D923" s="173"/>
      <c r="E923" s="174"/>
      <c r="F923" s="174"/>
      <c r="G923" s="175"/>
      <c r="H923" s="175"/>
      <c r="I923" s="175"/>
      <c r="J923" s="175"/>
      <c r="K923" s="175"/>
      <c r="L923" s="175"/>
      <c r="M923" s="175"/>
      <c r="N923" s="175"/>
      <c r="O923" s="175"/>
      <c r="P923" s="175"/>
      <c r="Q923" s="175"/>
      <c r="R923" s="175"/>
      <c r="S923" s="175"/>
      <c r="T923" s="175"/>
      <c r="U923" s="175"/>
      <c r="V923" s="175"/>
      <c r="W923" s="175"/>
      <c r="X923" s="175"/>
      <c r="Y923" s="175"/>
      <c r="Z923" s="175"/>
    </row>
    <row r="924" ht="15.75" customHeight="1">
      <c r="A924" s="174"/>
      <c r="B924" s="276"/>
      <c r="C924" s="172"/>
      <c r="D924" s="173"/>
      <c r="E924" s="174"/>
      <c r="F924" s="174"/>
      <c r="G924" s="175"/>
      <c r="H924" s="175"/>
      <c r="I924" s="175"/>
      <c r="J924" s="175"/>
      <c r="K924" s="175"/>
      <c r="L924" s="175"/>
      <c r="M924" s="175"/>
      <c r="N924" s="175"/>
      <c r="O924" s="175"/>
      <c r="P924" s="175"/>
      <c r="Q924" s="175"/>
      <c r="R924" s="175"/>
      <c r="S924" s="175"/>
      <c r="T924" s="175"/>
      <c r="U924" s="175"/>
      <c r="V924" s="175"/>
      <c r="W924" s="175"/>
      <c r="X924" s="175"/>
      <c r="Y924" s="175"/>
      <c r="Z924" s="175"/>
    </row>
    <row r="925" ht="15.75" customHeight="1">
      <c r="A925" s="174"/>
      <c r="B925" s="276"/>
      <c r="C925" s="172"/>
      <c r="D925" s="173"/>
      <c r="E925" s="174"/>
      <c r="F925" s="174"/>
      <c r="G925" s="175"/>
      <c r="H925" s="175"/>
      <c r="I925" s="175"/>
      <c r="J925" s="175"/>
      <c r="K925" s="175"/>
      <c r="L925" s="175"/>
      <c r="M925" s="175"/>
      <c r="N925" s="175"/>
      <c r="O925" s="175"/>
      <c r="P925" s="175"/>
      <c r="Q925" s="175"/>
      <c r="R925" s="175"/>
      <c r="S925" s="175"/>
      <c r="T925" s="175"/>
      <c r="U925" s="175"/>
      <c r="V925" s="175"/>
      <c r="W925" s="175"/>
      <c r="X925" s="175"/>
      <c r="Y925" s="175"/>
      <c r="Z925" s="175"/>
    </row>
    <row r="926" ht="15.75" customHeight="1">
      <c r="A926" s="174"/>
      <c r="B926" s="276"/>
      <c r="C926" s="172"/>
      <c r="D926" s="173"/>
      <c r="E926" s="174"/>
      <c r="F926" s="174"/>
      <c r="G926" s="175"/>
      <c r="H926" s="175"/>
      <c r="I926" s="175"/>
      <c r="J926" s="175"/>
      <c r="K926" s="175"/>
      <c r="L926" s="175"/>
      <c r="M926" s="175"/>
      <c r="N926" s="175"/>
      <c r="O926" s="175"/>
      <c r="P926" s="175"/>
      <c r="Q926" s="175"/>
      <c r="R926" s="175"/>
      <c r="S926" s="175"/>
      <c r="T926" s="175"/>
      <c r="U926" s="175"/>
      <c r="V926" s="175"/>
      <c r="W926" s="175"/>
      <c r="X926" s="175"/>
      <c r="Y926" s="175"/>
      <c r="Z926" s="175"/>
    </row>
    <row r="927" ht="15.75" customHeight="1">
      <c r="A927" s="174"/>
      <c r="B927" s="276"/>
      <c r="C927" s="172"/>
      <c r="D927" s="173"/>
      <c r="E927" s="174"/>
      <c r="F927" s="174"/>
      <c r="G927" s="175"/>
      <c r="H927" s="175"/>
      <c r="I927" s="175"/>
      <c r="J927" s="175"/>
      <c r="K927" s="175"/>
      <c r="L927" s="175"/>
      <c r="M927" s="175"/>
      <c r="N927" s="175"/>
      <c r="O927" s="175"/>
      <c r="P927" s="175"/>
      <c r="Q927" s="175"/>
      <c r="R927" s="175"/>
      <c r="S927" s="175"/>
      <c r="T927" s="175"/>
      <c r="U927" s="175"/>
      <c r="V927" s="175"/>
      <c r="W927" s="175"/>
      <c r="X927" s="175"/>
      <c r="Y927" s="175"/>
      <c r="Z927" s="175"/>
    </row>
    <row r="928" ht="15.75" customHeight="1">
      <c r="A928" s="174"/>
      <c r="B928" s="276"/>
      <c r="C928" s="172"/>
      <c r="D928" s="173"/>
      <c r="E928" s="174"/>
      <c r="F928" s="174"/>
      <c r="G928" s="175"/>
      <c r="H928" s="175"/>
      <c r="I928" s="175"/>
      <c r="J928" s="175"/>
      <c r="K928" s="175"/>
      <c r="L928" s="175"/>
      <c r="M928" s="175"/>
      <c r="N928" s="175"/>
      <c r="O928" s="175"/>
      <c r="P928" s="175"/>
      <c r="Q928" s="175"/>
      <c r="R928" s="175"/>
      <c r="S928" s="175"/>
      <c r="T928" s="175"/>
      <c r="U928" s="175"/>
      <c r="V928" s="175"/>
      <c r="W928" s="175"/>
      <c r="X928" s="175"/>
      <c r="Y928" s="175"/>
      <c r="Z928" s="175"/>
    </row>
    <row r="929" ht="15.75" customHeight="1">
      <c r="A929" s="174"/>
      <c r="B929" s="276"/>
      <c r="C929" s="172"/>
      <c r="D929" s="173"/>
      <c r="E929" s="174"/>
      <c r="F929" s="174"/>
      <c r="G929" s="175"/>
      <c r="H929" s="175"/>
      <c r="I929" s="175"/>
      <c r="J929" s="175"/>
      <c r="K929" s="175"/>
      <c r="L929" s="175"/>
      <c r="M929" s="175"/>
      <c r="N929" s="175"/>
      <c r="O929" s="175"/>
      <c r="P929" s="175"/>
      <c r="Q929" s="175"/>
      <c r="R929" s="175"/>
      <c r="S929" s="175"/>
      <c r="T929" s="175"/>
      <c r="U929" s="175"/>
      <c r="V929" s="175"/>
      <c r="W929" s="175"/>
      <c r="X929" s="175"/>
      <c r="Y929" s="175"/>
      <c r="Z929" s="175"/>
    </row>
    <row r="930" ht="15.75" customHeight="1">
      <c r="A930" s="174"/>
      <c r="B930" s="276"/>
      <c r="C930" s="172"/>
      <c r="D930" s="173"/>
      <c r="E930" s="174"/>
      <c r="F930" s="174"/>
      <c r="G930" s="175"/>
      <c r="H930" s="175"/>
      <c r="I930" s="175"/>
      <c r="J930" s="175"/>
      <c r="K930" s="175"/>
      <c r="L930" s="175"/>
      <c r="M930" s="175"/>
      <c r="N930" s="175"/>
      <c r="O930" s="175"/>
      <c r="P930" s="175"/>
      <c r="Q930" s="175"/>
      <c r="R930" s="175"/>
      <c r="S930" s="175"/>
      <c r="T930" s="175"/>
      <c r="U930" s="175"/>
      <c r="V930" s="175"/>
      <c r="W930" s="175"/>
      <c r="X930" s="175"/>
      <c r="Y930" s="175"/>
      <c r="Z930" s="175"/>
    </row>
    <row r="931" ht="15.75" customHeight="1">
      <c r="A931" s="174"/>
      <c r="B931" s="276"/>
      <c r="C931" s="172"/>
      <c r="D931" s="173"/>
      <c r="E931" s="174"/>
      <c r="F931" s="174"/>
      <c r="G931" s="175"/>
      <c r="H931" s="175"/>
      <c r="I931" s="175"/>
      <c r="J931" s="175"/>
      <c r="K931" s="175"/>
      <c r="L931" s="175"/>
      <c r="M931" s="175"/>
      <c r="N931" s="175"/>
      <c r="O931" s="175"/>
      <c r="P931" s="175"/>
      <c r="Q931" s="175"/>
      <c r="R931" s="175"/>
      <c r="S931" s="175"/>
      <c r="T931" s="175"/>
      <c r="U931" s="175"/>
      <c r="V931" s="175"/>
      <c r="W931" s="175"/>
      <c r="X931" s="175"/>
      <c r="Y931" s="175"/>
      <c r="Z931" s="175"/>
    </row>
    <row r="932" ht="15.75" customHeight="1">
      <c r="A932" s="174"/>
      <c r="B932" s="276"/>
      <c r="C932" s="172"/>
      <c r="D932" s="173"/>
      <c r="E932" s="174"/>
      <c r="F932" s="174"/>
      <c r="G932" s="175"/>
      <c r="H932" s="175"/>
      <c r="I932" s="175"/>
      <c r="J932" s="175"/>
      <c r="K932" s="175"/>
      <c r="L932" s="175"/>
      <c r="M932" s="175"/>
      <c r="N932" s="175"/>
      <c r="O932" s="175"/>
      <c r="P932" s="175"/>
      <c r="Q932" s="175"/>
      <c r="R932" s="175"/>
      <c r="S932" s="175"/>
      <c r="T932" s="175"/>
      <c r="U932" s="175"/>
      <c r="V932" s="175"/>
      <c r="W932" s="175"/>
      <c r="X932" s="175"/>
      <c r="Y932" s="175"/>
      <c r="Z932" s="175"/>
    </row>
    <row r="933" ht="15.75" customHeight="1">
      <c r="A933" s="174"/>
      <c r="B933" s="276"/>
      <c r="C933" s="172"/>
      <c r="D933" s="173"/>
      <c r="E933" s="174"/>
      <c r="F933" s="174"/>
      <c r="G933" s="175"/>
      <c r="H933" s="175"/>
      <c r="I933" s="175"/>
      <c r="J933" s="175"/>
      <c r="K933" s="175"/>
      <c r="L933" s="175"/>
      <c r="M933" s="175"/>
      <c r="N933" s="175"/>
      <c r="O933" s="175"/>
      <c r="P933" s="175"/>
      <c r="Q933" s="175"/>
      <c r="R933" s="175"/>
      <c r="S933" s="175"/>
      <c r="T933" s="175"/>
      <c r="U933" s="175"/>
      <c r="V933" s="175"/>
      <c r="W933" s="175"/>
      <c r="X933" s="175"/>
      <c r="Y933" s="175"/>
      <c r="Z933" s="175"/>
    </row>
    <row r="934" ht="15.75" customHeight="1">
      <c r="A934" s="174"/>
      <c r="B934" s="276"/>
      <c r="C934" s="172"/>
      <c r="D934" s="173"/>
      <c r="E934" s="174"/>
      <c r="F934" s="174"/>
      <c r="G934" s="175"/>
      <c r="H934" s="175"/>
      <c r="I934" s="175"/>
      <c r="J934" s="175"/>
      <c r="K934" s="175"/>
      <c r="L934" s="175"/>
      <c r="M934" s="175"/>
      <c r="N934" s="175"/>
      <c r="O934" s="175"/>
      <c r="P934" s="175"/>
      <c r="Q934" s="175"/>
      <c r="R934" s="175"/>
      <c r="S934" s="175"/>
      <c r="T934" s="175"/>
      <c r="U934" s="175"/>
      <c r="V934" s="175"/>
      <c r="W934" s="175"/>
      <c r="X934" s="175"/>
      <c r="Y934" s="175"/>
      <c r="Z934" s="175"/>
    </row>
    <row r="935" ht="15.75" customHeight="1">
      <c r="A935" s="174"/>
      <c r="B935" s="276"/>
      <c r="C935" s="172"/>
      <c r="D935" s="173"/>
      <c r="E935" s="174"/>
      <c r="F935" s="174"/>
      <c r="G935" s="175"/>
      <c r="H935" s="175"/>
      <c r="I935" s="175"/>
      <c r="J935" s="175"/>
      <c r="K935" s="175"/>
      <c r="L935" s="175"/>
      <c r="M935" s="175"/>
      <c r="N935" s="175"/>
      <c r="O935" s="175"/>
      <c r="P935" s="175"/>
      <c r="Q935" s="175"/>
      <c r="R935" s="175"/>
      <c r="S935" s="175"/>
      <c r="T935" s="175"/>
      <c r="U935" s="175"/>
      <c r="V935" s="175"/>
      <c r="W935" s="175"/>
      <c r="X935" s="175"/>
      <c r="Y935" s="175"/>
      <c r="Z935" s="175"/>
    </row>
    <row r="936" ht="15.75" customHeight="1">
      <c r="A936" s="174"/>
      <c r="B936" s="276"/>
      <c r="C936" s="172"/>
      <c r="D936" s="173"/>
      <c r="E936" s="174"/>
      <c r="F936" s="174"/>
      <c r="G936" s="175"/>
      <c r="H936" s="175"/>
      <c r="I936" s="175"/>
      <c r="J936" s="175"/>
      <c r="K936" s="175"/>
      <c r="L936" s="175"/>
      <c r="M936" s="175"/>
      <c r="N936" s="175"/>
      <c r="O936" s="175"/>
      <c r="P936" s="175"/>
      <c r="Q936" s="175"/>
      <c r="R936" s="175"/>
      <c r="S936" s="175"/>
      <c r="T936" s="175"/>
      <c r="U936" s="175"/>
      <c r="V936" s="175"/>
      <c r="W936" s="175"/>
      <c r="X936" s="175"/>
      <c r="Y936" s="175"/>
      <c r="Z936" s="175"/>
    </row>
    <row r="937" ht="15.75" customHeight="1">
      <c r="A937" s="174"/>
      <c r="B937" s="276"/>
      <c r="C937" s="172"/>
      <c r="D937" s="173"/>
      <c r="E937" s="174"/>
      <c r="F937" s="174"/>
      <c r="G937" s="175"/>
      <c r="H937" s="175"/>
      <c r="I937" s="175"/>
      <c r="J937" s="175"/>
      <c r="K937" s="175"/>
      <c r="L937" s="175"/>
      <c r="M937" s="175"/>
      <c r="N937" s="175"/>
      <c r="O937" s="175"/>
      <c r="P937" s="175"/>
      <c r="Q937" s="175"/>
      <c r="R937" s="175"/>
      <c r="S937" s="175"/>
      <c r="T937" s="175"/>
      <c r="U937" s="175"/>
      <c r="V937" s="175"/>
      <c r="W937" s="175"/>
      <c r="X937" s="175"/>
      <c r="Y937" s="175"/>
      <c r="Z937" s="175"/>
    </row>
    <row r="938" ht="15.75" customHeight="1">
      <c r="A938" s="174"/>
      <c r="B938" s="276"/>
      <c r="C938" s="172"/>
      <c r="D938" s="173"/>
      <c r="E938" s="174"/>
      <c r="F938" s="174"/>
      <c r="G938" s="175"/>
      <c r="H938" s="175"/>
      <c r="I938" s="175"/>
      <c r="J938" s="175"/>
      <c r="K938" s="175"/>
      <c r="L938" s="175"/>
      <c r="M938" s="175"/>
      <c r="N938" s="175"/>
      <c r="O938" s="175"/>
      <c r="P938" s="175"/>
      <c r="Q938" s="175"/>
      <c r="R938" s="175"/>
      <c r="S938" s="175"/>
      <c r="T938" s="175"/>
      <c r="U938" s="175"/>
      <c r="V938" s="175"/>
      <c r="W938" s="175"/>
      <c r="X938" s="175"/>
      <c r="Y938" s="175"/>
      <c r="Z938" s="175"/>
    </row>
    <row r="939" ht="15.75" customHeight="1">
      <c r="A939" s="174"/>
      <c r="B939" s="276"/>
      <c r="C939" s="172"/>
      <c r="D939" s="173"/>
      <c r="E939" s="174"/>
      <c r="F939" s="174"/>
      <c r="G939" s="175"/>
      <c r="H939" s="175"/>
      <c r="I939" s="175"/>
      <c r="J939" s="175"/>
      <c r="K939" s="175"/>
      <c r="L939" s="175"/>
      <c r="M939" s="175"/>
      <c r="N939" s="175"/>
      <c r="O939" s="175"/>
      <c r="P939" s="175"/>
      <c r="Q939" s="175"/>
      <c r="R939" s="175"/>
      <c r="S939" s="175"/>
      <c r="T939" s="175"/>
      <c r="U939" s="175"/>
      <c r="V939" s="175"/>
      <c r="W939" s="175"/>
      <c r="X939" s="175"/>
      <c r="Y939" s="175"/>
      <c r="Z939" s="175"/>
    </row>
    <row r="940" ht="15.75" customHeight="1">
      <c r="A940" s="174"/>
      <c r="B940" s="276"/>
      <c r="C940" s="172"/>
      <c r="D940" s="173"/>
      <c r="E940" s="174"/>
      <c r="F940" s="174"/>
      <c r="G940" s="175"/>
      <c r="H940" s="175"/>
      <c r="I940" s="175"/>
      <c r="J940" s="175"/>
      <c r="K940" s="175"/>
      <c r="L940" s="175"/>
      <c r="M940" s="175"/>
      <c r="N940" s="175"/>
      <c r="O940" s="175"/>
      <c r="P940" s="175"/>
      <c r="Q940" s="175"/>
      <c r="R940" s="175"/>
      <c r="S940" s="175"/>
      <c r="T940" s="175"/>
      <c r="U940" s="175"/>
      <c r="V940" s="175"/>
      <c r="W940" s="175"/>
      <c r="X940" s="175"/>
      <c r="Y940" s="175"/>
      <c r="Z940" s="175"/>
    </row>
    <row r="941" ht="15.75" customHeight="1">
      <c r="A941" s="174"/>
      <c r="B941" s="276"/>
      <c r="C941" s="172"/>
      <c r="D941" s="173"/>
      <c r="E941" s="174"/>
      <c r="F941" s="174"/>
      <c r="G941" s="175"/>
      <c r="H941" s="175"/>
      <c r="I941" s="175"/>
      <c r="J941" s="175"/>
      <c r="K941" s="175"/>
      <c r="L941" s="175"/>
      <c r="M941" s="175"/>
      <c r="N941" s="175"/>
      <c r="O941" s="175"/>
      <c r="P941" s="175"/>
      <c r="Q941" s="175"/>
      <c r="R941" s="175"/>
      <c r="S941" s="175"/>
      <c r="T941" s="175"/>
      <c r="U941" s="175"/>
      <c r="V941" s="175"/>
      <c r="W941" s="175"/>
      <c r="X941" s="175"/>
      <c r="Y941" s="175"/>
      <c r="Z941" s="175"/>
    </row>
    <row r="942" ht="15.75" customHeight="1">
      <c r="A942" s="174"/>
      <c r="B942" s="276"/>
      <c r="C942" s="172"/>
      <c r="D942" s="173"/>
      <c r="E942" s="174"/>
      <c r="F942" s="174"/>
      <c r="G942" s="175"/>
      <c r="H942" s="175"/>
      <c r="I942" s="175"/>
      <c r="J942" s="175"/>
      <c r="K942" s="175"/>
      <c r="L942" s="175"/>
      <c r="M942" s="175"/>
      <c r="N942" s="175"/>
      <c r="O942" s="175"/>
      <c r="P942" s="175"/>
      <c r="Q942" s="175"/>
      <c r="R942" s="175"/>
      <c r="S942" s="175"/>
      <c r="T942" s="175"/>
      <c r="U942" s="175"/>
      <c r="V942" s="175"/>
      <c r="W942" s="175"/>
      <c r="X942" s="175"/>
      <c r="Y942" s="175"/>
      <c r="Z942" s="175"/>
    </row>
    <row r="943" ht="15.75" customHeight="1">
      <c r="A943" s="174"/>
      <c r="B943" s="276"/>
      <c r="C943" s="172"/>
      <c r="D943" s="173"/>
      <c r="E943" s="174"/>
      <c r="F943" s="174"/>
      <c r="G943" s="175"/>
      <c r="H943" s="175"/>
      <c r="I943" s="175"/>
      <c r="J943" s="175"/>
      <c r="K943" s="175"/>
      <c r="L943" s="175"/>
      <c r="M943" s="175"/>
      <c r="N943" s="175"/>
      <c r="O943" s="175"/>
      <c r="P943" s="175"/>
      <c r="Q943" s="175"/>
      <c r="R943" s="175"/>
      <c r="S943" s="175"/>
      <c r="T943" s="175"/>
      <c r="U943" s="175"/>
      <c r="V943" s="175"/>
      <c r="W943" s="175"/>
      <c r="X943" s="175"/>
      <c r="Y943" s="175"/>
      <c r="Z943" s="175"/>
    </row>
    <row r="944" ht="15.75" customHeight="1">
      <c r="A944" s="174"/>
      <c r="B944" s="276"/>
      <c r="C944" s="172"/>
      <c r="D944" s="173"/>
      <c r="E944" s="174"/>
      <c r="F944" s="174"/>
      <c r="G944" s="175"/>
      <c r="H944" s="175"/>
      <c r="I944" s="175"/>
      <c r="J944" s="175"/>
      <c r="K944" s="175"/>
      <c r="L944" s="175"/>
      <c r="M944" s="175"/>
      <c r="N944" s="175"/>
      <c r="O944" s="175"/>
      <c r="P944" s="175"/>
      <c r="Q944" s="175"/>
      <c r="R944" s="175"/>
      <c r="S944" s="175"/>
      <c r="T944" s="175"/>
      <c r="U944" s="175"/>
      <c r="V944" s="175"/>
      <c r="W944" s="175"/>
      <c r="X944" s="175"/>
      <c r="Y944" s="175"/>
      <c r="Z944" s="175"/>
    </row>
    <row r="945" ht="15.75" customHeight="1">
      <c r="A945" s="174"/>
      <c r="B945" s="276"/>
      <c r="C945" s="172"/>
      <c r="D945" s="173"/>
      <c r="E945" s="174"/>
      <c r="F945" s="174"/>
      <c r="G945" s="175"/>
      <c r="H945" s="175"/>
      <c r="I945" s="175"/>
      <c r="J945" s="175"/>
      <c r="K945" s="175"/>
      <c r="L945" s="175"/>
      <c r="M945" s="175"/>
      <c r="N945" s="175"/>
      <c r="O945" s="175"/>
      <c r="P945" s="175"/>
      <c r="Q945" s="175"/>
      <c r="R945" s="175"/>
      <c r="S945" s="175"/>
      <c r="T945" s="175"/>
      <c r="U945" s="175"/>
      <c r="V945" s="175"/>
      <c r="W945" s="175"/>
      <c r="X945" s="175"/>
      <c r="Y945" s="175"/>
      <c r="Z945" s="175"/>
    </row>
    <row r="946" ht="15.75" customHeight="1">
      <c r="A946" s="174"/>
      <c r="B946" s="276"/>
      <c r="C946" s="172"/>
      <c r="D946" s="173"/>
      <c r="E946" s="174"/>
      <c r="F946" s="174"/>
      <c r="G946" s="175"/>
      <c r="H946" s="175"/>
      <c r="I946" s="175"/>
      <c r="J946" s="175"/>
      <c r="K946" s="175"/>
      <c r="L946" s="175"/>
      <c r="M946" s="175"/>
      <c r="N946" s="175"/>
      <c r="O946" s="175"/>
      <c r="P946" s="175"/>
      <c r="Q946" s="175"/>
      <c r="R946" s="175"/>
      <c r="S946" s="175"/>
      <c r="T946" s="175"/>
      <c r="U946" s="175"/>
      <c r="V946" s="175"/>
      <c r="W946" s="175"/>
      <c r="X946" s="175"/>
      <c r="Y946" s="175"/>
      <c r="Z946" s="175"/>
    </row>
    <row r="947" ht="15.75" customHeight="1">
      <c r="A947" s="174"/>
      <c r="B947" s="276"/>
      <c r="C947" s="172"/>
      <c r="D947" s="173"/>
      <c r="E947" s="174"/>
      <c r="F947" s="174"/>
      <c r="G947" s="175"/>
      <c r="H947" s="175"/>
      <c r="I947" s="175"/>
      <c r="J947" s="175"/>
      <c r="K947" s="175"/>
      <c r="L947" s="175"/>
      <c r="M947" s="175"/>
      <c r="N947" s="175"/>
      <c r="O947" s="175"/>
      <c r="P947" s="175"/>
      <c r="Q947" s="175"/>
      <c r="R947" s="175"/>
      <c r="S947" s="175"/>
      <c r="T947" s="175"/>
      <c r="U947" s="175"/>
      <c r="V947" s="175"/>
      <c r="W947" s="175"/>
      <c r="X947" s="175"/>
      <c r="Y947" s="175"/>
      <c r="Z947" s="175"/>
    </row>
    <row r="948" ht="15.75" customHeight="1">
      <c r="A948" s="174"/>
      <c r="B948" s="276"/>
      <c r="C948" s="172"/>
      <c r="D948" s="173"/>
      <c r="E948" s="174"/>
      <c r="F948" s="174"/>
      <c r="G948" s="175"/>
      <c r="H948" s="175"/>
      <c r="I948" s="175"/>
      <c r="J948" s="175"/>
      <c r="K948" s="175"/>
      <c r="L948" s="175"/>
      <c r="M948" s="175"/>
      <c r="N948" s="175"/>
      <c r="O948" s="175"/>
      <c r="P948" s="175"/>
      <c r="Q948" s="175"/>
      <c r="R948" s="175"/>
      <c r="S948" s="175"/>
      <c r="T948" s="175"/>
      <c r="U948" s="175"/>
      <c r="V948" s="175"/>
      <c r="W948" s="175"/>
      <c r="X948" s="175"/>
      <c r="Y948" s="175"/>
      <c r="Z948" s="175"/>
    </row>
    <row r="949" ht="15.75" customHeight="1">
      <c r="A949" s="174"/>
      <c r="B949" s="276"/>
      <c r="C949" s="172"/>
      <c r="D949" s="173"/>
      <c r="E949" s="174"/>
      <c r="F949" s="174"/>
      <c r="G949" s="175"/>
      <c r="H949" s="175"/>
      <c r="I949" s="175"/>
      <c r="J949" s="175"/>
      <c r="K949" s="175"/>
      <c r="L949" s="175"/>
      <c r="M949" s="175"/>
      <c r="N949" s="175"/>
      <c r="O949" s="175"/>
      <c r="P949" s="175"/>
      <c r="Q949" s="175"/>
      <c r="R949" s="175"/>
      <c r="S949" s="175"/>
      <c r="T949" s="175"/>
      <c r="U949" s="175"/>
      <c r="V949" s="175"/>
      <c r="W949" s="175"/>
      <c r="X949" s="175"/>
      <c r="Y949" s="175"/>
      <c r="Z949" s="175"/>
    </row>
    <row r="950" ht="15.75" customHeight="1">
      <c r="A950" s="174"/>
      <c r="B950" s="276"/>
      <c r="C950" s="172"/>
      <c r="D950" s="173"/>
      <c r="E950" s="174"/>
      <c r="F950" s="174"/>
      <c r="G950" s="175"/>
      <c r="H950" s="175"/>
      <c r="I950" s="175"/>
      <c r="J950" s="175"/>
      <c r="K950" s="175"/>
      <c r="L950" s="175"/>
      <c r="M950" s="175"/>
      <c r="N950" s="175"/>
      <c r="O950" s="175"/>
      <c r="P950" s="175"/>
      <c r="Q950" s="175"/>
      <c r="R950" s="175"/>
      <c r="S950" s="175"/>
      <c r="T950" s="175"/>
      <c r="U950" s="175"/>
      <c r="V950" s="175"/>
      <c r="W950" s="175"/>
      <c r="X950" s="175"/>
      <c r="Y950" s="175"/>
      <c r="Z950" s="175"/>
    </row>
    <row r="951" ht="15.75" customHeight="1">
      <c r="A951" s="174"/>
      <c r="B951" s="276"/>
      <c r="C951" s="172"/>
      <c r="D951" s="173"/>
      <c r="E951" s="174"/>
      <c r="F951" s="174"/>
      <c r="G951" s="175"/>
      <c r="H951" s="175"/>
      <c r="I951" s="175"/>
      <c r="J951" s="175"/>
      <c r="K951" s="175"/>
      <c r="L951" s="175"/>
      <c r="M951" s="175"/>
      <c r="N951" s="175"/>
      <c r="O951" s="175"/>
      <c r="P951" s="175"/>
      <c r="Q951" s="175"/>
      <c r="R951" s="175"/>
      <c r="S951" s="175"/>
      <c r="T951" s="175"/>
      <c r="U951" s="175"/>
      <c r="V951" s="175"/>
      <c r="W951" s="175"/>
      <c r="X951" s="175"/>
      <c r="Y951" s="175"/>
      <c r="Z951" s="175"/>
    </row>
    <row r="952" ht="15.75" customHeight="1">
      <c r="A952" s="174"/>
      <c r="B952" s="276"/>
      <c r="C952" s="172"/>
      <c r="D952" s="173"/>
      <c r="E952" s="174"/>
      <c r="F952" s="174"/>
      <c r="G952" s="175"/>
      <c r="H952" s="175"/>
      <c r="I952" s="175"/>
      <c r="J952" s="175"/>
      <c r="K952" s="175"/>
      <c r="L952" s="175"/>
      <c r="M952" s="175"/>
      <c r="N952" s="175"/>
      <c r="O952" s="175"/>
      <c r="P952" s="175"/>
      <c r="Q952" s="175"/>
      <c r="R952" s="175"/>
      <c r="S952" s="175"/>
      <c r="T952" s="175"/>
      <c r="U952" s="175"/>
      <c r="V952" s="175"/>
      <c r="W952" s="175"/>
      <c r="X952" s="175"/>
      <c r="Y952" s="175"/>
      <c r="Z952" s="175"/>
    </row>
    <row r="953" ht="15.75" customHeight="1">
      <c r="A953" s="174"/>
      <c r="B953" s="276"/>
      <c r="C953" s="172"/>
      <c r="D953" s="173"/>
      <c r="E953" s="174"/>
      <c r="F953" s="174"/>
      <c r="G953" s="175"/>
      <c r="H953" s="175"/>
      <c r="I953" s="175"/>
      <c r="J953" s="175"/>
      <c r="K953" s="175"/>
      <c r="L953" s="175"/>
      <c r="M953" s="175"/>
      <c r="N953" s="175"/>
      <c r="O953" s="175"/>
      <c r="P953" s="175"/>
      <c r="Q953" s="175"/>
      <c r="R953" s="175"/>
      <c r="S953" s="175"/>
      <c r="T953" s="175"/>
      <c r="U953" s="175"/>
      <c r="V953" s="175"/>
      <c r="W953" s="175"/>
      <c r="X953" s="175"/>
      <c r="Y953" s="175"/>
      <c r="Z953" s="175"/>
    </row>
    <row r="954" ht="15.75" customHeight="1">
      <c r="A954" s="174"/>
      <c r="B954" s="276"/>
      <c r="C954" s="172"/>
      <c r="D954" s="173"/>
      <c r="E954" s="174"/>
      <c r="F954" s="174"/>
      <c r="G954" s="175"/>
      <c r="H954" s="175"/>
      <c r="I954" s="175"/>
      <c r="J954" s="175"/>
      <c r="K954" s="175"/>
      <c r="L954" s="175"/>
      <c r="M954" s="175"/>
      <c r="N954" s="175"/>
      <c r="O954" s="175"/>
      <c r="P954" s="175"/>
      <c r="Q954" s="175"/>
      <c r="R954" s="175"/>
      <c r="S954" s="175"/>
      <c r="T954" s="175"/>
      <c r="U954" s="175"/>
      <c r="V954" s="175"/>
      <c r="W954" s="175"/>
      <c r="X954" s="175"/>
      <c r="Y954" s="175"/>
      <c r="Z954" s="175"/>
    </row>
    <row r="955" ht="15.75" customHeight="1">
      <c r="A955" s="174"/>
      <c r="B955" s="276"/>
      <c r="C955" s="172"/>
      <c r="D955" s="173"/>
      <c r="E955" s="174"/>
      <c r="F955" s="174"/>
      <c r="G955" s="175"/>
      <c r="H955" s="175"/>
      <c r="I955" s="175"/>
      <c r="J955" s="175"/>
      <c r="K955" s="175"/>
      <c r="L955" s="175"/>
      <c r="M955" s="175"/>
      <c r="N955" s="175"/>
      <c r="O955" s="175"/>
      <c r="P955" s="175"/>
      <c r="Q955" s="175"/>
      <c r="R955" s="175"/>
      <c r="S955" s="175"/>
      <c r="T955" s="175"/>
      <c r="U955" s="175"/>
      <c r="V955" s="175"/>
      <c r="W955" s="175"/>
      <c r="X955" s="175"/>
      <c r="Y955" s="175"/>
      <c r="Z955" s="175"/>
    </row>
    <row r="956" ht="15.75" customHeight="1">
      <c r="A956" s="174"/>
      <c r="B956" s="276"/>
      <c r="C956" s="172"/>
      <c r="D956" s="173"/>
      <c r="E956" s="174"/>
      <c r="F956" s="174"/>
      <c r="G956" s="175"/>
      <c r="H956" s="175"/>
      <c r="I956" s="175"/>
      <c r="J956" s="175"/>
      <c r="K956" s="175"/>
      <c r="L956" s="175"/>
      <c r="M956" s="175"/>
      <c r="N956" s="175"/>
      <c r="O956" s="175"/>
      <c r="P956" s="175"/>
      <c r="Q956" s="175"/>
      <c r="R956" s="175"/>
      <c r="S956" s="175"/>
      <c r="T956" s="175"/>
      <c r="U956" s="175"/>
      <c r="V956" s="175"/>
      <c r="W956" s="175"/>
      <c r="X956" s="175"/>
      <c r="Y956" s="175"/>
      <c r="Z956" s="175"/>
    </row>
    <row r="957" ht="15.75" customHeight="1">
      <c r="A957" s="174"/>
      <c r="B957" s="276"/>
      <c r="C957" s="172"/>
      <c r="D957" s="173"/>
      <c r="E957" s="174"/>
      <c r="F957" s="174"/>
      <c r="G957" s="175"/>
      <c r="H957" s="175"/>
      <c r="I957" s="175"/>
      <c r="J957" s="175"/>
      <c r="K957" s="175"/>
      <c r="L957" s="175"/>
      <c r="M957" s="175"/>
      <c r="N957" s="175"/>
      <c r="O957" s="175"/>
      <c r="P957" s="175"/>
      <c r="Q957" s="175"/>
      <c r="R957" s="175"/>
      <c r="S957" s="175"/>
      <c r="T957" s="175"/>
      <c r="U957" s="175"/>
      <c r="V957" s="175"/>
      <c r="W957" s="175"/>
      <c r="X957" s="175"/>
      <c r="Y957" s="175"/>
      <c r="Z957" s="175"/>
    </row>
    <row r="958" ht="15.75" customHeight="1">
      <c r="A958" s="174"/>
      <c r="B958" s="276"/>
      <c r="C958" s="172"/>
      <c r="D958" s="173"/>
      <c r="E958" s="174"/>
      <c r="F958" s="174"/>
      <c r="G958" s="175"/>
      <c r="H958" s="175"/>
      <c r="I958" s="175"/>
      <c r="J958" s="175"/>
      <c r="K958" s="175"/>
      <c r="L958" s="175"/>
      <c r="M958" s="175"/>
      <c r="N958" s="175"/>
      <c r="O958" s="175"/>
      <c r="P958" s="175"/>
      <c r="Q958" s="175"/>
      <c r="R958" s="175"/>
      <c r="S958" s="175"/>
      <c r="T958" s="175"/>
      <c r="U958" s="175"/>
      <c r="V958" s="175"/>
      <c r="W958" s="175"/>
      <c r="X958" s="175"/>
      <c r="Y958" s="175"/>
      <c r="Z958" s="175"/>
    </row>
    <row r="959" ht="15.75" customHeight="1">
      <c r="A959" s="174"/>
      <c r="B959" s="276"/>
      <c r="C959" s="172"/>
      <c r="D959" s="173"/>
      <c r="E959" s="174"/>
      <c r="F959" s="174"/>
      <c r="G959" s="175"/>
      <c r="H959" s="175"/>
      <c r="I959" s="175"/>
      <c r="J959" s="175"/>
      <c r="K959" s="175"/>
      <c r="L959" s="175"/>
      <c r="M959" s="175"/>
      <c r="N959" s="175"/>
      <c r="O959" s="175"/>
      <c r="P959" s="175"/>
      <c r="Q959" s="175"/>
      <c r="R959" s="175"/>
      <c r="S959" s="175"/>
      <c r="T959" s="175"/>
      <c r="U959" s="175"/>
      <c r="V959" s="175"/>
      <c r="W959" s="175"/>
      <c r="X959" s="175"/>
      <c r="Y959" s="175"/>
      <c r="Z959" s="175"/>
    </row>
    <row r="960" ht="15.75" customHeight="1">
      <c r="A960" s="174"/>
      <c r="B960" s="276"/>
      <c r="C960" s="172"/>
      <c r="D960" s="173"/>
      <c r="E960" s="174"/>
      <c r="F960" s="174"/>
      <c r="G960" s="175"/>
      <c r="H960" s="175"/>
      <c r="I960" s="175"/>
      <c r="J960" s="175"/>
      <c r="K960" s="175"/>
      <c r="L960" s="175"/>
      <c r="M960" s="175"/>
      <c r="N960" s="175"/>
      <c r="O960" s="175"/>
      <c r="P960" s="175"/>
      <c r="Q960" s="175"/>
      <c r="R960" s="175"/>
      <c r="S960" s="175"/>
      <c r="T960" s="175"/>
      <c r="U960" s="175"/>
      <c r="V960" s="175"/>
      <c r="W960" s="175"/>
      <c r="X960" s="175"/>
      <c r="Y960" s="175"/>
      <c r="Z960" s="175"/>
    </row>
    <row r="961" ht="15.75" customHeight="1">
      <c r="A961" s="174"/>
      <c r="B961" s="276"/>
      <c r="C961" s="172"/>
      <c r="D961" s="173"/>
      <c r="E961" s="174"/>
      <c r="F961" s="174"/>
      <c r="G961" s="175"/>
      <c r="H961" s="175"/>
      <c r="I961" s="175"/>
      <c r="J961" s="175"/>
      <c r="K961" s="175"/>
      <c r="L961" s="175"/>
      <c r="M961" s="175"/>
      <c r="N961" s="175"/>
      <c r="O961" s="175"/>
      <c r="P961" s="175"/>
      <c r="Q961" s="175"/>
      <c r="R961" s="175"/>
      <c r="S961" s="175"/>
      <c r="T961" s="175"/>
      <c r="U961" s="175"/>
      <c r="V961" s="175"/>
      <c r="W961" s="175"/>
      <c r="X961" s="175"/>
      <c r="Y961" s="175"/>
      <c r="Z961" s="175"/>
    </row>
    <row r="962" ht="15.75" customHeight="1">
      <c r="A962" s="174"/>
      <c r="B962" s="276"/>
      <c r="C962" s="172"/>
      <c r="D962" s="173"/>
      <c r="E962" s="174"/>
      <c r="F962" s="174"/>
      <c r="G962" s="175"/>
      <c r="H962" s="175"/>
      <c r="I962" s="175"/>
      <c r="J962" s="175"/>
      <c r="K962" s="175"/>
      <c r="L962" s="175"/>
      <c r="M962" s="175"/>
      <c r="N962" s="175"/>
      <c r="O962" s="175"/>
      <c r="P962" s="175"/>
      <c r="Q962" s="175"/>
      <c r="R962" s="175"/>
      <c r="S962" s="175"/>
      <c r="T962" s="175"/>
      <c r="U962" s="175"/>
      <c r="V962" s="175"/>
      <c r="W962" s="175"/>
      <c r="X962" s="175"/>
      <c r="Y962" s="175"/>
      <c r="Z962" s="175"/>
    </row>
    <row r="963" ht="15.75" customHeight="1">
      <c r="A963" s="174"/>
      <c r="B963" s="276"/>
      <c r="C963" s="172"/>
      <c r="D963" s="173"/>
      <c r="E963" s="174"/>
      <c r="F963" s="174"/>
      <c r="G963" s="175"/>
      <c r="H963" s="175"/>
      <c r="I963" s="175"/>
      <c r="J963" s="175"/>
      <c r="K963" s="175"/>
      <c r="L963" s="175"/>
      <c r="M963" s="175"/>
      <c r="N963" s="175"/>
      <c r="O963" s="175"/>
      <c r="P963" s="175"/>
      <c r="Q963" s="175"/>
      <c r="R963" s="175"/>
      <c r="S963" s="175"/>
      <c r="T963" s="175"/>
      <c r="U963" s="175"/>
      <c r="V963" s="175"/>
      <c r="W963" s="175"/>
      <c r="X963" s="175"/>
      <c r="Y963" s="175"/>
      <c r="Z963" s="175"/>
    </row>
    <row r="964" ht="15.75" customHeight="1">
      <c r="A964" s="174"/>
      <c r="B964" s="276"/>
      <c r="C964" s="172"/>
      <c r="D964" s="173"/>
      <c r="E964" s="174"/>
      <c r="F964" s="174"/>
      <c r="G964" s="175"/>
      <c r="H964" s="175"/>
      <c r="I964" s="175"/>
      <c r="J964" s="175"/>
      <c r="K964" s="175"/>
      <c r="L964" s="175"/>
      <c r="M964" s="175"/>
      <c r="N964" s="175"/>
      <c r="O964" s="175"/>
      <c r="P964" s="175"/>
      <c r="Q964" s="175"/>
      <c r="R964" s="175"/>
      <c r="S964" s="175"/>
      <c r="T964" s="175"/>
      <c r="U964" s="175"/>
      <c r="V964" s="175"/>
      <c r="W964" s="175"/>
      <c r="X964" s="175"/>
      <c r="Y964" s="175"/>
      <c r="Z964" s="175"/>
    </row>
    <row r="965" ht="15.75" customHeight="1">
      <c r="A965" s="174"/>
      <c r="B965" s="276"/>
      <c r="C965" s="172"/>
      <c r="D965" s="173"/>
      <c r="E965" s="174"/>
      <c r="F965" s="174"/>
      <c r="G965" s="175"/>
      <c r="H965" s="175"/>
      <c r="I965" s="175"/>
      <c r="J965" s="175"/>
      <c r="K965" s="175"/>
      <c r="L965" s="175"/>
      <c r="M965" s="175"/>
      <c r="N965" s="175"/>
      <c r="O965" s="175"/>
      <c r="P965" s="175"/>
      <c r="Q965" s="175"/>
      <c r="R965" s="175"/>
      <c r="S965" s="175"/>
      <c r="T965" s="175"/>
      <c r="U965" s="175"/>
      <c r="V965" s="175"/>
      <c r="W965" s="175"/>
      <c r="X965" s="175"/>
      <c r="Y965" s="175"/>
      <c r="Z965" s="175"/>
    </row>
    <row r="966" ht="15.75" customHeight="1">
      <c r="A966" s="174"/>
      <c r="B966" s="276"/>
      <c r="C966" s="172"/>
      <c r="D966" s="173"/>
      <c r="E966" s="174"/>
      <c r="F966" s="174"/>
      <c r="G966" s="175"/>
      <c r="H966" s="175"/>
      <c r="I966" s="175"/>
      <c r="J966" s="175"/>
      <c r="K966" s="175"/>
      <c r="L966" s="175"/>
      <c r="M966" s="175"/>
      <c r="N966" s="175"/>
      <c r="O966" s="175"/>
      <c r="P966" s="175"/>
      <c r="Q966" s="175"/>
      <c r="R966" s="175"/>
      <c r="S966" s="175"/>
      <c r="T966" s="175"/>
      <c r="U966" s="175"/>
      <c r="V966" s="175"/>
      <c r="W966" s="175"/>
      <c r="X966" s="175"/>
      <c r="Y966" s="175"/>
      <c r="Z966" s="175"/>
    </row>
    <row r="967" ht="15.75" customHeight="1">
      <c r="A967" s="174"/>
      <c r="B967" s="276"/>
      <c r="C967" s="172"/>
      <c r="D967" s="173"/>
      <c r="E967" s="174"/>
      <c r="F967" s="174"/>
      <c r="G967" s="175"/>
      <c r="H967" s="175"/>
      <c r="I967" s="175"/>
      <c r="J967" s="175"/>
      <c r="K967" s="175"/>
      <c r="L967" s="175"/>
      <c r="M967" s="175"/>
      <c r="N967" s="175"/>
      <c r="O967" s="175"/>
      <c r="P967" s="175"/>
      <c r="Q967" s="175"/>
      <c r="R967" s="175"/>
      <c r="S967" s="175"/>
      <c r="T967" s="175"/>
      <c r="U967" s="175"/>
      <c r="V967" s="175"/>
      <c r="W967" s="175"/>
      <c r="X967" s="175"/>
      <c r="Y967" s="175"/>
      <c r="Z967" s="175"/>
    </row>
    <row r="968" ht="15.75" customHeight="1">
      <c r="A968" s="174"/>
      <c r="B968" s="276"/>
      <c r="C968" s="172"/>
      <c r="D968" s="173"/>
      <c r="E968" s="174"/>
      <c r="F968" s="174"/>
      <c r="G968" s="175"/>
      <c r="H968" s="175"/>
      <c r="I968" s="175"/>
      <c r="J968" s="175"/>
      <c r="K968" s="175"/>
      <c r="L968" s="175"/>
      <c r="M968" s="175"/>
      <c r="N968" s="175"/>
      <c r="O968" s="175"/>
      <c r="P968" s="175"/>
      <c r="Q968" s="175"/>
      <c r="R968" s="175"/>
      <c r="S968" s="175"/>
      <c r="T968" s="175"/>
      <c r="U968" s="175"/>
      <c r="V968" s="175"/>
      <c r="W968" s="175"/>
      <c r="X968" s="175"/>
      <c r="Y968" s="175"/>
      <c r="Z968" s="175"/>
    </row>
    <row r="969" ht="15.75" customHeight="1">
      <c r="A969" s="174"/>
      <c r="B969" s="276"/>
      <c r="C969" s="172"/>
      <c r="D969" s="173"/>
      <c r="E969" s="174"/>
      <c r="F969" s="174"/>
      <c r="G969" s="175"/>
      <c r="H969" s="175"/>
      <c r="I969" s="175"/>
      <c r="J969" s="175"/>
      <c r="K969" s="175"/>
      <c r="L969" s="175"/>
      <c r="M969" s="175"/>
      <c r="N969" s="175"/>
      <c r="O969" s="175"/>
      <c r="P969" s="175"/>
      <c r="Q969" s="175"/>
      <c r="R969" s="175"/>
      <c r="S969" s="175"/>
      <c r="T969" s="175"/>
      <c r="U969" s="175"/>
      <c r="V969" s="175"/>
      <c r="W969" s="175"/>
      <c r="X969" s="175"/>
      <c r="Y969" s="175"/>
      <c r="Z969" s="175"/>
    </row>
    <row r="970" ht="15.75" customHeight="1">
      <c r="A970" s="174"/>
      <c r="B970" s="276"/>
      <c r="C970" s="172"/>
      <c r="D970" s="173"/>
      <c r="E970" s="174"/>
      <c r="F970" s="174"/>
      <c r="G970" s="175"/>
      <c r="H970" s="175"/>
      <c r="I970" s="175"/>
      <c r="J970" s="175"/>
      <c r="K970" s="175"/>
      <c r="L970" s="175"/>
      <c r="M970" s="175"/>
      <c r="N970" s="175"/>
      <c r="O970" s="175"/>
      <c r="P970" s="175"/>
      <c r="Q970" s="175"/>
      <c r="R970" s="175"/>
      <c r="S970" s="175"/>
      <c r="T970" s="175"/>
      <c r="U970" s="175"/>
      <c r="V970" s="175"/>
      <c r="W970" s="175"/>
      <c r="X970" s="175"/>
      <c r="Y970" s="175"/>
      <c r="Z970" s="175"/>
    </row>
    <row r="971" ht="15.75" customHeight="1">
      <c r="A971" s="174"/>
      <c r="B971" s="276"/>
      <c r="C971" s="172"/>
      <c r="D971" s="173"/>
      <c r="E971" s="174"/>
      <c r="F971" s="174"/>
      <c r="G971" s="175"/>
      <c r="H971" s="175"/>
      <c r="I971" s="175"/>
      <c r="J971" s="175"/>
      <c r="K971" s="175"/>
      <c r="L971" s="175"/>
      <c r="M971" s="175"/>
      <c r="N971" s="175"/>
      <c r="O971" s="175"/>
      <c r="P971" s="175"/>
      <c r="Q971" s="175"/>
      <c r="R971" s="175"/>
      <c r="S971" s="175"/>
      <c r="T971" s="175"/>
      <c r="U971" s="175"/>
      <c r="V971" s="175"/>
      <c r="W971" s="175"/>
      <c r="X971" s="175"/>
      <c r="Y971" s="175"/>
      <c r="Z971" s="175"/>
    </row>
    <row r="972" ht="15.75" customHeight="1">
      <c r="A972" s="174"/>
      <c r="B972" s="276"/>
      <c r="C972" s="172"/>
      <c r="D972" s="173"/>
      <c r="E972" s="174"/>
      <c r="F972" s="174"/>
      <c r="G972" s="175"/>
      <c r="H972" s="175"/>
      <c r="I972" s="175"/>
      <c r="J972" s="175"/>
      <c r="K972" s="175"/>
      <c r="L972" s="175"/>
      <c r="M972" s="175"/>
      <c r="N972" s="175"/>
      <c r="O972" s="175"/>
      <c r="P972" s="175"/>
      <c r="Q972" s="175"/>
      <c r="R972" s="175"/>
      <c r="S972" s="175"/>
      <c r="T972" s="175"/>
      <c r="U972" s="175"/>
      <c r="V972" s="175"/>
      <c r="W972" s="175"/>
      <c r="X972" s="175"/>
      <c r="Y972" s="175"/>
      <c r="Z972" s="175"/>
    </row>
    <row r="973" ht="15.75" customHeight="1">
      <c r="A973" s="174"/>
      <c r="B973" s="276"/>
      <c r="C973" s="172"/>
      <c r="D973" s="173"/>
      <c r="E973" s="174"/>
      <c r="F973" s="174"/>
      <c r="G973" s="175"/>
      <c r="H973" s="175"/>
      <c r="I973" s="175"/>
      <c r="J973" s="175"/>
      <c r="K973" s="175"/>
      <c r="L973" s="175"/>
      <c r="M973" s="175"/>
      <c r="N973" s="175"/>
      <c r="O973" s="175"/>
      <c r="P973" s="175"/>
      <c r="Q973" s="175"/>
      <c r="R973" s="175"/>
      <c r="S973" s="175"/>
      <c r="T973" s="175"/>
      <c r="U973" s="175"/>
      <c r="V973" s="175"/>
      <c r="W973" s="175"/>
      <c r="X973" s="175"/>
      <c r="Y973" s="175"/>
      <c r="Z973" s="175"/>
    </row>
    <row r="974" ht="15.75" customHeight="1">
      <c r="A974" s="174"/>
      <c r="B974" s="276"/>
      <c r="C974" s="172"/>
      <c r="D974" s="173"/>
      <c r="E974" s="174"/>
      <c r="F974" s="174"/>
      <c r="G974" s="175"/>
      <c r="H974" s="175"/>
      <c r="I974" s="175"/>
      <c r="J974" s="175"/>
      <c r="K974" s="175"/>
      <c r="L974" s="175"/>
      <c r="M974" s="175"/>
      <c r="N974" s="175"/>
      <c r="O974" s="175"/>
      <c r="P974" s="175"/>
      <c r="Q974" s="175"/>
      <c r="R974" s="175"/>
      <c r="S974" s="175"/>
      <c r="T974" s="175"/>
      <c r="U974" s="175"/>
      <c r="V974" s="175"/>
      <c r="W974" s="175"/>
      <c r="X974" s="175"/>
      <c r="Y974" s="175"/>
      <c r="Z974" s="175"/>
    </row>
    <row r="975" ht="15.75" customHeight="1">
      <c r="A975" s="174"/>
      <c r="B975" s="276"/>
      <c r="C975" s="172"/>
      <c r="D975" s="173"/>
      <c r="E975" s="174"/>
      <c r="F975" s="174"/>
      <c r="G975" s="175"/>
      <c r="H975" s="175"/>
      <c r="I975" s="175"/>
      <c r="J975" s="175"/>
      <c r="K975" s="175"/>
      <c r="L975" s="175"/>
      <c r="M975" s="175"/>
      <c r="N975" s="175"/>
      <c r="O975" s="175"/>
      <c r="P975" s="175"/>
      <c r="Q975" s="175"/>
      <c r="R975" s="175"/>
      <c r="S975" s="175"/>
      <c r="T975" s="175"/>
      <c r="U975" s="175"/>
      <c r="V975" s="175"/>
      <c r="W975" s="175"/>
      <c r="X975" s="175"/>
      <c r="Y975" s="175"/>
      <c r="Z975" s="175"/>
    </row>
    <row r="976" ht="15.75" customHeight="1">
      <c r="A976" s="174"/>
      <c r="B976" s="276"/>
      <c r="C976" s="172"/>
      <c r="D976" s="173"/>
      <c r="E976" s="174"/>
      <c r="F976" s="174"/>
      <c r="G976" s="175"/>
      <c r="H976" s="175"/>
      <c r="I976" s="175"/>
      <c r="J976" s="175"/>
      <c r="K976" s="175"/>
      <c r="L976" s="175"/>
      <c r="M976" s="175"/>
      <c r="N976" s="175"/>
      <c r="O976" s="175"/>
      <c r="P976" s="175"/>
      <c r="Q976" s="175"/>
      <c r="R976" s="175"/>
      <c r="S976" s="175"/>
      <c r="T976" s="175"/>
      <c r="U976" s="175"/>
      <c r="V976" s="175"/>
      <c r="W976" s="175"/>
      <c r="X976" s="175"/>
      <c r="Y976" s="175"/>
      <c r="Z976" s="175"/>
    </row>
    <row r="977" ht="15.75" customHeight="1">
      <c r="A977" s="174"/>
      <c r="B977" s="276"/>
      <c r="C977" s="172"/>
      <c r="D977" s="173"/>
      <c r="E977" s="174"/>
      <c r="F977" s="174"/>
      <c r="G977" s="175"/>
      <c r="H977" s="175"/>
      <c r="I977" s="175"/>
      <c r="J977" s="175"/>
      <c r="K977" s="175"/>
      <c r="L977" s="175"/>
      <c r="M977" s="175"/>
      <c r="N977" s="175"/>
      <c r="O977" s="175"/>
      <c r="P977" s="175"/>
      <c r="Q977" s="175"/>
      <c r="R977" s="175"/>
      <c r="S977" s="175"/>
      <c r="T977" s="175"/>
      <c r="U977" s="175"/>
      <c r="V977" s="175"/>
      <c r="W977" s="175"/>
      <c r="X977" s="175"/>
      <c r="Y977" s="175"/>
      <c r="Z977" s="175"/>
    </row>
    <row r="978" ht="15.75" customHeight="1">
      <c r="A978" s="174"/>
      <c r="B978" s="276"/>
      <c r="C978" s="172"/>
      <c r="D978" s="173"/>
      <c r="E978" s="174"/>
      <c r="F978" s="174"/>
      <c r="G978" s="175"/>
      <c r="H978" s="175"/>
      <c r="I978" s="175"/>
      <c r="J978" s="175"/>
      <c r="K978" s="175"/>
      <c r="L978" s="175"/>
      <c r="M978" s="175"/>
      <c r="N978" s="175"/>
      <c r="O978" s="175"/>
      <c r="P978" s="175"/>
      <c r="Q978" s="175"/>
      <c r="R978" s="175"/>
      <c r="S978" s="175"/>
      <c r="T978" s="175"/>
      <c r="U978" s="175"/>
      <c r="V978" s="175"/>
      <c r="W978" s="175"/>
      <c r="X978" s="175"/>
      <c r="Y978" s="175"/>
      <c r="Z978" s="175"/>
    </row>
    <row r="979" ht="15.75" customHeight="1">
      <c r="A979" s="174"/>
      <c r="B979" s="276"/>
      <c r="C979" s="172"/>
      <c r="D979" s="173"/>
      <c r="E979" s="174"/>
      <c r="F979" s="174"/>
      <c r="G979" s="175"/>
      <c r="H979" s="175"/>
      <c r="I979" s="175"/>
      <c r="J979" s="175"/>
      <c r="K979" s="175"/>
      <c r="L979" s="175"/>
      <c r="M979" s="175"/>
      <c r="N979" s="175"/>
      <c r="O979" s="175"/>
      <c r="P979" s="175"/>
      <c r="Q979" s="175"/>
      <c r="R979" s="175"/>
      <c r="S979" s="175"/>
      <c r="T979" s="175"/>
      <c r="U979" s="175"/>
      <c r="V979" s="175"/>
      <c r="W979" s="175"/>
      <c r="X979" s="175"/>
      <c r="Y979" s="175"/>
      <c r="Z979" s="175"/>
    </row>
    <row r="980" ht="15.75" customHeight="1">
      <c r="A980" s="174"/>
      <c r="B980" s="276"/>
      <c r="C980" s="172"/>
      <c r="D980" s="173"/>
      <c r="E980" s="174"/>
      <c r="F980" s="174"/>
      <c r="G980" s="175"/>
      <c r="H980" s="175"/>
      <c r="I980" s="175"/>
      <c r="J980" s="175"/>
      <c r="K980" s="175"/>
      <c r="L980" s="175"/>
      <c r="M980" s="175"/>
      <c r="N980" s="175"/>
      <c r="O980" s="175"/>
      <c r="P980" s="175"/>
      <c r="Q980" s="175"/>
      <c r="R980" s="175"/>
      <c r="S980" s="175"/>
      <c r="T980" s="175"/>
      <c r="U980" s="175"/>
      <c r="V980" s="175"/>
      <c r="W980" s="175"/>
      <c r="X980" s="175"/>
      <c r="Y980" s="175"/>
      <c r="Z980" s="175"/>
    </row>
    <row r="981" ht="15.75" customHeight="1">
      <c r="A981" s="174"/>
      <c r="B981" s="276"/>
      <c r="C981" s="172"/>
      <c r="D981" s="173"/>
      <c r="E981" s="174"/>
      <c r="F981" s="174"/>
      <c r="G981" s="175"/>
      <c r="H981" s="175"/>
      <c r="I981" s="175"/>
      <c r="J981" s="175"/>
      <c r="K981" s="175"/>
      <c r="L981" s="175"/>
      <c r="M981" s="175"/>
      <c r="N981" s="175"/>
      <c r="O981" s="175"/>
      <c r="P981" s="175"/>
      <c r="Q981" s="175"/>
      <c r="R981" s="175"/>
      <c r="S981" s="175"/>
      <c r="T981" s="175"/>
      <c r="U981" s="175"/>
      <c r="V981" s="175"/>
      <c r="W981" s="175"/>
      <c r="X981" s="175"/>
      <c r="Y981" s="175"/>
      <c r="Z981" s="175"/>
    </row>
    <row r="982" ht="15.75" customHeight="1">
      <c r="A982" s="174"/>
      <c r="B982" s="276"/>
      <c r="C982" s="172"/>
      <c r="D982" s="173"/>
      <c r="E982" s="174"/>
      <c r="F982" s="174"/>
      <c r="G982" s="175"/>
      <c r="H982" s="175"/>
      <c r="I982" s="175"/>
      <c r="J982" s="175"/>
      <c r="K982" s="175"/>
      <c r="L982" s="175"/>
      <c r="M982" s="175"/>
      <c r="N982" s="175"/>
      <c r="O982" s="175"/>
      <c r="P982" s="175"/>
      <c r="Q982" s="175"/>
      <c r="R982" s="175"/>
      <c r="S982" s="175"/>
      <c r="T982" s="175"/>
      <c r="U982" s="175"/>
      <c r="V982" s="175"/>
      <c r="W982" s="175"/>
      <c r="X982" s="175"/>
      <c r="Y982" s="175"/>
      <c r="Z982" s="175"/>
    </row>
    <row r="983" ht="15.75" customHeight="1">
      <c r="A983" s="174"/>
      <c r="B983" s="276"/>
      <c r="C983" s="172"/>
      <c r="D983" s="173"/>
      <c r="E983" s="174"/>
      <c r="F983" s="174"/>
      <c r="G983" s="175"/>
      <c r="H983" s="175"/>
      <c r="I983" s="175"/>
      <c r="J983" s="175"/>
      <c r="K983" s="175"/>
      <c r="L983" s="175"/>
      <c r="M983" s="175"/>
      <c r="N983" s="175"/>
      <c r="O983" s="175"/>
      <c r="P983" s="175"/>
      <c r="Q983" s="175"/>
      <c r="R983" s="175"/>
      <c r="S983" s="175"/>
      <c r="T983" s="175"/>
      <c r="U983" s="175"/>
      <c r="V983" s="175"/>
      <c r="W983" s="175"/>
      <c r="X983" s="175"/>
      <c r="Y983" s="175"/>
      <c r="Z983" s="175"/>
    </row>
    <row r="984" ht="15.75" customHeight="1">
      <c r="A984" s="174"/>
      <c r="B984" s="276"/>
      <c r="C984" s="172"/>
      <c r="D984" s="173"/>
      <c r="E984" s="174"/>
      <c r="F984" s="174"/>
      <c r="G984" s="175"/>
      <c r="H984" s="175"/>
      <c r="I984" s="175"/>
      <c r="J984" s="175"/>
      <c r="K984" s="175"/>
      <c r="L984" s="175"/>
      <c r="M984" s="175"/>
      <c r="N984" s="175"/>
      <c r="O984" s="175"/>
      <c r="P984" s="175"/>
      <c r="Q984" s="175"/>
      <c r="R984" s="175"/>
      <c r="S984" s="175"/>
      <c r="T984" s="175"/>
      <c r="U984" s="175"/>
      <c r="V984" s="175"/>
      <c r="W984" s="175"/>
      <c r="X984" s="175"/>
      <c r="Y984" s="175"/>
      <c r="Z984" s="175"/>
    </row>
    <row r="985" ht="15.75" customHeight="1">
      <c r="A985" s="174"/>
      <c r="B985" s="276"/>
      <c r="C985" s="172"/>
      <c r="D985" s="173"/>
      <c r="E985" s="174"/>
      <c r="F985" s="174"/>
      <c r="G985" s="175"/>
      <c r="H985" s="175"/>
      <c r="I985" s="175"/>
      <c r="J985" s="175"/>
      <c r="K985" s="175"/>
      <c r="L985" s="175"/>
      <c r="M985" s="175"/>
      <c r="N985" s="175"/>
      <c r="O985" s="175"/>
      <c r="P985" s="175"/>
      <c r="Q985" s="175"/>
      <c r="R985" s="175"/>
      <c r="S985" s="175"/>
      <c r="T985" s="175"/>
      <c r="U985" s="175"/>
      <c r="V985" s="175"/>
      <c r="W985" s="175"/>
      <c r="X985" s="175"/>
      <c r="Y985" s="175"/>
      <c r="Z985" s="175"/>
    </row>
    <row r="986" ht="15.75" customHeight="1">
      <c r="A986" s="174"/>
      <c r="B986" s="276"/>
      <c r="C986" s="172"/>
      <c r="D986" s="173"/>
      <c r="E986" s="174"/>
      <c r="F986" s="174"/>
      <c r="G986" s="175"/>
      <c r="H986" s="175"/>
      <c r="I986" s="175"/>
      <c r="J986" s="175"/>
      <c r="K986" s="175"/>
      <c r="L986" s="175"/>
      <c r="M986" s="175"/>
      <c r="N986" s="175"/>
      <c r="O986" s="175"/>
      <c r="P986" s="175"/>
      <c r="Q986" s="175"/>
      <c r="R986" s="175"/>
      <c r="S986" s="175"/>
      <c r="T986" s="175"/>
      <c r="U986" s="175"/>
      <c r="V986" s="175"/>
      <c r="W986" s="175"/>
      <c r="X986" s="175"/>
      <c r="Y986" s="175"/>
      <c r="Z986" s="175"/>
    </row>
    <row r="987" ht="15.75" customHeight="1">
      <c r="A987" s="174"/>
      <c r="B987" s="276"/>
      <c r="C987" s="172"/>
      <c r="D987" s="173"/>
      <c r="E987" s="174"/>
      <c r="F987" s="174"/>
      <c r="G987" s="175"/>
      <c r="H987" s="175"/>
      <c r="I987" s="175"/>
      <c r="J987" s="175"/>
      <c r="K987" s="175"/>
      <c r="L987" s="175"/>
      <c r="M987" s="175"/>
      <c r="N987" s="175"/>
      <c r="O987" s="175"/>
      <c r="P987" s="175"/>
      <c r="Q987" s="175"/>
      <c r="R987" s="175"/>
      <c r="S987" s="175"/>
      <c r="T987" s="175"/>
      <c r="U987" s="175"/>
      <c r="V987" s="175"/>
      <c r="W987" s="175"/>
      <c r="X987" s="175"/>
      <c r="Y987" s="175"/>
      <c r="Z987" s="175"/>
    </row>
    <row r="988" ht="15.75" customHeight="1">
      <c r="A988" s="174"/>
      <c r="B988" s="276"/>
      <c r="C988" s="172"/>
      <c r="D988" s="173"/>
      <c r="E988" s="174"/>
      <c r="F988" s="174"/>
      <c r="G988" s="175"/>
      <c r="H988" s="175"/>
      <c r="I988" s="175"/>
      <c r="J988" s="175"/>
      <c r="K988" s="175"/>
      <c r="L988" s="175"/>
      <c r="M988" s="175"/>
      <c r="N988" s="175"/>
      <c r="O988" s="175"/>
      <c r="P988" s="175"/>
      <c r="Q988" s="175"/>
      <c r="R988" s="175"/>
      <c r="S988" s="175"/>
      <c r="T988" s="175"/>
      <c r="U988" s="175"/>
      <c r="V988" s="175"/>
      <c r="W988" s="175"/>
      <c r="X988" s="175"/>
      <c r="Y988" s="175"/>
      <c r="Z988" s="175"/>
    </row>
    <row r="989" ht="15.75" customHeight="1">
      <c r="A989" s="174"/>
      <c r="B989" s="276"/>
      <c r="C989" s="172"/>
      <c r="D989" s="173"/>
      <c r="E989" s="174"/>
      <c r="F989" s="174"/>
      <c r="G989" s="175"/>
      <c r="H989" s="175"/>
      <c r="I989" s="175"/>
      <c r="J989" s="175"/>
      <c r="K989" s="175"/>
      <c r="L989" s="175"/>
      <c r="M989" s="175"/>
      <c r="N989" s="175"/>
      <c r="O989" s="175"/>
      <c r="P989" s="175"/>
      <c r="Q989" s="175"/>
      <c r="R989" s="175"/>
      <c r="S989" s="175"/>
      <c r="T989" s="175"/>
      <c r="U989" s="175"/>
      <c r="V989" s="175"/>
      <c r="W989" s="175"/>
      <c r="X989" s="175"/>
      <c r="Y989" s="175"/>
      <c r="Z989" s="175"/>
    </row>
    <row r="990" ht="15.75" customHeight="1">
      <c r="A990" s="174"/>
      <c r="B990" s="276"/>
      <c r="C990" s="172"/>
      <c r="D990" s="173"/>
      <c r="E990" s="174"/>
      <c r="F990" s="174"/>
      <c r="G990" s="175"/>
      <c r="H990" s="175"/>
      <c r="I990" s="175"/>
      <c r="J990" s="175"/>
      <c r="K990" s="175"/>
      <c r="L990" s="175"/>
      <c r="M990" s="175"/>
      <c r="N990" s="175"/>
      <c r="O990" s="175"/>
      <c r="P990" s="175"/>
      <c r="Q990" s="175"/>
      <c r="R990" s="175"/>
      <c r="S990" s="175"/>
      <c r="T990" s="175"/>
      <c r="U990" s="175"/>
      <c r="V990" s="175"/>
      <c r="W990" s="175"/>
      <c r="X990" s="175"/>
      <c r="Y990" s="175"/>
      <c r="Z990" s="175"/>
    </row>
    <row r="991" ht="15.75" customHeight="1">
      <c r="A991" s="174"/>
      <c r="B991" s="276"/>
      <c r="C991" s="172"/>
      <c r="D991" s="173"/>
      <c r="E991" s="174"/>
      <c r="F991" s="174"/>
      <c r="G991" s="175"/>
      <c r="H991" s="175"/>
      <c r="I991" s="175"/>
      <c r="J991" s="175"/>
      <c r="K991" s="175"/>
      <c r="L991" s="175"/>
      <c r="M991" s="175"/>
      <c r="N991" s="175"/>
      <c r="O991" s="175"/>
      <c r="P991" s="175"/>
      <c r="Q991" s="175"/>
      <c r="R991" s="175"/>
      <c r="S991" s="175"/>
      <c r="T991" s="175"/>
      <c r="U991" s="175"/>
      <c r="V991" s="175"/>
      <c r="W991" s="175"/>
      <c r="X991" s="175"/>
      <c r="Y991" s="175"/>
      <c r="Z991" s="175"/>
    </row>
    <row r="992" ht="15.75" customHeight="1">
      <c r="A992" s="174"/>
      <c r="B992" s="276"/>
      <c r="C992" s="172"/>
      <c r="D992" s="173"/>
      <c r="E992" s="174"/>
      <c r="F992" s="174"/>
      <c r="G992" s="175"/>
      <c r="H992" s="175"/>
      <c r="I992" s="175"/>
      <c r="J992" s="175"/>
      <c r="K992" s="175"/>
      <c r="L992" s="175"/>
      <c r="M992" s="175"/>
      <c r="N992" s="175"/>
      <c r="O992" s="175"/>
      <c r="P992" s="175"/>
      <c r="Q992" s="175"/>
      <c r="R992" s="175"/>
      <c r="S992" s="175"/>
      <c r="T992" s="175"/>
      <c r="U992" s="175"/>
      <c r="V992" s="175"/>
      <c r="W992" s="175"/>
      <c r="X992" s="175"/>
      <c r="Y992" s="175"/>
      <c r="Z992" s="175"/>
    </row>
    <row r="993" ht="15.75" customHeight="1">
      <c r="A993" s="174"/>
      <c r="B993" s="276"/>
      <c r="C993" s="172"/>
      <c r="D993" s="173"/>
      <c r="E993" s="174"/>
      <c r="F993" s="174"/>
      <c r="G993" s="175"/>
      <c r="H993" s="175"/>
      <c r="I993" s="175"/>
      <c r="J993" s="175"/>
      <c r="K993" s="175"/>
      <c r="L993" s="175"/>
      <c r="M993" s="175"/>
      <c r="N993" s="175"/>
      <c r="O993" s="175"/>
      <c r="P993" s="175"/>
      <c r="Q993" s="175"/>
      <c r="R993" s="175"/>
      <c r="S993" s="175"/>
      <c r="T993" s="175"/>
      <c r="U993" s="175"/>
      <c r="V993" s="175"/>
      <c r="W993" s="175"/>
      <c r="X993" s="175"/>
      <c r="Y993" s="175"/>
      <c r="Z993" s="175"/>
    </row>
    <row r="994" ht="15.75" customHeight="1">
      <c r="A994" s="174"/>
      <c r="B994" s="276"/>
      <c r="C994" s="172"/>
      <c r="D994" s="173"/>
      <c r="E994" s="174"/>
      <c r="F994" s="174"/>
      <c r="G994" s="175"/>
      <c r="H994" s="175"/>
      <c r="I994" s="175"/>
      <c r="J994" s="175"/>
      <c r="K994" s="175"/>
      <c r="L994" s="175"/>
      <c r="M994" s="175"/>
      <c r="N994" s="175"/>
      <c r="O994" s="175"/>
      <c r="P994" s="175"/>
      <c r="Q994" s="175"/>
      <c r="R994" s="175"/>
      <c r="S994" s="175"/>
      <c r="T994" s="175"/>
      <c r="U994" s="175"/>
      <c r="V994" s="175"/>
      <c r="W994" s="175"/>
      <c r="X994" s="175"/>
      <c r="Y994" s="175"/>
      <c r="Z994" s="175"/>
    </row>
    <row r="995" ht="15.75" customHeight="1">
      <c r="A995" s="174"/>
      <c r="B995" s="276"/>
      <c r="C995" s="172"/>
      <c r="D995" s="173"/>
      <c r="E995" s="174"/>
      <c r="F995" s="174"/>
      <c r="G995" s="175"/>
      <c r="H995" s="175"/>
      <c r="I995" s="175"/>
      <c r="J995" s="175"/>
      <c r="K995" s="175"/>
      <c r="L995" s="175"/>
      <c r="M995" s="175"/>
      <c r="N995" s="175"/>
      <c r="O995" s="175"/>
      <c r="P995" s="175"/>
      <c r="Q995" s="175"/>
      <c r="R995" s="175"/>
      <c r="S995" s="175"/>
      <c r="T995" s="175"/>
      <c r="U995" s="175"/>
      <c r="V995" s="175"/>
      <c r="W995" s="175"/>
      <c r="X995" s="175"/>
      <c r="Y995" s="175"/>
      <c r="Z995" s="175"/>
    </row>
    <row r="996" ht="15.75" customHeight="1">
      <c r="A996" s="174"/>
      <c r="B996" s="276"/>
      <c r="C996" s="172"/>
      <c r="D996" s="173"/>
      <c r="E996" s="174"/>
      <c r="F996" s="174"/>
      <c r="G996" s="175"/>
      <c r="H996" s="175"/>
      <c r="I996" s="175"/>
      <c r="J996" s="175"/>
      <c r="K996" s="175"/>
      <c r="L996" s="175"/>
      <c r="M996" s="175"/>
      <c r="N996" s="175"/>
      <c r="O996" s="175"/>
      <c r="P996" s="175"/>
      <c r="Q996" s="175"/>
      <c r="R996" s="175"/>
      <c r="S996" s="175"/>
      <c r="T996" s="175"/>
      <c r="U996" s="175"/>
      <c r="V996" s="175"/>
      <c r="W996" s="175"/>
      <c r="X996" s="175"/>
      <c r="Y996" s="175"/>
      <c r="Z996" s="175"/>
    </row>
    <row r="997" ht="15.75" customHeight="1">
      <c r="A997" s="174"/>
      <c r="B997" s="276"/>
      <c r="C997" s="172"/>
      <c r="D997" s="173"/>
      <c r="E997" s="174"/>
      <c r="F997" s="174"/>
      <c r="G997" s="175"/>
      <c r="H997" s="175"/>
      <c r="I997" s="175"/>
      <c r="J997" s="175"/>
      <c r="K997" s="175"/>
      <c r="L997" s="175"/>
      <c r="M997" s="175"/>
      <c r="N997" s="175"/>
      <c r="O997" s="175"/>
      <c r="P997" s="175"/>
      <c r="Q997" s="175"/>
      <c r="R997" s="175"/>
      <c r="S997" s="175"/>
      <c r="T997" s="175"/>
      <c r="U997" s="175"/>
      <c r="V997" s="175"/>
      <c r="W997" s="175"/>
      <c r="X997" s="175"/>
      <c r="Y997" s="175"/>
      <c r="Z997" s="175"/>
    </row>
    <row r="998" ht="15.75" customHeight="1">
      <c r="A998" s="174"/>
      <c r="B998" s="276"/>
      <c r="C998" s="172"/>
      <c r="D998" s="173"/>
      <c r="E998" s="174"/>
      <c r="F998" s="174"/>
      <c r="G998" s="175"/>
      <c r="H998" s="175"/>
      <c r="I998" s="175"/>
      <c r="J998" s="175"/>
      <c r="K998" s="175"/>
      <c r="L998" s="175"/>
      <c r="M998" s="175"/>
      <c r="N998" s="175"/>
      <c r="O998" s="175"/>
      <c r="P998" s="175"/>
      <c r="Q998" s="175"/>
      <c r="R998" s="175"/>
      <c r="S998" s="175"/>
      <c r="T998" s="175"/>
      <c r="U998" s="175"/>
      <c r="V998" s="175"/>
      <c r="W998" s="175"/>
      <c r="X998" s="175"/>
      <c r="Y998" s="175"/>
      <c r="Z998" s="175"/>
    </row>
    <row r="999" ht="15.75" customHeight="1">
      <c r="A999" s="174"/>
      <c r="B999" s="276"/>
      <c r="C999" s="172"/>
      <c r="D999" s="173"/>
      <c r="E999" s="174"/>
      <c r="F999" s="174"/>
      <c r="G999" s="175"/>
      <c r="H999" s="175"/>
      <c r="I999" s="175"/>
      <c r="J999" s="175"/>
      <c r="K999" s="175"/>
      <c r="L999" s="175"/>
      <c r="M999" s="175"/>
      <c r="N999" s="175"/>
      <c r="O999" s="175"/>
      <c r="P999" s="175"/>
      <c r="Q999" s="175"/>
      <c r="R999" s="175"/>
      <c r="S999" s="175"/>
      <c r="T999" s="175"/>
      <c r="U999" s="175"/>
      <c r="V999" s="175"/>
      <c r="W999" s="175"/>
      <c r="X999" s="175"/>
      <c r="Y999" s="175"/>
      <c r="Z999" s="175"/>
    </row>
    <row r="1000" ht="15.75" customHeight="1">
      <c r="A1000" s="174"/>
      <c r="B1000" s="276"/>
      <c r="C1000" s="172"/>
      <c r="D1000" s="173"/>
      <c r="E1000" s="174"/>
      <c r="F1000" s="174"/>
      <c r="G1000" s="175"/>
      <c r="H1000" s="175"/>
      <c r="I1000" s="175"/>
      <c r="J1000" s="175"/>
      <c r="K1000" s="175"/>
      <c r="L1000" s="175"/>
      <c r="M1000" s="175"/>
      <c r="N1000" s="175"/>
      <c r="O1000" s="175"/>
      <c r="P1000" s="175"/>
      <c r="Q1000" s="175"/>
      <c r="R1000" s="175"/>
      <c r="S1000" s="175"/>
      <c r="T1000" s="175"/>
      <c r="U1000" s="175"/>
      <c r="V1000" s="175"/>
      <c r="W1000" s="175"/>
      <c r="X1000" s="175"/>
      <c r="Y1000" s="175"/>
      <c r="Z1000" s="175"/>
    </row>
    <row r="1001" ht="15.75" customHeight="1">
      <c r="A1001" s="174"/>
      <c r="B1001" s="276"/>
      <c r="C1001" s="172"/>
      <c r="D1001" s="173"/>
      <c r="E1001" s="174"/>
      <c r="F1001" s="174"/>
      <c r="G1001" s="175"/>
      <c r="H1001" s="175"/>
      <c r="I1001" s="175"/>
      <c r="J1001" s="175"/>
      <c r="K1001" s="175"/>
      <c r="L1001" s="175"/>
      <c r="M1001" s="175"/>
      <c r="N1001" s="175"/>
      <c r="O1001" s="175"/>
      <c r="P1001" s="175"/>
      <c r="Q1001" s="175"/>
      <c r="R1001" s="175"/>
      <c r="S1001" s="175"/>
      <c r="T1001" s="175"/>
      <c r="U1001" s="175"/>
      <c r="V1001" s="175"/>
      <c r="W1001" s="175"/>
      <c r="X1001" s="175"/>
      <c r="Y1001" s="175"/>
      <c r="Z1001" s="175"/>
    </row>
    <row r="1002" ht="15.75" customHeight="1">
      <c r="A1002" s="174"/>
      <c r="B1002" s="276"/>
      <c r="C1002" s="172"/>
      <c r="D1002" s="173"/>
      <c r="E1002" s="174"/>
      <c r="F1002" s="174"/>
      <c r="G1002" s="175"/>
      <c r="H1002" s="175"/>
      <c r="I1002" s="175"/>
      <c r="J1002" s="175"/>
      <c r="K1002" s="175"/>
      <c r="L1002" s="175"/>
      <c r="M1002" s="175"/>
      <c r="N1002" s="175"/>
      <c r="O1002" s="175"/>
      <c r="P1002" s="175"/>
      <c r="Q1002" s="175"/>
      <c r="R1002" s="175"/>
      <c r="S1002" s="175"/>
      <c r="T1002" s="175"/>
      <c r="U1002" s="175"/>
      <c r="V1002" s="175"/>
      <c r="W1002" s="175"/>
      <c r="X1002" s="175"/>
      <c r="Y1002" s="175"/>
      <c r="Z1002" s="175"/>
    </row>
    <row r="1003" ht="15.75" customHeight="1">
      <c r="A1003" s="174"/>
      <c r="B1003" s="276"/>
      <c r="C1003" s="172"/>
      <c r="D1003" s="173"/>
      <c r="E1003" s="174"/>
      <c r="F1003" s="174"/>
      <c r="G1003" s="175"/>
      <c r="H1003" s="175"/>
      <c r="I1003" s="175"/>
      <c r="J1003" s="175"/>
      <c r="K1003" s="175"/>
      <c r="L1003" s="175"/>
      <c r="M1003" s="175"/>
      <c r="N1003" s="175"/>
      <c r="O1003" s="175"/>
      <c r="P1003" s="175"/>
      <c r="Q1003" s="175"/>
      <c r="R1003" s="175"/>
      <c r="S1003" s="175"/>
      <c r="T1003" s="175"/>
      <c r="U1003" s="175"/>
      <c r="V1003" s="175"/>
      <c r="W1003" s="175"/>
      <c r="X1003" s="175"/>
      <c r="Y1003" s="175"/>
      <c r="Z1003" s="175"/>
    </row>
    <row r="1004" ht="15.75" customHeight="1">
      <c r="A1004" s="174"/>
      <c r="B1004" s="276"/>
      <c r="C1004" s="172"/>
      <c r="D1004" s="173"/>
      <c r="E1004" s="174"/>
      <c r="F1004" s="174"/>
      <c r="G1004" s="175"/>
      <c r="H1004" s="175"/>
      <c r="I1004" s="175"/>
      <c r="J1004" s="175"/>
      <c r="K1004" s="175"/>
      <c r="L1004" s="175"/>
      <c r="M1004" s="175"/>
      <c r="N1004" s="175"/>
      <c r="O1004" s="175"/>
      <c r="P1004" s="175"/>
      <c r="Q1004" s="175"/>
      <c r="R1004" s="175"/>
      <c r="S1004" s="175"/>
      <c r="T1004" s="175"/>
      <c r="U1004" s="175"/>
      <c r="V1004" s="175"/>
      <c r="W1004" s="175"/>
      <c r="X1004" s="175"/>
      <c r="Y1004" s="175"/>
      <c r="Z1004" s="175"/>
    </row>
    <row r="1005" ht="15.75" customHeight="1">
      <c r="A1005" s="174"/>
      <c r="B1005" s="276"/>
      <c r="C1005" s="172"/>
      <c r="D1005" s="173"/>
      <c r="E1005" s="174"/>
      <c r="F1005" s="174"/>
      <c r="G1005" s="175"/>
      <c r="H1005" s="175"/>
      <c r="I1005" s="175"/>
      <c r="J1005" s="175"/>
      <c r="K1005" s="175"/>
      <c r="L1005" s="175"/>
      <c r="M1005" s="175"/>
      <c r="N1005" s="175"/>
      <c r="O1005" s="175"/>
      <c r="P1005" s="175"/>
      <c r="Q1005" s="175"/>
      <c r="R1005" s="175"/>
      <c r="S1005" s="175"/>
      <c r="T1005" s="175"/>
      <c r="U1005" s="175"/>
      <c r="V1005" s="175"/>
      <c r="W1005" s="175"/>
      <c r="X1005" s="175"/>
      <c r="Y1005" s="175"/>
      <c r="Z1005" s="175"/>
    </row>
    <row r="1006" ht="15.75" customHeight="1">
      <c r="A1006" s="174"/>
      <c r="B1006" s="276"/>
      <c r="C1006" s="172"/>
      <c r="D1006" s="173"/>
      <c r="E1006" s="174"/>
      <c r="F1006" s="174"/>
      <c r="G1006" s="175"/>
      <c r="H1006" s="175"/>
      <c r="I1006" s="175"/>
      <c r="J1006" s="175"/>
      <c r="K1006" s="175"/>
      <c r="L1006" s="175"/>
      <c r="M1006" s="175"/>
      <c r="N1006" s="175"/>
      <c r="O1006" s="175"/>
      <c r="P1006" s="175"/>
      <c r="Q1006" s="175"/>
      <c r="R1006" s="175"/>
      <c r="S1006" s="175"/>
      <c r="T1006" s="175"/>
      <c r="U1006" s="175"/>
      <c r="V1006" s="175"/>
      <c r="W1006" s="175"/>
      <c r="X1006" s="175"/>
      <c r="Y1006" s="175"/>
      <c r="Z1006" s="175"/>
    </row>
    <row r="1007" ht="15.75" customHeight="1">
      <c r="A1007" s="174"/>
      <c r="B1007" s="276"/>
      <c r="C1007" s="172"/>
      <c r="D1007" s="173"/>
      <c r="E1007" s="174"/>
      <c r="F1007" s="174"/>
      <c r="G1007" s="175"/>
      <c r="H1007" s="175"/>
      <c r="I1007" s="175"/>
      <c r="J1007" s="175"/>
      <c r="K1007" s="175"/>
      <c r="L1007" s="175"/>
      <c r="M1007" s="175"/>
      <c r="N1007" s="175"/>
      <c r="O1007" s="175"/>
      <c r="P1007" s="175"/>
      <c r="Q1007" s="175"/>
      <c r="R1007" s="175"/>
      <c r="S1007" s="175"/>
      <c r="T1007" s="175"/>
      <c r="U1007" s="175"/>
      <c r="V1007" s="175"/>
      <c r="W1007" s="175"/>
      <c r="X1007" s="175"/>
      <c r="Y1007" s="175"/>
      <c r="Z1007" s="175"/>
    </row>
    <row r="1008" ht="15.75" customHeight="1">
      <c r="A1008" s="174"/>
      <c r="B1008" s="276"/>
      <c r="C1008" s="172"/>
      <c r="D1008" s="173"/>
      <c r="E1008" s="174"/>
      <c r="F1008" s="174"/>
      <c r="G1008" s="175"/>
      <c r="H1008" s="175"/>
      <c r="I1008" s="175"/>
      <c r="J1008" s="175"/>
      <c r="K1008" s="175"/>
      <c r="L1008" s="175"/>
      <c r="M1008" s="175"/>
      <c r="N1008" s="175"/>
      <c r="O1008" s="175"/>
      <c r="P1008" s="175"/>
      <c r="Q1008" s="175"/>
      <c r="R1008" s="175"/>
      <c r="S1008" s="175"/>
      <c r="T1008" s="175"/>
      <c r="U1008" s="175"/>
      <c r="V1008" s="175"/>
      <c r="W1008" s="175"/>
      <c r="X1008" s="175"/>
      <c r="Y1008" s="175"/>
      <c r="Z1008" s="175"/>
    </row>
    <row r="1009" ht="15.75" customHeight="1">
      <c r="A1009" s="174"/>
      <c r="B1009" s="276"/>
      <c r="C1009" s="172"/>
      <c r="D1009" s="173"/>
      <c r="E1009" s="174"/>
      <c r="F1009" s="174"/>
      <c r="G1009" s="175"/>
      <c r="H1009" s="175"/>
      <c r="I1009" s="175"/>
      <c r="J1009" s="175"/>
      <c r="K1009" s="175"/>
      <c r="L1009" s="175"/>
      <c r="M1009" s="175"/>
      <c r="N1009" s="175"/>
      <c r="O1009" s="175"/>
      <c r="P1009" s="175"/>
      <c r="Q1009" s="175"/>
      <c r="R1009" s="175"/>
      <c r="S1009" s="175"/>
      <c r="T1009" s="175"/>
      <c r="U1009" s="175"/>
      <c r="V1009" s="175"/>
      <c r="W1009" s="175"/>
      <c r="X1009" s="175"/>
      <c r="Y1009" s="175"/>
      <c r="Z1009" s="175"/>
    </row>
    <row r="1010" ht="15.75" customHeight="1">
      <c r="A1010" s="174"/>
      <c r="B1010" s="276"/>
      <c r="C1010" s="172"/>
      <c r="D1010" s="173"/>
      <c r="E1010" s="174"/>
      <c r="F1010" s="174"/>
      <c r="G1010" s="175"/>
      <c r="H1010" s="175"/>
      <c r="I1010" s="175"/>
      <c r="J1010" s="175"/>
      <c r="K1010" s="175"/>
      <c r="L1010" s="175"/>
      <c r="M1010" s="175"/>
      <c r="N1010" s="175"/>
      <c r="O1010" s="175"/>
      <c r="P1010" s="175"/>
      <c r="Q1010" s="175"/>
      <c r="R1010" s="175"/>
      <c r="S1010" s="175"/>
      <c r="T1010" s="175"/>
      <c r="U1010" s="175"/>
      <c r="V1010" s="175"/>
      <c r="W1010" s="175"/>
      <c r="X1010" s="175"/>
      <c r="Y1010" s="175"/>
      <c r="Z1010" s="175"/>
    </row>
    <row r="1011" ht="15.75" customHeight="1">
      <c r="A1011" s="174"/>
      <c r="B1011" s="276"/>
      <c r="C1011" s="172"/>
      <c r="D1011" s="173"/>
      <c r="E1011" s="174"/>
      <c r="F1011" s="174"/>
      <c r="G1011" s="175"/>
      <c r="H1011" s="175"/>
      <c r="I1011" s="175"/>
      <c r="J1011" s="175"/>
      <c r="K1011" s="175"/>
      <c r="L1011" s="175"/>
      <c r="M1011" s="175"/>
      <c r="N1011" s="175"/>
      <c r="O1011" s="175"/>
      <c r="P1011" s="175"/>
      <c r="Q1011" s="175"/>
      <c r="R1011" s="175"/>
      <c r="S1011" s="175"/>
      <c r="T1011" s="175"/>
      <c r="U1011" s="175"/>
      <c r="V1011" s="175"/>
      <c r="W1011" s="175"/>
      <c r="X1011" s="175"/>
      <c r="Y1011" s="175"/>
      <c r="Z1011" s="175"/>
    </row>
    <row r="1012" ht="15.75" customHeight="1">
      <c r="A1012" s="174"/>
      <c r="B1012" s="276"/>
      <c r="C1012" s="172"/>
      <c r="D1012" s="173"/>
      <c r="E1012" s="174"/>
      <c r="F1012" s="174"/>
      <c r="G1012" s="175"/>
      <c r="H1012" s="175"/>
      <c r="I1012" s="175"/>
      <c r="J1012" s="175"/>
      <c r="K1012" s="175"/>
      <c r="L1012" s="175"/>
      <c r="M1012" s="175"/>
      <c r="N1012" s="175"/>
      <c r="O1012" s="175"/>
      <c r="P1012" s="175"/>
      <c r="Q1012" s="175"/>
      <c r="R1012" s="175"/>
      <c r="S1012" s="175"/>
      <c r="T1012" s="175"/>
      <c r="U1012" s="175"/>
      <c r="V1012" s="175"/>
      <c r="W1012" s="175"/>
      <c r="X1012" s="175"/>
      <c r="Y1012" s="175"/>
      <c r="Z1012" s="175"/>
    </row>
    <row r="1013" ht="15.75" customHeight="1">
      <c r="A1013" s="174"/>
      <c r="B1013" s="276"/>
      <c r="C1013" s="172"/>
      <c r="D1013" s="173"/>
      <c r="E1013" s="174"/>
      <c r="F1013" s="174"/>
      <c r="G1013" s="175"/>
      <c r="H1013" s="175"/>
      <c r="I1013" s="175"/>
      <c r="J1013" s="175"/>
      <c r="K1013" s="175"/>
      <c r="L1013" s="175"/>
      <c r="M1013" s="175"/>
      <c r="N1013" s="175"/>
      <c r="O1013" s="175"/>
      <c r="P1013" s="175"/>
      <c r="Q1013" s="175"/>
      <c r="R1013" s="175"/>
      <c r="S1013" s="175"/>
      <c r="T1013" s="175"/>
      <c r="U1013" s="175"/>
      <c r="V1013" s="175"/>
      <c r="W1013" s="175"/>
      <c r="X1013" s="175"/>
      <c r="Y1013" s="175"/>
      <c r="Z1013" s="175"/>
    </row>
    <row r="1014" ht="15.75" customHeight="1">
      <c r="A1014" s="174"/>
      <c r="B1014" s="276"/>
      <c r="C1014" s="172"/>
      <c r="D1014" s="173"/>
      <c r="E1014" s="174"/>
      <c r="F1014" s="174"/>
      <c r="G1014" s="175"/>
      <c r="H1014" s="175"/>
      <c r="I1014" s="175"/>
      <c r="J1014" s="175"/>
      <c r="K1014" s="175"/>
      <c r="L1014" s="175"/>
      <c r="M1014" s="175"/>
      <c r="N1014" s="175"/>
      <c r="O1014" s="175"/>
      <c r="P1014" s="175"/>
      <c r="Q1014" s="175"/>
      <c r="R1014" s="175"/>
      <c r="S1014" s="175"/>
      <c r="T1014" s="175"/>
      <c r="U1014" s="175"/>
      <c r="V1014" s="175"/>
      <c r="W1014" s="175"/>
      <c r="X1014" s="175"/>
      <c r="Y1014" s="175"/>
      <c r="Z1014" s="175"/>
    </row>
    <row r="1015" ht="15.75" customHeight="1">
      <c r="A1015" s="174"/>
      <c r="B1015" s="276"/>
      <c r="C1015" s="172"/>
      <c r="D1015" s="173"/>
      <c r="E1015" s="174"/>
      <c r="F1015" s="174"/>
      <c r="G1015" s="175"/>
      <c r="H1015" s="175"/>
      <c r="I1015" s="175"/>
      <c r="J1015" s="175"/>
      <c r="K1015" s="175"/>
      <c r="L1015" s="175"/>
      <c r="M1015" s="175"/>
      <c r="N1015" s="175"/>
      <c r="O1015" s="175"/>
      <c r="P1015" s="175"/>
      <c r="Q1015" s="175"/>
      <c r="R1015" s="175"/>
      <c r="S1015" s="175"/>
      <c r="T1015" s="175"/>
      <c r="U1015" s="175"/>
      <c r="V1015" s="175"/>
      <c r="W1015" s="175"/>
      <c r="X1015" s="175"/>
      <c r="Y1015" s="175"/>
      <c r="Z1015" s="175"/>
    </row>
    <row r="1016" ht="15.75" customHeight="1">
      <c r="A1016" s="174"/>
      <c r="B1016" s="276"/>
      <c r="C1016" s="172"/>
      <c r="D1016" s="173"/>
      <c r="E1016" s="174"/>
      <c r="F1016" s="174"/>
      <c r="G1016" s="175"/>
      <c r="H1016" s="175"/>
      <c r="I1016" s="175"/>
      <c r="J1016" s="175"/>
      <c r="K1016" s="175"/>
      <c r="L1016" s="175"/>
      <c r="M1016" s="175"/>
      <c r="N1016" s="175"/>
      <c r="O1016" s="175"/>
      <c r="P1016" s="175"/>
      <c r="Q1016" s="175"/>
      <c r="R1016" s="175"/>
      <c r="S1016" s="175"/>
      <c r="T1016" s="175"/>
      <c r="U1016" s="175"/>
      <c r="V1016" s="175"/>
      <c r="W1016" s="175"/>
      <c r="X1016" s="175"/>
      <c r="Y1016" s="175"/>
      <c r="Z1016" s="175"/>
    </row>
    <row r="1017" ht="15.75" customHeight="1">
      <c r="A1017" s="174"/>
      <c r="B1017" s="276"/>
      <c r="C1017" s="172"/>
      <c r="D1017" s="173"/>
      <c r="E1017" s="174"/>
      <c r="F1017" s="174"/>
      <c r="G1017" s="175"/>
      <c r="H1017" s="175"/>
      <c r="I1017" s="175"/>
      <c r="J1017" s="175"/>
      <c r="K1017" s="175"/>
      <c r="L1017" s="175"/>
      <c r="M1017" s="175"/>
      <c r="N1017" s="175"/>
      <c r="O1017" s="175"/>
      <c r="P1017" s="175"/>
      <c r="Q1017" s="175"/>
      <c r="R1017" s="175"/>
      <c r="S1017" s="175"/>
      <c r="T1017" s="175"/>
      <c r="U1017" s="175"/>
      <c r="V1017" s="175"/>
      <c r="W1017" s="175"/>
      <c r="X1017" s="175"/>
      <c r="Y1017" s="175"/>
      <c r="Z1017" s="175"/>
    </row>
    <row r="1018" ht="15.75" customHeight="1">
      <c r="A1018" s="174"/>
      <c r="B1018" s="276"/>
      <c r="C1018" s="172"/>
      <c r="D1018" s="173"/>
      <c r="E1018" s="174"/>
      <c r="F1018" s="174"/>
      <c r="G1018" s="175"/>
      <c r="H1018" s="175"/>
      <c r="I1018" s="175"/>
      <c r="J1018" s="175"/>
      <c r="K1018" s="175"/>
      <c r="L1018" s="175"/>
      <c r="M1018" s="175"/>
      <c r="N1018" s="175"/>
      <c r="O1018" s="175"/>
      <c r="P1018" s="175"/>
      <c r="Q1018" s="175"/>
      <c r="R1018" s="175"/>
      <c r="S1018" s="175"/>
      <c r="T1018" s="175"/>
      <c r="U1018" s="175"/>
      <c r="V1018" s="175"/>
      <c r="W1018" s="175"/>
      <c r="X1018" s="175"/>
      <c r="Y1018" s="175"/>
      <c r="Z1018" s="175"/>
    </row>
    <row r="1019" ht="15.75" customHeight="1">
      <c r="A1019" s="174"/>
      <c r="B1019" s="276"/>
      <c r="C1019" s="172"/>
      <c r="D1019" s="173"/>
      <c r="E1019" s="174"/>
      <c r="F1019" s="174"/>
      <c r="G1019" s="175"/>
      <c r="H1019" s="175"/>
      <c r="I1019" s="175"/>
      <c r="J1019" s="175"/>
      <c r="K1019" s="175"/>
      <c r="L1019" s="175"/>
      <c r="M1019" s="175"/>
      <c r="N1019" s="175"/>
      <c r="O1019" s="175"/>
      <c r="P1019" s="175"/>
      <c r="Q1019" s="175"/>
      <c r="R1019" s="175"/>
      <c r="S1019" s="175"/>
      <c r="T1019" s="175"/>
      <c r="U1019" s="175"/>
      <c r="V1019" s="175"/>
      <c r="W1019" s="175"/>
      <c r="X1019" s="175"/>
      <c r="Y1019" s="175"/>
      <c r="Z1019" s="175"/>
    </row>
    <row r="1020" ht="15.75" customHeight="1">
      <c r="A1020" s="174"/>
      <c r="B1020" s="276"/>
      <c r="C1020" s="172"/>
      <c r="D1020" s="173"/>
      <c r="E1020" s="174"/>
      <c r="F1020" s="174"/>
      <c r="G1020" s="175"/>
      <c r="H1020" s="175"/>
      <c r="I1020" s="175"/>
      <c r="J1020" s="175"/>
      <c r="K1020" s="175"/>
      <c r="L1020" s="175"/>
      <c r="M1020" s="175"/>
      <c r="N1020" s="175"/>
      <c r="O1020" s="175"/>
      <c r="P1020" s="175"/>
      <c r="Q1020" s="175"/>
      <c r="R1020" s="175"/>
      <c r="S1020" s="175"/>
      <c r="T1020" s="175"/>
      <c r="U1020" s="175"/>
      <c r="V1020" s="175"/>
      <c r="W1020" s="175"/>
      <c r="X1020" s="175"/>
      <c r="Y1020" s="175"/>
      <c r="Z1020" s="175"/>
    </row>
    <row r="1021" ht="15.75" customHeight="1">
      <c r="A1021" s="174"/>
      <c r="B1021" s="276"/>
      <c r="C1021" s="172"/>
      <c r="D1021" s="173"/>
      <c r="E1021" s="174"/>
      <c r="F1021" s="174"/>
      <c r="G1021" s="175"/>
      <c r="H1021" s="175"/>
      <c r="I1021" s="175"/>
      <c r="J1021" s="175"/>
      <c r="K1021" s="175"/>
      <c r="L1021" s="175"/>
      <c r="M1021" s="175"/>
      <c r="N1021" s="175"/>
      <c r="O1021" s="175"/>
      <c r="P1021" s="175"/>
      <c r="Q1021" s="175"/>
      <c r="R1021" s="175"/>
      <c r="S1021" s="175"/>
      <c r="T1021" s="175"/>
      <c r="U1021" s="175"/>
      <c r="V1021" s="175"/>
      <c r="W1021" s="175"/>
      <c r="X1021" s="175"/>
      <c r="Y1021" s="175"/>
      <c r="Z1021" s="175"/>
    </row>
    <row r="1022" ht="15.75" customHeight="1">
      <c r="A1022" s="174"/>
      <c r="B1022" s="276"/>
      <c r="C1022" s="172"/>
      <c r="D1022" s="173"/>
      <c r="E1022" s="174"/>
      <c r="F1022" s="174"/>
      <c r="G1022" s="175"/>
      <c r="H1022" s="175"/>
      <c r="I1022" s="175"/>
      <c r="J1022" s="175"/>
      <c r="K1022" s="175"/>
      <c r="L1022" s="175"/>
      <c r="M1022" s="175"/>
      <c r="N1022" s="175"/>
      <c r="O1022" s="175"/>
      <c r="P1022" s="175"/>
      <c r="Q1022" s="175"/>
      <c r="R1022" s="175"/>
      <c r="S1022" s="175"/>
      <c r="T1022" s="175"/>
      <c r="U1022" s="175"/>
      <c r="V1022" s="175"/>
      <c r="W1022" s="175"/>
      <c r="X1022" s="175"/>
      <c r="Y1022" s="175"/>
      <c r="Z1022" s="175"/>
    </row>
    <row r="1023" ht="15.75" customHeight="1">
      <c r="A1023" s="174"/>
      <c r="B1023" s="276"/>
      <c r="C1023" s="172"/>
      <c r="D1023" s="173"/>
      <c r="E1023" s="174"/>
      <c r="F1023" s="174"/>
      <c r="G1023" s="175"/>
      <c r="H1023" s="175"/>
      <c r="I1023" s="175"/>
      <c r="J1023" s="175"/>
      <c r="K1023" s="175"/>
      <c r="L1023" s="175"/>
      <c r="M1023" s="175"/>
      <c r="N1023" s="175"/>
      <c r="O1023" s="175"/>
      <c r="P1023" s="175"/>
      <c r="Q1023" s="175"/>
      <c r="R1023" s="175"/>
      <c r="S1023" s="175"/>
      <c r="T1023" s="175"/>
      <c r="U1023" s="175"/>
      <c r="V1023" s="175"/>
      <c r="W1023" s="175"/>
      <c r="X1023" s="175"/>
      <c r="Y1023" s="175"/>
      <c r="Z1023" s="175"/>
    </row>
    <row r="1024" ht="15.75" customHeight="1">
      <c r="A1024" s="174"/>
      <c r="B1024" s="276"/>
      <c r="C1024" s="172"/>
      <c r="D1024" s="173"/>
      <c r="E1024" s="174"/>
      <c r="F1024" s="174"/>
      <c r="G1024" s="175"/>
      <c r="H1024" s="175"/>
      <c r="I1024" s="175"/>
      <c r="J1024" s="175"/>
      <c r="K1024" s="175"/>
      <c r="L1024" s="175"/>
      <c r="M1024" s="175"/>
      <c r="N1024" s="175"/>
      <c r="O1024" s="175"/>
      <c r="P1024" s="175"/>
      <c r="Q1024" s="175"/>
      <c r="R1024" s="175"/>
      <c r="S1024" s="175"/>
      <c r="T1024" s="175"/>
      <c r="U1024" s="175"/>
      <c r="V1024" s="175"/>
      <c r="W1024" s="175"/>
      <c r="X1024" s="175"/>
      <c r="Y1024" s="175"/>
      <c r="Z1024" s="175"/>
    </row>
    <row r="1025" ht="15.75" customHeight="1">
      <c r="A1025" s="174"/>
      <c r="B1025" s="276"/>
      <c r="C1025" s="172"/>
      <c r="D1025" s="173"/>
      <c r="E1025" s="174"/>
      <c r="F1025" s="174"/>
      <c r="G1025" s="175"/>
      <c r="H1025" s="175"/>
      <c r="I1025" s="175"/>
      <c r="J1025" s="175"/>
      <c r="K1025" s="175"/>
      <c r="L1025" s="175"/>
      <c r="M1025" s="175"/>
      <c r="N1025" s="175"/>
      <c r="O1025" s="175"/>
      <c r="P1025" s="175"/>
      <c r="Q1025" s="175"/>
      <c r="R1025" s="175"/>
      <c r="S1025" s="175"/>
      <c r="T1025" s="175"/>
      <c r="U1025" s="175"/>
      <c r="V1025" s="175"/>
      <c r="W1025" s="175"/>
      <c r="X1025" s="175"/>
      <c r="Y1025" s="175"/>
      <c r="Z1025" s="175"/>
    </row>
    <row r="1026" ht="15.75" customHeight="1">
      <c r="A1026" s="174"/>
      <c r="B1026" s="276"/>
      <c r="C1026" s="172"/>
      <c r="D1026" s="173"/>
      <c r="E1026" s="174"/>
      <c r="F1026" s="174"/>
      <c r="G1026" s="175"/>
      <c r="H1026" s="175"/>
      <c r="I1026" s="175"/>
      <c r="J1026" s="175"/>
      <c r="K1026" s="175"/>
      <c r="L1026" s="175"/>
      <c r="M1026" s="175"/>
      <c r="N1026" s="175"/>
      <c r="O1026" s="175"/>
      <c r="P1026" s="175"/>
      <c r="Q1026" s="175"/>
      <c r="R1026" s="175"/>
      <c r="S1026" s="175"/>
      <c r="T1026" s="175"/>
      <c r="U1026" s="175"/>
      <c r="V1026" s="175"/>
      <c r="W1026" s="175"/>
      <c r="X1026" s="175"/>
      <c r="Y1026" s="175"/>
      <c r="Z1026" s="175"/>
    </row>
    <row r="1027" ht="15.75" customHeight="1">
      <c r="A1027" s="174"/>
      <c r="B1027" s="276"/>
      <c r="C1027" s="172"/>
      <c r="D1027" s="173"/>
      <c r="E1027" s="174"/>
      <c r="F1027" s="174"/>
      <c r="G1027" s="175"/>
      <c r="H1027" s="175"/>
      <c r="I1027" s="175"/>
      <c r="J1027" s="175"/>
      <c r="K1027" s="175"/>
      <c r="L1027" s="175"/>
      <c r="M1027" s="175"/>
      <c r="N1027" s="175"/>
      <c r="O1027" s="175"/>
      <c r="P1027" s="175"/>
      <c r="Q1027" s="175"/>
      <c r="R1027" s="175"/>
      <c r="S1027" s="175"/>
      <c r="T1027" s="175"/>
      <c r="U1027" s="175"/>
      <c r="V1027" s="175"/>
      <c r="W1027" s="175"/>
      <c r="X1027" s="175"/>
      <c r="Y1027" s="175"/>
      <c r="Z1027" s="175"/>
    </row>
    <row r="1028" ht="15.75" customHeight="1">
      <c r="A1028" s="174"/>
      <c r="B1028" s="276"/>
      <c r="C1028" s="172"/>
      <c r="D1028" s="173"/>
      <c r="E1028" s="174"/>
      <c r="F1028" s="174"/>
      <c r="G1028" s="175"/>
      <c r="H1028" s="175"/>
      <c r="I1028" s="175"/>
      <c r="J1028" s="175"/>
      <c r="K1028" s="175"/>
      <c r="L1028" s="175"/>
      <c r="M1028" s="175"/>
      <c r="N1028" s="175"/>
      <c r="O1028" s="175"/>
      <c r="P1028" s="175"/>
      <c r="Q1028" s="175"/>
      <c r="R1028" s="175"/>
      <c r="S1028" s="175"/>
      <c r="T1028" s="175"/>
      <c r="U1028" s="175"/>
      <c r="V1028" s="175"/>
      <c r="W1028" s="175"/>
      <c r="X1028" s="175"/>
      <c r="Y1028" s="175"/>
      <c r="Z1028" s="175"/>
    </row>
    <row r="1029" ht="15.75" customHeight="1">
      <c r="A1029" s="174"/>
      <c r="B1029" s="276"/>
      <c r="C1029" s="172"/>
      <c r="D1029" s="173"/>
      <c r="E1029" s="174"/>
      <c r="F1029" s="174"/>
      <c r="G1029" s="175"/>
      <c r="H1029" s="175"/>
      <c r="I1029" s="175"/>
      <c r="J1029" s="175"/>
      <c r="K1029" s="175"/>
      <c r="L1029" s="175"/>
      <c r="M1029" s="175"/>
      <c r="N1029" s="175"/>
      <c r="O1029" s="175"/>
      <c r="P1029" s="175"/>
      <c r="Q1029" s="175"/>
      <c r="R1029" s="175"/>
      <c r="S1029" s="175"/>
      <c r="T1029" s="175"/>
      <c r="U1029" s="175"/>
      <c r="V1029" s="175"/>
      <c r="W1029" s="175"/>
      <c r="X1029" s="175"/>
      <c r="Y1029" s="175"/>
      <c r="Z1029" s="175"/>
    </row>
    <row r="1030" ht="15.75" customHeight="1">
      <c r="A1030" s="174"/>
      <c r="B1030" s="276"/>
      <c r="C1030" s="172"/>
      <c r="D1030" s="173"/>
      <c r="E1030" s="174"/>
      <c r="F1030" s="174"/>
      <c r="G1030" s="175"/>
      <c r="H1030" s="175"/>
      <c r="I1030" s="175"/>
      <c r="J1030" s="175"/>
      <c r="K1030" s="175"/>
      <c r="L1030" s="175"/>
      <c r="M1030" s="175"/>
      <c r="N1030" s="175"/>
      <c r="O1030" s="175"/>
      <c r="P1030" s="175"/>
      <c r="Q1030" s="175"/>
      <c r="R1030" s="175"/>
      <c r="S1030" s="175"/>
      <c r="T1030" s="175"/>
      <c r="U1030" s="175"/>
      <c r="V1030" s="175"/>
      <c r="W1030" s="175"/>
      <c r="X1030" s="175"/>
      <c r="Y1030" s="175"/>
      <c r="Z1030" s="175"/>
    </row>
    <row r="1031" ht="15.75" customHeight="1">
      <c r="A1031" s="174"/>
      <c r="B1031" s="276"/>
      <c r="C1031" s="172"/>
      <c r="D1031" s="173"/>
      <c r="E1031" s="174"/>
      <c r="F1031" s="174"/>
      <c r="G1031" s="175"/>
      <c r="H1031" s="175"/>
      <c r="I1031" s="175"/>
      <c r="J1031" s="175"/>
      <c r="K1031" s="175"/>
      <c r="L1031" s="175"/>
      <c r="M1031" s="175"/>
      <c r="N1031" s="175"/>
      <c r="O1031" s="175"/>
      <c r="P1031" s="175"/>
      <c r="Q1031" s="175"/>
      <c r="R1031" s="175"/>
      <c r="S1031" s="175"/>
      <c r="T1031" s="175"/>
      <c r="U1031" s="175"/>
      <c r="V1031" s="175"/>
      <c r="W1031" s="175"/>
      <c r="X1031" s="175"/>
      <c r="Y1031" s="175"/>
      <c r="Z1031" s="175"/>
    </row>
    <row r="1032" ht="15.75" customHeight="1">
      <c r="A1032" s="174"/>
      <c r="B1032" s="276"/>
      <c r="C1032" s="172"/>
      <c r="D1032" s="173"/>
      <c r="E1032" s="174"/>
      <c r="F1032" s="174"/>
      <c r="G1032" s="175"/>
      <c r="H1032" s="175"/>
      <c r="I1032" s="175"/>
      <c r="J1032" s="175"/>
      <c r="K1032" s="175"/>
      <c r="L1032" s="175"/>
      <c r="M1032" s="175"/>
      <c r="N1032" s="175"/>
      <c r="O1032" s="175"/>
      <c r="P1032" s="175"/>
      <c r="Q1032" s="175"/>
      <c r="R1032" s="175"/>
      <c r="S1032" s="175"/>
      <c r="T1032" s="175"/>
      <c r="U1032" s="175"/>
      <c r="V1032" s="175"/>
      <c r="W1032" s="175"/>
      <c r="X1032" s="175"/>
      <c r="Y1032" s="175"/>
      <c r="Z1032" s="175"/>
    </row>
    <row r="1033" ht="15.75" customHeight="1">
      <c r="A1033" s="174"/>
      <c r="B1033" s="276"/>
      <c r="C1033" s="172"/>
      <c r="D1033" s="173"/>
      <c r="E1033" s="174"/>
      <c r="F1033" s="174"/>
      <c r="G1033" s="175"/>
      <c r="H1033" s="175"/>
      <c r="I1033" s="175"/>
      <c r="J1033" s="175"/>
      <c r="K1033" s="175"/>
      <c r="L1033" s="175"/>
      <c r="M1033" s="175"/>
      <c r="N1033" s="175"/>
      <c r="O1033" s="175"/>
      <c r="P1033" s="175"/>
      <c r="Q1033" s="175"/>
      <c r="R1033" s="175"/>
      <c r="S1033" s="175"/>
      <c r="T1033" s="175"/>
      <c r="U1033" s="175"/>
      <c r="V1033" s="175"/>
      <c r="W1033" s="175"/>
      <c r="X1033" s="175"/>
      <c r="Y1033" s="175"/>
      <c r="Z1033" s="175"/>
    </row>
    <row r="1034" ht="15.75" customHeight="1">
      <c r="A1034" s="174"/>
      <c r="B1034" s="276"/>
      <c r="C1034" s="172"/>
      <c r="D1034" s="173"/>
      <c r="E1034" s="174"/>
      <c r="F1034" s="174"/>
      <c r="G1034" s="175"/>
      <c r="H1034" s="175"/>
      <c r="I1034" s="175"/>
      <c r="J1034" s="175"/>
      <c r="K1034" s="175"/>
      <c r="L1034" s="175"/>
      <c r="M1034" s="175"/>
      <c r="N1034" s="175"/>
      <c r="O1034" s="175"/>
      <c r="P1034" s="175"/>
      <c r="Q1034" s="175"/>
      <c r="R1034" s="175"/>
      <c r="S1034" s="175"/>
      <c r="T1034" s="175"/>
      <c r="U1034" s="175"/>
      <c r="V1034" s="175"/>
      <c r="W1034" s="175"/>
      <c r="X1034" s="175"/>
      <c r="Y1034" s="175"/>
      <c r="Z1034" s="175"/>
    </row>
    <row r="1035" ht="15.75" customHeight="1">
      <c r="A1035" s="174"/>
      <c r="B1035" s="276"/>
      <c r="C1035" s="172"/>
      <c r="D1035" s="173"/>
      <c r="E1035" s="174"/>
      <c r="F1035" s="174"/>
      <c r="G1035" s="175"/>
      <c r="H1035" s="175"/>
      <c r="I1035" s="175"/>
      <c r="J1035" s="175"/>
      <c r="K1035" s="175"/>
      <c r="L1035" s="175"/>
      <c r="M1035" s="175"/>
      <c r="N1035" s="175"/>
      <c r="O1035" s="175"/>
      <c r="P1035" s="175"/>
      <c r="Q1035" s="175"/>
      <c r="R1035" s="175"/>
      <c r="S1035" s="175"/>
      <c r="T1035" s="175"/>
      <c r="U1035" s="175"/>
      <c r="V1035" s="175"/>
      <c r="W1035" s="175"/>
      <c r="X1035" s="175"/>
      <c r="Y1035" s="175"/>
      <c r="Z1035" s="175"/>
    </row>
    <row r="1036" ht="15.75" customHeight="1">
      <c r="A1036" s="174"/>
      <c r="B1036" s="276"/>
      <c r="C1036" s="172"/>
      <c r="D1036" s="173"/>
      <c r="E1036" s="174"/>
      <c r="F1036" s="174"/>
      <c r="G1036" s="175"/>
      <c r="H1036" s="175"/>
      <c r="I1036" s="175"/>
      <c r="J1036" s="175"/>
      <c r="K1036" s="175"/>
      <c r="L1036" s="175"/>
      <c r="M1036" s="175"/>
      <c r="N1036" s="175"/>
      <c r="O1036" s="175"/>
      <c r="P1036" s="175"/>
      <c r="Q1036" s="175"/>
      <c r="R1036" s="175"/>
      <c r="S1036" s="175"/>
      <c r="T1036" s="175"/>
      <c r="U1036" s="175"/>
      <c r="V1036" s="175"/>
      <c r="W1036" s="175"/>
      <c r="X1036" s="175"/>
      <c r="Y1036" s="175"/>
      <c r="Z1036" s="175"/>
    </row>
    <row r="1037" ht="15.75" customHeight="1">
      <c r="A1037" s="174"/>
      <c r="B1037" s="276"/>
      <c r="C1037" s="172"/>
      <c r="D1037" s="173"/>
      <c r="E1037" s="174"/>
      <c r="F1037" s="174"/>
      <c r="G1037" s="175"/>
      <c r="H1037" s="175"/>
      <c r="I1037" s="175"/>
      <c r="J1037" s="175"/>
      <c r="K1037" s="175"/>
      <c r="L1037" s="175"/>
      <c r="M1037" s="175"/>
      <c r="N1037" s="175"/>
      <c r="O1037" s="175"/>
      <c r="P1037" s="175"/>
      <c r="Q1037" s="175"/>
      <c r="R1037" s="175"/>
      <c r="S1037" s="175"/>
      <c r="T1037" s="175"/>
      <c r="U1037" s="175"/>
      <c r="V1037" s="175"/>
      <c r="W1037" s="175"/>
      <c r="X1037" s="175"/>
      <c r="Y1037" s="175"/>
      <c r="Z1037" s="175"/>
    </row>
    <row r="1038" ht="15.75" customHeight="1">
      <c r="A1038" s="174"/>
      <c r="B1038" s="276"/>
      <c r="C1038" s="172"/>
      <c r="D1038" s="173"/>
      <c r="E1038" s="174"/>
      <c r="F1038" s="174"/>
      <c r="G1038" s="175"/>
      <c r="H1038" s="175"/>
      <c r="I1038" s="175"/>
      <c r="J1038" s="175"/>
      <c r="K1038" s="175"/>
      <c r="L1038" s="175"/>
      <c r="M1038" s="175"/>
      <c r="N1038" s="175"/>
      <c r="O1038" s="175"/>
      <c r="P1038" s="175"/>
      <c r="Q1038" s="175"/>
      <c r="R1038" s="175"/>
      <c r="S1038" s="175"/>
      <c r="T1038" s="175"/>
      <c r="U1038" s="175"/>
      <c r="V1038" s="175"/>
      <c r="W1038" s="175"/>
      <c r="X1038" s="175"/>
      <c r="Y1038" s="175"/>
      <c r="Z1038" s="175"/>
    </row>
    <row r="1039" ht="15.75" customHeight="1">
      <c r="A1039" s="174"/>
      <c r="B1039" s="276"/>
      <c r="C1039" s="172"/>
      <c r="D1039" s="173"/>
      <c r="E1039" s="174"/>
      <c r="F1039" s="174"/>
      <c r="G1039" s="175"/>
      <c r="H1039" s="175"/>
      <c r="I1039" s="175"/>
      <c r="J1039" s="175"/>
      <c r="K1039" s="175"/>
      <c r="L1039" s="175"/>
      <c r="M1039" s="175"/>
      <c r="N1039" s="175"/>
      <c r="O1039" s="175"/>
      <c r="P1039" s="175"/>
      <c r="Q1039" s="175"/>
      <c r="R1039" s="175"/>
      <c r="S1039" s="175"/>
      <c r="T1039" s="175"/>
      <c r="U1039" s="175"/>
      <c r="V1039" s="175"/>
      <c r="W1039" s="175"/>
      <c r="X1039" s="175"/>
      <c r="Y1039" s="175"/>
      <c r="Z1039" s="175"/>
    </row>
    <row r="1040" ht="15.75" customHeight="1">
      <c r="A1040" s="174"/>
      <c r="B1040" s="276"/>
      <c r="C1040" s="172"/>
      <c r="D1040" s="173"/>
      <c r="E1040" s="174"/>
      <c r="F1040" s="174"/>
      <c r="G1040" s="175"/>
      <c r="H1040" s="175"/>
      <c r="I1040" s="175"/>
      <c r="J1040" s="175"/>
      <c r="K1040" s="175"/>
      <c r="L1040" s="175"/>
      <c r="M1040" s="175"/>
      <c r="N1040" s="175"/>
      <c r="O1040" s="175"/>
      <c r="P1040" s="175"/>
      <c r="Q1040" s="175"/>
      <c r="R1040" s="175"/>
      <c r="S1040" s="175"/>
      <c r="T1040" s="175"/>
      <c r="U1040" s="175"/>
      <c r="V1040" s="175"/>
      <c r="W1040" s="175"/>
      <c r="X1040" s="175"/>
      <c r="Y1040" s="175"/>
      <c r="Z1040" s="175"/>
    </row>
    <row r="1041" ht="15.75" customHeight="1">
      <c r="A1041" s="174"/>
      <c r="B1041" s="276"/>
      <c r="C1041" s="172"/>
      <c r="D1041" s="173"/>
      <c r="E1041" s="174"/>
      <c r="F1041" s="174"/>
      <c r="G1041" s="175"/>
      <c r="H1041" s="175"/>
      <c r="I1041" s="175"/>
      <c r="J1041" s="175"/>
      <c r="K1041" s="175"/>
      <c r="L1041" s="175"/>
      <c r="M1041" s="175"/>
      <c r="N1041" s="175"/>
      <c r="O1041" s="175"/>
      <c r="P1041" s="175"/>
      <c r="Q1041" s="175"/>
      <c r="R1041" s="175"/>
      <c r="S1041" s="175"/>
      <c r="T1041" s="175"/>
      <c r="U1041" s="175"/>
      <c r="V1041" s="175"/>
      <c r="W1041" s="175"/>
      <c r="X1041" s="175"/>
      <c r="Y1041" s="175"/>
      <c r="Z1041" s="175"/>
    </row>
    <row r="1042" ht="15.75" customHeight="1">
      <c r="A1042" s="174"/>
      <c r="B1042" s="276"/>
      <c r="C1042" s="172"/>
      <c r="D1042" s="173"/>
      <c r="E1042" s="174"/>
      <c r="F1042" s="174"/>
      <c r="G1042" s="175"/>
      <c r="H1042" s="175"/>
      <c r="I1042" s="175"/>
      <c r="J1042" s="175"/>
      <c r="K1042" s="175"/>
      <c r="L1042" s="175"/>
      <c r="M1042" s="175"/>
      <c r="N1042" s="175"/>
      <c r="O1042" s="175"/>
      <c r="P1042" s="175"/>
      <c r="Q1042" s="175"/>
      <c r="R1042" s="175"/>
      <c r="S1042" s="175"/>
      <c r="T1042" s="175"/>
      <c r="U1042" s="175"/>
      <c r="V1042" s="175"/>
      <c r="W1042" s="175"/>
      <c r="X1042" s="175"/>
      <c r="Y1042" s="175"/>
      <c r="Z1042" s="175"/>
    </row>
    <row r="1043" ht="15.75" customHeight="1">
      <c r="A1043" s="174"/>
      <c r="B1043" s="276"/>
      <c r="C1043" s="172"/>
      <c r="D1043" s="173"/>
      <c r="E1043" s="174"/>
      <c r="F1043" s="174"/>
      <c r="G1043" s="175"/>
      <c r="H1043" s="175"/>
      <c r="I1043" s="175"/>
      <c r="J1043" s="175"/>
      <c r="K1043" s="175"/>
      <c r="L1043" s="175"/>
      <c r="M1043" s="175"/>
      <c r="N1043" s="175"/>
      <c r="O1043" s="175"/>
      <c r="P1043" s="175"/>
      <c r="Q1043" s="175"/>
      <c r="R1043" s="175"/>
      <c r="S1043" s="175"/>
      <c r="T1043" s="175"/>
      <c r="U1043" s="175"/>
      <c r="V1043" s="175"/>
      <c r="W1043" s="175"/>
      <c r="X1043" s="175"/>
      <c r="Y1043" s="175"/>
      <c r="Z1043" s="175"/>
    </row>
    <row r="1044" ht="15.75" customHeight="1">
      <c r="A1044" s="174"/>
      <c r="B1044" s="276"/>
      <c r="C1044" s="172"/>
      <c r="D1044" s="173"/>
      <c r="E1044" s="174"/>
      <c r="F1044" s="174"/>
      <c r="G1044" s="175"/>
      <c r="H1044" s="175"/>
      <c r="I1044" s="175"/>
      <c r="J1044" s="175"/>
      <c r="K1044" s="175"/>
      <c r="L1044" s="175"/>
      <c r="M1044" s="175"/>
      <c r="N1044" s="175"/>
      <c r="O1044" s="175"/>
      <c r="P1044" s="175"/>
      <c r="Q1044" s="175"/>
      <c r="R1044" s="175"/>
      <c r="S1044" s="175"/>
      <c r="T1044" s="175"/>
      <c r="U1044" s="175"/>
      <c r="V1044" s="175"/>
      <c r="W1044" s="175"/>
      <c r="X1044" s="175"/>
      <c r="Y1044" s="175"/>
      <c r="Z1044" s="175"/>
    </row>
    <row r="1045" ht="15.75" customHeight="1">
      <c r="A1045" s="174"/>
      <c r="B1045" s="276"/>
      <c r="C1045" s="172"/>
      <c r="D1045" s="173"/>
      <c r="E1045" s="174"/>
      <c r="F1045" s="174"/>
      <c r="G1045" s="175"/>
      <c r="H1045" s="175"/>
      <c r="I1045" s="175"/>
      <c r="J1045" s="175"/>
      <c r="K1045" s="175"/>
      <c r="L1045" s="175"/>
      <c r="M1045" s="175"/>
      <c r="N1045" s="175"/>
      <c r="O1045" s="175"/>
      <c r="P1045" s="175"/>
      <c r="Q1045" s="175"/>
      <c r="R1045" s="175"/>
      <c r="S1045" s="175"/>
      <c r="T1045" s="175"/>
      <c r="U1045" s="175"/>
      <c r="V1045" s="175"/>
      <c r="W1045" s="175"/>
      <c r="X1045" s="175"/>
      <c r="Y1045" s="175"/>
      <c r="Z1045" s="175"/>
    </row>
    <row r="1046" ht="15.75" customHeight="1">
      <c r="A1046" s="174"/>
      <c r="B1046" s="276"/>
      <c r="C1046" s="172"/>
      <c r="D1046" s="173"/>
      <c r="E1046" s="174"/>
      <c r="F1046" s="174"/>
      <c r="G1046" s="175"/>
      <c r="H1046" s="175"/>
      <c r="I1046" s="175"/>
      <c r="J1046" s="175"/>
      <c r="K1046" s="175"/>
      <c r="L1046" s="175"/>
      <c r="M1046" s="175"/>
      <c r="N1046" s="175"/>
      <c r="O1046" s="175"/>
      <c r="P1046" s="175"/>
      <c r="Q1046" s="175"/>
      <c r="R1046" s="175"/>
      <c r="S1046" s="175"/>
      <c r="T1046" s="175"/>
      <c r="U1046" s="175"/>
      <c r="V1046" s="175"/>
      <c r="W1046" s="175"/>
      <c r="X1046" s="175"/>
      <c r="Y1046" s="175"/>
      <c r="Z1046" s="175"/>
    </row>
    <row r="1047" ht="15.75" customHeight="1">
      <c r="A1047" s="174"/>
      <c r="B1047" s="276"/>
      <c r="C1047" s="172"/>
      <c r="D1047" s="173"/>
      <c r="E1047" s="174"/>
      <c r="F1047" s="174"/>
      <c r="G1047" s="175"/>
      <c r="H1047" s="175"/>
      <c r="I1047" s="175"/>
      <c r="J1047" s="175"/>
      <c r="K1047" s="175"/>
      <c r="L1047" s="175"/>
      <c r="M1047" s="175"/>
      <c r="N1047" s="175"/>
      <c r="O1047" s="175"/>
      <c r="P1047" s="175"/>
      <c r="Q1047" s="175"/>
      <c r="R1047" s="175"/>
      <c r="S1047" s="175"/>
      <c r="T1047" s="175"/>
      <c r="U1047" s="175"/>
      <c r="V1047" s="175"/>
      <c r="W1047" s="175"/>
      <c r="X1047" s="175"/>
      <c r="Y1047" s="175"/>
      <c r="Z1047" s="175"/>
    </row>
    <row r="1048" ht="15.75" customHeight="1">
      <c r="A1048" s="174"/>
      <c r="B1048" s="276"/>
      <c r="C1048" s="172"/>
      <c r="D1048" s="173"/>
      <c r="E1048" s="174"/>
      <c r="F1048" s="174"/>
      <c r="G1048" s="175"/>
      <c r="H1048" s="175"/>
      <c r="I1048" s="175"/>
      <c r="J1048" s="175"/>
      <c r="K1048" s="175"/>
      <c r="L1048" s="175"/>
      <c r="M1048" s="175"/>
      <c r="N1048" s="175"/>
      <c r="O1048" s="175"/>
      <c r="P1048" s="175"/>
      <c r="Q1048" s="175"/>
      <c r="R1048" s="175"/>
      <c r="S1048" s="175"/>
      <c r="T1048" s="175"/>
      <c r="U1048" s="175"/>
      <c r="V1048" s="175"/>
      <c r="W1048" s="175"/>
      <c r="X1048" s="175"/>
      <c r="Y1048" s="175"/>
      <c r="Z1048" s="175"/>
    </row>
    <row r="1049" ht="15.75" customHeight="1">
      <c r="A1049" s="174"/>
      <c r="B1049" s="276"/>
      <c r="C1049" s="172"/>
      <c r="D1049" s="173"/>
      <c r="E1049" s="174"/>
      <c r="F1049" s="174"/>
      <c r="G1049" s="175"/>
      <c r="H1049" s="175"/>
      <c r="I1049" s="175"/>
      <c r="J1049" s="175"/>
      <c r="K1049" s="175"/>
      <c r="L1049" s="175"/>
      <c r="M1049" s="175"/>
      <c r="N1049" s="175"/>
      <c r="O1049" s="175"/>
      <c r="P1049" s="175"/>
      <c r="Q1049" s="175"/>
      <c r="R1049" s="175"/>
      <c r="S1049" s="175"/>
      <c r="T1049" s="175"/>
      <c r="U1049" s="175"/>
      <c r="V1049" s="175"/>
      <c r="W1049" s="175"/>
      <c r="X1049" s="175"/>
      <c r="Y1049" s="175"/>
      <c r="Z1049" s="175"/>
    </row>
    <row r="1050" ht="15.75" customHeight="1">
      <c r="A1050" s="174"/>
      <c r="B1050" s="276"/>
      <c r="C1050" s="172"/>
      <c r="D1050" s="173"/>
      <c r="E1050" s="174"/>
      <c r="F1050" s="174"/>
      <c r="G1050" s="175"/>
      <c r="H1050" s="175"/>
      <c r="I1050" s="175"/>
      <c r="J1050" s="175"/>
      <c r="K1050" s="175"/>
      <c r="L1050" s="175"/>
      <c r="M1050" s="175"/>
      <c r="N1050" s="175"/>
      <c r="O1050" s="175"/>
      <c r="P1050" s="175"/>
      <c r="Q1050" s="175"/>
      <c r="R1050" s="175"/>
      <c r="S1050" s="175"/>
      <c r="T1050" s="175"/>
      <c r="U1050" s="175"/>
      <c r="V1050" s="175"/>
      <c r="W1050" s="175"/>
      <c r="X1050" s="175"/>
      <c r="Y1050" s="175"/>
      <c r="Z1050" s="175"/>
    </row>
    <row r="1051" ht="15.75" customHeight="1">
      <c r="A1051" s="174"/>
      <c r="B1051" s="276"/>
      <c r="C1051" s="172"/>
      <c r="D1051" s="173"/>
      <c r="E1051" s="174"/>
      <c r="F1051" s="174"/>
      <c r="G1051" s="175"/>
      <c r="H1051" s="175"/>
      <c r="I1051" s="175"/>
      <c r="J1051" s="175"/>
      <c r="K1051" s="175"/>
      <c r="L1051" s="175"/>
      <c r="M1051" s="175"/>
      <c r="N1051" s="175"/>
      <c r="O1051" s="175"/>
      <c r="P1051" s="175"/>
      <c r="Q1051" s="175"/>
      <c r="R1051" s="175"/>
      <c r="S1051" s="175"/>
      <c r="T1051" s="175"/>
      <c r="U1051" s="175"/>
      <c r="V1051" s="175"/>
      <c r="W1051" s="175"/>
      <c r="X1051" s="175"/>
      <c r="Y1051" s="175"/>
      <c r="Z1051" s="175"/>
    </row>
    <row r="1052" ht="15.75" customHeight="1">
      <c r="A1052" s="174"/>
      <c r="B1052" s="276"/>
      <c r="C1052" s="172"/>
      <c r="D1052" s="173"/>
      <c r="E1052" s="174"/>
      <c r="F1052" s="174"/>
      <c r="G1052" s="175"/>
      <c r="H1052" s="175"/>
      <c r="I1052" s="175"/>
      <c r="J1052" s="175"/>
      <c r="K1052" s="175"/>
      <c r="L1052" s="175"/>
      <c r="M1052" s="175"/>
      <c r="N1052" s="175"/>
      <c r="O1052" s="175"/>
      <c r="P1052" s="175"/>
      <c r="Q1052" s="175"/>
      <c r="R1052" s="175"/>
      <c r="S1052" s="175"/>
      <c r="T1052" s="175"/>
      <c r="U1052" s="175"/>
      <c r="V1052" s="175"/>
      <c r="W1052" s="175"/>
      <c r="X1052" s="175"/>
      <c r="Y1052" s="175"/>
      <c r="Z1052" s="175"/>
    </row>
    <row r="1053" ht="15.75" customHeight="1">
      <c r="A1053" s="174"/>
      <c r="B1053" s="276"/>
      <c r="C1053" s="172"/>
      <c r="D1053" s="173"/>
      <c r="E1053" s="174"/>
      <c r="F1053" s="174"/>
      <c r="G1053" s="175"/>
      <c r="H1053" s="175"/>
      <c r="I1053" s="175"/>
      <c r="J1053" s="175"/>
      <c r="K1053" s="175"/>
      <c r="L1053" s="175"/>
      <c r="M1053" s="175"/>
      <c r="N1053" s="175"/>
      <c r="O1053" s="175"/>
      <c r="P1053" s="175"/>
      <c r="Q1053" s="175"/>
      <c r="R1053" s="175"/>
      <c r="S1053" s="175"/>
      <c r="T1053" s="175"/>
      <c r="U1053" s="175"/>
      <c r="V1053" s="175"/>
      <c r="W1053" s="175"/>
      <c r="X1053" s="175"/>
      <c r="Y1053" s="175"/>
      <c r="Z1053" s="175"/>
    </row>
    <row r="1054" ht="15.75" customHeight="1">
      <c r="A1054" s="174"/>
      <c r="B1054" s="276"/>
      <c r="C1054" s="172"/>
      <c r="D1054" s="173"/>
      <c r="E1054" s="174"/>
      <c r="F1054" s="174"/>
      <c r="G1054" s="175"/>
      <c r="H1054" s="175"/>
      <c r="I1054" s="175"/>
      <c r="J1054" s="175"/>
      <c r="K1054" s="175"/>
      <c r="L1054" s="175"/>
      <c r="M1054" s="175"/>
      <c r="N1054" s="175"/>
      <c r="O1054" s="175"/>
      <c r="P1054" s="175"/>
      <c r="Q1054" s="175"/>
      <c r="R1054" s="175"/>
      <c r="S1054" s="175"/>
      <c r="T1054" s="175"/>
      <c r="U1054" s="175"/>
      <c r="V1054" s="175"/>
      <c r="W1054" s="175"/>
      <c r="X1054" s="175"/>
      <c r="Y1054" s="175"/>
      <c r="Z1054" s="175"/>
    </row>
    <row r="1055" ht="15.75" customHeight="1">
      <c r="A1055" s="174"/>
      <c r="B1055" s="276"/>
      <c r="C1055" s="172"/>
      <c r="D1055" s="173"/>
      <c r="E1055" s="174"/>
      <c r="F1055" s="174"/>
      <c r="G1055" s="175"/>
      <c r="H1055" s="175"/>
      <c r="I1055" s="175"/>
      <c r="J1055" s="175"/>
      <c r="K1055" s="175"/>
      <c r="L1055" s="175"/>
      <c r="M1055" s="175"/>
      <c r="N1055" s="175"/>
      <c r="O1055" s="175"/>
      <c r="P1055" s="175"/>
      <c r="Q1055" s="175"/>
      <c r="R1055" s="175"/>
      <c r="S1055" s="175"/>
      <c r="T1055" s="175"/>
      <c r="U1055" s="175"/>
      <c r="V1055" s="175"/>
      <c r="W1055" s="175"/>
      <c r="X1055" s="175"/>
      <c r="Y1055" s="175"/>
      <c r="Z1055" s="175"/>
    </row>
    <row r="1056" ht="15.75" customHeight="1">
      <c r="A1056" s="174"/>
      <c r="B1056" s="276"/>
      <c r="C1056" s="172"/>
      <c r="D1056" s="173"/>
      <c r="E1056" s="174"/>
      <c r="F1056" s="174"/>
      <c r="G1056" s="175"/>
      <c r="H1056" s="175"/>
      <c r="I1056" s="175"/>
      <c r="J1056" s="175"/>
      <c r="K1056" s="175"/>
      <c r="L1056" s="175"/>
      <c r="M1056" s="175"/>
      <c r="N1056" s="175"/>
      <c r="O1056" s="175"/>
      <c r="P1056" s="175"/>
      <c r="Q1056" s="175"/>
      <c r="R1056" s="175"/>
      <c r="S1056" s="175"/>
      <c r="T1056" s="175"/>
      <c r="U1056" s="175"/>
      <c r="V1056" s="175"/>
      <c r="W1056" s="175"/>
      <c r="X1056" s="175"/>
      <c r="Y1056" s="175"/>
      <c r="Z1056" s="175"/>
    </row>
    <row r="1057" ht="15.75" customHeight="1">
      <c r="A1057" s="174"/>
      <c r="B1057" s="276"/>
      <c r="C1057" s="172"/>
      <c r="D1057" s="173"/>
      <c r="E1057" s="174"/>
      <c r="F1057" s="174"/>
      <c r="G1057" s="175"/>
      <c r="H1057" s="175"/>
      <c r="I1057" s="175"/>
      <c r="J1057" s="175"/>
      <c r="K1057" s="175"/>
      <c r="L1057" s="175"/>
      <c r="M1057" s="175"/>
      <c r="N1057" s="175"/>
      <c r="O1057" s="175"/>
      <c r="P1057" s="175"/>
      <c r="Q1057" s="175"/>
      <c r="R1057" s="175"/>
      <c r="S1057" s="175"/>
      <c r="T1057" s="175"/>
      <c r="U1057" s="175"/>
      <c r="V1057" s="175"/>
      <c r="W1057" s="175"/>
      <c r="X1057" s="175"/>
      <c r="Y1057" s="175"/>
      <c r="Z1057" s="175"/>
    </row>
    <row r="1058" ht="15.75" customHeight="1">
      <c r="A1058" s="174"/>
      <c r="B1058" s="276"/>
      <c r="C1058" s="172"/>
      <c r="D1058" s="173"/>
      <c r="E1058" s="174"/>
      <c r="F1058" s="174"/>
      <c r="G1058" s="175"/>
      <c r="H1058" s="175"/>
      <c r="I1058" s="175"/>
      <c r="J1058" s="175"/>
      <c r="K1058" s="175"/>
      <c r="L1058" s="175"/>
      <c r="M1058" s="175"/>
      <c r="N1058" s="175"/>
      <c r="O1058" s="175"/>
      <c r="P1058" s="175"/>
      <c r="Q1058" s="175"/>
      <c r="R1058" s="175"/>
      <c r="S1058" s="175"/>
      <c r="T1058" s="175"/>
      <c r="U1058" s="175"/>
      <c r="V1058" s="175"/>
      <c r="W1058" s="175"/>
      <c r="X1058" s="175"/>
      <c r="Y1058" s="175"/>
      <c r="Z1058" s="175"/>
    </row>
  </sheetData>
  <mergeCells count="12">
    <mergeCell ref="D95:D97"/>
    <mergeCell ref="E95:E97"/>
    <mergeCell ref="A103:A104"/>
    <mergeCell ref="A119:A120"/>
    <mergeCell ref="A136:A138"/>
    <mergeCell ref="A20:A22"/>
    <mergeCell ref="A54:A65"/>
    <mergeCell ref="A69:A70"/>
    <mergeCell ref="A73:A79"/>
    <mergeCell ref="A95:A97"/>
    <mergeCell ref="B95:B97"/>
    <mergeCell ref="C95:C97"/>
  </mergeCells>
  <hyperlinks>
    <hyperlink r:id="rId1" location="slide=id.p3" ref="F5"/>
    <hyperlink r:id="rId2" ref="F6"/>
    <hyperlink r:id="rId3" ref="F14"/>
    <hyperlink r:id="rId4" ref="F77"/>
    <hyperlink r:id="rId5" ref="E107"/>
    <hyperlink r:id="rId6" ref="E122"/>
    <hyperlink r:id="rId7" ref="E134"/>
  </hyperlinks>
  <printOptions/>
  <pageMargins bottom="0.75" footer="0.0" header="0.0" left="0.7" right="0.7" top="0.75"/>
  <pageSetup orientation="landscape"/>
  <drawing r:id="rId8"/>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FF00"/>
    <pageSetUpPr/>
  </sheetPr>
  <sheetViews>
    <sheetView showGridLines="0" workbookViewId="0">
      <pane ySplit="2.0" topLeftCell="A3" activePane="bottomLeft" state="frozen"/>
      <selection activeCell="B4" sqref="B4" pane="bottomLeft"/>
    </sheetView>
  </sheetViews>
  <sheetFormatPr customHeight="1" defaultColWidth="14.43" defaultRowHeight="15.0"/>
  <cols>
    <col customWidth="1" min="1" max="1" width="28.0"/>
    <col customWidth="1" min="2" max="2" width="12.14"/>
    <col customWidth="1" min="3" max="3" width="12.71"/>
    <col customWidth="1" min="4" max="4" width="14.43"/>
    <col customWidth="1" min="5" max="5" width="55.0"/>
    <col customWidth="1" min="6" max="6" width="13.0"/>
    <col customWidth="1" min="7" max="7" width="15.29"/>
    <col customWidth="1" min="8" max="8" width="65.0"/>
    <col customWidth="1" min="9" max="9" width="6.86"/>
    <col customWidth="1" min="10" max="29" width="6.57"/>
  </cols>
  <sheetData>
    <row r="1" ht="15.75" customHeight="1">
      <c r="A1" s="277" t="str">
        <f>IFERROR(__xludf.DUMMYFUNCTION("importrange(""1anZAhoSSjxB6yCbYDp5yCEjyD6_pZes9ilzDI35FhKA"",""外部出稿用NGタイトル!a:ab"")"),"外部出稿NGタイトル")</f>
        <v>外部出稿NGタイトル</v>
      </c>
      <c r="B1" s="278"/>
      <c r="C1" s="279"/>
      <c r="D1" s="280"/>
      <c r="E1" s="281"/>
      <c r="F1" s="282"/>
      <c r="G1" s="282"/>
      <c r="H1" s="282"/>
      <c r="I1" s="283"/>
      <c r="J1" s="283"/>
      <c r="K1" s="283"/>
      <c r="L1" s="283"/>
      <c r="M1" s="283"/>
      <c r="N1" s="283"/>
      <c r="O1" s="283"/>
      <c r="P1" s="283"/>
      <c r="Q1" s="278"/>
      <c r="R1" s="278"/>
      <c r="S1" s="278"/>
      <c r="T1" s="278"/>
      <c r="U1" s="278"/>
      <c r="V1" s="278"/>
      <c r="W1" s="278"/>
      <c r="X1" s="278"/>
      <c r="Y1" s="278"/>
      <c r="Z1" s="278"/>
      <c r="AA1" s="278"/>
      <c r="AB1" s="278"/>
      <c r="AC1" s="278"/>
    </row>
    <row r="2" ht="28.5" customHeight="1">
      <c r="A2" s="284" t="str">
        <f>IFERROR(__xludf.DUMMYFUNCTION("""COMPUTED_VALUE"""),"　出版社")</f>
        <v>　出版社</v>
      </c>
      <c r="B2" s="285" t="str">
        <f>IFERROR(__xludf.DUMMYFUNCTION("""COMPUTED_VALUE"""),"　記入日")</f>
        <v>　記入日</v>
      </c>
      <c r="C2" s="286" t="str">
        <f>IFERROR(__xludf.DUMMYFUNCTION("""COMPUTED_VALUE"""),"更新日")</f>
        <v>更新日</v>
      </c>
      <c r="D2" s="287" t="str">
        <f>IFERROR(__xludf.DUMMYFUNCTION("""COMPUTED_VALUE"""),"タイトルID")</f>
        <v>タイトルID</v>
      </c>
      <c r="E2" s="284" t="str">
        <f>IFERROR(__xludf.DUMMYFUNCTION("""COMPUTED_VALUE"""),"　タイトル名")</f>
        <v>　タイトル名</v>
      </c>
      <c r="F2" s="287" t="str">
        <f>IFERROR(__xludf.DUMMYFUNCTION("""COMPUTED_VALUE"""),"作家名")</f>
        <v>作家名</v>
      </c>
      <c r="G2" s="287" t="str">
        <f>IFERROR(__xludf.DUMMYFUNCTION("""COMPUTED_VALUE"""),"ジャンル")</f>
        <v>ジャンル</v>
      </c>
      <c r="H2" s="285" t="str">
        <f>IFERROR(__xludf.DUMMYFUNCTION("""COMPUTED_VALUE"""),"　備考")</f>
        <v>　備考</v>
      </c>
      <c r="I2" s="288"/>
      <c r="J2" s="288"/>
      <c r="K2" s="288"/>
      <c r="L2" s="288"/>
      <c r="M2" s="288"/>
      <c r="N2" s="288"/>
      <c r="O2" s="288"/>
      <c r="P2" s="288"/>
      <c r="Q2" s="289"/>
      <c r="R2" s="289"/>
      <c r="S2" s="289"/>
      <c r="T2" s="289"/>
      <c r="U2" s="289"/>
      <c r="V2" s="289"/>
      <c r="W2" s="289"/>
      <c r="X2" s="289"/>
      <c r="Y2" s="289"/>
      <c r="Z2" s="289"/>
      <c r="AA2" s="289"/>
      <c r="AB2" s="289"/>
      <c r="AC2" s="289"/>
    </row>
    <row r="3" ht="72.75" customHeight="1">
      <c r="A3" s="290" t="str">
        <f>IFERROR(__xludf.DUMMYFUNCTION("""COMPUTED_VALUE"""),"青年ジャンル作品")</f>
        <v>青年ジャンル作品</v>
      </c>
      <c r="B3" s="291">
        <f>IFERROR(__xludf.DUMMYFUNCTION("""COMPUTED_VALUE"""),44951.0)</f>
        <v>44951</v>
      </c>
      <c r="C3" s="292"/>
      <c r="D3" s="293"/>
      <c r="E3" s="290" t="str">
        <f>IFERROR(__xludf.DUMMYFUNCTION("""COMPUTED_VALUE"""),"ロゴ判定リストで、
シーモアロゴ「×」になっているタイトルすべて")</f>
        <v>ロゴ判定リストで、
シーモアロゴ「×」になっているタイトルすべて</v>
      </c>
      <c r="F3" s="294"/>
      <c r="G3" s="294"/>
      <c r="H3" s="294" t="str">
        <f>IFERROR(__xludf.DUMMYFUNCTION("""COMPUTED_VALUE"""),"Yahoo媒体に限り、バナー広告出稿NG
▼青年ジャンルロゴ判定リスト
https://docs.google.com/spreadsheets/d/1Dg4FUX7H_mbRvLJ1B3Df65mh_lsgltbpRXBbRbenW20/edit#gid=1102769735")</f>
        <v>Yahoo媒体に限り、バナー広告出稿NG
▼青年ジャンルロゴ判定リスト
https://docs.google.com/spreadsheets/d/1Dg4FUX7H_mbRvLJ1B3Df65mh_lsgltbpRXBbRbenW20/edit#gid=1102769735</v>
      </c>
      <c r="I3" s="295"/>
      <c r="J3" s="283"/>
      <c r="K3" s="283"/>
      <c r="L3" s="283"/>
      <c r="M3" s="283"/>
      <c r="N3" s="283"/>
      <c r="O3" s="283"/>
      <c r="P3" s="283"/>
      <c r="Q3" s="278"/>
      <c r="R3" s="278"/>
      <c r="S3" s="278"/>
      <c r="T3" s="278"/>
      <c r="U3" s="278"/>
      <c r="V3" s="278"/>
      <c r="W3" s="278"/>
      <c r="X3" s="278"/>
      <c r="Y3" s="278"/>
      <c r="Z3" s="278"/>
      <c r="AA3" s="278"/>
      <c r="AB3" s="278"/>
      <c r="AC3" s="278"/>
    </row>
    <row r="4" ht="111.75" customHeight="1">
      <c r="A4" s="290" t="str">
        <f>IFERROR(__xludf.DUMMYFUNCTION("""COMPUTED_VALUE"""),"DLcomics（エイシス）")</f>
        <v>DLcomics（エイシス）</v>
      </c>
      <c r="B4" s="291">
        <f>IFERROR(__xludf.DUMMYFUNCTION("""COMPUTED_VALUE"""),44497.0)</f>
        <v>44497</v>
      </c>
      <c r="C4" s="296">
        <f>IFERROR(__xludf.DUMMYFUNCTION("""COMPUTED_VALUE"""),45477.0)</f>
        <v>45477</v>
      </c>
      <c r="D4" s="297"/>
      <c r="E4" s="290" t="str">
        <f>IFERROR(__xludf.DUMMYFUNCTION("""COMPUTED_VALUE"""),"基本すべての作品
ただし
▼2024/11/5以降リリースする作品で、
CMSに登録されている作品のみ外部出稿OK")</f>
        <v>基本すべての作品
ただし
▼2024/11/5以降リリースする作品で、
CMSに登録されている作品のみ外部出稿OK</v>
      </c>
      <c r="F4" s="298"/>
      <c r="G4" s="299"/>
      <c r="H4" s="299" t="str">
        <f>IFERROR(__xludf.DUMMYFUNCTION("""COMPUTED_VALUE"""),"出版社都合
どうしても制作したい場合は理由を添えてご連絡ください。
⇒7/4）出版社から依頼がある作品はプロモ可
▼2024/11/5以降リリースする作品で、
CMSに登録されている作品のみ外部出稿OKになりました")</f>
        <v>出版社都合
どうしても制作したい場合は理由を添えてご連絡ください。
⇒7/4）出版社から依頼がある作品はプロモ可
▼2024/11/5以降リリースする作品で、
CMSに登録されている作品のみ外部出稿OKになりました</v>
      </c>
      <c r="I4" s="283"/>
      <c r="J4" s="283"/>
      <c r="K4" s="283"/>
      <c r="L4" s="283"/>
      <c r="M4" s="283"/>
      <c r="N4" s="283"/>
      <c r="O4" s="283"/>
      <c r="P4" s="283"/>
      <c r="Q4" s="278"/>
      <c r="R4" s="278"/>
      <c r="S4" s="278"/>
      <c r="T4" s="278"/>
      <c r="U4" s="278"/>
      <c r="V4" s="278"/>
      <c r="W4" s="278"/>
      <c r="X4" s="278"/>
      <c r="Y4" s="278"/>
      <c r="Z4" s="278"/>
      <c r="AA4" s="278"/>
      <c r="AB4" s="278"/>
      <c r="AC4" s="278"/>
    </row>
    <row r="5">
      <c r="A5" s="300" t="str">
        <f>IFERROR(__xludf.DUMMYFUNCTION("""COMPUTED_VALUE"""),"マンガボックス（旧DeNA）")</f>
        <v>マンガボックス（旧DeNA）</v>
      </c>
      <c r="B5" s="301">
        <f>IFERROR(__xludf.DUMMYFUNCTION("""COMPUTED_VALUE"""),43908.0)</f>
        <v>43908</v>
      </c>
      <c r="C5" s="296">
        <f>IFERROR(__xludf.DUMMYFUNCTION("""COMPUTED_VALUE"""),44483.0)</f>
        <v>44483</v>
      </c>
      <c r="D5" s="297"/>
      <c r="E5" s="302" t="str">
        <f>IFERROR(__xludf.DUMMYFUNCTION("""COMPUTED_VALUE"""),"すべての作品")</f>
        <v>すべての作品</v>
      </c>
      <c r="F5" s="298"/>
      <c r="G5" s="298"/>
      <c r="H5" s="298" t="str">
        <f>IFERROR(__xludf.DUMMYFUNCTION("""COMPUTED_VALUE"""),"2021/01/29　出版社名変更　DeNA→マンガボックス
一部事前に相談いただければ出稿OKとします")</f>
        <v>2021/01/29　出版社名変更　DeNA→マンガボックス
一部事前に相談いただければ出稿OKとします</v>
      </c>
      <c r="I5" s="283"/>
      <c r="J5" s="283"/>
      <c r="K5" s="283"/>
      <c r="L5" s="283"/>
      <c r="M5" s="283"/>
      <c r="N5" s="283"/>
      <c r="O5" s="283"/>
      <c r="P5" s="283"/>
      <c r="Q5" s="278"/>
      <c r="R5" s="278"/>
      <c r="S5" s="278"/>
      <c r="T5" s="278"/>
      <c r="U5" s="278"/>
      <c r="V5" s="278"/>
      <c r="W5" s="278"/>
      <c r="X5" s="278"/>
      <c r="Y5" s="278"/>
      <c r="Z5" s="278"/>
      <c r="AA5" s="278"/>
      <c r="AB5" s="278"/>
      <c r="AC5" s="278"/>
    </row>
    <row r="6">
      <c r="A6" s="303" t="str">
        <f>IFERROR(__xludf.DUMMYFUNCTION("""COMPUTED_VALUE"""),"メディアソフト")</f>
        <v>メディアソフト</v>
      </c>
      <c r="B6" s="301">
        <f>IFERROR(__xludf.DUMMYFUNCTION("""COMPUTED_VALUE"""),43908.0)</f>
        <v>43908</v>
      </c>
      <c r="C6" s="296"/>
      <c r="D6" s="297"/>
      <c r="E6" s="302" t="str">
        <f>IFERROR(__xludf.DUMMYFUNCTION("""COMPUTED_VALUE"""),"すべての作品")</f>
        <v>すべての作品</v>
      </c>
      <c r="F6" s="298" t="str">
        <f>IFERROR(__xludf.DUMMYFUNCTION("""COMPUTED_VALUE"""),"寺嶋かなえ")</f>
        <v>寺嶋かなえ</v>
      </c>
      <c r="G6" s="298"/>
      <c r="H6" s="298"/>
      <c r="I6" s="283"/>
      <c r="J6" s="283"/>
      <c r="K6" s="283"/>
      <c r="L6" s="283"/>
      <c r="M6" s="283"/>
      <c r="N6" s="283"/>
      <c r="O6" s="283"/>
      <c r="P6" s="283"/>
      <c r="Q6" s="278"/>
      <c r="R6" s="278"/>
      <c r="S6" s="278"/>
      <c r="T6" s="278"/>
      <c r="U6" s="278"/>
      <c r="V6" s="278"/>
      <c r="W6" s="278"/>
      <c r="X6" s="278"/>
      <c r="Y6" s="278"/>
      <c r="Z6" s="278"/>
      <c r="AA6" s="278"/>
      <c r="AB6" s="278"/>
      <c r="AC6" s="278"/>
    </row>
    <row r="7">
      <c r="A7" s="303" t="str">
        <f>IFERROR(__xludf.DUMMYFUNCTION("""COMPUTED_VALUE"""),"コミディア（ふゅーじょんぷろだくと）")</f>
        <v>コミディア（ふゅーじょんぷろだくと）</v>
      </c>
      <c r="B7" s="301">
        <f>IFERROR(__xludf.DUMMYFUNCTION("""COMPUTED_VALUE"""),43987.0)</f>
        <v>43987</v>
      </c>
      <c r="C7" s="296"/>
      <c r="D7" s="297"/>
      <c r="E7" s="302" t="str">
        <f>IFERROR(__xludf.DUMMYFUNCTION("""COMPUTED_VALUE"""),"すべての作品")</f>
        <v>すべての作品</v>
      </c>
      <c r="F7" s="298" t="str">
        <f>IFERROR(__xludf.DUMMYFUNCTION("""COMPUTED_VALUE"""),"さちも")</f>
        <v>さちも</v>
      </c>
      <c r="G7" s="298"/>
      <c r="H7" s="298"/>
      <c r="I7" s="283"/>
      <c r="J7" s="283"/>
      <c r="K7" s="283"/>
      <c r="L7" s="283"/>
      <c r="M7" s="283"/>
      <c r="N7" s="283"/>
      <c r="O7" s="283"/>
      <c r="P7" s="283"/>
      <c r="Q7" s="278"/>
      <c r="R7" s="278"/>
      <c r="S7" s="278"/>
      <c r="T7" s="278"/>
      <c r="U7" s="278"/>
      <c r="V7" s="278"/>
      <c r="W7" s="278"/>
      <c r="X7" s="278"/>
      <c r="Y7" s="278"/>
      <c r="Z7" s="278"/>
      <c r="AA7" s="278"/>
      <c r="AB7" s="278"/>
      <c r="AC7" s="278"/>
    </row>
    <row r="8" ht="15.75" customHeight="1">
      <c r="A8" s="304" t="str">
        <f>IFERROR(__xludf.DUMMYFUNCTION("""COMPUTED_VALUE"""),"NINO")</f>
        <v>NINO</v>
      </c>
      <c r="B8" s="305">
        <f>IFERROR(__xludf.DUMMYFUNCTION("""COMPUTED_VALUE"""),43908.0)</f>
        <v>43908</v>
      </c>
      <c r="C8" s="306"/>
      <c r="D8" s="307">
        <f>IFERROR(__xludf.DUMMYFUNCTION("""COMPUTED_VALUE"""),188855.0)</f>
        <v>188855</v>
      </c>
      <c r="E8" s="308" t="str">
        <f>IFERROR(__xludf.DUMMYFUNCTION("""COMPUTED_VALUE"""),"SNSに堕とされる女たち")</f>
        <v>SNSに堕とされる女たち</v>
      </c>
      <c r="F8" s="309"/>
      <c r="G8" s="309"/>
      <c r="H8" s="309" t="str">
        <f>IFERROR(__xludf.DUMMYFUNCTION("""COMPUTED_VALUE"""),"9/8出稿OKになりました。")</f>
        <v>9/8出稿OKになりました。</v>
      </c>
      <c r="I8" s="283"/>
      <c r="J8" s="283"/>
      <c r="K8" s="283"/>
      <c r="L8" s="283"/>
      <c r="M8" s="283"/>
      <c r="N8" s="283"/>
      <c r="O8" s="283"/>
      <c r="P8" s="283"/>
      <c r="Q8" s="278"/>
      <c r="R8" s="278"/>
      <c r="S8" s="278"/>
      <c r="T8" s="278"/>
      <c r="U8" s="278"/>
      <c r="V8" s="278"/>
      <c r="W8" s="278"/>
      <c r="X8" s="278"/>
      <c r="Y8" s="278"/>
      <c r="Z8" s="278"/>
      <c r="AA8" s="278"/>
      <c r="AB8" s="278"/>
      <c r="AC8" s="278"/>
    </row>
    <row r="9" ht="15.75" customHeight="1">
      <c r="A9" s="302" t="str">
        <f>IFERROR(__xludf.DUMMYFUNCTION("""COMPUTED_VALUE"""),"アムタス")</f>
        <v>アムタス</v>
      </c>
      <c r="B9" s="301">
        <f>IFERROR(__xludf.DUMMYFUNCTION("""COMPUTED_VALUE"""),43908.0)</f>
        <v>43908</v>
      </c>
      <c r="C9" s="292"/>
      <c r="D9" s="297">
        <f>IFERROR(__xludf.DUMMYFUNCTION("""COMPUTED_VALUE"""),169809.0)</f>
        <v>169809</v>
      </c>
      <c r="E9" s="302" t="str">
        <f>IFERROR(__xludf.DUMMYFUNCTION("""COMPUTED_VALUE"""),"RISKY～復讐は罪の味～")</f>
        <v>RISKY～復讐は罪の味～</v>
      </c>
      <c r="F9" s="310"/>
      <c r="G9" s="310"/>
      <c r="H9" s="310"/>
      <c r="I9" s="283"/>
      <c r="J9" s="283"/>
      <c r="K9" s="283"/>
      <c r="L9" s="283"/>
      <c r="M9" s="283"/>
      <c r="N9" s="283"/>
      <c r="O9" s="283"/>
      <c r="P9" s="283"/>
      <c r="Q9" s="278"/>
      <c r="R9" s="278"/>
      <c r="S9" s="278"/>
      <c r="T9" s="278"/>
      <c r="U9" s="278"/>
      <c r="V9" s="278"/>
      <c r="W9" s="278"/>
      <c r="X9" s="278"/>
      <c r="Y9" s="278"/>
      <c r="Z9" s="278"/>
      <c r="AA9" s="278"/>
      <c r="AB9" s="278"/>
      <c r="AC9" s="278"/>
    </row>
    <row r="10" ht="15.75" customHeight="1">
      <c r="A10" s="302" t="str">
        <f>IFERROR(__xludf.DUMMYFUNCTION("""COMPUTED_VALUE"""),"アムタス")</f>
        <v>アムタス</v>
      </c>
      <c r="B10" s="301">
        <f>IFERROR(__xludf.DUMMYFUNCTION("""COMPUTED_VALUE"""),43908.0)</f>
        <v>43908</v>
      </c>
      <c r="C10" s="292"/>
      <c r="D10" s="297">
        <f>IFERROR(__xludf.DUMMYFUNCTION("""COMPUTED_VALUE"""),181742.0)</f>
        <v>181742</v>
      </c>
      <c r="E10" s="302" t="str">
        <f>IFERROR(__xludf.DUMMYFUNCTION("""COMPUTED_VALUE"""),"RISKY～復讐は罪の味～【単行本版】")</f>
        <v>RISKY～復讐は罪の味～【単行本版】</v>
      </c>
      <c r="F10" s="310"/>
      <c r="G10" s="310"/>
      <c r="H10" s="310"/>
      <c r="I10" s="283"/>
      <c r="J10" s="283"/>
      <c r="K10" s="283"/>
      <c r="L10" s="283"/>
      <c r="M10" s="283"/>
      <c r="N10" s="283"/>
      <c r="O10" s="283"/>
      <c r="P10" s="283"/>
      <c r="Q10" s="278"/>
      <c r="R10" s="278"/>
      <c r="S10" s="278"/>
      <c r="T10" s="278"/>
      <c r="U10" s="278"/>
      <c r="V10" s="278"/>
      <c r="W10" s="278"/>
      <c r="X10" s="278"/>
      <c r="Y10" s="278"/>
      <c r="Z10" s="278"/>
      <c r="AA10" s="278"/>
      <c r="AB10" s="278"/>
      <c r="AC10" s="278"/>
    </row>
    <row r="11" ht="15.75" customHeight="1">
      <c r="A11" s="302" t="str">
        <f>IFERROR(__xludf.DUMMYFUNCTION("""COMPUTED_VALUE"""),"アムタス")</f>
        <v>アムタス</v>
      </c>
      <c r="B11" s="291">
        <f>IFERROR(__xludf.DUMMYFUNCTION("""COMPUTED_VALUE"""),44483.0)</f>
        <v>44483</v>
      </c>
      <c r="C11" s="292"/>
      <c r="D11" s="293">
        <f>IFERROR(__xludf.DUMMYFUNCTION("""COMPUTED_VALUE"""),228680.0)</f>
        <v>228680</v>
      </c>
      <c r="E11" s="290" t="str">
        <f>IFERROR(__xludf.DUMMYFUNCTION("""COMPUTED_VALUE"""),"青島くんはいじわる")</f>
        <v>青島くんはいじわる</v>
      </c>
      <c r="F11" s="310"/>
      <c r="G11" s="310"/>
      <c r="H11" s="310"/>
      <c r="I11" s="283"/>
      <c r="J11" s="283"/>
      <c r="K11" s="283"/>
      <c r="L11" s="283"/>
      <c r="M11" s="283"/>
      <c r="N11" s="283"/>
      <c r="O11" s="283"/>
      <c r="P11" s="283"/>
      <c r="Q11" s="278"/>
      <c r="R11" s="278"/>
      <c r="S11" s="278"/>
      <c r="T11" s="278"/>
      <c r="U11" s="278"/>
      <c r="V11" s="278"/>
      <c r="W11" s="278"/>
      <c r="X11" s="278"/>
      <c r="Y11" s="278"/>
      <c r="Z11" s="278"/>
      <c r="AA11" s="278"/>
      <c r="AB11" s="278"/>
      <c r="AC11" s="278"/>
    </row>
    <row r="12" ht="15.75" customHeight="1">
      <c r="A12" s="302" t="str">
        <f>IFERROR(__xludf.DUMMYFUNCTION("""COMPUTED_VALUE"""),"アムタス")</f>
        <v>アムタス</v>
      </c>
      <c r="B12" s="291">
        <f>IFERROR(__xludf.DUMMYFUNCTION("""COMPUTED_VALUE"""),44810.0)</f>
        <v>44810</v>
      </c>
      <c r="C12" s="292"/>
      <c r="D12" s="293" t="str">
        <f>IFERROR(__xludf.DUMMYFUNCTION("""COMPUTED_VALUE"""),"10月配信予定")</f>
        <v>10月配信予定</v>
      </c>
      <c r="E12" s="290" t="str">
        <f>IFERROR(__xludf.DUMMYFUNCTION("""COMPUTED_VALUE"""),"偽装カレシに愛されてしまいました")</f>
        <v>偽装カレシに愛されてしまいました</v>
      </c>
      <c r="F12" s="298"/>
      <c r="G12" s="298"/>
      <c r="H12" s="298" t="str">
        <f>IFERROR(__xludf.DUMMYFUNCTION("""COMPUTED_VALUE"""),"出版社都合")</f>
        <v>出版社都合</v>
      </c>
      <c r="I12" s="283"/>
      <c r="J12" s="283"/>
      <c r="K12" s="283"/>
      <c r="L12" s="283"/>
      <c r="M12" s="283"/>
      <c r="N12" s="283"/>
      <c r="O12" s="283"/>
      <c r="P12" s="283"/>
      <c r="Q12" s="278"/>
      <c r="R12" s="278"/>
      <c r="S12" s="278"/>
      <c r="T12" s="278"/>
      <c r="U12" s="278"/>
      <c r="V12" s="278"/>
      <c r="W12" s="278"/>
      <c r="X12" s="278"/>
      <c r="Y12" s="278"/>
      <c r="Z12" s="278"/>
      <c r="AA12" s="278"/>
      <c r="AB12" s="278"/>
      <c r="AC12" s="278"/>
    </row>
    <row r="13" ht="15.75" customHeight="1">
      <c r="A13" s="290" t="str">
        <f>IFERROR(__xludf.DUMMYFUNCTION("""COMPUTED_VALUE"""),"アムタス")</f>
        <v>アムタス</v>
      </c>
      <c r="B13" s="291">
        <f>IFERROR(__xludf.DUMMYFUNCTION("""COMPUTED_VALUE"""),44987.0)</f>
        <v>44987</v>
      </c>
      <c r="C13" s="292"/>
      <c r="D13" s="293">
        <f>IFERROR(__xludf.DUMMYFUNCTION("""COMPUTED_VALUE"""),256430.0)</f>
        <v>256430</v>
      </c>
      <c r="E13" s="290" t="str">
        <f>IFERROR(__xludf.DUMMYFUNCTION("""COMPUTED_VALUE"""),"わたし、今日から「おひとりさま」")</f>
        <v>わたし、今日から「おひとりさま」</v>
      </c>
      <c r="F13" s="298"/>
      <c r="G13" s="298"/>
      <c r="H13" s="298" t="str">
        <f>IFERROR(__xludf.DUMMYFUNCTION("""COMPUTED_VALUE"""),"出版社側で出稿NG")</f>
        <v>出版社側で出稿NG</v>
      </c>
      <c r="I13" s="283"/>
      <c r="J13" s="283"/>
      <c r="K13" s="283"/>
      <c r="L13" s="283"/>
      <c r="M13" s="283"/>
      <c r="N13" s="283"/>
      <c r="O13" s="283"/>
      <c r="P13" s="283"/>
      <c r="Q13" s="278"/>
      <c r="R13" s="278"/>
      <c r="S13" s="278"/>
      <c r="T13" s="278"/>
      <c r="U13" s="278"/>
      <c r="V13" s="278"/>
      <c r="W13" s="278"/>
      <c r="X13" s="278"/>
      <c r="Y13" s="278"/>
      <c r="Z13" s="278"/>
      <c r="AA13" s="278"/>
      <c r="AB13" s="278"/>
      <c r="AC13" s="278"/>
    </row>
    <row r="14" ht="15.75" customHeight="1">
      <c r="A14" s="302" t="str">
        <f>IFERROR(__xludf.DUMMYFUNCTION("""COMPUTED_VALUE"""),"オークラ出版")</f>
        <v>オークラ出版</v>
      </c>
      <c r="B14" s="301">
        <f>IFERROR(__xludf.DUMMYFUNCTION("""COMPUTED_VALUE"""),43908.0)</f>
        <v>43908</v>
      </c>
      <c r="C14" s="292"/>
      <c r="D14" s="297">
        <f>IFERROR(__xludf.DUMMYFUNCTION("""COMPUTED_VALUE"""),62813.0)</f>
        <v>62813</v>
      </c>
      <c r="E14" s="302" t="str">
        <f>IFERROR(__xludf.DUMMYFUNCTION("""COMPUTED_VALUE"""),"かわいさ余って何かが百倍")</f>
        <v>かわいさ余って何かが百倍</v>
      </c>
      <c r="F14" s="310"/>
      <c r="G14" s="310"/>
      <c r="H14" s="310"/>
      <c r="I14" s="283"/>
      <c r="J14" s="283"/>
      <c r="K14" s="283"/>
      <c r="L14" s="283"/>
      <c r="M14" s="283"/>
      <c r="N14" s="283"/>
      <c r="O14" s="283"/>
      <c r="P14" s="283"/>
      <c r="Q14" s="278"/>
      <c r="R14" s="278"/>
      <c r="S14" s="278"/>
      <c r="T14" s="278"/>
      <c r="U14" s="278"/>
      <c r="V14" s="278"/>
      <c r="W14" s="278"/>
      <c r="X14" s="278"/>
      <c r="Y14" s="278"/>
      <c r="Z14" s="278"/>
      <c r="AA14" s="278"/>
      <c r="AB14" s="278"/>
      <c r="AC14" s="278"/>
    </row>
    <row r="15">
      <c r="A15" s="303" t="str">
        <f>IFERROR(__xludf.DUMMYFUNCTION("""COMPUTED_VALUE"""),"ノース・スターズ・ピクチャーズ")</f>
        <v>ノース・スターズ・ピクチャーズ</v>
      </c>
      <c r="B15" s="301">
        <f>IFERROR(__xludf.DUMMYFUNCTION("""COMPUTED_VALUE"""),43908.0)</f>
        <v>43908</v>
      </c>
      <c r="C15" s="292"/>
      <c r="D15" s="297">
        <f>IFERROR(__xludf.DUMMYFUNCTION("""COMPUTED_VALUE"""),67697.0)</f>
        <v>67697</v>
      </c>
      <c r="E15" s="303" t="str">
        <f>IFERROR(__xludf.DUMMYFUNCTION("""COMPUTED_VALUE"""),"喰う寝るふたり 住むふたり")</f>
        <v>喰う寝るふたり 住むふたり</v>
      </c>
      <c r="F15" s="311"/>
      <c r="G15" s="311"/>
      <c r="H15" s="311"/>
      <c r="I15" s="283"/>
      <c r="J15" s="283"/>
      <c r="K15" s="283"/>
      <c r="L15" s="283"/>
      <c r="M15" s="283"/>
      <c r="N15" s="283"/>
      <c r="O15" s="283"/>
      <c r="P15" s="283"/>
      <c r="Q15" s="278"/>
      <c r="R15" s="278"/>
      <c r="S15" s="278"/>
      <c r="T15" s="278"/>
      <c r="U15" s="278"/>
      <c r="V15" s="278"/>
      <c r="W15" s="278"/>
      <c r="X15" s="278"/>
      <c r="Y15" s="278"/>
      <c r="Z15" s="278"/>
      <c r="AA15" s="278"/>
      <c r="AB15" s="278"/>
      <c r="AC15" s="278"/>
    </row>
    <row r="16" ht="15.75" customHeight="1">
      <c r="A16" s="303" t="str">
        <f>IFERROR(__xludf.DUMMYFUNCTION("""COMPUTED_VALUE"""),"幻冬舎コミックス")</f>
        <v>幻冬舎コミックス</v>
      </c>
      <c r="B16" s="312">
        <f>IFERROR(__xludf.DUMMYFUNCTION("""COMPUTED_VALUE"""),43970.0)</f>
        <v>43970</v>
      </c>
      <c r="C16" s="313"/>
      <c r="D16" s="314">
        <f>IFERROR(__xludf.DUMMYFUNCTION("""COMPUTED_VALUE"""),54147.0)</f>
        <v>54147</v>
      </c>
      <c r="E16" s="303" t="str">
        <f>IFERROR(__xludf.DUMMYFUNCTION("""COMPUTED_VALUE"""),"お金がないっ")</f>
        <v>お金がないっ</v>
      </c>
      <c r="F16" s="311"/>
      <c r="G16" s="311"/>
      <c r="H16" s="311"/>
      <c r="I16" s="283"/>
      <c r="J16" s="283"/>
      <c r="K16" s="283"/>
      <c r="L16" s="283"/>
      <c r="M16" s="283"/>
      <c r="N16" s="283"/>
      <c r="O16" s="283"/>
      <c r="P16" s="283"/>
      <c r="Q16" s="278"/>
      <c r="R16" s="278"/>
      <c r="S16" s="278"/>
      <c r="T16" s="278"/>
      <c r="U16" s="278"/>
      <c r="V16" s="278"/>
      <c r="W16" s="278"/>
      <c r="X16" s="278"/>
      <c r="Y16" s="278"/>
      <c r="Z16" s="278"/>
      <c r="AA16" s="278"/>
      <c r="AB16" s="278"/>
      <c r="AC16" s="278"/>
    </row>
    <row r="17" ht="15.75" customHeight="1">
      <c r="A17" s="302" t="str">
        <f>IFERROR(__xludf.DUMMYFUNCTION("""COMPUTED_VALUE"""),"集英社")</f>
        <v>集英社</v>
      </c>
      <c r="B17" s="301">
        <f>IFERROR(__xludf.DUMMYFUNCTION("""COMPUTED_VALUE"""),43908.0)</f>
        <v>43908</v>
      </c>
      <c r="C17" s="292"/>
      <c r="D17" s="297">
        <f>IFERROR(__xludf.DUMMYFUNCTION("""COMPUTED_VALUE"""),173737.0)</f>
        <v>173737</v>
      </c>
      <c r="E17" s="302" t="str">
        <f>IFERROR(__xludf.DUMMYFUNCTION("""COMPUTED_VALUE"""),"パワーザキティ　イチゴマン")</f>
        <v>パワーザキティ　イチゴマン</v>
      </c>
      <c r="F17" s="310"/>
      <c r="G17" s="310"/>
      <c r="H17" s="310"/>
      <c r="I17" s="283"/>
      <c r="J17" s="283"/>
      <c r="K17" s="283"/>
      <c r="L17" s="283"/>
      <c r="M17" s="283"/>
      <c r="N17" s="283"/>
      <c r="O17" s="283"/>
      <c r="P17" s="283"/>
      <c r="Q17" s="278"/>
      <c r="R17" s="278"/>
      <c r="S17" s="278"/>
      <c r="T17" s="278"/>
      <c r="U17" s="278"/>
      <c r="V17" s="278"/>
      <c r="W17" s="278"/>
      <c r="X17" s="278"/>
      <c r="Y17" s="278"/>
      <c r="Z17" s="278"/>
      <c r="AA17" s="278"/>
      <c r="AB17" s="278"/>
      <c r="AC17" s="278"/>
    </row>
    <row r="18" ht="15.75" customHeight="1">
      <c r="A18" s="302" t="str">
        <f>IFERROR(__xludf.DUMMYFUNCTION("""COMPUTED_VALUE"""),"集英社")</f>
        <v>集英社</v>
      </c>
      <c r="B18" s="301">
        <f>IFERROR(__xludf.DUMMYFUNCTION("""COMPUTED_VALUE"""),43908.0)</f>
        <v>43908</v>
      </c>
      <c r="C18" s="292"/>
      <c r="D18" s="297">
        <f>IFERROR(__xludf.DUMMYFUNCTION("""COMPUTED_VALUE"""),188243.0)</f>
        <v>188243</v>
      </c>
      <c r="E18" s="302" t="str">
        <f>IFERROR(__xludf.DUMMYFUNCTION("""COMPUTED_VALUE"""),"リアル")</f>
        <v>リアル</v>
      </c>
      <c r="F18" s="310"/>
      <c r="G18" s="310"/>
      <c r="H18" s="310"/>
      <c r="I18" s="283"/>
      <c r="J18" s="283"/>
      <c r="K18" s="283"/>
      <c r="L18" s="283"/>
      <c r="M18" s="283"/>
      <c r="N18" s="283"/>
      <c r="O18" s="283"/>
      <c r="P18" s="283"/>
      <c r="Q18" s="278"/>
      <c r="R18" s="278"/>
      <c r="S18" s="278"/>
      <c r="T18" s="278"/>
      <c r="U18" s="278"/>
      <c r="V18" s="278"/>
      <c r="W18" s="278"/>
      <c r="X18" s="278"/>
      <c r="Y18" s="278"/>
      <c r="Z18" s="278"/>
      <c r="AA18" s="278"/>
      <c r="AB18" s="278"/>
      <c r="AC18" s="278"/>
    </row>
    <row r="19" ht="15.75" customHeight="1">
      <c r="A19" s="303" t="str">
        <f>IFERROR(__xludf.DUMMYFUNCTION("""COMPUTED_VALUE"""),"TOブックス")</f>
        <v>TOブックス</v>
      </c>
      <c r="B19" s="312">
        <f>IFERROR(__xludf.DUMMYFUNCTION("""COMPUTED_VALUE"""),43987.0)</f>
        <v>43987</v>
      </c>
      <c r="C19" s="292"/>
      <c r="D19" s="297">
        <f>IFERROR(__xludf.DUMMYFUNCTION("""COMPUTED_VALUE"""),129730.0)</f>
        <v>129730</v>
      </c>
      <c r="E19" s="315" t="str">
        <f>IFERROR(__xludf.DUMMYFUNCTION("""COMPUTED_VALUE"""),"S〔エス〕-君と、彼女と、運命と")</f>
        <v>S〔エス〕-君と、彼女と、運命と</v>
      </c>
      <c r="F19" s="316"/>
      <c r="G19" s="316"/>
      <c r="H19" s="316"/>
      <c r="I19" s="283"/>
      <c r="J19" s="283"/>
      <c r="K19" s="283"/>
      <c r="L19" s="283"/>
      <c r="M19" s="283"/>
      <c r="N19" s="283"/>
      <c r="O19" s="283"/>
      <c r="P19" s="283"/>
      <c r="Q19" s="278"/>
      <c r="R19" s="278"/>
      <c r="S19" s="278"/>
      <c r="T19" s="278"/>
      <c r="U19" s="278"/>
      <c r="V19" s="278"/>
      <c r="W19" s="278"/>
      <c r="X19" s="278"/>
      <c r="Y19" s="278"/>
      <c r="Z19" s="278"/>
      <c r="AA19" s="278"/>
      <c r="AB19" s="278"/>
      <c r="AC19" s="278"/>
    </row>
    <row r="20" ht="15.75" customHeight="1">
      <c r="A20" s="303" t="str">
        <f>IFERROR(__xludf.DUMMYFUNCTION("""COMPUTED_VALUE"""),"TOブックス")</f>
        <v>TOブックス</v>
      </c>
      <c r="B20" s="312">
        <f>IFERROR(__xludf.DUMMYFUNCTION("""COMPUTED_VALUE"""),43987.0)</f>
        <v>43987</v>
      </c>
      <c r="C20" s="292"/>
      <c r="D20" s="297">
        <f>IFERROR(__xludf.DUMMYFUNCTION("""COMPUTED_VALUE"""),139757.0)</f>
        <v>139757</v>
      </c>
      <c r="E20" s="315" t="str">
        <f>IFERROR(__xludf.DUMMYFUNCTION("""COMPUTED_VALUE"""),"嘘つきは爆乳の始まり")</f>
        <v>嘘つきは爆乳の始まり</v>
      </c>
      <c r="F20" s="316"/>
      <c r="G20" s="316"/>
      <c r="H20" s="316"/>
      <c r="I20" s="283"/>
      <c r="J20" s="283"/>
      <c r="K20" s="283"/>
      <c r="L20" s="283"/>
      <c r="M20" s="283"/>
      <c r="N20" s="283"/>
      <c r="O20" s="283"/>
      <c r="P20" s="283"/>
      <c r="Q20" s="278"/>
      <c r="R20" s="278"/>
      <c r="S20" s="278"/>
      <c r="T20" s="278"/>
      <c r="U20" s="278"/>
      <c r="V20" s="278"/>
      <c r="W20" s="278"/>
      <c r="X20" s="278"/>
      <c r="Y20" s="278"/>
      <c r="Z20" s="278"/>
      <c r="AA20" s="278"/>
      <c r="AB20" s="278"/>
      <c r="AC20" s="278"/>
    </row>
    <row r="21">
      <c r="A21" s="303" t="str">
        <f>IFERROR(__xludf.DUMMYFUNCTION("""COMPUTED_VALUE"""),"アース・スター エンターテイメント")</f>
        <v>アース・スター エンターテイメント</v>
      </c>
      <c r="B21" s="312">
        <f>IFERROR(__xludf.DUMMYFUNCTION("""COMPUTED_VALUE"""),43987.0)</f>
        <v>43987</v>
      </c>
      <c r="C21" s="292"/>
      <c r="D21" s="297">
        <f>IFERROR(__xludf.DUMMYFUNCTION("""COMPUTED_VALUE"""),122912.0)</f>
        <v>122912</v>
      </c>
      <c r="E21" s="317" t="str">
        <f>IFERROR(__xludf.DUMMYFUNCTION("""COMPUTED_VALUE"""),"外れたみんなの頭のネジ")</f>
        <v>外れたみんなの頭のネジ</v>
      </c>
      <c r="F21" s="318"/>
      <c r="G21" s="318"/>
      <c r="H21" s="318" t="str">
        <f>IFERROR(__xludf.DUMMYFUNCTION("""COMPUTED_VALUE"""),"SNS禁止")</f>
        <v>SNS禁止</v>
      </c>
      <c r="I21" s="283"/>
      <c r="J21" s="283"/>
      <c r="K21" s="283"/>
      <c r="L21" s="283"/>
      <c r="M21" s="283"/>
      <c r="N21" s="283"/>
      <c r="O21" s="283"/>
      <c r="P21" s="283"/>
      <c r="Q21" s="278"/>
      <c r="R21" s="278"/>
      <c r="S21" s="278"/>
      <c r="T21" s="278"/>
      <c r="U21" s="278"/>
      <c r="V21" s="278"/>
      <c r="W21" s="278"/>
      <c r="X21" s="278"/>
      <c r="Y21" s="278"/>
      <c r="Z21" s="278"/>
      <c r="AA21" s="278"/>
      <c r="AB21" s="278"/>
      <c r="AC21" s="278"/>
    </row>
    <row r="22" ht="15.75" customHeight="1">
      <c r="A22" s="303" t="str">
        <f>IFERROR(__xludf.DUMMYFUNCTION("""COMPUTED_VALUE"""),"ジュリアンパブリッシング")</f>
        <v>ジュリアンパブリッシング</v>
      </c>
      <c r="B22" s="312">
        <f>IFERROR(__xludf.DUMMYFUNCTION("""COMPUTED_VALUE"""),43987.0)</f>
        <v>43987</v>
      </c>
      <c r="C22" s="292"/>
      <c r="D22" s="297"/>
      <c r="E22" s="317" t="str">
        <f>IFERROR(__xludf.DUMMYFUNCTION("""COMPUTED_VALUE"""),"探偵シナイ‐undetective‐")</f>
        <v>探偵シナイ‐undetective‐</v>
      </c>
      <c r="F22" s="318"/>
      <c r="G22" s="318"/>
      <c r="H22" s="318"/>
      <c r="I22" s="283"/>
      <c r="J22" s="283"/>
      <c r="K22" s="283"/>
      <c r="L22" s="283"/>
      <c r="M22" s="283"/>
      <c r="N22" s="283"/>
      <c r="O22" s="283"/>
      <c r="P22" s="283"/>
      <c r="Q22" s="278"/>
      <c r="R22" s="278"/>
      <c r="S22" s="278"/>
      <c r="T22" s="278"/>
      <c r="U22" s="278"/>
      <c r="V22" s="278"/>
      <c r="W22" s="278"/>
      <c r="X22" s="278"/>
      <c r="Y22" s="278"/>
      <c r="Z22" s="278"/>
      <c r="AA22" s="278"/>
      <c r="AB22" s="278"/>
      <c r="AC22" s="278"/>
    </row>
    <row r="23" ht="15.75" customHeight="1">
      <c r="A23" s="303" t="str">
        <f>IFERROR(__xludf.DUMMYFUNCTION("""COMPUTED_VALUE"""),"小学館")</f>
        <v>小学館</v>
      </c>
      <c r="B23" s="312">
        <f>IFERROR(__xludf.DUMMYFUNCTION("""COMPUTED_VALUE"""),44004.0)</f>
        <v>44004</v>
      </c>
      <c r="C23" s="292"/>
      <c r="D23" s="297">
        <f>IFERROR(__xludf.DUMMYFUNCTION("""COMPUTED_VALUE"""),166385.0)</f>
        <v>166385</v>
      </c>
      <c r="E23" s="303" t="str">
        <f>IFERROR(__xludf.DUMMYFUNCTION("""COMPUTED_VALUE"""),"人妻転落")</f>
        <v>人妻転落</v>
      </c>
      <c r="F23" s="310"/>
      <c r="G23" s="310"/>
      <c r="H23" s="310"/>
      <c r="I23" s="283"/>
      <c r="J23" s="283"/>
      <c r="K23" s="283"/>
      <c r="L23" s="283"/>
      <c r="M23" s="283"/>
      <c r="N23" s="283"/>
      <c r="O23" s="283"/>
      <c r="P23" s="283"/>
      <c r="Q23" s="278"/>
      <c r="R23" s="278"/>
      <c r="S23" s="278"/>
      <c r="T23" s="278"/>
      <c r="U23" s="278"/>
      <c r="V23" s="278"/>
      <c r="W23" s="278"/>
      <c r="X23" s="278"/>
      <c r="Y23" s="278"/>
      <c r="Z23" s="278"/>
      <c r="AA23" s="278"/>
      <c r="AB23" s="278"/>
      <c r="AC23" s="278"/>
    </row>
    <row r="24" ht="15.75" customHeight="1">
      <c r="A24" s="303" t="str">
        <f>IFERROR(__xludf.DUMMYFUNCTION("""COMPUTED_VALUE"""),"ぶんか社")</f>
        <v>ぶんか社</v>
      </c>
      <c r="B24" s="312">
        <f>IFERROR(__xludf.DUMMYFUNCTION("""COMPUTED_VALUE"""),44004.0)</f>
        <v>44004</v>
      </c>
      <c r="C24" s="292"/>
      <c r="D24" s="297">
        <f>IFERROR(__xludf.DUMMYFUNCTION("""COMPUTED_VALUE"""),168138.0)</f>
        <v>168138</v>
      </c>
      <c r="E24" s="303" t="str">
        <f>IFERROR(__xludf.DUMMYFUNCTION("""COMPUTED_VALUE"""),"高級娼婦たちの寝室～プロフェッショナルな女～")</f>
        <v>高級娼婦たちの寝室～プロフェッショナルな女～</v>
      </c>
      <c r="F24" s="310"/>
      <c r="G24" s="310"/>
      <c r="H24" s="310"/>
      <c r="I24" s="283"/>
      <c r="J24" s="283"/>
      <c r="K24" s="283"/>
      <c r="L24" s="283"/>
      <c r="M24" s="283"/>
      <c r="N24" s="283"/>
      <c r="O24" s="283"/>
      <c r="P24" s="283"/>
      <c r="Q24" s="278"/>
      <c r="R24" s="278"/>
      <c r="S24" s="278"/>
      <c r="T24" s="278"/>
      <c r="U24" s="278"/>
      <c r="V24" s="278"/>
      <c r="W24" s="278"/>
      <c r="X24" s="278"/>
      <c r="Y24" s="278"/>
      <c r="Z24" s="278"/>
      <c r="AA24" s="278"/>
      <c r="AB24" s="278"/>
      <c r="AC24" s="278"/>
    </row>
    <row r="25" ht="15.75" customHeight="1">
      <c r="A25" s="303" t="str">
        <f>IFERROR(__xludf.DUMMYFUNCTION("""COMPUTED_VALUE"""),"一迅社")</f>
        <v>一迅社</v>
      </c>
      <c r="B25" s="312">
        <f>IFERROR(__xludf.DUMMYFUNCTION("""COMPUTED_VALUE"""),44006.0)</f>
        <v>44006</v>
      </c>
      <c r="C25" s="319"/>
      <c r="D25" s="297">
        <f>IFERROR(__xludf.DUMMYFUNCTION("""COMPUTED_VALUE"""),136146.0)</f>
        <v>136146</v>
      </c>
      <c r="E25" s="320" t="str">
        <f>IFERROR(__xludf.DUMMYFUNCTION("""COMPUTED_VALUE"""),"こんなバカネコ好きになるわけが")</f>
        <v>こんなバカネコ好きになるわけが</v>
      </c>
      <c r="F25" s="310"/>
      <c r="G25" s="310"/>
      <c r="H25" s="310" t="str">
        <f>IFERROR(__xludf.DUMMYFUNCTION("""COMPUTED_VALUE"""),"2020/9/14で配信停止のため、9/15以降はNG")</f>
        <v>2020/9/14で配信停止のため、9/15以降はNG</v>
      </c>
      <c r="I25" s="283"/>
      <c r="J25" s="283"/>
      <c r="K25" s="283"/>
      <c r="L25" s="283"/>
      <c r="M25" s="283"/>
      <c r="N25" s="283"/>
      <c r="O25" s="283"/>
      <c r="P25" s="283"/>
      <c r="Q25" s="278"/>
      <c r="R25" s="278"/>
      <c r="S25" s="278"/>
      <c r="T25" s="278"/>
      <c r="U25" s="278"/>
      <c r="V25" s="278"/>
      <c r="W25" s="278"/>
      <c r="X25" s="278"/>
      <c r="Y25" s="278"/>
      <c r="Z25" s="278"/>
      <c r="AA25" s="278"/>
      <c r="AB25" s="278"/>
      <c r="AC25" s="278"/>
    </row>
    <row r="26" ht="15.75" customHeight="1">
      <c r="A26" s="290" t="str">
        <f>IFERROR(__xludf.DUMMYFUNCTION("""COMPUTED_VALUE"""),"NINO")</f>
        <v>NINO</v>
      </c>
      <c r="B26" s="291">
        <f>IFERROR(__xludf.DUMMYFUNCTION("""COMPUTED_VALUE"""),44132.0)</f>
        <v>44132</v>
      </c>
      <c r="C26" s="296"/>
      <c r="D26" s="293">
        <f>IFERROR(__xludf.DUMMYFUNCTION("""COMPUTED_VALUE"""),212404.0)</f>
        <v>212404</v>
      </c>
      <c r="E26" s="290" t="str">
        <f>IFERROR(__xludf.DUMMYFUNCTION("""COMPUTED_VALUE"""),"ピュアホワイトアウト")</f>
        <v>ピュアホワイトアウト</v>
      </c>
      <c r="F26" s="298"/>
      <c r="G26" s="298"/>
      <c r="H26" s="298" t="str">
        <f>IFERROR(__xludf.DUMMYFUNCTION("""COMPUTED_VALUE"""),"2020/12/11配信、事前共有です")</f>
        <v>2020/12/11配信、事前共有です</v>
      </c>
      <c r="I26" s="283"/>
      <c r="J26" s="283"/>
      <c r="K26" s="283"/>
      <c r="L26" s="283"/>
      <c r="M26" s="283"/>
      <c r="N26" s="283"/>
      <c r="O26" s="283"/>
      <c r="P26" s="283"/>
      <c r="Q26" s="278"/>
      <c r="R26" s="278"/>
      <c r="S26" s="278"/>
      <c r="T26" s="278"/>
      <c r="U26" s="278"/>
      <c r="V26" s="278"/>
      <c r="W26" s="278"/>
      <c r="X26" s="278"/>
      <c r="Y26" s="278"/>
      <c r="Z26" s="278"/>
      <c r="AA26" s="278"/>
      <c r="AB26" s="278"/>
      <c r="AC26" s="278"/>
    </row>
    <row r="27" ht="15.75" customHeight="1">
      <c r="A27" s="321" t="str">
        <f>IFERROR(__xludf.DUMMYFUNCTION("""COMPUTED_VALUE"""),"NINO")</f>
        <v>NINO</v>
      </c>
      <c r="B27" s="322">
        <f>IFERROR(__xludf.DUMMYFUNCTION("""COMPUTED_VALUE"""),44132.0)</f>
        <v>44132</v>
      </c>
      <c r="C27" s="306"/>
      <c r="D27" s="307"/>
      <c r="E27" s="321" t="str">
        <f>IFERROR(__xludf.DUMMYFUNCTION("""COMPUTED_VALUE"""),"SNSに溺れる女たち～炎上女図鑑～")</f>
        <v>SNSに溺れる女たち～炎上女図鑑～</v>
      </c>
      <c r="F27" s="309"/>
      <c r="G27" s="309"/>
      <c r="H27" s="309" t="str">
        <f>IFERROR(__xludf.DUMMYFUNCTION("""COMPUTED_VALUE"""),"2021/4/21出稿OKになりました。")</f>
        <v>2021/4/21出稿OKになりました。</v>
      </c>
      <c r="I27" s="283"/>
      <c r="J27" s="283"/>
      <c r="K27" s="283"/>
      <c r="L27" s="283"/>
      <c r="M27" s="283"/>
      <c r="N27" s="283"/>
      <c r="O27" s="283"/>
      <c r="P27" s="283"/>
      <c r="Q27" s="278"/>
      <c r="R27" s="278"/>
      <c r="S27" s="278"/>
      <c r="T27" s="278"/>
      <c r="U27" s="278"/>
      <c r="V27" s="278"/>
      <c r="W27" s="278"/>
      <c r="X27" s="278"/>
      <c r="Y27" s="278"/>
      <c r="Z27" s="278"/>
      <c r="AA27" s="278"/>
      <c r="AB27" s="278"/>
      <c r="AC27" s="278"/>
    </row>
    <row r="28" ht="15.75" customHeight="1">
      <c r="A28" s="321" t="str">
        <f>IFERROR(__xludf.DUMMYFUNCTION("""COMPUTED_VALUE"""),"NINO")</f>
        <v>NINO</v>
      </c>
      <c r="B28" s="322">
        <f>IFERROR(__xludf.DUMMYFUNCTION("""COMPUTED_VALUE"""),44148.0)</f>
        <v>44148</v>
      </c>
      <c r="C28" s="323"/>
      <c r="D28" s="324">
        <f>IFERROR(__xludf.DUMMYFUNCTION("""COMPUTED_VALUE"""),169305.0)</f>
        <v>169305</v>
      </c>
      <c r="E28" s="321" t="str">
        <f>IFERROR(__xludf.DUMMYFUNCTION("""COMPUTED_VALUE"""),"SNSに溺れる女たち")</f>
        <v>SNSに溺れる女たち</v>
      </c>
      <c r="F28" s="309"/>
      <c r="G28" s="309"/>
      <c r="H28" s="309" t="str">
        <f>IFERROR(__xludf.DUMMYFUNCTION("""COMPUTED_VALUE"""),"2021/4/21出稿OKになりました。")</f>
        <v>2021/4/21出稿OKになりました。</v>
      </c>
      <c r="I28" s="283"/>
      <c r="J28" s="283"/>
      <c r="K28" s="283"/>
      <c r="L28" s="283"/>
      <c r="M28" s="283"/>
      <c r="N28" s="283"/>
      <c r="O28" s="283"/>
      <c r="P28" s="283"/>
      <c r="Q28" s="278"/>
      <c r="R28" s="278"/>
      <c r="S28" s="278"/>
      <c r="T28" s="278"/>
      <c r="U28" s="278"/>
      <c r="V28" s="278"/>
      <c r="W28" s="278"/>
      <c r="X28" s="278"/>
      <c r="Y28" s="278"/>
      <c r="Z28" s="278"/>
      <c r="AA28" s="278"/>
      <c r="AB28" s="278"/>
      <c r="AC28" s="278"/>
    </row>
    <row r="29" ht="15.75" customHeight="1">
      <c r="A29" s="290" t="str">
        <f>IFERROR(__xludf.DUMMYFUNCTION("""COMPUTED_VALUE"""),"FOD")</f>
        <v>FOD</v>
      </c>
      <c r="B29" s="291">
        <f>IFERROR(__xludf.DUMMYFUNCTION("""COMPUTED_VALUE"""),44216.0)</f>
        <v>44216</v>
      </c>
      <c r="C29" s="296"/>
      <c r="D29" s="293">
        <f>IFERROR(__xludf.DUMMYFUNCTION("""COMPUTED_VALUE"""),212448.0)</f>
        <v>212448</v>
      </c>
      <c r="E29" s="290" t="str">
        <f>IFERROR(__xludf.DUMMYFUNCTION("""COMPUTED_VALUE"""),"スイート リベンジ")</f>
        <v>スイート リベンジ</v>
      </c>
      <c r="F29" s="310"/>
      <c r="G29" s="310"/>
      <c r="H29" s="310"/>
      <c r="I29" s="283"/>
      <c r="J29" s="283"/>
      <c r="K29" s="283"/>
      <c r="L29" s="283"/>
      <c r="M29" s="283"/>
      <c r="N29" s="283"/>
      <c r="O29" s="283"/>
      <c r="P29" s="283"/>
      <c r="Q29" s="278"/>
      <c r="R29" s="278"/>
      <c r="S29" s="278"/>
      <c r="T29" s="278"/>
      <c r="U29" s="278"/>
      <c r="V29" s="278"/>
      <c r="W29" s="278"/>
      <c r="X29" s="278"/>
      <c r="Y29" s="278"/>
      <c r="Z29" s="278"/>
      <c r="AA29" s="278"/>
      <c r="AB29" s="278"/>
      <c r="AC29" s="278"/>
    </row>
    <row r="30" ht="15.75" customHeight="1">
      <c r="A30" s="290" t="str">
        <f>IFERROR(__xludf.DUMMYFUNCTION("""COMPUTED_VALUE"""),"太田出版")</f>
        <v>太田出版</v>
      </c>
      <c r="B30" s="291">
        <f>IFERROR(__xludf.DUMMYFUNCTION("""COMPUTED_VALUE"""),44273.0)</f>
        <v>44273</v>
      </c>
      <c r="C30" s="296"/>
      <c r="D30" s="293">
        <f>IFERROR(__xludf.DUMMYFUNCTION("""COMPUTED_VALUE"""),208059.0)</f>
        <v>208059</v>
      </c>
      <c r="E30" s="290" t="str">
        <f>IFERROR(__xludf.DUMMYFUNCTION("""COMPUTED_VALUE"""),"田舎")</f>
        <v>田舎</v>
      </c>
      <c r="F30" s="298"/>
      <c r="G30" s="298"/>
      <c r="H30" s="298" t="str">
        <f>IFERROR(__xludf.DUMMYFUNCTION("""COMPUTED_VALUE"""),"東京都の不健全図書として指定されているため")</f>
        <v>東京都の不健全図書として指定されているため</v>
      </c>
      <c r="I30" s="283"/>
      <c r="J30" s="283"/>
      <c r="K30" s="283"/>
      <c r="L30" s="283"/>
      <c r="M30" s="283"/>
      <c r="N30" s="283"/>
      <c r="O30" s="283"/>
      <c r="P30" s="283"/>
      <c r="Q30" s="278"/>
      <c r="R30" s="278"/>
      <c r="S30" s="278"/>
      <c r="T30" s="278"/>
      <c r="U30" s="278"/>
      <c r="V30" s="278"/>
      <c r="W30" s="278"/>
      <c r="X30" s="278"/>
      <c r="Y30" s="278"/>
      <c r="Z30" s="278"/>
      <c r="AA30" s="278"/>
      <c r="AB30" s="278"/>
      <c r="AC30" s="278"/>
    </row>
    <row r="31">
      <c r="A31" s="290" t="str">
        <f>IFERROR(__xludf.DUMMYFUNCTION("""COMPUTED_VALUE"""),"クロスフォリオ出版（旧：ブリック出版）")</f>
        <v>クロスフォリオ出版（旧：ブリック出版）</v>
      </c>
      <c r="B31" s="291">
        <f>IFERROR(__xludf.DUMMYFUNCTION("""COMPUTED_VALUE"""),44368.0)</f>
        <v>44368</v>
      </c>
      <c r="C31" s="296"/>
      <c r="D31" s="293">
        <f>IFERROR(__xludf.DUMMYFUNCTION("""COMPUTED_VALUE"""),175387.0)</f>
        <v>175387</v>
      </c>
      <c r="E31" s="290" t="str">
        <f>IFERROR(__xludf.DUMMYFUNCTION("""COMPUTED_VALUE"""),"王様ランキング")</f>
        <v>王様ランキング</v>
      </c>
      <c r="F31" s="298"/>
      <c r="G31" s="298"/>
      <c r="H31" s="298" t="str">
        <f>IFERROR(__xludf.DUMMYFUNCTION("""COMPUTED_VALUE"""),"作家さんの意向でNG")</f>
        <v>作家さんの意向でNG</v>
      </c>
      <c r="I31" s="283"/>
      <c r="J31" s="283"/>
      <c r="K31" s="283"/>
      <c r="L31" s="283"/>
      <c r="M31" s="283"/>
      <c r="N31" s="283"/>
      <c r="O31" s="283"/>
      <c r="P31" s="283"/>
      <c r="Q31" s="278"/>
      <c r="R31" s="278"/>
      <c r="S31" s="278"/>
      <c r="T31" s="278"/>
      <c r="U31" s="278"/>
      <c r="V31" s="278"/>
      <c r="W31" s="278"/>
      <c r="X31" s="278"/>
      <c r="Y31" s="278"/>
      <c r="Z31" s="278"/>
      <c r="AA31" s="278"/>
      <c r="AB31" s="278"/>
      <c r="AC31" s="278"/>
    </row>
    <row r="32">
      <c r="A32" s="290" t="str">
        <f>IFERROR(__xludf.DUMMYFUNCTION("""COMPUTED_VALUE"""),"クロスフォリオ出版（旧：ブリック出版）")</f>
        <v>クロスフォリオ出版（旧：ブリック出版）</v>
      </c>
      <c r="B32" s="291">
        <f>IFERROR(__xludf.DUMMYFUNCTION("""COMPUTED_VALUE"""),44952.0)</f>
        <v>44952</v>
      </c>
      <c r="C32" s="292"/>
      <c r="D32" s="293">
        <f>IFERROR(__xludf.DUMMYFUNCTION("""COMPUTED_VALUE"""),247702.0)</f>
        <v>247702</v>
      </c>
      <c r="E32" s="290" t="str">
        <f>IFERROR(__xludf.DUMMYFUNCTION("""COMPUTED_VALUE"""),"ヤラせてくれる先輩")</f>
        <v>ヤラせてくれる先輩</v>
      </c>
      <c r="F32" s="298"/>
      <c r="G32" s="298"/>
      <c r="H32" s="298" t="str">
        <f>IFERROR(__xludf.DUMMYFUNCTION("""COMPUTED_VALUE"""),"ソル判定　女の子が幼い見た目のため")</f>
        <v>ソル判定　女の子が幼い見た目のため</v>
      </c>
      <c r="I32" s="283"/>
      <c r="J32" s="283"/>
      <c r="K32" s="283"/>
      <c r="L32" s="283"/>
      <c r="M32" s="283"/>
      <c r="N32" s="283"/>
      <c r="O32" s="283"/>
      <c r="P32" s="283"/>
      <c r="Q32" s="278"/>
      <c r="R32" s="278"/>
      <c r="S32" s="278"/>
      <c r="T32" s="278"/>
      <c r="U32" s="278"/>
      <c r="V32" s="278"/>
      <c r="W32" s="278"/>
      <c r="X32" s="278"/>
      <c r="Y32" s="278"/>
      <c r="Z32" s="278"/>
      <c r="AA32" s="278"/>
      <c r="AB32" s="278"/>
      <c r="AC32" s="278"/>
    </row>
    <row r="33">
      <c r="A33" s="290" t="str">
        <f>IFERROR(__xludf.DUMMYFUNCTION("""COMPUTED_VALUE"""),"クロスフォリオ出版")</f>
        <v>クロスフォリオ出版</v>
      </c>
      <c r="B33" s="291">
        <f>IFERROR(__xludf.DUMMYFUNCTION("""COMPUTED_VALUE"""),45721.0)</f>
        <v>45721</v>
      </c>
      <c r="C33" s="292"/>
      <c r="D33" s="293">
        <f>IFERROR(__xludf.DUMMYFUNCTION("""COMPUTED_VALUE"""),314877.0)</f>
        <v>314877</v>
      </c>
      <c r="E33" s="290" t="str">
        <f>IFERROR(__xludf.DUMMYFUNCTION("""COMPUTED_VALUE"""),"MY SWEET BUNNY CAGE")</f>
        <v>MY SWEET BUNNY CAGE</v>
      </c>
      <c r="F33" s="298" t="str">
        <f>IFERROR(__xludf.DUMMYFUNCTION("""COMPUTED_VALUE"""),"閏あくあ 蓮井子鹿 parasite garden")</f>
        <v>閏あくあ 蓮井子鹿 parasite garden</v>
      </c>
      <c r="G33" s="298" t="str">
        <f>IFERROR(__xludf.DUMMYFUNCTION("""COMPUTED_VALUE"""),"TL")</f>
        <v>TL</v>
      </c>
      <c r="H33" s="298" t="str">
        <f>IFERROR(__xludf.DUMMYFUNCTION("""COMPUTED_VALUE"""),"一般面での出稿ＮＧ（アダルト面での出稿はＯＫ）")</f>
        <v>一般面での出稿ＮＧ（アダルト面での出稿はＯＫ）</v>
      </c>
      <c r="I33" s="283"/>
      <c r="J33" s="283"/>
      <c r="K33" s="283"/>
      <c r="L33" s="283"/>
      <c r="M33" s="283"/>
      <c r="N33" s="283"/>
      <c r="O33" s="283"/>
      <c r="P33" s="283"/>
      <c r="Q33" s="278"/>
      <c r="R33" s="278"/>
      <c r="S33" s="278"/>
      <c r="T33" s="278"/>
      <c r="U33" s="278"/>
      <c r="V33" s="278"/>
      <c r="W33" s="278"/>
      <c r="X33" s="278"/>
      <c r="Y33" s="278"/>
      <c r="Z33" s="278"/>
      <c r="AA33" s="278"/>
      <c r="AB33" s="278"/>
      <c r="AC33" s="278"/>
    </row>
    <row r="34">
      <c r="A34" s="325" t="str">
        <f>IFERROR(__xludf.DUMMYFUNCTION("""COMPUTED_VALUE"""),"GANMA!")</f>
        <v>GANMA!</v>
      </c>
      <c r="B34" s="326">
        <f>IFERROR(__xludf.DUMMYFUNCTION("""COMPUTED_VALUE"""),44274.0)</f>
        <v>44274</v>
      </c>
      <c r="C34" s="327">
        <f>IFERROR(__xludf.DUMMYFUNCTION("""COMPUTED_VALUE"""),45278.0)</f>
        <v>45278</v>
      </c>
      <c r="D34" s="328">
        <f>IFERROR(__xludf.DUMMYFUNCTION("""COMPUTED_VALUE"""),215516.0)</f>
        <v>215516</v>
      </c>
      <c r="E34" s="325" t="str">
        <f>IFERROR(__xludf.DUMMYFUNCTION("""COMPUTED_VALUE"""),"もし あなたが奪うなら")</f>
        <v>もし あなたが奪うなら</v>
      </c>
      <c r="F34" s="329"/>
      <c r="G34" s="329"/>
      <c r="H34" s="329" t="str">
        <f>IFERROR(__xludf.DUMMYFUNCTION("""COMPUTED_VALUE"""),"単話版（213755）も対象
（2023/12/18）NGタイトルリストが更新された為「出稿可」になります。")</f>
        <v>単話版（213755）も対象
（2023/12/18）NGタイトルリストが更新された為「出稿可」になります。</v>
      </c>
      <c r="I34" s="283"/>
      <c r="J34" s="283"/>
      <c r="K34" s="283"/>
      <c r="L34" s="283"/>
      <c r="M34" s="283"/>
      <c r="N34" s="283"/>
      <c r="O34" s="283"/>
      <c r="P34" s="283"/>
      <c r="Q34" s="278"/>
      <c r="R34" s="278"/>
      <c r="S34" s="278"/>
      <c r="T34" s="278"/>
      <c r="U34" s="278"/>
      <c r="V34" s="278"/>
      <c r="W34" s="278"/>
      <c r="X34" s="278"/>
      <c r="Y34" s="278"/>
      <c r="Z34" s="278"/>
      <c r="AA34" s="278"/>
      <c r="AB34" s="278"/>
      <c r="AC34" s="278"/>
    </row>
    <row r="35" ht="15.75" customHeight="1">
      <c r="A35" s="290" t="str">
        <f>IFERROR(__xludf.DUMMYFUNCTION("""COMPUTED_VALUE"""),"ファンギルド")</f>
        <v>ファンギルド</v>
      </c>
      <c r="B35" s="291">
        <f>IFERROR(__xludf.DUMMYFUNCTION("""COMPUTED_VALUE"""),44664.0)</f>
        <v>44664</v>
      </c>
      <c r="C35" s="292"/>
      <c r="D35" s="293">
        <f>IFERROR(__xludf.DUMMYFUNCTION("""COMPUTED_VALUE"""),235005.0)</f>
        <v>235005</v>
      </c>
      <c r="E35" s="290" t="str">
        <f>IFERROR(__xludf.DUMMYFUNCTION("""COMPUTED_VALUE"""),"大嫌いな運命の人")</f>
        <v>大嫌いな運命の人</v>
      </c>
      <c r="F35" s="310"/>
      <c r="G35" s="310"/>
      <c r="H35" s="310"/>
      <c r="I35" s="283"/>
      <c r="J35" s="283"/>
      <c r="K35" s="283"/>
      <c r="L35" s="283"/>
      <c r="M35" s="283"/>
      <c r="N35" s="283"/>
      <c r="O35" s="283"/>
      <c r="P35" s="283"/>
      <c r="Q35" s="278"/>
      <c r="R35" s="278"/>
      <c r="S35" s="278"/>
      <c r="T35" s="278"/>
      <c r="U35" s="278"/>
      <c r="V35" s="278"/>
      <c r="W35" s="278"/>
      <c r="X35" s="278"/>
      <c r="Y35" s="278"/>
      <c r="Z35" s="278"/>
      <c r="AA35" s="278"/>
      <c r="AB35" s="278"/>
      <c r="AC35" s="278"/>
    </row>
    <row r="36" ht="15.75" customHeight="1">
      <c r="A36" s="330" t="str">
        <f>IFERROR(__xludf.DUMMYFUNCTION("""COMPUTED_VALUE"""),"少年画報社/ビーグリー")</f>
        <v>少年画報社/ビーグリー</v>
      </c>
      <c r="B36" s="291">
        <f>IFERROR(__xludf.DUMMYFUNCTION("""COMPUTED_VALUE"""),44746.0)</f>
        <v>44746</v>
      </c>
      <c r="C36" s="292"/>
      <c r="D36" s="331">
        <f>IFERROR(__xludf.DUMMYFUNCTION("""COMPUTED_VALUE"""),191202.0)</f>
        <v>191202</v>
      </c>
      <c r="E36" s="330" t="str">
        <f>IFERROR(__xludf.DUMMYFUNCTION("""COMPUTED_VALUE"""),"勇者になれなかった俺は異世界で")</f>
        <v>勇者になれなかった俺は異世界で</v>
      </c>
      <c r="F36" s="298"/>
      <c r="G36" s="298"/>
      <c r="H36" s="298" t="str">
        <f>IFERROR(__xludf.DUMMYFUNCTION("""COMPUTED_VALUE"""),"作家都合")</f>
        <v>作家都合</v>
      </c>
      <c r="I36" s="283"/>
      <c r="J36" s="283"/>
      <c r="K36" s="283"/>
      <c r="L36" s="283"/>
      <c r="M36" s="283"/>
      <c r="N36" s="283"/>
      <c r="O36" s="283"/>
      <c r="P36" s="283"/>
      <c r="Q36" s="278"/>
      <c r="R36" s="278"/>
      <c r="S36" s="278"/>
      <c r="T36" s="278"/>
      <c r="U36" s="278"/>
      <c r="V36" s="278"/>
      <c r="W36" s="278"/>
      <c r="X36" s="278"/>
      <c r="Y36" s="278"/>
      <c r="Z36" s="278"/>
      <c r="AA36" s="278"/>
      <c r="AB36" s="278"/>
      <c r="AC36" s="278"/>
    </row>
    <row r="37">
      <c r="A37" s="290" t="str">
        <f>IFERROR(__xludf.DUMMYFUNCTION("""COMPUTED_VALUE"""),"ワニマガジン社")</f>
        <v>ワニマガジン社</v>
      </c>
      <c r="B37" s="291">
        <f>IFERROR(__xludf.DUMMYFUNCTION("""COMPUTED_VALUE"""),44753.0)</f>
        <v>44753</v>
      </c>
      <c r="C37" s="292"/>
      <c r="D37" s="293">
        <f>IFERROR(__xludf.DUMMYFUNCTION("""COMPUTED_VALUE"""),245140.0)</f>
        <v>245140</v>
      </c>
      <c r="E37" s="290" t="str">
        <f>IFERROR(__xludf.DUMMYFUNCTION("""COMPUTED_VALUE"""),"あなただけの雌になる【デジタル版限定おまけ付き】")</f>
        <v>あなただけの雌になる【デジタル版限定おまけ付き】</v>
      </c>
      <c r="F37" s="298"/>
      <c r="G37" s="298"/>
      <c r="H37" s="298" t="str">
        <f>IFERROR(__xludf.DUMMYFUNCTION("""COMPUTED_VALUE"""),"著者都合")</f>
        <v>著者都合</v>
      </c>
      <c r="I37" s="283"/>
      <c r="J37" s="283"/>
      <c r="K37" s="283"/>
      <c r="L37" s="283"/>
      <c r="M37" s="283"/>
      <c r="N37" s="283"/>
      <c r="O37" s="283"/>
      <c r="P37" s="283"/>
      <c r="Q37" s="278"/>
      <c r="R37" s="278"/>
      <c r="S37" s="278"/>
      <c r="T37" s="278"/>
      <c r="U37" s="278"/>
      <c r="V37" s="278"/>
      <c r="W37" s="278"/>
      <c r="X37" s="278"/>
      <c r="Y37" s="278"/>
      <c r="Z37" s="278"/>
      <c r="AA37" s="278"/>
      <c r="AB37" s="278"/>
      <c r="AC37" s="278"/>
    </row>
    <row r="38">
      <c r="A38" s="290" t="str">
        <f>IFERROR(__xludf.DUMMYFUNCTION("""COMPUTED_VALUE"""),"秋田書店")</f>
        <v>秋田書店</v>
      </c>
      <c r="B38" s="291">
        <f>IFERROR(__xludf.DUMMYFUNCTION("""COMPUTED_VALUE"""),44817.0)</f>
        <v>44817</v>
      </c>
      <c r="C38" s="292"/>
      <c r="D38" s="293">
        <f>IFERROR(__xludf.DUMMYFUNCTION("""COMPUTED_VALUE"""),243382.0)</f>
        <v>243382</v>
      </c>
      <c r="E38" s="290" t="str">
        <f>IFERROR(__xludf.DUMMYFUNCTION("""COMPUTED_VALUE"""),"サイコ×パスト 猟奇殺人潜入捜査")</f>
        <v>サイコ×パスト 猟奇殺人潜入捜査</v>
      </c>
      <c r="F38" s="298"/>
      <c r="G38" s="298"/>
      <c r="H38" s="298"/>
      <c r="I38" s="283"/>
      <c r="J38" s="283"/>
      <c r="K38" s="283"/>
      <c r="L38" s="283"/>
      <c r="M38" s="283"/>
      <c r="N38" s="283"/>
      <c r="O38" s="283"/>
      <c r="P38" s="283"/>
      <c r="Q38" s="278"/>
      <c r="R38" s="278"/>
      <c r="S38" s="278"/>
      <c r="T38" s="278"/>
      <c r="U38" s="278"/>
      <c r="V38" s="278"/>
      <c r="W38" s="278"/>
      <c r="X38" s="278"/>
      <c r="Y38" s="278"/>
      <c r="Z38" s="278"/>
      <c r="AA38" s="278"/>
      <c r="AB38" s="278"/>
      <c r="AC38" s="278"/>
    </row>
    <row r="39">
      <c r="A39" s="290" t="str">
        <f>IFERROR(__xludf.DUMMYFUNCTION("""COMPUTED_VALUE"""),"ライトリーズン")</f>
        <v>ライトリーズン</v>
      </c>
      <c r="B39" s="291">
        <f>IFERROR(__xludf.DUMMYFUNCTION("""COMPUTED_VALUE"""),44848.0)</f>
        <v>44848</v>
      </c>
      <c r="C39" s="292"/>
      <c r="D39" s="293">
        <f>IFERROR(__xludf.DUMMYFUNCTION("""COMPUTED_VALUE"""),235719.0)</f>
        <v>235719</v>
      </c>
      <c r="E39" s="290" t="str">
        <f>IFERROR(__xludf.DUMMYFUNCTION("""COMPUTED_VALUE"""),"くみちゃん")</f>
        <v>くみちゃん</v>
      </c>
      <c r="F39" s="298"/>
      <c r="G39" s="298"/>
      <c r="H39" s="298"/>
      <c r="I39" s="283"/>
      <c r="J39" s="283"/>
      <c r="K39" s="283"/>
      <c r="L39" s="283"/>
      <c r="M39" s="283"/>
      <c r="N39" s="283"/>
      <c r="O39" s="283"/>
      <c r="P39" s="283"/>
      <c r="Q39" s="278"/>
      <c r="R39" s="278"/>
      <c r="S39" s="278"/>
      <c r="T39" s="278"/>
      <c r="U39" s="278"/>
      <c r="V39" s="278"/>
      <c r="W39" s="278"/>
      <c r="X39" s="278"/>
      <c r="Y39" s="278"/>
      <c r="Z39" s="278"/>
      <c r="AA39" s="278"/>
      <c r="AB39" s="278"/>
      <c r="AC39" s="278"/>
    </row>
    <row r="40">
      <c r="A40" s="290" t="str">
        <f>IFERROR(__xludf.DUMMYFUNCTION("""COMPUTED_VALUE"""),"激ちゅぱっ")</f>
        <v>激ちゅぱっ</v>
      </c>
      <c r="B40" s="291">
        <f>IFERROR(__xludf.DUMMYFUNCTION("""COMPUTED_VALUE"""),44952.0)</f>
        <v>44952</v>
      </c>
      <c r="C40" s="292"/>
      <c r="D40" s="293">
        <f>IFERROR(__xludf.DUMMYFUNCTION("""COMPUTED_VALUE"""),181269.0)</f>
        <v>181269</v>
      </c>
      <c r="E40" s="290" t="str">
        <f>IFERROR(__xludf.DUMMYFUNCTION("""COMPUTED_VALUE"""),"絶倫オヤジ転生！美人ママの息子に転生したから甘えるフリしておっぱいを弄び幼馴染のママにもあどけない笑顔でガチガチ棒を挿入してみた")</f>
        <v>絶倫オヤジ転生！美人ママの息子に転生したから甘えるフリしておっぱいを弄び幼馴染のママにもあどけない笑顔でガチガチ棒を挿入してみた</v>
      </c>
      <c r="F40" s="298"/>
      <c r="G40" s="298"/>
      <c r="H40" s="298" t="str">
        <f>IFERROR(__xludf.DUMMYFUNCTION("""COMPUTED_VALUE"""),"ソル判定　男の子が幼い見た目のため")</f>
        <v>ソル判定　男の子が幼い見た目のため</v>
      </c>
      <c r="I40" s="283"/>
      <c r="J40" s="283"/>
      <c r="K40" s="283"/>
      <c r="L40" s="283"/>
      <c r="M40" s="283"/>
      <c r="N40" s="283"/>
      <c r="O40" s="283"/>
      <c r="P40" s="283"/>
      <c r="Q40" s="278"/>
      <c r="R40" s="278"/>
      <c r="S40" s="278"/>
      <c r="T40" s="278"/>
      <c r="U40" s="278"/>
      <c r="V40" s="278"/>
      <c r="W40" s="278"/>
      <c r="X40" s="278"/>
      <c r="Y40" s="278"/>
      <c r="Z40" s="278"/>
      <c r="AA40" s="278"/>
      <c r="AB40" s="278"/>
      <c r="AC40" s="278"/>
    </row>
    <row r="41">
      <c r="A41" s="290" t="str">
        <f>IFERROR(__xludf.DUMMYFUNCTION("""COMPUTED_VALUE"""),"激ちゅぱっ")</f>
        <v>激ちゅぱっ</v>
      </c>
      <c r="B41" s="291">
        <f>IFERROR(__xludf.DUMMYFUNCTION("""COMPUTED_VALUE"""),44952.0)</f>
        <v>44952</v>
      </c>
      <c r="C41" s="292"/>
      <c r="D41" s="293">
        <f>IFERROR(__xludf.DUMMYFUNCTION("""COMPUTED_VALUE"""),205038.0)</f>
        <v>205038</v>
      </c>
      <c r="E41" s="290" t="str">
        <f>IFERROR(__xludf.DUMMYFUNCTION("""COMPUTED_VALUE"""),"絶倫オヤジ転生！美人ママの息子に転生したから甘えるフリしておっぱいを弄び幼馴染のママにもあどけない笑顔でガチガチ棒を挿入してみた")</f>
        <v>絶倫オヤジ転生！美人ママの息子に転生したから甘えるフリしておっぱいを弄び幼馴染のママにもあどけない笑顔でガチガチ棒を挿入してみた</v>
      </c>
      <c r="F41" s="298"/>
      <c r="G41" s="298"/>
      <c r="H41" s="298" t="str">
        <f>IFERROR(__xludf.DUMMYFUNCTION("""COMPUTED_VALUE"""),"ソル判定　男の子が幼い見た目のため")</f>
        <v>ソル判定　男の子が幼い見た目のため</v>
      </c>
      <c r="I41" s="283"/>
      <c r="J41" s="283"/>
      <c r="K41" s="283"/>
      <c r="L41" s="283"/>
      <c r="M41" s="283"/>
      <c r="N41" s="283"/>
      <c r="O41" s="283"/>
      <c r="P41" s="283"/>
      <c r="Q41" s="278"/>
      <c r="R41" s="278"/>
      <c r="S41" s="278"/>
      <c r="T41" s="278"/>
      <c r="U41" s="278"/>
      <c r="V41" s="278"/>
      <c r="W41" s="278"/>
      <c r="X41" s="278"/>
      <c r="Y41" s="278"/>
      <c r="Z41" s="278"/>
      <c r="AA41" s="278"/>
      <c r="AB41" s="278"/>
      <c r="AC41" s="278"/>
    </row>
    <row r="42" ht="15.75" customHeight="1">
      <c r="A42" s="290" t="str">
        <f>IFERROR(__xludf.DUMMYFUNCTION("""COMPUTED_VALUE"""),"白泉社")</f>
        <v>白泉社</v>
      </c>
      <c r="B42" s="291">
        <f>IFERROR(__xludf.DUMMYFUNCTION("""COMPUTED_VALUE"""),44967.0)</f>
        <v>44967</v>
      </c>
      <c r="C42" s="292"/>
      <c r="D42" s="293">
        <f>IFERROR(__xludf.DUMMYFUNCTION("""COMPUTED_VALUE"""),245995.0)</f>
        <v>245995</v>
      </c>
      <c r="E42" s="290" t="str">
        <f>IFERROR(__xludf.DUMMYFUNCTION("""COMPUTED_VALUE"""),"SNSの怪物")</f>
        <v>SNSの怪物</v>
      </c>
      <c r="F42" s="298"/>
      <c r="G42" s="298"/>
      <c r="H42" s="298" t="str">
        <f>IFERROR(__xludf.DUMMYFUNCTION("""COMPUTED_VALUE"""),"ソル判定")</f>
        <v>ソル判定</v>
      </c>
      <c r="I42" s="283"/>
      <c r="J42" s="283"/>
      <c r="K42" s="283"/>
      <c r="L42" s="283"/>
      <c r="M42" s="283"/>
      <c r="N42" s="283"/>
      <c r="O42" s="283"/>
      <c r="P42" s="283"/>
      <c r="Q42" s="278"/>
      <c r="R42" s="278"/>
      <c r="S42" s="278"/>
      <c r="T42" s="278"/>
      <c r="U42" s="278"/>
      <c r="V42" s="278"/>
      <c r="W42" s="278"/>
      <c r="X42" s="278"/>
      <c r="Y42" s="278"/>
      <c r="Z42" s="278"/>
      <c r="AA42" s="278"/>
      <c r="AB42" s="278"/>
      <c r="AC42" s="278"/>
    </row>
    <row r="43" ht="15.75" customHeight="1">
      <c r="A43" s="290" t="str">
        <f>IFERROR(__xludf.DUMMYFUNCTION("""COMPUTED_VALUE"""),"KATTS")</f>
        <v>KATTS</v>
      </c>
      <c r="B43" s="291">
        <f>IFERROR(__xludf.DUMMYFUNCTION("""COMPUTED_VALUE"""),44979.0)</f>
        <v>44979</v>
      </c>
      <c r="C43" s="292"/>
      <c r="D43" s="293">
        <f>IFERROR(__xludf.DUMMYFUNCTION("""COMPUTED_VALUE"""),157589.0)</f>
        <v>157589</v>
      </c>
      <c r="E43" s="290" t="str">
        <f>IFERROR(__xludf.DUMMYFUNCTION("""COMPUTED_VALUE"""),"ウチの弟マジでデカイんだけど見にこない？")</f>
        <v>ウチの弟マジでデカイんだけど見にこない？</v>
      </c>
      <c r="F43" s="298"/>
      <c r="G43" s="298"/>
      <c r="H43" s="298" t="str">
        <f>IFERROR(__xludf.DUMMYFUNCTION("""COMPUTED_VALUE"""),"ソル判定　男の子が幼い見た目のため")</f>
        <v>ソル判定　男の子が幼い見た目のため</v>
      </c>
      <c r="I43" s="283"/>
      <c r="J43" s="283"/>
      <c r="K43" s="283"/>
      <c r="L43" s="283"/>
      <c r="M43" s="283"/>
      <c r="N43" s="283"/>
      <c r="O43" s="283"/>
      <c r="P43" s="283"/>
      <c r="Q43" s="278"/>
      <c r="R43" s="278"/>
      <c r="S43" s="278"/>
      <c r="T43" s="278"/>
      <c r="U43" s="278"/>
      <c r="V43" s="278"/>
      <c r="W43" s="278"/>
      <c r="X43" s="278"/>
      <c r="Y43" s="278"/>
      <c r="Z43" s="278"/>
      <c r="AA43" s="278"/>
      <c r="AB43" s="278"/>
      <c r="AC43" s="278"/>
    </row>
    <row r="44" ht="15.75" customHeight="1">
      <c r="A44" s="290" t="str">
        <f>IFERROR(__xludf.DUMMYFUNCTION("""COMPUTED_VALUE"""),"幻冬舎コミックス")</f>
        <v>幻冬舎コミックス</v>
      </c>
      <c r="B44" s="291">
        <f>IFERROR(__xludf.DUMMYFUNCTION("""COMPUTED_VALUE"""),45111.0)</f>
        <v>45111</v>
      </c>
      <c r="C44" s="292"/>
      <c r="D44" s="293">
        <f>IFERROR(__xludf.DUMMYFUNCTION("""COMPUTED_VALUE"""),220137.0)</f>
        <v>220137</v>
      </c>
      <c r="E44" s="290" t="str">
        <f>IFERROR(__xludf.DUMMYFUNCTION("""COMPUTED_VALUE"""),"異世界で年下騎士に世話を焼かれています")</f>
        <v>異世界で年下騎士に世話を焼かれています</v>
      </c>
      <c r="F44" s="298"/>
      <c r="G44" s="298"/>
      <c r="H44" s="298" t="str">
        <f>IFERROR(__xludf.DUMMYFUNCTION("""COMPUTED_VALUE"""),"出版社都合")</f>
        <v>出版社都合</v>
      </c>
      <c r="I44" s="283"/>
      <c r="J44" s="283"/>
      <c r="K44" s="283"/>
      <c r="L44" s="283"/>
      <c r="M44" s="283"/>
      <c r="N44" s="283"/>
      <c r="O44" s="283"/>
      <c r="P44" s="283"/>
      <c r="Q44" s="278"/>
      <c r="R44" s="278"/>
      <c r="S44" s="278"/>
      <c r="T44" s="278"/>
      <c r="U44" s="278"/>
      <c r="V44" s="278"/>
      <c r="W44" s="278"/>
      <c r="X44" s="278"/>
      <c r="Y44" s="278"/>
      <c r="Z44" s="278"/>
      <c r="AA44" s="278"/>
      <c r="AB44" s="278"/>
      <c r="AC44" s="278"/>
    </row>
    <row r="45" ht="15.75" customHeight="1">
      <c r="A45" s="290" t="str">
        <f>IFERROR(__xludf.DUMMYFUNCTION("""COMPUTED_VALUE"""),"KATTS")</f>
        <v>KATTS</v>
      </c>
      <c r="B45" s="291">
        <f>IFERROR(__xludf.DUMMYFUNCTION("""COMPUTED_VALUE"""),45160.0)</f>
        <v>45160</v>
      </c>
      <c r="C45" s="292"/>
      <c r="D45" s="293">
        <f>IFERROR(__xludf.DUMMYFUNCTION("""COMPUTED_VALUE"""),220121.0)</f>
        <v>220121</v>
      </c>
      <c r="E45" s="290" t="str">
        <f>IFERROR(__xludf.DUMMYFUNCTION("""COMPUTED_VALUE"""),"とある大家族のオカズ事情～ママ代わりお姉ちゃん奮闘記～")</f>
        <v>とある大家族のオカズ事情～ママ代わりお姉ちゃん奮闘記～</v>
      </c>
      <c r="F45" s="298"/>
      <c r="G45" s="298"/>
      <c r="H45" s="298" t="str">
        <f>IFERROR(__xludf.DUMMYFUNCTION("""COMPUTED_VALUE"""),"ソル判定　キャラ見た目年齢NG")</f>
        <v>ソル判定　キャラ見た目年齢NG</v>
      </c>
      <c r="I45" s="283"/>
      <c r="J45" s="283"/>
      <c r="K45" s="283"/>
      <c r="L45" s="283"/>
      <c r="M45" s="283"/>
      <c r="N45" s="283"/>
      <c r="O45" s="283"/>
      <c r="P45" s="283"/>
      <c r="Q45" s="278"/>
      <c r="R45" s="278"/>
      <c r="S45" s="278"/>
      <c r="T45" s="278"/>
      <c r="U45" s="278"/>
      <c r="V45" s="278"/>
      <c r="W45" s="278"/>
      <c r="X45" s="278"/>
      <c r="Y45" s="278"/>
      <c r="Z45" s="278"/>
      <c r="AA45" s="278"/>
      <c r="AB45" s="278"/>
      <c r="AC45" s="278"/>
    </row>
    <row r="46" ht="15.75" customHeight="1">
      <c r="A46" s="290" t="str">
        <f>IFERROR(__xludf.DUMMYFUNCTION("""COMPUTED_VALUE"""),"ナイトコミック")</f>
        <v>ナイトコミック</v>
      </c>
      <c r="B46" s="291">
        <f>IFERROR(__xludf.DUMMYFUNCTION("""COMPUTED_VALUE"""),45160.0)</f>
        <v>45160</v>
      </c>
      <c r="C46" s="292"/>
      <c r="D46" s="293">
        <f>IFERROR(__xludf.DUMMYFUNCTION("""COMPUTED_VALUE"""),236420.0)</f>
        <v>236420</v>
      </c>
      <c r="E46" s="290" t="str">
        <f>IFERROR(__xludf.DUMMYFUNCTION("""COMPUTED_VALUE"""),"親に捨てられたから、仕方なく身体売ってゲームする。")</f>
        <v>親に捨てられたから、仕方なく身体売ってゲームする。</v>
      </c>
      <c r="F46" s="298"/>
      <c r="G46" s="298"/>
      <c r="H46" s="298" t="str">
        <f>IFERROR(__xludf.DUMMYFUNCTION("""COMPUTED_VALUE"""),"ソル判定　キャラ見た目年齢NG")</f>
        <v>ソル判定　キャラ見た目年齢NG</v>
      </c>
      <c r="I46" s="283"/>
      <c r="J46" s="283"/>
      <c r="K46" s="283"/>
      <c r="L46" s="283"/>
      <c r="M46" s="283"/>
      <c r="N46" s="283"/>
      <c r="O46" s="283"/>
      <c r="P46" s="283"/>
      <c r="Q46" s="278"/>
      <c r="R46" s="278"/>
      <c r="S46" s="278"/>
      <c r="T46" s="278"/>
      <c r="U46" s="278"/>
      <c r="V46" s="278"/>
      <c r="W46" s="278"/>
      <c r="X46" s="278"/>
      <c r="Y46" s="278"/>
      <c r="Z46" s="278"/>
      <c r="AA46" s="278"/>
      <c r="AB46" s="278"/>
      <c r="AC46" s="278"/>
    </row>
    <row r="47" ht="15.75" customHeight="1">
      <c r="A47" s="290" t="str">
        <f>IFERROR(__xludf.DUMMYFUNCTION("""COMPUTED_VALUE"""),"ナイトコミック")</f>
        <v>ナイトコミック</v>
      </c>
      <c r="B47" s="291">
        <f>IFERROR(__xludf.DUMMYFUNCTION("""COMPUTED_VALUE"""),45160.0)</f>
        <v>45160</v>
      </c>
      <c r="C47" s="292"/>
      <c r="D47" s="293">
        <f>IFERROR(__xludf.DUMMYFUNCTION("""COMPUTED_VALUE"""),231363.0)</f>
        <v>231363</v>
      </c>
      <c r="E47" s="290" t="str">
        <f>IFERROR(__xludf.DUMMYFUNCTION("""COMPUTED_VALUE"""),"隣家のお母さんでおっきくなりました。")</f>
        <v>隣家のお母さんでおっきくなりました。</v>
      </c>
      <c r="F47" s="298"/>
      <c r="G47" s="298"/>
      <c r="H47" s="298" t="str">
        <f>IFERROR(__xludf.DUMMYFUNCTION("""COMPUTED_VALUE"""),"ソル判定　キャラ見た目年齢NG")</f>
        <v>ソル判定　キャラ見た目年齢NG</v>
      </c>
      <c r="I47" s="283"/>
      <c r="J47" s="283"/>
      <c r="K47" s="283"/>
      <c r="L47" s="283"/>
      <c r="M47" s="283"/>
      <c r="N47" s="283"/>
      <c r="O47" s="283"/>
      <c r="P47" s="283"/>
      <c r="Q47" s="278"/>
      <c r="R47" s="278"/>
      <c r="S47" s="278"/>
      <c r="T47" s="278"/>
      <c r="U47" s="278"/>
      <c r="V47" s="278"/>
      <c r="W47" s="278"/>
      <c r="X47" s="278"/>
      <c r="Y47" s="278"/>
      <c r="Z47" s="278"/>
      <c r="AA47" s="278"/>
      <c r="AB47" s="278"/>
      <c r="AC47" s="278"/>
    </row>
    <row r="48" ht="15.75" customHeight="1">
      <c r="A48" s="290" t="str">
        <f>IFERROR(__xludf.DUMMYFUNCTION("""COMPUTED_VALUE"""),"ワニマガジン社")</f>
        <v>ワニマガジン社</v>
      </c>
      <c r="B48" s="291">
        <f>IFERROR(__xludf.DUMMYFUNCTION("""COMPUTED_VALUE"""),45160.0)</f>
        <v>45160</v>
      </c>
      <c r="C48" s="292"/>
      <c r="D48" s="293">
        <f>IFERROR(__xludf.DUMMYFUNCTION("""COMPUTED_VALUE"""),258729.0)</f>
        <v>258729</v>
      </c>
      <c r="E48" s="290" t="str">
        <f>IFERROR(__xludf.DUMMYFUNCTION("""COMPUTED_VALUE"""),"たべごろスノウドロップ")</f>
        <v>たべごろスノウドロップ</v>
      </c>
      <c r="F48" s="298"/>
      <c r="G48" s="298"/>
      <c r="H48" s="298" t="str">
        <f>IFERROR(__xludf.DUMMYFUNCTION("""COMPUTED_VALUE"""),"ソル判定　キャラ見た目年齢NG")</f>
        <v>ソル判定　キャラ見た目年齢NG</v>
      </c>
      <c r="I48" s="283"/>
      <c r="J48" s="283"/>
      <c r="K48" s="283"/>
      <c r="L48" s="283"/>
      <c r="M48" s="283"/>
      <c r="N48" s="283"/>
      <c r="O48" s="283"/>
      <c r="P48" s="283"/>
      <c r="Q48" s="278"/>
      <c r="R48" s="278"/>
      <c r="S48" s="278"/>
      <c r="T48" s="278"/>
      <c r="U48" s="278"/>
      <c r="V48" s="278"/>
      <c r="W48" s="278"/>
      <c r="X48" s="278"/>
      <c r="Y48" s="278"/>
      <c r="Z48" s="278"/>
      <c r="AA48" s="278"/>
      <c r="AB48" s="278"/>
      <c r="AC48" s="278"/>
    </row>
    <row r="49" ht="15.75" customHeight="1">
      <c r="A49" s="290" t="str">
        <f>IFERROR(__xludf.DUMMYFUNCTION("""COMPUTED_VALUE"""),"ナイトコミック")</f>
        <v>ナイトコミック</v>
      </c>
      <c r="B49" s="291">
        <f>IFERROR(__xludf.DUMMYFUNCTION("""COMPUTED_VALUE"""),45160.0)</f>
        <v>45160</v>
      </c>
      <c r="C49" s="292"/>
      <c r="D49" s="293">
        <f>IFERROR(__xludf.DUMMYFUNCTION("""COMPUTED_VALUE"""),258423.0)</f>
        <v>258423</v>
      </c>
      <c r="E49" s="290" t="str">
        <f>IFERROR(__xludf.DUMMYFUNCTION("""COMPUTED_VALUE"""),"色神-イロガミ-")</f>
        <v>色神-イロガミ-</v>
      </c>
      <c r="F49" s="298"/>
      <c r="G49" s="298"/>
      <c r="H49" s="298" t="str">
        <f>IFERROR(__xludf.DUMMYFUNCTION("""COMPUTED_VALUE"""),"ソル判定　キャラ見た目年齢NG")</f>
        <v>ソル判定　キャラ見た目年齢NG</v>
      </c>
      <c r="I49" s="283"/>
      <c r="J49" s="283"/>
      <c r="K49" s="283"/>
      <c r="L49" s="283"/>
      <c r="M49" s="283"/>
      <c r="N49" s="283"/>
      <c r="O49" s="283"/>
      <c r="P49" s="283"/>
      <c r="Q49" s="278"/>
      <c r="R49" s="278"/>
      <c r="S49" s="278"/>
      <c r="T49" s="278"/>
      <c r="U49" s="278"/>
      <c r="V49" s="278"/>
      <c r="W49" s="278"/>
      <c r="X49" s="278"/>
      <c r="Y49" s="278"/>
      <c r="Z49" s="278"/>
      <c r="AA49" s="278"/>
      <c r="AB49" s="278"/>
      <c r="AC49" s="278"/>
    </row>
    <row r="50" ht="15.75" customHeight="1">
      <c r="A50" s="290" t="str">
        <f>IFERROR(__xludf.DUMMYFUNCTION("""COMPUTED_VALUE"""),"ブレインハウス")</f>
        <v>ブレインハウス</v>
      </c>
      <c r="B50" s="291">
        <f>IFERROR(__xludf.DUMMYFUNCTION("""COMPUTED_VALUE"""),45160.0)</f>
        <v>45160</v>
      </c>
      <c r="C50" s="292"/>
      <c r="D50" s="293">
        <f>IFERROR(__xludf.DUMMYFUNCTION("""COMPUTED_VALUE"""),257491.0)</f>
        <v>257491</v>
      </c>
      <c r="E50" s="290" t="str">
        <f>IFERROR(__xludf.DUMMYFUNCTION("""COMPUTED_VALUE"""),"巫女の掟【デジタル単行本】")</f>
        <v>巫女の掟【デジタル単行本】</v>
      </c>
      <c r="F50" s="298"/>
      <c r="G50" s="298"/>
      <c r="H50" s="298" t="str">
        <f>IFERROR(__xludf.DUMMYFUNCTION("""COMPUTED_VALUE"""),"ソル判定　キャラ見た目年齢NG")</f>
        <v>ソル判定　キャラ見た目年齢NG</v>
      </c>
      <c r="I50" s="283"/>
      <c r="J50" s="283"/>
      <c r="K50" s="283"/>
      <c r="L50" s="283"/>
      <c r="M50" s="283"/>
      <c r="N50" s="283"/>
      <c r="O50" s="283"/>
      <c r="P50" s="283"/>
      <c r="Q50" s="278"/>
      <c r="R50" s="278"/>
      <c r="S50" s="278"/>
      <c r="T50" s="278"/>
      <c r="U50" s="278"/>
      <c r="V50" s="278"/>
      <c r="W50" s="278"/>
      <c r="X50" s="278"/>
      <c r="Y50" s="278"/>
      <c r="Z50" s="278"/>
      <c r="AA50" s="278"/>
      <c r="AB50" s="278"/>
      <c r="AC50" s="278"/>
    </row>
    <row r="51" ht="15.75" customHeight="1">
      <c r="A51" s="290" t="str">
        <f>IFERROR(__xludf.DUMMYFUNCTION("""COMPUTED_VALUE"""),"ナイトコミック")</f>
        <v>ナイトコミック</v>
      </c>
      <c r="B51" s="291">
        <f>IFERROR(__xludf.DUMMYFUNCTION("""COMPUTED_VALUE"""),45160.0)</f>
        <v>45160</v>
      </c>
      <c r="C51" s="292"/>
      <c r="D51" s="293">
        <f>IFERROR(__xludf.DUMMYFUNCTION("""COMPUTED_VALUE"""),181962.0)</f>
        <v>181962</v>
      </c>
      <c r="E51" s="290" t="str">
        <f>IFERROR(__xludf.DUMMYFUNCTION("""COMPUTED_VALUE"""),"女の子のココロ-とろっとろに感じちゃうセックス…シよ？-")</f>
        <v>女の子のココロ-とろっとろに感じちゃうセックス…シよ？-</v>
      </c>
      <c r="F51" s="298"/>
      <c r="G51" s="298"/>
      <c r="H51" s="298" t="str">
        <f>IFERROR(__xludf.DUMMYFUNCTION("""COMPUTED_VALUE"""),"ソル判定　キャラ見た目年齢NG")</f>
        <v>ソル判定　キャラ見た目年齢NG</v>
      </c>
      <c r="I51" s="283"/>
      <c r="J51" s="283"/>
      <c r="K51" s="283"/>
      <c r="L51" s="283"/>
      <c r="M51" s="283"/>
      <c r="N51" s="283"/>
      <c r="O51" s="283"/>
      <c r="P51" s="283"/>
      <c r="Q51" s="278"/>
      <c r="R51" s="278"/>
      <c r="S51" s="278"/>
      <c r="T51" s="278"/>
      <c r="U51" s="278"/>
      <c r="V51" s="278"/>
      <c r="W51" s="278"/>
      <c r="X51" s="278"/>
      <c r="Y51" s="278"/>
      <c r="Z51" s="278"/>
      <c r="AA51" s="278"/>
      <c r="AB51" s="278"/>
      <c r="AC51" s="278"/>
    </row>
    <row r="52" ht="15.75" customHeight="1">
      <c r="A52" s="290" t="str">
        <f>IFERROR(__xludf.DUMMYFUNCTION("""COMPUTED_VALUE"""),"FILL-IN")</f>
        <v>FILL-IN</v>
      </c>
      <c r="B52" s="291">
        <f>IFERROR(__xludf.DUMMYFUNCTION("""COMPUTED_VALUE"""),45160.0)</f>
        <v>45160</v>
      </c>
      <c r="C52" s="292"/>
      <c r="D52" s="293">
        <f>IFERROR(__xludf.DUMMYFUNCTION("""COMPUTED_VALUE"""),167959.0)</f>
        <v>167959</v>
      </c>
      <c r="E52" s="290" t="str">
        <f>IFERROR(__xludf.DUMMYFUNCTION("""COMPUTED_VALUE"""),"わたしと兄の日常～エッチの間は兄妹をやめた二人～")</f>
        <v>わたしと兄の日常～エッチの間は兄妹をやめた二人～</v>
      </c>
      <c r="F52" s="298"/>
      <c r="G52" s="298"/>
      <c r="H52" s="298" t="str">
        <f>IFERROR(__xludf.DUMMYFUNCTION("""COMPUTED_VALUE"""),"ソル判定　キャラ見た目年齢NG")</f>
        <v>ソル判定　キャラ見た目年齢NG</v>
      </c>
      <c r="I52" s="283"/>
      <c r="J52" s="283"/>
      <c r="K52" s="283"/>
      <c r="L52" s="283"/>
      <c r="M52" s="283"/>
      <c r="N52" s="283"/>
      <c r="O52" s="283"/>
      <c r="P52" s="283"/>
      <c r="Q52" s="278"/>
      <c r="R52" s="278"/>
      <c r="S52" s="278"/>
      <c r="T52" s="278"/>
      <c r="U52" s="278"/>
      <c r="V52" s="278"/>
      <c r="W52" s="278"/>
      <c r="X52" s="278"/>
      <c r="Y52" s="278"/>
      <c r="Z52" s="278"/>
      <c r="AA52" s="278"/>
      <c r="AB52" s="278"/>
      <c r="AC52" s="278"/>
    </row>
    <row r="53" ht="15.75" customHeight="1">
      <c r="A53" s="290" t="str">
        <f>IFERROR(__xludf.DUMMYFUNCTION("""COMPUTED_VALUE"""),"FILL-IN")</f>
        <v>FILL-IN</v>
      </c>
      <c r="B53" s="291">
        <f>IFERROR(__xludf.DUMMYFUNCTION("""COMPUTED_VALUE"""),45160.0)</f>
        <v>45160</v>
      </c>
      <c r="C53" s="292"/>
      <c r="D53" s="293">
        <f>IFERROR(__xludf.DUMMYFUNCTION("""COMPUTED_VALUE"""),166713.0)</f>
        <v>166713</v>
      </c>
      <c r="E53" s="290" t="str">
        <f>IFERROR(__xludf.DUMMYFUNCTION("""COMPUTED_VALUE"""),"オレのかわいくない妹について")</f>
        <v>オレのかわいくない妹について</v>
      </c>
      <c r="F53" s="298"/>
      <c r="G53" s="298"/>
      <c r="H53" s="298" t="str">
        <f>IFERROR(__xludf.DUMMYFUNCTION("""COMPUTED_VALUE"""),"ソル判定　キャラ見た目年齢NG")</f>
        <v>ソル判定　キャラ見た目年齢NG</v>
      </c>
      <c r="I53" s="283"/>
      <c r="J53" s="283"/>
      <c r="K53" s="283"/>
      <c r="L53" s="283"/>
      <c r="M53" s="283"/>
      <c r="N53" s="283"/>
      <c r="O53" s="283"/>
      <c r="P53" s="283"/>
      <c r="Q53" s="278"/>
      <c r="R53" s="278"/>
      <c r="S53" s="278"/>
      <c r="T53" s="278"/>
      <c r="U53" s="278"/>
      <c r="V53" s="278"/>
      <c r="W53" s="278"/>
      <c r="X53" s="278"/>
      <c r="Y53" s="278"/>
      <c r="Z53" s="278"/>
      <c r="AA53" s="278"/>
      <c r="AB53" s="278"/>
      <c r="AC53" s="278"/>
    </row>
    <row r="54" ht="15.75" customHeight="1">
      <c r="A54" s="290" t="str">
        <f>IFERROR(__xludf.DUMMYFUNCTION("""COMPUTED_VALUE"""),"FILL-IN")</f>
        <v>FILL-IN</v>
      </c>
      <c r="B54" s="291">
        <f>IFERROR(__xludf.DUMMYFUNCTION("""COMPUTED_VALUE"""),45160.0)</f>
        <v>45160</v>
      </c>
      <c r="C54" s="292"/>
      <c r="D54" s="293">
        <f>IFERROR(__xludf.DUMMYFUNCTION("""COMPUTED_VALUE"""),267566.0)</f>
        <v>267566</v>
      </c>
      <c r="E54" s="290" t="str">
        <f>IFERROR(__xludf.DUMMYFUNCTION("""COMPUTED_VALUE"""),"こんなコにしたのお兄ちゃんでしょ!!【分冊版】")</f>
        <v>こんなコにしたのお兄ちゃんでしょ!!【分冊版】</v>
      </c>
      <c r="F54" s="298"/>
      <c r="G54" s="298"/>
      <c r="H54" s="298" t="str">
        <f>IFERROR(__xludf.DUMMYFUNCTION("""COMPUTED_VALUE"""),"ソル判定　キャラ見た目年齢NG")</f>
        <v>ソル判定　キャラ見た目年齢NG</v>
      </c>
      <c r="I54" s="283"/>
      <c r="J54" s="283"/>
      <c r="K54" s="283"/>
      <c r="L54" s="283"/>
      <c r="M54" s="283"/>
      <c r="N54" s="283"/>
      <c r="O54" s="283"/>
      <c r="P54" s="283"/>
      <c r="Q54" s="278"/>
      <c r="R54" s="278"/>
      <c r="S54" s="278"/>
      <c r="T54" s="278"/>
      <c r="U54" s="278"/>
      <c r="V54" s="278"/>
      <c r="W54" s="278"/>
      <c r="X54" s="278"/>
      <c r="Y54" s="278"/>
      <c r="Z54" s="278"/>
      <c r="AA54" s="278"/>
      <c r="AB54" s="278"/>
      <c r="AC54" s="278"/>
    </row>
    <row r="55" ht="15.75" customHeight="1">
      <c r="A55" s="290" t="str">
        <f>IFERROR(__xludf.DUMMYFUNCTION("""COMPUTED_VALUE"""),"ナイトコミック")</f>
        <v>ナイトコミック</v>
      </c>
      <c r="B55" s="291">
        <f>IFERROR(__xludf.DUMMYFUNCTION("""COMPUTED_VALUE"""),45160.0)</f>
        <v>45160</v>
      </c>
      <c r="C55" s="292"/>
      <c r="D55" s="293">
        <f>IFERROR(__xludf.DUMMYFUNCTION("""COMPUTED_VALUE"""),270656.0)</f>
        <v>270656</v>
      </c>
      <c r="E55" s="290" t="str">
        <f>IFERROR(__xludf.DUMMYFUNCTION("""COMPUTED_VALUE"""),"牛のコキ参り")</f>
        <v>牛のコキ参り</v>
      </c>
      <c r="F55" s="298"/>
      <c r="G55" s="298"/>
      <c r="H55" s="298" t="str">
        <f>IFERROR(__xludf.DUMMYFUNCTION("""COMPUTED_VALUE"""),"ソル判定　キャラ見た目年齢NG")</f>
        <v>ソル判定　キャラ見た目年齢NG</v>
      </c>
      <c r="I55" s="283"/>
      <c r="J55" s="283"/>
      <c r="K55" s="283"/>
      <c r="L55" s="283"/>
      <c r="M55" s="283"/>
      <c r="N55" s="283"/>
      <c r="O55" s="283"/>
      <c r="P55" s="283"/>
      <c r="Q55" s="278"/>
      <c r="R55" s="278"/>
      <c r="S55" s="278"/>
      <c r="T55" s="278"/>
      <c r="U55" s="278"/>
      <c r="V55" s="278"/>
      <c r="W55" s="278"/>
      <c r="X55" s="278"/>
      <c r="Y55" s="278"/>
      <c r="Z55" s="278"/>
      <c r="AA55" s="278"/>
      <c r="AB55" s="278"/>
      <c r="AC55" s="278"/>
    </row>
    <row r="56" ht="15.75" customHeight="1">
      <c r="A56" s="290" t="str">
        <f>IFERROR(__xludf.DUMMYFUNCTION("""COMPUTED_VALUE"""),"LINE Digital Frontier")</f>
        <v>LINE Digital Frontier</v>
      </c>
      <c r="B56" s="291">
        <f>IFERROR(__xludf.DUMMYFUNCTION("""COMPUTED_VALUE"""),45191.0)</f>
        <v>45191</v>
      </c>
      <c r="C56" s="292"/>
      <c r="D56" s="293">
        <f>IFERROR(__xludf.DUMMYFUNCTION("""COMPUTED_VALUE"""),266279.0)</f>
        <v>266279</v>
      </c>
      <c r="E56" s="290" t="str">
        <f>IFERROR(__xludf.DUMMYFUNCTION("""COMPUTED_VALUE"""),"鉄槌教師【タテヨミ】")</f>
        <v>鉄槌教師【タテヨミ】</v>
      </c>
      <c r="F56" s="298"/>
      <c r="G56" s="298"/>
      <c r="H56" s="298" t="str">
        <f>IFERROR(__xludf.DUMMYFUNCTION("""COMPUTED_VALUE"""),"2023/10/1～10/31、版元様より外部出稿NG連絡あり")</f>
        <v>2023/10/1～10/31、版元様より外部出稿NG連絡あり</v>
      </c>
      <c r="I56" s="283"/>
      <c r="J56" s="283"/>
      <c r="K56" s="283"/>
      <c r="L56" s="283"/>
      <c r="M56" s="283"/>
      <c r="N56" s="283"/>
      <c r="O56" s="283"/>
      <c r="P56" s="283"/>
      <c r="Q56" s="278"/>
      <c r="R56" s="278"/>
      <c r="S56" s="278"/>
      <c r="T56" s="278"/>
      <c r="U56" s="278"/>
      <c r="V56" s="278"/>
      <c r="W56" s="278"/>
      <c r="X56" s="278"/>
      <c r="Y56" s="278"/>
      <c r="Z56" s="278"/>
      <c r="AA56" s="278"/>
      <c r="AB56" s="278"/>
      <c r="AC56" s="278"/>
    </row>
    <row r="57" ht="15.75" customHeight="1">
      <c r="A57" s="290" t="str">
        <f>IFERROR(__xludf.DUMMYFUNCTION("""COMPUTED_VALUE"""),"白泉社")</f>
        <v>白泉社</v>
      </c>
      <c r="B57" s="291">
        <f>IFERROR(__xludf.DUMMYFUNCTION("""COMPUTED_VALUE"""),45210.0)</f>
        <v>45210</v>
      </c>
      <c r="C57" s="292"/>
      <c r="D57" s="293">
        <f>IFERROR(__xludf.DUMMYFUNCTION("""COMPUTED_VALUE"""),270450.0)</f>
        <v>270450</v>
      </c>
      <c r="E57" s="290" t="str">
        <f>IFERROR(__xludf.DUMMYFUNCTION("""COMPUTED_VALUE"""),"動物人間")</f>
        <v>動物人間</v>
      </c>
      <c r="F57" s="298"/>
      <c r="G57" s="298"/>
      <c r="H57" s="298" t="str">
        <f>IFERROR(__xludf.DUMMYFUNCTION("""COMPUTED_VALUE"""),"ソル判定　倫理的にNG")</f>
        <v>ソル判定　倫理的にNG</v>
      </c>
      <c r="I57" s="283"/>
      <c r="J57" s="283"/>
      <c r="K57" s="283"/>
      <c r="L57" s="283"/>
      <c r="M57" s="283"/>
      <c r="N57" s="283"/>
      <c r="O57" s="283"/>
      <c r="P57" s="283"/>
      <c r="Q57" s="278"/>
      <c r="R57" s="278"/>
      <c r="S57" s="278"/>
      <c r="T57" s="278"/>
      <c r="U57" s="278"/>
      <c r="V57" s="278"/>
      <c r="W57" s="278"/>
      <c r="X57" s="278"/>
      <c r="Y57" s="278"/>
      <c r="Z57" s="278"/>
      <c r="AA57" s="278"/>
      <c r="AB57" s="278"/>
      <c r="AC57" s="278"/>
    </row>
    <row r="58" ht="15.75" customHeight="1">
      <c r="A58" s="290" t="str">
        <f>IFERROR(__xludf.DUMMYFUNCTION("""COMPUTED_VALUE"""),"ライトリーズン")</f>
        <v>ライトリーズン</v>
      </c>
      <c r="B58" s="291">
        <f>IFERROR(__xludf.DUMMYFUNCTION("""COMPUTED_VALUE"""),45201.0)</f>
        <v>45201</v>
      </c>
      <c r="C58" s="293"/>
      <c r="D58" s="293">
        <f>IFERROR(__xludf.DUMMYFUNCTION("""COMPUTED_VALUE"""),226071.0)</f>
        <v>226071</v>
      </c>
      <c r="E58" s="298" t="str">
        <f>IFERROR(__xludf.DUMMYFUNCTION("""COMPUTED_VALUE"""),"おじさんと。")</f>
        <v>おじさんと。</v>
      </c>
      <c r="F58" s="298"/>
      <c r="G58" s="298"/>
      <c r="H58" s="298" t="str">
        <f>IFERROR(__xludf.DUMMYFUNCTION("""COMPUTED_VALUE"""),"ソル判定　キャラ見た目年齢NG")</f>
        <v>ソル判定　キャラ見た目年齢NG</v>
      </c>
      <c r="I58" s="283"/>
      <c r="J58" s="283"/>
      <c r="K58" s="283"/>
      <c r="L58" s="283"/>
      <c r="M58" s="283"/>
      <c r="N58" s="283"/>
      <c r="O58" s="283"/>
      <c r="P58" s="283"/>
      <c r="Q58" s="278"/>
      <c r="R58" s="278"/>
      <c r="S58" s="278"/>
      <c r="T58" s="278"/>
      <c r="U58" s="278"/>
      <c r="V58" s="278"/>
      <c r="W58" s="278"/>
      <c r="X58" s="278"/>
      <c r="Y58" s="278"/>
      <c r="Z58" s="278"/>
      <c r="AA58" s="278"/>
      <c r="AB58" s="278"/>
      <c r="AC58" s="278"/>
    </row>
    <row r="59">
      <c r="A59" s="290" t="str">
        <f>IFERROR(__xludf.DUMMYFUNCTION("""COMPUTED_VALUE"""),"ナイトコミック")</f>
        <v>ナイトコミック</v>
      </c>
      <c r="B59" s="291">
        <f>IFERROR(__xludf.DUMMYFUNCTION("""COMPUTED_VALUE"""),45251.0)</f>
        <v>45251</v>
      </c>
      <c r="C59" s="292"/>
      <c r="D59" s="293">
        <f>IFERROR(__xludf.DUMMYFUNCTION("""COMPUTED_VALUE"""),271407.0)</f>
        <v>271407</v>
      </c>
      <c r="E59" s="290" t="str">
        <f>IFERROR(__xludf.DUMMYFUNCTION("""COMPUTED_VALUE"""),"隙あらば…カレシが泣くまでいじめたい！-イタズラな好奇心に火がついて…！？")</f>
        <v>隙あらば…カレシが泣くまでいじめたい！-イタズラな好奇心に火がついて…！？</v>
      </c>
      <c r="F59" s="298"/>
      <c r="G59" s="298"/>
      <c r="H59" s="298" t="str">
        <f>IFERROR(__xludf.DUMMYFUNCTION("""COMPUTED_VALUE"""),"作家様都合で配信停止")</f>
        <v>作家様都合で配信停止</v>
      </c>
      <c r="I59" s="283"/>
      <c r="J59" s="283"/>
      <c r="K59" s="283"/>
      <c r="L59" s="283"/>
      <c r="M59" s="283"/>
      <c r="N59" s="283"/>
      <c r="O59" s="283"/>
      <c r="P59" s="283"/>
      <c r="Q59" s="278"/>
      <c r="R59" s="278"/>
      <c r="S59" s="278"/>
      <c r="T59" s="278"/>
      <c r="U59" s="278"/>
      <c r="V59" s="278"/>
      <c r="W59" s="278"/>
      <c r="X59" s="278"/>
      <c r="Y59" s="278"/>
      <c r="Z59" s="278"/>
      <c r="AA59" s="278"/>
      <c r="AB59" s="278"/>
      <c r="AC59" s="278"/>
    </row>
    <row r="60" ht="15.75" customHeight="1">
      <c r="A60" s="290" t="str">
        <f>IFERROR(__xludf.DUMMYFUNCTION("""COMPUTED_VALUE"""),"GANMA!")</f>
        <v>GANMA!</v>
      </c>
      <c r="B60" s="291">
        <f>IFERROR(__xludf.DUMMYFUNCTION("""COMPUTED_VALUE"""),45272.0)</f>
        <v>45272</v>
      </c>
      <c r="C60" s="292"/>
      <c r="D60" s="293">
        <f>IFERROR(__xludf.DUMMYFUNCTION("""COMPUTED_VALUE"""),188808.0)</f>
        <v>188808</v>
      </c>
      <c r="E60" s="290" t="str">
        <f>IFERROR(__xludf.DUMMYFUNCTION("""COMPUTED_VALUE"""),"にのにの")</f>
        <v>にのにの</v>
      </c>
      <c r="F60" s="298"/>
      <c r="G60" s="298"/>
      <c r="H60" s="298" t="str">
        <f>IFERROR(__xludf.DUMMYFUNCTION("""COMPUTED_VALUE"""),"広告出稿前にCP確認必須　※問合せ時点で出稿可否を判断する")</f>
        <v>広告出稿前にCP確認必須　※問合せ時点で出稿可否を判断する</v>
      </c>
      <c r="I60" s="283"/>
      <c r="J60" s="283"/>
      <c r="K60" s="283"/>
      <c r="L60" s="283"/>
      <c r="M60" s="283"/>
      <c r="N60" s="283"/>
      <c r="O60" s="283"/>
      <c r="P60" s="283"/>
      <c r="Q60" s="278"/>
      <c r="R60" s="278"/>
      <c r="S60" s="278"/>
      <c r="T60" s="278"/>
      <c r="U60" s="278"/>
      <c r="V60" s="278"/>
      <c r="W60" s="278"/>
      <c r="X60" s="278"/>
      <c r="Y60" s="278"/>
      <c r="Z60" s="278"/>
      <c r="AA60" s="278"/>
      <c r="AB60" s="278"/>
      <c r="AC60" s="278"/>
    </row>
    <row r="61" ht="15.75" customHeight="1">
      <c r="A61" s="290" t="str">
        <f>IFERROR(__xludf.DUMMYFUNCTION("""COMPUTED_VALUE"""),"GANMA!")</f>
        <v>GANMA!</v>
      </c>
      <c r="B61" s="291">
        <f>IFERROR(__xludf.DUMMYFUNCTION("""COMPUTED_VALUE"""),45272.0)</f>
        <v>45272</v>
      </c>
      <c r="C61" s="292"/>
      <c r="D61" s="293">
        <f>IFERROR(__xludf.DUMMYFUNCTION("""COMPUTED_VALUE"""),170232.0)</f>
        <v>170232</v>
      </c>
      <c r="E61" s="290" t="str">
        <f>IFERROR(__xludf.DUMMYFUNCTION("""COMPUTED_VALUE"""),"砂漠の道化師")</f>
        <v>砂漠の道化師</v>
      </c>
      <c r="F61" s="298"/>
      <c r="G61" s="298"/>
      <c r="H61" s="298" t="str">
        <f>IFERROR(__xludf.DUMMYFUNCTION("""COMPUTED_VALUE"""),"広告出稿前にCP確認必須　※問合せ時点で出稿可否を判断する")</f>
        <v>広告出稿前にCP確認必須　※問合せ時点で出稿可否を判断する</v>
      </c>
      <c r="I61" s="283"/>
      <c r="J61" s="283"/>
      <c r="K61" s="283"/>
      <c r="L61" s="283"/>
      <c r="M61" s="283"/>
      <c r="N61" s="283"/>
      <c r="O61" s="283"/>
      <c r="P61" s="283"/>
      <c r="Q61" s="278"/>
      <c r="R61" s="278"/>
      <c r="S61" s="278"/>
      <c r="T61" s="278"/>
      <c r="U61" s="278"/>
      <c r="V61" s="278"/>
      <c r="W61" s="278"/>
      <c r="X61" s="278"/>
      <c r="Y61" s="278"/>
      <c r="Z61" s="278"/>
      <c r="AA61" s="278"/>
      <c r="AB61" s="278"/>
      <c r="AC61" s="278"/>
    </row>
    <row r="62" ht="15.75" customHeight="1">
      <c r="A62" s="290" t="str">
        <f>IFERROR(__xludf.DUMMYFUNCTION("""COMPUTED_VALUE"""),"GANMA!")</f>
        <v>GANMA!</v>
      </c>
      <c r="B62" s="291">
        <f>IFERROR(__xludf.DUMMYFUNCTION("""COMPUTED_VALUE"""),45272.0)</f>
        <v>45272</v>
      </c>
      <c r="C62" s="292"/>
      <c r="D62" s="293">
        <f>IFERROR(__xludf.DUMMYFUNCTION("""COMPUTED_VALUE"""),228592.0)</f>
        <v>228592</v>
      </c>
      <c r="E62" s="290" t="str">
        <f>IFERROR(__xludf.DUMMYFUNCTION("""COMPUTED_VALUE"""),"親指ノ島【第１部】")</f>
        <v>親指ノ島【第１部】</v>
      </c>
      <c r="F62" s="298"/>
      <c r="G62" s="298"/>
      <c r="H62" s="298" t="str">
        <f>IFERROR(__xludf.DUMMYFUNCTION("""COMPUTED_VALUE"""),"広告出稿前にCP確認必須　※問合せ時点で出稿可否を判断する")</f>
        <v>広告出稿前にCP確認必須　※問合せ時点で出稿可否を判断する</v>
      </c>
      <c r="I62" s="283"/>
      <c r="J62" s="283"/>
      <c r="K62" s="283"/>
      <c r="L62" s="283"/>
      <c r="M62" s="283"/>
      <c r="N62" s="283"/>
      <c r="O62" s="283"/>
      <c r="P62" s="283"/>
      <c r="Q62" s="278"/>
      <c r="R62" s="278"/>
      <c r="S62" s="278"/>
      <c r="T62" s="278"/>
      <c r="U62" s="278"/>
      <c r="V62" s="278"/>
      <c r="W62" s="278"/>
      <c r="X62" s="278"/>
      <c r="Y62" s="278"/>
      <c r="Z62" s="278"/>
      <c r="AA62" s="278"/>
      <c r="AB62" s="278"/>
      <c r="AC62" s="278"/>
    </row>
    <row r="63" ht="15.75" customHeight="1">
      <c r="A63" s="290" t="str">
        <f>IFERROR(__xludf.DUMMYFUNCTION("""COMPUTED_VALUE"""),"GANMA!")</f>
        <v>GANMA!</v>
      </c>
      <c r="B63" s="291">
        <f>IFERROR(__xludf.DUMMYFUNCTION("""COMPUTED_VALUE"""),45272.0)</f>
        <v>45272</v>
      </c>
      <c r="C63" s="292"/>
      <c r="D63" s="293">
        <f>IFERROR(__xludf.DUMMYFUNCTION("""COMPUTED_VALUE"""),228607.0)</f>
        <v>228607</v>
      </c>
      <c r="E63" s="290" t="str">
        <f>IFERROR(__xludf.DUMMYFUNCTION("""COMPUTED_VALUE"""),"親指ノ島【第２部】")</f>
        <v>親指ノ島【第２部】</v>
      </c>
      <c r="F63" s="298"/>
      <c r="G63" s="298"/>
      <c r="H63" s="298" t="str">
        <f>IFERROR(__xludf.DUMMYFUNCTION("""COMPUTED_VALUE"""),"広告出稿前にCP確認必須　※問合せ時点で出稿可否を判断する")</f>
        <v>広告出稿前にCP確認必須　※問合せ時点で出稿可否を判断する</v>
      </c>
      <c r="I63" s="283"/>
      <c r="J63" s="283"/>
      <c r="K63" s="283"/>
      <c r="L63" s="283"/>
      <c r="M63" s="283"/>
      <c r="N63" s="283"/>
      <c r="O63" s="283"/>
      <c r="P63" s="283"/>
      <c r="Q63" s="278"/>
      <c r="R63" s="278"/>
      <c r="S63" s="278"/>
      <c r="T63" s="278"/>
      <c r="U63" s="278"/>
      <c r="V63" s="278"/>
      <c r="W63" s="278"/>
      <c r="X63" s="278"/>
      <c r="Y63" s="278"/>
      <c r="Z63" s="278"/>
      <c r="AA63" s="278"/>
      <c r="AB63" s="278"/>
      <c r="AC63" s="278"/>
    </row>
    <row r="64" ht="15.75" customHeight="1">
      <c r="A64" s="290" t="str">
        <f>IFERROR(__xludf.DUMMYFUNCTION("""COMPUTED_VALUE"""),"GANMA!")</f>
        <v>GANMA!</v>
      </c>
      <c r="B64" s="291">
        <f>IFERROR(__xludf.DUMMYFUNCTION("""COMPUTED_VALUE"""),45272.0)</f>
        <v>45272</v>
      </c>
      <c r="C64" s="292"/>
      <c r="D64" s="293">
        <f>IFERROR(__xludf.DUMMYFUNCTION("""COMPUTED_VALUE"""),199767.0)</f>
        <v>199767</v>
      </c>
      <c r="E64" s="290" t="str">
        <f>IFERROR(__xludf.DUMMYFUNCTION("""COMPUTED_VALUE"""),"龍統べる国")</f>
        <v>龍統べる国</v>
      </c>
      <c r="F64" s="298"/>
      <c r="G64" s="298"/>
      <c r="H64" s="298" t="str">
        <f>IFERROR(__xludf.DUMMYFUNCTION("""COMPUTED_VALUE"""),"広告出稿前にCP確認必須　※問合せ時点で出稿可否を判断する")</f>
        <v>広告出稿前にCP確認必須　※問合せ時点で出稿可否を判断する</v>
      </c>
      <c r="I64" s="283"/>
      <c r="J64" s="283"/>
      <c r="K64" s="283"/>
      <c r="L64" s="283"/>
      <c r="M64" s="283"/>
      <c r="N64" s="283"/>
      <c r="O64" s="283"/>
      <c r="P64" s="283"/>
      <c r="Q64" s="278"/>
      <c r="R64" s="278"/>
      <c r="S64" s="278"/>
      <c r="T64" s="278"/>
      <c r="U64" s="278"/>
      <c r="V64" s="278"/>
      <c r="W64" s="278"/>
      <c r="X64" s="278"/>
      <c r="Y64" s="278"/>
      <c r="Z64" s="278"/>
      <c r="AA64" s="278"/>
      <c r="AB64" s="278"/>
      <c r="AC64" s="278"/>
    </row>
    <row r="65" ht="15.75" customHeight="1">
      <c r="A65" s="290" t="str">
        <f>IFERROR(__xludf.DUMMYFUNCTION("""COMPUTED_VALUE"""),"GANMA!")</f>
        <v>GANMA!</v>
      </c>
      <c r="B65" s="291">
        <f>IFERROR(__xludf.DUMMYFUNCTION("""COMPUTED_VALUE"""),45272.0)</f>
        <v>45272</v>
      </c>
      <c r="C65" s="292"/>
      <c r="D65" s="293">
        <f>IFERROR(__xludf.DUMMYFUNCTION("""COMPUTED_VALUE"""),219879.0)</f>
        <v>219879</v>
      </c>
      <c r="E65" s="290" t="str">
        <f>IFERROR(__xludf.DUMMYFUNCTION("""COMPUTED_VALUE"""),"氷流星☆アイスターズ")</f>
        <v>氷流星☆アイスターズ</v>
      </c>
      <c r="F65" s="298"/>
      <c r="G65" s="298"/>
      <c r="H65" s="298" t="str">
        <f>IFERROR(__xludf.DUMMYFUNCTION("""COMPUTED_VALUE"""),"広告出稿前にCP確認必須　※問合せ時点で出稿可否を判断する")</f>
        <v>広告出稿前にCP確認必須　※問合せ時点で出稿可否を判断する</v>
      </c>
      <c r="I65" s="283"/>
      <c r="J65" s="283"/>
      <c r="K65" s="283"/>
      <c r="L65" s="283"/>
      <c r="M65" s="283"/>
      <c r="N65" s="283"/>
      <c r="O65" s="283"/>
      <c r="P65" s="283"/>
      <c r="Q65" s="278"/>
      <c r="R65" s="278"/>
      <c r="S65" s="278"/>
      <c r="T65" s="278"/>
      <c r="U65" s="278"/>
      <c r="V65" s="278"/>
      <c r="W65" s="278"/>
      <c r="X65" s="278"/>
      <c r="Y65" s="278"/>
      <c r="Z65" s="278"/>
      <c r="AA65" s="278"/>
      <c r="AB65" s="278"/>
      <c r="AC65" s="278"/>
    </row>
    <row r="66" ht="15.75" customHeight="1">
      <c r="A66" s="290" t="str">
        <f>IFERROR(__xludf.DUMMYFUNCTION("""COMPUTED_VALUE"""),"GANMA!")</f>
        <v>GANMA!</v>
      </c>
      <c r="B66" s="291">
        <f>IFERROR(__xludf.DUMMYFUNCTION("""COMPUTED_VALUE"""),45272.0)</f>
        <v>45272</v>
      </c>
      <c r="C66" s="292"/>
      <c r="D66" s="293">
        <f>IFERROR(__xludf.DUMMYFUNCTION("""COMPUTED_VALUE"""),226403.0)</f>
        <v>226403</v>
      </c>
      <c r="E66" s="290" t="str">
        <f>IFERROR(__xludf.DUMMYFUNCTION("""COMPUTED_VALUE"""),"不死鳥の食卓")</f>
        <v>不死鳥の食卓</v>
      </c>
      <c r="F66" s="298"/>
      <c r="G66" s="298"/>
      <c r="H66" s="298" t="str">
        <f>IFERROR(__xludf.DUMMYFUNCTION("""COMPUTED_VALUE"""),"広告出稿前にCP確認必須　※問合せ時点で出稿可否を判断する")</f>
        <v>広告出稿前にCP確認必須　※問合せ時点で出稿可否を判断する</v>
      </c>
      <c r="I66" s="283"/>
      <c r="J66" s="283"/>
      <c r="K66" s="283"/>
      <c r="L66" s="283"/>
      <c r="M66" s="283"/>
      <c r="N66" s="283"/>
      <c r="O66" s="283"/>
      <c r="P66" s="283"/>
      <c r="Q66" s="278"/>
      <c r="R66" s="278"/>
      <c r="S66" s="278"/>
      <c r="T66" s="278"/>
      <c r="U66" s="278"/>
      <c r="V66" s="278"/>
      <c r="W66" s="278"/>
      <c r="X66" s="278"/>
      <c r="Y66" s="278"/>
      <c r="Z66" s="278"/>
      <c r="AA66" s="278"/>
      <c r="AB66" s="278"/>
      <c r="AC66" s="278"/>
    </row>
    <row r="67" ht="15.75" customHeight="1">
      <c r="A67" s="290" t="str">
        <f>IFERROR(__xludf.DUMMYFUNCTION("""COMPUTED_VALUE"""),"GANMA!")</f>
        <v>GANMA!</v>
      </c>
      <c r="B67" s="291">
        <f>IFERROR(__xludf.DUMMYFUNCTION("""COMPUTED_VALUE"""),45272.0)</f>
        <v>45272</v>
      </c>
      <c r="C67" s="292"/>
      <c r="D67" s="293">
        <f>IFERROR(__xludf.DUMMYFUNCTION("""COMPUTED_VALUE"""),206675.0)</f>
        <v>206675</v>
      </c>
      <c r="E67" s="290" t="str">
        <f>IFERROR(__xludf.DUMMYFUNCTION("""COMPUTED_VALUE"""),"お義兄ちゃんを〇〇したい")</f>
        <v>お義兄ちゃんを〇〇したい</v>
      </c>
      <c r="F67" s="298"/>
      <c r="G67" s="298"/>
      <c r="H67" s="298" t="str">
        <f>IFERROR(__xludf.DUMMYFUNCTION("""COMPUTED_VALUE"""),"広告出稿前にCP確認必須　※問合せ時点で出稿可否を判断する")</f>
        <v>広告出稿前にCP確認必須　※問合せ時点で出稿可否を判断する</v>
      </c>
      <c r="I67" s="283"/>
      <c r="J67" s="283"/>
      <c r="K67" s="283"/>
      <c r="L67" s="283"/>
      <c r="M67" s="283"/>
      <c r="N67" s="283"/>
      <c r="O67" s="283"/>
      <c r="P67" s="283"/>
      <c r="Q67" s="278"/>
      <c r="R67" s="278"/>
      <c r="S67" s="278"/>
      <c r="T67" s="278"/>
      <c r="U67" s="278"/>
      <c r="V67" s="278"/>
      <c r="W67" s="278"/>
      <c r="X67" s="278"/>
      <c r="Y67" s="278"/>
      <c r="Z67" s="278"/>
      <c r="AA67" s="278"/>
      <c r="AB67" s="278"/>
      <c r="AC67" s="278"/>
    </row>
    <row r="68" ht="15.75" customHeight="1">
      <c r="A68" s="290" t="str">
        <f>IFERROR(__xludf.DUMMYFUNCTION("""COMPUTED_VALUE"""),"GANMA!")</f>
        <v>GANMA!</v>
      </c>
      <c r="B68" s="291">
        <f>IFERROR(__xludf.DUMMYFUNCTION("""COMPUTED_VALUE"""),45272.0)</f>
        <v>45272</v>
      </c>
      <c r="C68" s="292"/>
      <c r="D68" s="293">
        <f>IFERROR(__xludf.DUMMYFUNCTION("""COMPUTED_VALUE"""),230158.0)</f>
        <v>230158</v>
      </c>
      <c r="E68" s="290" t="str">
        <f>IFERROR(__xludf.DUMMYFUNCTION("""COMPUTED_VALUE"""),"七瀬さんの恋が異常【単話版】")</f>
        <v>七瀬さんの恋が異常【単話版】</v>
      </c>
      <c r="F68" s="298"/>
      <c r="G68" s="298"/>
      <c r="H68" s="298" t="str">
        <f>IFERROR(__xludf.DUMMYFUNCTION("""COMPUTED_VALUE"""),"広告出稿前にCP確認必須　※問合せ時点で出稿可否を判断する")</f>
        <v>広告出稿前にCP確認必須　※問合せ時点で出稿可否を判断する</v>
      </c>
      <c r="I68" s="283"/>
      <c r="J68" s="283"/>
      <c r="K68" s="283"/>
      <c r="L68" s="283"/>
      <c r="M68" s="283"/>
      <c r="N68" s="283"/>
      <c r="O68" s="283"/>
      <c r="P68" s="283"/>
      <c r="Q68" s="278"/>
      <c r="R68" s="278"/>
      <c r="S68" s="278"/>
      <c r="T68" s="278"/>
      <c r="U68" s="278"/>
      <c r="V68" s="278"/>
      <c r="W68" s="278"/>
      <c r="X68" s="278"/>
      <c r="Y68" s="278"/>
      <c r="Z68" s="278"/>
      <c r="AA68" s="278"/>
      <c r="AB68" s="278"/>
      <c r="AC68" s="278"/>
    </row>
    <row r="69" ht="15.75" customHeight="1">
      <c r="A69" s="290" t="str">
        <f>IFERROR(__xludf.DUMMYFUNCTION("""COMPUTED_VALUE"""),"GANMA!")</f>
        <v>GANMA!</v>
      </c>
      <c r="B69" s="291">
        <f>IFERROR(__xludf.DUMMYFUNCTION("""COMPUTED_VALUE"""),45272.0)</f>
        <v>45272</v>
      </c>
      <c r="C69" s="292"/>
      <c r="D69" s="293">
        <f>IFERROR(__xludf.DUMMYFUNCTION("""COMPUTED_VALUE"""),230286.0)</f>
        <v>230286</v>
      </c>
      <c r="E69" s="290" t="str">
        <f>IFERROR(__xludf.DUMMYFUNCTION("""COMPUTED_VALUE"""),"七瀬さんの恋が異常")</f>
        <v>七瀬さんの恋が異常</v>
      </c>
      <c r="F69" s="298"/>
      <c r="G69" s="298"/>
      <c r="H69" s="298" t="str">
        <f>IFERROR(__xludf.DUMMYFUNCTION("""COMPUTED_VALUE"""),"広告出稿前にCP確認必須　※問合せ時点で出稿可否を判断する")</f>
        <v>広告出稿前にCP確認必須　※問合せ時点で出稿可否を判断する</v>
      </c>
      <c r="I69" s="283"/>
      <c r="J69" s="283"/>
      <c r="K69" s="283"/>
      <c r="L69" s="283"/>
      <c r="M69" s="283"/>
      <c r="N69" s="283"/>
      <c r="O69" s="283"/>
      <c r="P69" s="283"/>
      <c r="Q69" s="278"/>
      <c r="R69" s="278"/>
      <c r="S69" s="278"/>
      <c r="T69" s="278"/>
      <c r="U69" s="278"/>
      <c r="V69" s="278"/>
      <c r="W69" s="278"/>
      <c r="X69" s="278"/>
      <c r="Y69" s="278"/>
      <c r="Z69" s="278"/>
      <c r="AA69" s="278"/>
      <c r="AB69" s="278"/>
      <c r="AC69" s="278"/>
    </row>
    <row r="70" ht="15.75" customHeight="1">
      <c r="A70" s="290" t="str">
        <f>IFERROR(__xludf.DUMMYFUNCTION("""COMPUTED_VALUE"""),"GANMA!")</f>
        <v>GANMA!</v>
      </c>
      <c r="B70" s="291">
        <f>IFERROR(__xludf.DUMMYFUNCTION("""COMPUTED_VALUE"""),45272.0)</f>
        <v>45272</v>
      </c>
      <c r="C70" s="292"/>
      <c r="D70" s="293">
        <f>IFERROR(__xludf.DUMMYFUNCTION("""COMPUTED_VALUE"""),178239.0)</f>
        <v>178239</v>
      </c>
      <c r="E70" s="290" t="str">
        <f>IFERROR(__xludf.DUMMYFUNCTION("""COMPUTED_VALUE"""),"お転婆娘と顔無しの男")</f>
        <v>お転婆娘と顔無しの男</v>
      </c>
      <c r="F70" s="298"/>
      <c r="G70" s="298"/>
      <c r="H70" s="298" t="str">
        <f>IFERROR(__xludf.DUMMYFUNCTION("""COMPUTED_VALUE"""),"広告出稿前にCP確認必須　※問合せ時点で出稿可否を判断する")</f>
        <v>広告出稿前にCP確認必須　※問合せ時点で出稿可否を判断する</v>
      </c>
      <c r="I70" s="283"/>
      <c r="J70" s="283"/>
      <c r="K70" s="283"/>
      <c r="L70" s="283"/>
      <c r="M70" s="283"/>
      <c r="N70" s="283"/>
      <c r="O70" s="283"/>
      <c r="P70" s="283"/>
      <c r="Q70" s="278"/>
      <c r="R70" s="278"/>
      <c r="S70" s="278"/>
      <c r="T70" s="278"/>
      <c r="U70" s="278"/>
      <c r="V70" s="278"/>
      <c r="W70" s="278"/>
      <c r="X70" s="278"/>
      <c r="Y70" s="278"/>
      <c r="Z70" s="278"/>
      <c r="AA70" s="278"/>
      <c r="AB70" s="278"/>
      <c r="AC70" s="278"/>
    </row>
    <row r="71" ht="15.75" customHeight="1">
      <c r="A71" s="290" t="str">
        <f>IFERROR(__xludf.DUMMYFUNCTION("""COMPUTED_VALUE"""),"GANMA!")</f>
        <v>GANMA!</v>
      </c>
      <c r="B71" s="291">
        <f>IFERROR(__xludf.DUMMYFUNCTION("""COMPUTED_VALUE"""),45272.0)</f>
        <v>45272</v>
      </c>
      <c r="C71" s="292"/>
      <c r="D71" s="293">
        <f>IFERROR(__xludf.DUMMYFUNCTION("""COMPUTED_VALUE"""),225649.0)</f>
        <v>225649</v>
      </c>
      <c r="E71" s="290" t="str">
        <f>IFERROR(__xludf.DUMMYFUNCTION("""COMPUTED_VALUE"""),"お転婆娘と顔無しの男【単話版】")</f>
        <v>お転婆娘と顔無しの男【単話版】</v>
      </c>
      <c r="F71" s="298"/>
      <c r="G71" s="298"/>
      <c r="H71" s="298" t="str">
        <f>IFERROR(__xludf.DUMMYFUNCTION("""COMPUTED_VALUE"""),"広告出稿前にCP確認必須　※問合せ時点で出稿可否を判断する")</f>
        <v>広告出稿前にCP確認必須　※問合せ時点で出稿可否を判断する</v>
      </c>
      <c r="I71" s="283"/>
      <c r="J71" s="283"/>
      <c r="K71" s="283"/>
      <c r="L71" s="283"/>
      <c r="M71" s="283"/>
      <c r="N71" s="283"/>
      <c r="O71" s="283"/>
      <c r="P71" s="283"/>
      <c r="Q71" s="278"/>
      <c r="R71" s="278"/>
      <c r="S71" s="278"/>
      <c r="T71" s="278"/>
      <c r="U71" s="278"/>
      <c r="V71" s="278"/>
      <c r="W71" s="278"/>
      <c r="X71" s="278"/>
      <c r="Y71" s="278"/>
      <c r="Z71" s="278"/>
      <c r="AA71" s="278"/>
      <c r="AB71" s="278"/>
      <c r="AC71" s="278"/>
    </row>
    <row r="72" ht="15.75" customHeight="1">
      <c r="A72" s="290" t="str">
        <f>IFERROR(__xludf.DUMMYFUNCTION("""COMPUTED_VALUE"""),"GANMA!")</f>
        <v>GANMA!</v>
      </c>
      <c r="B72" s="291">
        <f>IFERROR(__xludf.DUMMYFUNCTION("""COMPUTED_VALUE"""),45272.0)</f>
        <v>45272</v>
      </c>
      <c r="C72" s="292"/>
      <c r="D72" s="293">
        <f>IFERROR(__xludf.DUMMYFUNCTION("""COMPUTED_VALUE"""),221664.0)</f>
        <v>221664</v>
      </c>
      <c r="E72" s="290" t="str">
        <f>IFERROR(__xludf.DUMMYFUNCTION("""COMPUTED_VALUE"""),"呪われ幸子の非凡な日常")</f>
        <v>呪われ幸子の非凡な日常</v>
      </c>
      <c r="F72" s="298"/>
      <c r="G72" s="298"/>
      <c r="H72" s="298" t="str">
        <f>IFERROR(__xludf.DUMMYFUNCTION("""COMPUTED_VALUE"""),"広告出稿前にCP確認必須　※問合せ時点で出稿可否を判断する")</f>
        <v>広告出稿前にCP確認必須　※問合せ時点で出稿可否を判断する</v>
      </c>
      <c r="I72" s="283"/>
      <c r="J72" s="283"/>
      <c r="K72" s="283"/>
      <c r="L72" s="283"/>
      <c r="M72" s="283"/>
      <c r="N72" s="283"/>
      <c r="O72" s="283"/>
      <c r="P72" s="283"/>
      <c r="Q72" s="278"/>
      <c r="R72" s="278"/>
      <c r="S72" s="278"/>
      <c r="T72" s="278"/>
      <c r="U72" s="278"/>
      <c r="V72" s="278"/>
      <c r="W72" s="278"/>
      <c r="X72" s="278"/>
      <c r="Y72" s="278"/>
      <c r="Z72" s="278"/>
      <c r="AA72" s="278"/>
      <c r="AB72" s="278"/>
      <c r="AC72" s="278"/>
    </row>
    <row r="73" ht="15.75" customHeight="1">
      <c r="A73" s="290" t="str">
        <f>IFERROR(__xludf.DUMMYFUNCTION("""COMPUTED_VALUE"""),"GANMA!")</f>
        <v>GANMA!</v>
      </c>
      <c r="B73" s="291">
        <f>IFERROR(__xludf.DUMMYFUNCTION("""COMPUTED_VALUE"""),45272.0)</f>
        <v>45272</v>
      </c>
      <c r="C73" s="292"/>
      <c r="D73" s="293">
        <f>IFERROR(__xludf.DUMMYFUNCTION("""COMPUTED_VALUE"""),264894.0)</f>
        <v>264894</v>
      </c>
      <c r="E73" s="290" t="str">
        <f>IFERROR(__xludf.DUMMYFUNCTION("""COMPUTED_VALUE"""),"呪われ幸子の非凡な日常【単話版】")</f>
        <v>呪われ幸子の非凡な日常【単話版】</v>
      </c>
      <c r="F73" s="298"/>
      <c r="G73" s="298"/>
      <c r="H73" s="298" t="str">
        <f>IFERROR(__xludf.DUMMYFUNCTION("""COMPUTED_VALUE"""),"広告出稿前にCP確認必須　※問合せ時点で出稿可否を判断する")</f>
        <v>広告出稿前にCP確認必須　※問合せ時点で出稿可否を判断する</v>
      </c>
      <c r="I73" s="283"/>
      <c r="J73" s="283"/>
      <c r="K73" s="283"/>
      <c r="L73" s="283"/>
      <c r="M73" s="283"/>
      <c r="N73" s="283"/>
      <c r="O73" s="283"/>
      <c r="P73" s="283"/>
      <c r="Q73" s="278"/>
      <c r="R73" s="278"/>
      <c r="S73" s="278"/>
      <c r="T73" s="278"/>
      <c r="U73" s="278"/>
      <c r="V73" s="278"/>
      <c r="W73" s="278"/>
      <c r="X73" s="278"/>
      <c r="Y73" s="278"/>
      <c r="Z73" s="278"/>
      <c r="AA73" s="278"/>
      <c r="AB73" s="278"/>
      <c r="AC73" s="278"/>
    </row>
    <row r="74" ht="15.75" customHeight="1">
      <c r="A74" s="290" t="str">
        <f>IFERROR(__xludf.DUMMYFUNCTION("""COMPUTED_VALUE"""),"GANMA!")</f>
        <v>GANMA!</v>
      </c>
      <c r="B74" s="291">
        <f>IFERROR(__xludf.DUMMYFUNCTION("""COMPUTED_VALUE"""),45272.0)</f>
        <v>45272</v>
      </c>
      <c r="C74" s="292"/>
      <c r="D74" s="293">
        <f>IFERROR(__xludf.DUMMYFUNCTION("""COMPUTED_VALUE"""),190934.0)</f>
        <v>190934</v>
      </c>
      <c r="E74" s="290" t="str">
        <f>IFERROR(__xludf.DUMMYFUNCTION("""COMPUTED_VALUE"""),"52ヘルツの案内人")</f>
        <v>52ヘルツの案内人</v>
      </c>
      <c r="F74" s="298"/>
      <c r="G74" s="298"/>
      <c r="H74" s="298" t="str">
        <f>IFERROR(__xludf.DUMMYFUNCTION("""COMPUTED_VALUE"""),"広告出稿前にCP確認必須　※問合せ時点で出稿可否を判断する")</f>
        <v>広告出稿前にCP確認必須　※問合せ時点で出稿可否を判断する</v>
      </c>
      <c r="I74" s="283"/>
      <c r="J74" s="283"/>
      <c r="K74" s="283"/>
      <c r="L74" s="283"/>
      <c r="M74" s="283"/>
      <c r="N74" s="283"/>
      <c r="O74" s="283"/>
      <c r="P74" s="283"/>
      <c r="Q74" s="278"/>
      <c r="R74" s="278"/>
      <c r="S74" s="278"/>
      <c r="T74" s="278"/>
      <c r="U74" s="278"/>
      <c r="V74" s="278"/>
      <c r="W74" s="278"/>
      <c r="X74" s="278"/>
      <c r="Y74" s="278"/>
      <c r="Z74" s="278"/>
      <c r="AA74" s="278"/>
      <c r="AB74" s="278"/>
      <c r="AC74" s="278"/>
    </row>
    <row r="75" ht="15.75" customHeight="1">
      <c r="A75" s="290" t="str">
        <f>IFERROR(__xludf.DUMMYFUNCTION("""COMPUTED_VALUE"""),"GANMA!")</f>
        <v>GANMA!</v>
      </c>
      <c r="B75" s="291">
        <f>IFERROR(__xludf.DUMMYFUNCTION("""COMPUTED_VALUE"""),45272.0)</f>
        <v>45272</v>
      </c>
      <c r="C75" s="292"/>
      <c r="D75" s="293">
        <f>IFERROR(__xludf.DUMMYFUNCTION("""COMPUTED_VALUE"""),184747.0)</f>
        <v>184747</v>
      </c>
      <c r="E75" s="290" t="str">
        <f>IFERROR(__xludf.DUMMYFUNCTION("""COMPUTED_VALUE"""),"乙女哲学")</f>
        <v>乙女哲学</v>
      </c>
      <c r="F75" s="298"/>
      <c r="G75" s="298"/>
      <c r="H75" s="298" t="str">
        <f>IFERROR(__xludf.DUMMYFUNCTION("""COMPUTED_VALUE"""),"広告出稿不可")</f>
        <v>広告出稿不可</v>
      </c>
      <c r="I75" s="283"/>
      <c r="J75" s="283"/>
      <c r="K75" s="283"/>
      <c r="L75" s="283"/>
      <c r="M75" s="283"/>
      <c r="N75" s="283"/>
      <c r="O75" s="283"/>
      <c r="P75" s="283"/>
      <c r="Q75" s="278"/>
      <c r="R75" s="278"/>
      <c r="S75" s="278"/>
      <c r="T75" s="278"/>
      <c r="U75" s="278"/>
      <c r="V75" s="278"/>
      <c r="W75" s="278"/>
      <c r="X75" s="278"/>
      <c r="Y75" s="278"/>
      <c r="Z75" s="278"/>
      <c r="AA75" s="278"/>
      <c r="AB75" s="278"/>
      <c r="AC75" s="278"/>
    </row>
    <row r="76">
      <c r="A76" s="290" t="str">
        <f>IFERROR(__xludf.DUMMYFUNCTION("""COMPUTED_VALUE"""),"ナイトコミック")</f>
        <v>ナイトコミック</v>
      </c>
      <c r="B76" s="291">
        <f>IFERROR(__xludf.DUMMYFUNCTION("""COMPUTED_VALUE"""),45275.0)</f>
        <v>45275</v>
      </c>
      <c r="C76" s="292"/>
      <c r="D76" s="293">
        <f>IFERROR(__xludf.DUMMYFUNCTION("""COMPUTED_VALUE"""),272115.0)</f>
        <v>272115</v>
      </c>
      <c r="E76" s="290" t="str">
        <f>IFERROR(__xludf.DUMMYFUNCTION("""COMPUTED_VALUE"""),"流サレ猥婦")</f>
        <v>流サレ猥婦</v>
      </c>
      <c r="F76" s="298"/>
      <c r="G76" s="298"/>
      <c r="H76" s="298" t="str">
        <f>IFERROR(__xludf.DUMMYFUNCTION("""COMPUTED_VALUE"""),"ソル判定：
1巻は問題ない為OK。
2巻は男の子が小学生に見えるのでバナーはNG。")</f>
        <v>ソル判定：
1巻は問題ない為OK。
2巻は男の子が小学生に見えるのでバナーはNG。</v>
      </c>
      <c r="I76" s="283"/>
      <c r="J76" s="283"/>
      <c r="K76" s="283"/>
      <c r="L76" s="283"/>
      <c r="M76" s="283"/>
      <c r="N76" s="283"/>
      <c r="O76" s="283"/>
      <c r="P76" s="283"/>
      <c r="Q76" s="278"/>
      <c r="R76" s="278"/>
      <c r="S76" s="278"/>
      <c r="T76" s="278"/>
      <c r="U76" s="278"/>
      <c r="V76" s="278"/>
      <c r="W76" s="278"/>
      <c r="X76" s="278"/>
      <c r="Y76" s="278"/>
      <c r="Z76" s="278"/>
      <c r="AA76" s="278"/>
      <c r="AB76" s="278"/>
      <c r="AC76" s="278"/>
    </row>
    <row r="77">
      <c r="A77" s="290" t="str">
        <f>IFERROR(__xludf.DUMMYFUNCTION("""COMPUTED_VALUE"""),"KATTS")</f>
        <v>KATTS</v>
      </c>
      <c r="B77" s="291">
        <f>IFERROR(__xludf.DUMMYFUNCTION("""COMPUTED_VALUE"""),45314.0)</f>
        <v>45314</v>
      </c>
      <c r="C77" s="292"/>
      <c r="D77" s="293">
        <f>IFERROR(__xludf.DUMMYFUNCTION("""COMPUTED_VALUE"""),169645.0)</f>
        <v>169645</v>
      </c>
      <c r="E77" s="290" t="str">
        <f>IFERROR(__xludf.DUMMYFUNCTION("""COMPUTED_VALUE"""),"ビンビンになるツボ押しちゃった!?～年下男の子の「アレ」で逆マッサージ～")</f>
        <v>ビンビンになるツボ押しちゃった!?～年下男の子の「アレ」で逆マッサージ～</v>
      </c>
      <c r="F77" s="298"/>
      <c r="G77" s="298"/>
      <c r="H77" s="298" t="str">
        <f>IFERROR(__xludf.DUMMYFUNCTION("""COMPUTED_VALUE"""),"ソル判定　キャラ見た目年齢NG")</f>
        <v>ソル判定　キャラ見た目年齢NG</v>
      </c>
      <c r="I77" s="283"/>
      <c r="J77" s="283"/>
      <c r="K77" s="283"/>
      <c r="L77" s="283"/>
      <c r="M77" s="283"/>
      <c r="N77" s="283"/>
      <c r="O77" s="283"/>
      <c r="P77" s="283"/>
      <c r="Q77" s="278"/>
      <c r="R77" s="278"/>
      <c r="S77" s="278"/>
      <c r="T77" s="278"/>
      <c r="U77" s="278"/>
      <c r="V77" s="278"/>
      <c r="W77" s="278"/>
      <c r="X77" s="278"/>
      <c r="Y77" s="278"/>
      <c r="Z77" s="278"/>
      <c r="AA77" s="278"/>
      <c r="AB77" s="278"/>
      <c r="AC77" s="278"/>
    </row>
    <row r="78" ht="15.75" customHeight="1">
      <c r="A78" s="290" t="str">
        <f>IFERROR(__xludf.DUMMYFUNCTION("""COMPUTED_VALUE"""),"ナンバーナイン")</f>
        <v>ナンバーナイン</v>
      </c>
      <c r="B78" s="291">
        <f>IFERROR(__xludf.DUMMYFUNCTION("""COMPUTED_VALUE"""),45328.0)</f>
        <v>45328</v>
      </c>
      <c r="C78" s="292"/>
      <c r="D78" s="293">
        <f>IFERROR(__xludf.DUMMYFUNCTION("""COMPUTED_VALUE"""),281724.0)</f>
        <v>281724</v>
      </c>
      <c r="E78" s="290" t="str">
        <f>IFERROR(__xludf.DUMMYFUNCTION("""COMPUTED_VALUE"""),"あの時拾ってもらった触手です")</f>
        <v>あの時拾ってもらった触手です</v>
      </c>
      <c r="F78" s="298"/>
      <c r="G78" s="298"/>
      <c r="H78" s="298" t="str">
        <f>IFERROR(__xludf.DUMMYFUNCTION("""COMPUTED_VALUE"""),"ソル判定　男の子が小学生に見えるためNG")</f>
        <v>ソル判定　男の子が小学生に見えるためNG</v>
      </c>
      <c r="I78" s="283"/>
      <c r="J78" s="283"/>
      <c r="K78" s="283"/>
      <c r="L78" s="283"/>
      <c r="M78" s="283"/>
      <c r="N78" s="283"/>
      <c r="O78" s="283"/>
      <c r="P78" s="283"/>
      <c r="Q78" s="278"/>
      <c r="R78" s="278"/>
      <c r="S78" s="278"/>
      <c r="T78" s="278"/>
      <c r="U78" s="278"/>
      <c r="V78" s="278"/>
      <c r="W78" s="278"/>
      <c r="X78" s="278"/>
      <c r="Y78" s="278"/>
      <c r="Z78" s="278"/>
      <c r="AA78" s="278"/>
      <c r="AB78" s="278"/>
      <c r="AC78" s="278"/>
    </row>
    <row r="79" ht="15.75" customHeight="1">
      <c r="A79" s="290" t="str">
        <f>IFERROR(__xludf.DUMMYFUNCTION("""COMPUTED_VALUE"""),"CLLENN")</f>
        <v>CLLENN</v>
      </c>
      <c r="B79" s="291">
        <f>IFERROR(__xludf.DUMMYFUNCTION("""COMPUTED_VALUE"""),45369.0)</f>
        <v>45369</v>
      </c>
      <c r="C79" s="292"/>
      <c r="D79" s="293">
        <f>IFERROR(__xludf.DUMMYFUNCTION("""COMPUTED_VALUE"""),100887.0)</f>
        <v>100887</v>
      </c>
      <c r="E79" s="290" t="str">
        <f>IFERROR(__xludf.DUMMYFUNCTION("""COMPUTED_VALUE"""),"ドＳペットに飼育されています。～躾はベッドの上で… ")</f>
        <v>ドＳペットに飼育されています。～躾はベッドの上で… </v>
      </c>
      <c r="F79" s="298"/>
      <c r="G79" s="298"/>
      <c r="H79" s="298" t="str">
        <f>IFERROR(__xludf.DUMMYFUNCTION("""COMPUTED_VALUE"""),"時期未定だがマルチ、読み放題ともに配信停止予定のため広告出稿NG")</f>
        <v>時期未定だがマルチ、読み放題ともに配信停止予定のため広告出稿NG</v>
      </c>
      <c r="I79" s="283"/>
      <c r="J79" s="283"/>
      <c r="K79" s="283"/>
      <c r="L79" s="283"/>
      <c r="M79" s="283"/>
      <c r="N79" s="283"/>
      <c r="O79" s="283"/>
      <c r="P79" s="283"/>
      <c r="Q79" s="278"/>
      <c r="R79" s="278"/>
      <c r="S79" s="278"/>
      <c r="T79" s="278"/>
      <c r="U79" s="278"/>
      <c r="V79" s="278"/>
      <c r="W79" s="278"/>
      <c r="X79" s="278"/>
      <c r="Y79" s="278"/>
      <c r="Z79" s="278"/>
      <c r="AA79" s="278"/>
      <c r="AB79" s="278"/>
      <c r="AC79" s="278"/>
    </row>
    <row r="80" ht="15.75" customHeight="1">
      <c r="A80" s="290" t="str">
        <f>IFERROR(__xludf.DUMMYFUNCTION("""COMPUTED_VALUE"""),"講談社")</f>
        <v>講談社</v>
      </c>
      <c r="B80" s="291">
        <f>IFERROR(__xludf.DUMMYFUNCTION("""COMPUTED_VALUE"""),45440.0)</f>
        <v>45440</v>
      </c>
      <c r="C80" s="292"/>
      <c r="D80" s="293">
        <f>IFERROR(__xludf.DUMMYFUNCTION("""COMPUTED_VALUE"""),181243.0)</f>
        <v>181243</v>
      </c>
      <c r="E80" s="290" t="str">
        <f>IFERROR(__xludf.DUMMYFUNCTION("""COMPUTED_VALUE"""),"黒白を弁ぜず")</f>
        <v>黒白を弁ぜず</v>
      </c>
      <c r="F80" s="332"/>
      <c r="G80" s="332"/>
      <c r="H80" s="332" t="str">
        <f>IFERROR(__xludf.DUMMYFUNCTION("""COMPUTED_VALUE"""),"書店問わず外部広告NG")</f>
        <v>書店問わず外部広告NG</v>
      </c>
      <c r="I80" s="283"/>
      <c r="J80" s="283"/>
      <c r="K80" s="283"/>
      <c r="L80" s="283"/>
      <c r="M80" s="283"/>
      <c r="N80" s="283"/>
      <c r="O80" s="283"/>
      <c r="P80" s="283"/>
      <c r="Q80" s="278"/>
      <c r="R80" s="278"/>
      <c r="S80" s="278"/>
      <c r="T80" s="278"/>
      <c r="U80" s="278"/>
      <c r="V80" s="278"/>
      <c r="W80" s="278"/>
      <c r="X80" s="278"/>
      <c r="Y80" s="278"/>
      <c r="Z80" s="278"/>
      <c r="AA80" s="278"/>
      <c r="AB80" s="278"/>
      <c r="AC80" s="278"/>
    </row>
    <row r="81" ht="15.75" customHeight="1">
      <c r="A81" s="290" t="str">
        <f>IFERROR(__xludf.DUMMYFUNCTION("""COMPUTED_VALUE"""),"エイシス（DLcomics）")</f>
        <v>エイシス（DLcomics）</v>
      </c>
      <c r="B81" s="291">
        <f>IFERROR(__xludf.DUMMYFUNCTION("""COMPUTED_VALUE"""),45477.0)</f>
        <v>45477</v>
      </c>
      <c r="C81" s="292"/>
      <c r="D81" s="293">
        <f>IFERROR(__xludf.DUMMYFUNCTION("""COMPUTED_VALUE"""),294217.0)</f>
        <v>294217</v>
      </c>
      <c r="E81" s="290" t="str">
        <f>IFERROR(__xludf.DUMMYFUNCTION("""COMPUTED_VALUE"""),"仕事ができない榊くんは夜だけ有能【デジタル修正版】")</f>
        <v>仕事ができない榊くんは夜だけ有能【デジタル修正版】</v>
      </c>
      <c r="F81" s="298"/>
      <c r="G81" s="298"/>
      <c r="H81" s="298" t="str">
        <f>IFERROR(__xludf.DUMMYFUNCTION("""COMPUTED_VALUE"""),"作家の意向により広告出稿NG")</f>
        <v>作家の意向により広告出稿NG</v>
      </c>
      <c r="I81" s="283"/>
      <c r="J81" s="283"/>
      <c r="K81" s="283"/>
      <c r="L81" s="283"/>
      <c r="M81" s="283"/>
      <c r="N81" s="283"/>
      <c r="O81" s="283"/>
      <c r="P81" s="283"/>
      <c r="Q81" s="278"/>
      <c r="R81" s="278"/>
      <c r="S81" s="278"/>
      <c r="T81" s="278"/>
      <c r="U81" s="278"/>
      <c r="V81" s="278"/>
      <c r="W81" s="278"/>
      <c r="X81" s="278"/>
      <c r="Y81" s="278"/>
      <c r="Z81" s="278"/>
      <c r="AA81" s="278"/>
      <c r="AB81" s="278"/>
      <c r="AC81" s="278"/>
    </row>
    <row r="82" ht="15.75" customHeight="1">
      <c r="A82" s="290" t="str">
        <f>IFERROR(__xludf.DUMMYFUNCTION("""COMPUTED_VALUE"""),"エイシス（DLcomics）")</f>
        <v>エイシス（DLcomics）</v>
      </c>
      <c r="B82" s="291">
        <f>IFERROR(__xludf.DUMMYFUNCTION("""COMPUTED_VALUE"""),45477.0)</f>
        <v>45477</v>
      </c>
      <c r="C82" s="292"/>
      <c r="D82" s="293">
        <f>IFERROR(__xludf.DUMMYFUNCTION("""COMPUTED_VALUE"""),294204.0)</f>
        <v>294204</v>
      </c>
      <c r="E82" s="290" t="str">
        <f>IFERROR(__xludf.DUMMYFUNCTION("""COMPUTED_VALUE"""),"仕事ができない榊くんは夜だけ有能【R-18版】")</f>
        <v>仕事ができない榊くんは夜だけ有能【R-18版】</v>
      </c>
      <c r="F82" s="298"/>
      <c r="G82" s="298"/>
      <c r="H82" s="298" t="str">
        <f>IFERROR(__xludf.DUMMYFUNCTION("""COMPUTED_VALUE"""),"作家の意向により広告出稿NG")</f>
        <v>作家の意向により広告出稿NG</v>
      </c>
      <c r="I82" s="283"/>
      <c r="J82" s="283"/>
      <c r="K82" s="283"/>
      <c r="L82" s="283"/>
      <c r="M82" s="283"/>
      <c r="N82" s="283"/>
      <c r="O82" s="283"/>
      <c r="P82" s="283"/>
      <c r="Q82" s="278"/>
      <c r="R82" s="278"/>
      <c r="S82" s="278"/>
      <c r="T82" s="278"/>
      <c r="U82" s="278"/>
      <c r="V82" s="278"/>
      <c r="W82" s="278"/>
      <c r="X82" s="278"/>
      <c r="Y82" s="278"/>
      <c r="Z82" s="278"/>
      <c r="AA82" s="278"/>
      <c r="AB82" s="278"/>
      <c r="AC82" s="278"/>
    </row>
    <row r="83">
      <c r="A83" s="290" t="str">
        <f>IFERROR(__xludf.DUMMYFUNCTION("""COMPUTED_VALUE"""),"FILL-IN")</f>
        <v>FILL-IN</v>
      </c>
      <c r="B83" s="291">
        <f>IFERROR(__xludf.DUMMYFUNCTION("""COMPUTED_VALUE"""),45524.0)</f>
        <v>45524</v>
      </c>
      <c r="C83" s="292"/>
      <c r="D83" s="293">
        <f>IFERROR(__xludf.DUMMYFUNCTION("""COMPUTED_VALUE"""),283937.0)</f>
        <v>283937</v>
      </c>
      <c r="E83" s="290" t="str">
        <f>IFERROR(__xludf.DUMMYFUNCTION("""COMPUTED_VALUE"""),"AVごっこ～親ガチャに当たったクソ○キたちに弱みを握られハメられる家庭教師JK～")</f>
        <v>AVごっこ～親ガチャに当たったクソ○キたちに弱みを握られハメられる家庭教師JK～</v>
      </c>
      <c r="F83" s="310"/>
      <c r="G83" s="298"/>
      <c r="H83" s="298" t="str">
        <f>IFERROR(__xludf.DUMMYFUNCTION("""COMPUTED_VALUE"""),"ソル判定　男の子が小学生に見えるためNG")</f>
        <v>ソル判定　男の子が小学生に見えるためNG</v>
      </c>
      <c r="I83" s="283"/>
      <c r="J83" s="283"/>
      <c r="K83" s="283"/>
      <c r="L83" s="283"/>
      <c r="M83" s="283"/>
      <c r="N83" s="283"/>
      <c r="O83" s="283"/>
      <c r="P83" s="283"/>
      <c r="Q83" s="278"/>
      <c r="R83" s="278"/>
      <c r="S83" s="278"/>
      <c r="T83" s="278"/>
      <c r="U83" s="278"/>
      <c r="V83" s="278"/>
      <c r="W83" s="278"/>
      <c r="X83" s="278"/>
      <c r="Y83" s="278"/>
      <c r="Z83" s="278"/>
      <c r="AA83" s="278"/>
      <c r="AB83" s="278"/>
      <c r="AC83" s="278"/>
    </row>
    <row r="84">
      <c r="A84" s="290" t="str">
        <f>IFERROR(__xludf.DUMMYFUNCTION("""COMPUTED_VALUE"""),"シーモアコミックス（トレモア）")</f>
        <v>シーモアコミックス（トレモア）</v>
      </c>
      <c r="B84" s="291">
        <f>IFERROR(__xludf.DUMMYFUNCTION("""COMPUTED_VALUE"""),45562.0)</f>
        <v>45562</v>
      </c>
      <c r="C84" s="292"/>
      <c r="D84" s="293">
        <f>IFERROR(__xludf.DUMMYFUNCTION("""COMPUTED_VALUE"""),290568.0)</f>
        <v>290568</v>
      </c>
      <c r="E84" s="290" t="str">
        <f>IFERROR(__xludf.DUMMYFUNCTION("""COMPUTED_VALUE"""),"華嫁（はなよめ）～虐げられていた私が帝都の守護神に溺愛される～")</f>
        <v>華嫁（はなよめ）～虐げられていた私が帝都の守護神に溺愛される～</v>
      </c>
      <c r="F84" s="298" t="str">
        <f>IFERROR(__xludf.DUMMYFUNCTION("""COMPUTED_VALUE"""),"灯路ほっけ 烏丸紫明")</f>
        <v>灯路ほっけ 烏丸紫明</v>
      </c>
      <c r="G84" s="298"/>
      <c r="H84" s="298" t="str">
        <f>IFERROR(__xludf.DUMMYFUNCTION("""COMPUTED_VALUE"""),"諸般の事情により、広告出稿ＮＧ")</f>
        <v>諸般の事情により、広告出稿ＮＧ</v>
      </c>
      <c r="I84" s="283"/>
      <c r="J84" s="283"/>
      <c r="K84" s="283"/>
      <c r="L84" s="283"/>
      <c r="M84" s="283"/>
      <c r="N84" s="283"/>
      <c r="O84" s="283"/>
      <c r="P84" s="283"/>
      <c r="Q84" s="278"/>
      <c r="R84" s="278"/>
      <c r="S84" s="278"/>
      <c r="T84" s="278"/>
      <c r="U84" s="278"/>
      <c r="V84" s="278"/>
      <c r="W84" s="278"/>
      <c r="X84" s="278"/>
      <c r="Y84" s="278"/>
      <c r="Z84" s="278"/>
      <c r="AA84" s="278"/>
      <c r="AB84" s="278"/>
      <c r="AC84" s="278"/>
    </row>
    <row r="85" ht="15.75" customHeight="1">
      <c r="A85" s="290" t="str">
        <f>IFERROR(__xludf.DUMMYFUNCTION("""COMPUTED_VALUE"""),"小学館")</f>
        <v>小学館</v>
      </c>
      <c r="B85" s="291">
        <f>IFERROR(__xludf.DUMMYFUNCTION("""COMPUTED_VALUE"""),45569.0)</f>
        <v>45569</v>
      </c>
      <c r="C85" s="292"/>
      <c r="D85" s="293">
        <f>IFERROR(__xludf.DUMMYFUNCTION("""COMPUTED_VALUE"""),151675.0)</f>
        <v>151675</v>
      </c>
      <c r="E85" s="290" t="str">
        <f>IFERROR(__xludf.DUMMYFUNCTION("""COMPUTED_VALUE"""),"ガイシューイッショク！")</f>
        <v>ガイシューイッショク！</v>
      </c>
      <c r="F85" s="310"/>
      <c r="G85" s="298"/>
      <c r="H85" s="298" t="str">
        <f>IFERROR(__xludf.DUMMYFUNCTION("""COMPUTED_VALUE"""),"あらゆる施策を止めているため、広告出稿自体NG")</f>
        <v>あらゆる施策を止めているため、広告出稿自体NG</v>
      </c>
      <c r="I85" s="283"/>
      <c r="J85" s="283"/>
      <c r="K85" s="283"/>
      <c r="L85" s="283"/>
      <c r="M85" s="283"/>
      <c r="N85" s="283"/>
      <c r="O85" s="283"/>
      <c r="P85" s="283"/>
      <c r="Q85" s="278"/>
      <c r="R85" s="278"/>
      <c r="S85" s="278"/>
      <c r="T85" s="278"/>
      <c r="U85" s="278"/>
      <c r="V85" s="278"/>
      <c r="W85" s="278"/>
      <c r="X85" s="278"/>
      <c r="Y85" s="278"/>
      <c r="Z85" s="278"/>
      <c r="AA85" s="278"/>
      <c r="AB85" s="278"/>
      <c r="AC85" s="278"/>
    </row>
    <row r="86" ht="15.75" customHeight="1">
      <c r="A86" s="290" t="str">
        <f>IFERROR(__xludf.DUMMYFUNCTION("""COMPUTED_VALUE"""),"3E")</f>
        <v>3E</v>
      </c>
      <c r="B86" s="291">
        <f>IFERROR(__xludf.DUMMYFUNCTION("""COMPUTED_VALUE"""),45618.0)</f>
        <v>45618</v>
      </c>
      <c r="C86" s="292"/>
      <c r="D86" s="293">
        <f>IFERROR(__xludf.DUMMYFUNCTION("""COMPUTED_VALUE"""),129663.0)</f>
        <v>129663</v>
      </c>
      <c r="E86" s="290" t="str">
        <f>IFERROR(__xludf.DUMMYFUNCTION("""COMPUTED_VALUE"""),"ドキドキ妖狐先生")</f>
        <v>ドキドキ妖狐先生</v>
      </c>
      <c r="F86" s="298" t="str">
        <f>IFERROR(__xludf.DUMMYFUNCTION("""COMPUTED_VALUE"""),"ｒｔ．")</f>
        <v>ｒｔ．</v>
      </c>
      <c r="G86" s="298" t="str">
        <f>IFERROR(__xludf.DUMMYFUNCTION("""COMPUTED_VALUE"""),"オトナコミック")</f>
        <v>オトナコミック</v>
      </c>
      <c r="H86" s="298" t="str">
        <f>IFERROR(__xludf.DUMMYFUNCTION("""COMPUTED_VALUE"""),"2024/11/25～）クレジットカードでの購入のみ停止")</f>
        <v>2024/11/25～）クレジットカードでの購入のみ停止</v>
      </c>
      <c r="I86" s="283"/>
      <c r="J86" s="283"/>
      <c r="K86" s="283"/>
      <c r="L86" s="283"/>
      <c r="M86" s="283"/>
      <c r="N86" s="283"/>
      <c r="O86" s="283"/>
      <c r="P86" s="283"/>
      <c r="Q86" s="278"/>
      <c r="R86" s="278"/>
      <c r="S86" s="278"/>
      <c r="T86" s="278"/>
      <c r="U86" s="278"/>
      <c r="V86" s="278"/>
      <c r="W86" s="278"/>
      <c r="X86" s="278"/>
      <c r="Y86" s="278"/>
      <c r="Z86" s="278"/>
      <c r="AA86" s="278"/>
      <c r="AB86" s="278"/>
      <c r="AC86" s="278"/>
    </row>
    <row r="87" ht="15.75" customHeight="1">
      <c r="A87" s="290" t="str">
        <f>IFERROR(__xludf.DUMMYFUNCTION("""COMPUTED_VALUE"""),"Bevy")</f>
        <v>Bevy</v>
      </c>
      <c r="B87" s="291">
        <f>IFERROR(__xludf.DUMMYFUNCTION("""COMPUTED_VALUE"""),45618.0)</f>
        <v>45618</v>
      </c>
      <c r="C87" s="292"/>
      <c r="D87" s="293">
        <f>IFERROR(__xludf.DUMMYFUNCTION("""COMPUTED_VALUE"""),71338.0)</f>
        <v>71338</v>
      </c>
      <c r="E87" s="290" t="str">
        <f>IFERROR(__xludf.DUMMYFUNCTION("""COMPUTED_VALUE"""),"いいなり牝教師!～おっぱいセンセイの公開イカされ懲罰室～(フルカラー)")</f>
        <v>いいなり牝教師!～おっぱいセンセイの公開イカされ懲罰室～(フルカラー)</v>
      </c>
      <c r="F87" s="298" t="str">
        <f>IFERROR(__xludf.DUMMYFUNCTION("""COMPUTED_VALUE"""),"kika=ざる")</f>
        <v>kika=ざる</v>
      </c>
      <c r="G87" s="298" t="str">
        <f>IFERROR(__xludf.DUMMYFUNCTION("""COMPUTED_VALUE"""),"オトナコミック")</f>
        <v>オトナコミック</v>
      </c>
      <c r="H87" s="298" t="str">
        <f>IFERROR(__xludf.DUMMYFUNCTION("""COMPUTED_VALUE"""),"2024/11/25～）クレジットカードでの購入のみ停止")</f>
        <v>2024/11/25～）クレジットカードでの購入のみ停止</v>
      </c>
      <c r="I87" s="283"/>
      <c r="J87" s="283"/>
      <c r="K87" s="283"/>
      <c r="L87" s="283"/>
      <c r="M87" s="283"/>
      <c r="N87" s="283"/>
      <c r="O87" s="283"/>
      <c r="P87" s="283"/>
      <c r="Q87" s="278"/>
      <c r="R87" s="278"/>
      <c r="S87" s="278"/>
      <c r="T87" s="278"/>
      <c r="U87" s="278"/>
      <c r="V87" s="278"/>
      <c r="W87" s="278"/>
      <c r="X87" s="278"/>
      <c r="Y87" s="278"/>
      <c r="Z87" s="278"/>
      <c r="AA87" s="278"/>
      <c r="AB87" s="278"/>
      <c r="AC87" s="278"/>
    </row>
    <row r="88" ht="15.75" customHeight="1">
      <c r="A88" s="290" t="str">
        <f>IFERROR(__xludf.DUMMYFUNCTION("""COMPUTED_VALUE"""),"Bevy")</f>
        <v>Bevy</v>
      </c>
      <c r="B88" s="291">
        <f>IFERROR(__xludf.DUMMYFUNCTION("""COMPUTED_VALUE"""),45618.0)</f>
        <v>45618</v>
      </c>
      <c r="C88" s="292"/>
      <c r="D88" s="293">
        <f>IFERROR(__xludf.DUMMYFUNCTION("""COMPUTED_VALUE"""),73142.0)</f>
        <v>73142</v>
      </c>
      <c r="E88" s="290" t="str">
        <f>IFERROR(__xludf.DUMMYFUNCTION("""COMPUTED_VALUE"""),"ニート様にひざまずけ!写メでお前も肉奴隷!!")</f>
        <v>ニート様にひざまずけ!写メでお前も肉奴隷!!</v>
      </c>
      <c r="F88" s="298" t="str">
        <f>IFERROR(__xludf.DUMMYFUNCTION("""COMPUTED_VALUE"""),"岡崎那緒")</f>
        <v>岡崎那緒</v>
      </c>
      <c r="G88" s="298" t="str">
        <f>IFERROR(__xludf.DUMMYFUNCTION("""COMPUTED_VALUE"""),"オトナコミック")</f>
        <v>オトナコミック</v>
      </c>
      <c r="H88" s="298" t="str">
        <f>IFERROR(__xludf.DUMMYFUNCTION("""COMPUTED_VALUE"""),"2024/11/25～）クレジットカードでの購入のみ停止")</f>
        <v>2024/11/25～）クレジットカードでの購入のみ停止</v>
      </c>
      <c r="I88" s="283"/>
      <c r="J88" s="283"/>
      <c r="K88" s="283"/>
      <c r="L88" s="283"/>
      <c r="M88" s="283"/>
      <c r="N88" s="283"/>
      <c r="O88" s="283"/>
      <c r="P88" s="283"/>
      <c r="Q88" s="278"/>
      <c r="R88" s="278"/>
      <c r="S88" s="278"/>
      <c r="T88" s="278"/>
      <c r="U88" s="278"/>
      <c r="V88" s="278"/>
      <c r="W88" s="278"/>
      <c r="X88" s="278"/>
      <c r="Y88" s="278"/>
      <c r="Z88" s="278"/>
      <c r="AA88" s="278"/>
      <c r="AB88" s="278"/>
      <c r="AC88" s="278"/>
    </row>
    <row r="89" ht="15.75" customHeight="1">
      <c r="A89" s="290" t="str">
        <f>IFERROR(__xludf.DUMMYFUNCTION("""COMPUTED_VALUE"""),"Bevy")</f>
        <v>Bevy</v>
      </c>
      <c r="B89" s="291">
        <f>IFERROR(__xludf.DUMMYFUNCTION("""COMPUTED_VALUE"""),45618.0)</f>
        <v>45618</v>
      </c>
      <c r="C89" s="292"/>
      <c r="D89" s="293">
        <f>IFERROR(__xludf.DUMMYFUNCTION("""COMPUTED_VALUE"""),81304.0)</f>
        <v>81304</v>
      </c>
      <c r="E89" s="290" t="str">
        <f>IFERROR(__xludf.DUMMYFUNCTION("""COMPUTED_VALUE"""),"JKしぼり。～生ハメ工場で種付けされまくる女子○生～")</f>
        <v>JKしぼり。～生ハメ工場で種付けされまくる女子○生～</v>
      </c>
      <c r="F89" s="298" t="str">
        <f>IFERROR(__xludf.DUMMYFUNCTION("""COMPUTED_VALUE"""),"しゅらん")</f>
        <v>しゅらん</v>
      </c>
      <c r="G89" s="298" t="str">
        <f>IFERROR(__xludf.DUMMYFUNCTION("""COMPUTED_VALUE"""),"オトナコミック")</f>
        <v>オトナコミック</v>
      </c>
      <c r="H89" s="298" t="str">
        <f>IFERROR(__xludf.DUMMYFUNCTION("""COMPUTED_VALUE"""),"2024/11/25～）クレジットカードでの購入のみ停止")</f>
        <v>2024/11/25～）クレジットカードでの購入のみ停止</v>
      </c>
      <c r="I89" s="283"/>
      <c r="J89" s="283"/>
      <c r="K89" s="283"/>
      <c r="L89" s="283"/>
      <c r="M89" s="283"/>
      <c r="N89" s="283"/>
      <c r="O89" s="283"/>
      <c r="P89" s="283"/>
      <c r="Q89" s="278"/>
      <c r="R89" s="278"/>
      <c r="S89" s="278"/>
      <c r="T89" s="278"/>
      <c r="U89" s="278"/>
      <c r="V89" s="278"/>
      <c r="W89" s="278"/>
      <c r="X89" s="278"/>
      <c r="Y89" s="278"/>
      <c r="Z89" s="278"/>
      <c r="AA89" s="278"/>
      <c r="AB89" s="278"/>
      <c r="AC89" s="278"/>
    </row>
    <row r="90" ht="15.75" customHeight="1">
      <c r="A90" s="290" t="str">
        <f>IFERROR(__xludf.DUMMYFUNCTION("""COMPUTED_VALUE"""),"Bevy")</f>
        <v>Bevy</v>
      </c>
      <c r="B90" s="291">
        <f>IFERROR(__xludf.DUMMYFUNCTION("""COMPUTED_VALUE"""),45618.0)</f>
        <v>45618</v>
      </c>
      <c r="C90" s="292"/>
      <c r="D90" s="293">
        <f>IFERROR(__xludf.DUMMYFUNCTION("""COMPUTED_VALUE"""),92706.0)</f>
        <v>92706</v>
      </c>
      <c r="E90" s="290" t="str">
        <f>IFERROR(__xludf.DUMMYFUNCTION("""COMPUTED_VALUE"""),"某有名テニス部のヤリサー合宿で汚じさんに躾けられました。(フルカラー)")</f>
        <v>某有名テニス部のヤリサー合宿で汚じさんに躾けられました。(フルカラー)</v>
      </c>
      <c r="F90" s="298" t="str">
        <f>IFERROR(__xludf.DUMMYFUNCTION("""COMPUTED_VALUE"""),"しゅらん")</f>
        <v>しゅらん</v>
      </c>
      <c r="G90" s="298" t="str">
        <f>IFERROR(__xludf.DUMMYFUNCTION("""COMPUTED_VALUE"""),"オトナコミック")</f>
        <v>オトナコミック</v>
      </c>
      <c r="H90" s="298" t="str">
        <f>IFERROR(__xludf.DUMMYFUNCTION("""COMPUTED_VALUE"""),"2024/11/25～）クレジットカードでの購入のみ停止")</f>
        <v>2024/11/25～）クレジットカードでの購入のみ停止</v>
      </c>
      <c r="I90" s="283"/>
      <c r="J90" s="283"/>
      <c r="K90" s="283"/>
      <c r="L90" s="283"/>
      <c r="M90" s="283"/>
      <c r="N90" s="283"/>
      <c r="O90" s="283"/>
      <c r="P90" s="283"/>
      <c r="Q90" s="278"/>
      <c r="R90" s="278"/>
      <c r="S90" s="278"/>
      <c r="T90" s="278"/>
      <c r="U90" s="278"/>
      <c r="V90" s="278"/>
      <c r="W90" s="278"/>
      <c r="X90" s="278"/>
      <c r="Y90" s="278"/>
      <c r="Z90" s="278"/>
      <c r="AA90" s="278"/>
      <c r="AB90" s="278"/>
      <c r="AC90" s="278"/>
    </row>
    <row r="91" ht="15.75" customHeight="1">
      <c r="A91" s="290" t="str">
        <f>IFERROR(__xludf.DUMMYFUNCTION("""COMPUTED_VALUE"""),"Bevy")</f>
        <v>Bevy</v>
      </c>
      <c r="B91" s="291">
        <f>IFERROR(__xludf.DUMMYFUNCTION("""COMPUTED_VALUE"""),45618.0)</f>
        <v>45618</v>
      </c>
      <c r="C91" s="292"/>
      <c r="D91" s="293">
        <f>IFERROR(__xludf.DUMMYFUNCTION("""COMPUTED_VALUE"""),96509.0)</f>
        <v>96509</v>
      </c>
      <c r="E91" s="290" t="str">
        <f>IFERROR(__xludf.DUMMYFUNCTION("""COMPUTED_VALUE"""),"え、先生！？今ナカで出しませんでした？【フルカラー】")</f>
        <v>え、先生！？今ナカで出しませんでした？【フルカラー】</v>
      </c>
      <c r="F91" s="298" t="str">
        <f>IFERROR(__xludf.DUMMYFUNCTION("""COMPUTED_VALUE"""),"アンコ")</f>
        <v>アンコ</v>
      </c>
      <c r="G91" s="298" t="str">
        <f>IFERROR(__xludf.DUMMYFUNCTION("""COMPUTED_VALUE"""),"オトナコミック")</f>
        <v>オトナコミック</v>
      </c>
      <c r="H91" s="298" t="str">
        <f>IFERROR(__xludf.DUMMYFUNCTION("""COMPUTED_VALUE"""),"2024/11/25～）クレジットカードでの購入のみ停止")</f>
        <v>2024/11/25～）クレジットカードでの購入のみ停止</v>
      </c>
      <c r="I91" s="283"/>
      <c r="J91" s="283"/>
      <c r="K91" s="283"/>
      <c r="L91" s="283"/>
      <c r="M91" s="283"/>
      <c r="N91" s="283"/>
      <c r="O91" s="283"/>
      <c r="P91" s="283"/>
      <c r="Q91" s="278"/>
      <c r="R91" s="278"/>
      <c r="S91" s="278"/>
      <c r="T91" s="278"/>
      <c r="U91" s="278"/>
      <c r="V91" s="278"/>
      <c r="W91" s="278"/>
      <c r="X91" s="278"/>
      <c r="Y91" s="278"/>
      <c r="Z91" s="278"/>
      <c r="AA91" s="278"/>
      <c r="AB91" s="278"/>
      <c r="AC91" s="278"/>
    </row>
    <row r="92" ht="15.75" customHeight="1">
      <c r="A92" s="290" t="str">
        <f>IFERROR(__xludf.DUMMYFUNCTION("""COMPUTED_VALUE"""),"Bevy")</f>
        <v>Bevy</v>
      </c>
      <c r="B92" s="291">
        <f>IFERROR(__xludf.DUMMYFUNCTION("""COMPUTED_VALUE"""),45618.0)</f>
        <v>45618</v>
      </c>
      <c r="C92" s="292"/>
      <c r="D92" s="293">
        <f>IFERROR(__xludf.DUMMYFUNCTION("""COMPUTED_VALUE"""),109949.0)</f>
        <v>109949</v>
      </c>
      <c r="E92" s="290" t="str">
        <f>IFERROR(__xludf.DUMMYFUNCTION("""COMPUTED_VALUE"""),"監●された姉妹は何度も何度も、何度も種付けされる。")</f>
        <v>監●された姉妹は何度も何度も、何度も種付けされる。</v>
      </c>
      <c r="F92" s="298" t="str">
        <f>IFERROR(__xludf.DUMMYFUNCTION("""COMPUTED_VALUE"""),"吉澤瑠偉")</f>
        <v>吉澤瑠偉</v>
      </c>
      <c r="G92" s="298" t="str">
        <f>IFERROR(__xludf.DUMMYFUNCTION("""COMPUTED_VALUE"""),"オトナコミック")</f>
        <v>オトナコミック</v>
      </c>
      <c r="H92" s="298" t="str">
        <f>IFERROR(__xludf.DUMMYFUNCTION("""COMPUTED_VALUE"""),"2024/11/25～）クレジットカードでの購入のみ停止")</f>
        <v>2024/11/25～）クレジットカードでの購入のみ停止</v>
      </c>
      <c r="I92" s="283"/>
      <c r="J92" s="283"/>
      <c r="K92" s="283"/>
      <c r="L92" s="283"/>
      <c r="M92" s="283"/>
      <c r="N92" s="283"/>
      <c r="O92" s="283"/>
      <c r="P92" s="283"/>
      <c r="Q92" s="278"/>
      <c r="R92" s="278"/>
      <c r="S92" s="278"/>
      <c r="T92" s="278"/>
      <c r="U92" s="278"/>
      <c r="V92" s="278"/>
      <c r="W92" s="278"/>
      <c r="X92" s="278"/>
      <c r="Y92" s="278"/>
      <c r="Z92" s="278"/>
      <c r="AA92" s="278"/>
      <c r="AB92" s="278"/>
      <c r="AC92" s="278"/>
    </row>
    <row r="93" ht="15.75" customHeight="1">
      <c r="A93" s="290" t="str">
        <f>IFERROR(__xludf.DUMMYFUNCTION("""COMPUTED_VALUE"""),"Bevy")</f>
        <v>Bevy</v>
      </c>
      <c r="B93" s="291">
        <f>IFERROR(__xludf.DUMMYFUNCTION("""COMPUTED_VALUE"""),45618.0)</f>
        <v>45618</v>
      </c>
      <c r="C93" s="292"/>
      <c r="D93" s="293">
        <f>IFERROR(__xludf.DUMMYFUNCTION("""COMPUTED_VALUE"""),113609.0)</f>
        <v>113609</v>
      </c>
      <c r="E93" s="290" t="str">
        <f>IFERROR(__xludf.DUMMYFUNCTION("""COMPUTED_VALUE"""),"ゲス先生が教える、家庭崩壊セックス！【フルカラー】")</f>
        <v>ゲス先生が教える、家庭崩壊セックス！【フルカラー】</v>
      </c>
      <c r="F93" s="298" t="str">
        <f>IFERROR(__xludf.DUMMYFUNCTION("""COMPUTED_VALUE"""),"乙丸")</f>
        <v>乙丸</v>
      </c>
      <c r="G93" s="298" t="str">
        <f>IFERROR(__xludf.DUMMYFUNCTION("""COMPUTED_VALUE"""),"オトナコミック")</f>
        <v>オトナコミック</v>
      </c>
      <c r="H93" s="298" t="str">
        <f>IFERROR(__xludf.DUMMYFUNCTION("""COMPUTED_VALUE"""),"2024/11/25～）クレジットカードでの購入のみ停止")</f>
        <v>2024/11/25～）クレジットカードでの購入のみ停止</v>
      </c>
      <c r="I93" s="283"/>
      <c r="J93" s="283"/>
      <c r="K93" s="283"/>
      <c r="L93" s="283"/>
      <c r="M93" s="283"/>
      <c r="N93" s="283"/>
      <c r="O93" s="283"/>
      <c r="P93" s="283"/>
      <c r="Q93" s="278"/>
      <c r="R93" s="278"/>
      <c r="S93" s="278"/>
      <c r="T93" s="278"/>
      <c r="U93" s="278"/>
      <c r="V93" s="278"/>
      <c r="W93" s="278"/>
      <c r="X93" s="278"/>
      <c r="Y93" s="278"/>
      <c r="Z93" s="278"/>
      <c r="AA93" s="278"/>
      <c r="AB93" s="278"/>
      <c r="AC93" s="278"/>
    </row>
    <row r="94" ht="15.75" customHeight="1">
      <c r="A94" s="290" t="str">
        <f>IFERROR(__xludf.DUMMYFUNCTION("""COMPUTED_VALUE"""),"Bevy")</f>
        <v>Bevy</v>
      </c>
      <c r="B94" s="291">
        <f>IFERROR(__xludf.DUMMYFUNCTION("""COMPUTED_VALUE"""),45618.0)</f>
        <v>45618</v>
      </c>
      <c r="C94" s="292"/>
      <c r="D94" s="293">
        <f>IFERROR(__xludf.DUMMYFUNCTION("""COMPUTED_VALUE"""),113780.0)</f>
        <v>113780</v>
      </c>
      <c r="E94" s="290" t="str">
        <f>IFERROR(__xludf.DUMMYFUNCTION("""COMPUTED_VALUE"""),"芝村沙彩の交姦日記。今日も理事長とSEXしています。")</f>
        <v>芝村沙彩の交姦日記。今日も理事長とSEXしています。</v>
      </c>
      <c r="F94" s="298" t="str">
        <f>IFERROR(__xludf.DUMMYFUNCTION("""COMPUTED_VALUE"""),"池下真上")</f>
        <v>池下真上</v>
      </c>
      <c r="G94" s="298" t="str">
        <f>IFERROR(__xludf.DUMMYFUNCTION("""COMPUTED_VALUE"""),"オトナコミック")</f>
        <v>オトナコミック</v>
      </c>
      <c r="H94" s="298" t="str">
        <f>IFERROR(__xludf.DUMMYFUNCTION("""COMPUTED_VALUE"""),"2024/11/25～）クレジットカードでの購入のみ停止")</f>
        <v>2024/11/25～）クレジットカードでの購入のみ停止</v>
      </c>
      <c r="I94" s="283"/>
      <c r="J94" s="283"/>
      <c r="K94" s="283"/>
      <c r="L94" s="283"/>
      <c r="M94" s="283"/>
      <c r="N94" s="283"/>
      <c r="O94" s="283"/>
      <c r="P94" s="283"/>
      <c r="Q94" s="278"/>
      <c r="R94" s="278"/>
      <c r="S94" s="278"/>
      <c r="T94" s="278"/>
      <c r="U94" s="278"/>
      <c r="V94" s="278"/>
      <c r="W94" s="278"/>
      <c r="X94" s="278"/>
      <c r="Y94" s="278"/>
      <c r="Z94" s="278"/>
      <c r="AA94" s="278"/>
      <c r="AB94" s="278"/>
      <c r="AC94" s="278"/>
    </row>
    <row r="95" ht="15.75" customHeight="1">
      <c r="A95" s="290" t="str">
        <f>IFERROR(__xludf.DUMMYFUNCTION("""COMPUTED_VALUE"""),"Bevy")</f>
        <v>Bevy</v>
      </c>
      <c r="B95" s="291">
        <f>IFERROR(__xludf.DUMMYFUNCTION("""COMPUTED_VALUE"""),45618.0)</f>
        <v>45618</v>
      </c>
      <c r="C95" s="292"/>
      <c r="D95" s="293">
        <f>IFERROR(__xludf.DUMMYFUNCTION("""COMPUTED_VALUE"""),137773.0)</f>
        <v>137773</v>
      </c>
      <c r="E95" s="290" t="str">
        <f>IFERROR(__xludf.DUMMYFUNCTION("""COMPUTED_VALUE"""),"ゲスな義父の調教セックス～万引き娘はハメて更生！？")</f>
        <v>ゲスな義父の調教セックス～万引き娘はハメて更生！？</v>
      </c>
      <c r="F95" s="298" t="str">
        <f>IFERROR(__xludf.DUMMYFUNCTION("""COMPUTED_VALUE"""),"眼鏡人")</f>
        <v>眼鏡人</v>
      </c>
      <c r="G95" s="298" t="str">
        <f>IFERROR(__xludf.DUMMYFUNCTION("""COMPUTED_VALUE"""),"オトナコミック")</f>
        <v>オトナコミック</v>
      </c>
      <c r="H95" s="298" t="str">
        <f>IFERROR(__xludf.DUMMYFUNCTION("""COMPUTED_VALUE"""),"2024/11/25～）クレジットカードでの購入のみ停止")</f>
        <v>2024/11/25～）クレジットカードでの購入のみ停止</v>
      </c>
      <c r="I95" s="283"/>
      <c r="J95" s="283"/>
      <c r="K95" s="283"/>
      <c r="L95" s="283"/>
      <c r="M95" s="283"/>
      <c r="N95" s="283"/>
      <c r="O95" s="283"/>
      <c r="P95" s="283"/>
      <c r="Q95" s="278"/>
      <c r="R95" s="278"/>
      <c r="S95" s="278"/>
      <c r="T95" s="278"/>
      <c r="U95" s="278"/>
      <c r="V95" s="278"/>
      <c r="W95" s="278"/>
      <c r="X95" s="278"/>
      <c r="Y95" s="278"/>
      <c r="Z95" s="278"/>
      <c r="AA95" s="278"/>
      <c r="AB95" s="278"/>
      <c r="AC95" s="278"/>
    </row>
    <row r="96" ht="15.75" customHeight="1">
      <c r="A96" s="290" t="str">
        <f>IFERROR(__xludf.DUMMYFUNCTION("""COMPUTED_VALUE"""),"Bevy")</f>
        <v>Bevy</v>
      </c>
      <c r="B96" s="291">
        <f>IFERROR(__xludf.DUMMYFUNCTION("""COMPUTED_VALUE"""),45618.0)</f>
        <v>45618</v>
      </c>
      <c r="C96" s="292"/>
      <c r="D96" s="293">
        <f>IFERROR(__xludf.DUMMYFUNCTION("""COMPUTED_VALUE"""),186605.0)</f>
        <v>186605</v>
      </c>
      <c r="E96" s="290" t="str">
        <f>IFERROR(__xludf.DUMMYFUNCTION("""COMPUTED_VALUE"""),"監●された姉妹は何度も何度も、何度も種付けされる。【フルカラー】")</f>
        <v>監●された姉妹は何度も何度も、何度も種付けされる。【フルカラー】</v>
      </c>
      <c r="F96" s="298" t="str">
        <f>IFERROR(__xludf.DUMMYFUNCTION("""COMPUTED_VALUE"""),"吉澤瑠偉")</f>
        <v>吉澤瑠偉</v>
      </c>
      <c r="G96" s="298" t="str">
        <f>IFERROR(__xludf.DUMMYFUNCTION("""COMPUTED_VALUE"""),"オトナコミック")</f>
        <v>オトナコミック</v>
      </c>
      <c r="H96" s="298" t="str">
        <f>IFERROR(__xludf.DUMMYFUNCTION("""COMPUTED_VALUE"""),"2024/11/25～）クレジットカードでの購入のみ停止")</f>
        <v>2024/11/25～）クレジットカードでの購入のみ停止</v>
      </c>
      <c r="I96" s="283"/>
      <c r="J96" s="283"/>
      <c r="K96" s="283"/>
      <c r="L96" s="283"/>
      <c r="M96" s="283"/>
      <c r="N96" s="283"/>
      <c r="O96" s="283"/>
      <c r="P96" s="283"/>
      <c r="Q96" s="278"/>
      <c r="R96" s="278"/>
      <c r="S96" s="278"/>
      <c r="T96" s="278"/>
      <c r="U96" s="278"/>
      <c r="V96" s="278"/>
      <c r="W96" s="278"/>
      <c r="X96" s="278"/>
      <c r="Y96" s="278"/>
      <c r="Z96" s="278"/>
      <c r="AA96" s="278"/>
      <c r="AB96" s="278"/>
      <c r="AC96" s="278"/>
    </row>
    <row r="97" ht="15.75" customHeight="1">
      <c r="A97" s="290" t="str">
        <f>IFERROR(__xludf.DUMMYFUNCTION("""COMPUTED_VALUE"""),"Bevy")</f>
        <v>Bevy</v>
      </c>
      <c r="B97" s="291">
        <f>IFERROR(__xludf.DUMMYFUNCTION("""COMPUTED_VALUE"""),45618.0)</f>
        <v>45618</v>
      </c>
      <c r="C97" s="292"/>
      <c r="D97" s="293">
        <f>IFERROR(__xludf.DUMMYFUNCTION("""COMPUTED_VALUE"""),198434.0)</f>
        <v>198434</v>
      </c>
      <c r="E97" s="290" t="str">
        <f>IFERROR(__xludf.DUMMYFUNCTION("""COMPUTED_VALUE"""),"芝村沙彩の交姦日記。今日も理事長とSEXしています。【フルカラー】")</f>
        <v>芝村沙彩の交姦日記。今日も理事長とSEXしています。【フルカラー】</v>
      </c>
      <c r="F97" s="298" t="str">
        <f>IFERROR(__xludf.DUMMYFUNCTION("""COMPUTED_VALUE"""),"池下真上")</f>
        <v>池下真上</v>
      </c>
      <c r="G97" s="298" t="str">
        <f>IFERROR(__xludf.DUMMYFUNCTION("""COMPUTED_VALUE"""),"オトナコミック")</f>
        <v>オトナコミック</v>
      </c>
      <c r="H97" s="298" t="str">
        <f>IFERROR(__xludf.DUMMYFUNCTION("""COMPUTED_VALUE"""),"2024/11/25～）クレジットカードでの購入のみ停止")</f>
        <v>2024/11/25～）クレジットカードでの購入のみ停止</v>
      </c>
      <c r="I97" s="283"/>
      <c r="J97" s="283"/>
      <c r="K97" s="283"/>
      <c r="L97" s="283"/>
      <c r="M97" s="283"/>
      <c r="N97" s="283"/>
      <c r="O97" s="283"/>
      <c r="P97" s="283"/>
      <c r="Q97" s="278"/>
      <c r="R97" s="278"/>
      <c r="S97" s="278"/>
      <c r="T97" s="278"/>
      <c r="U97" s="278"/>
      <c r="V97" s="278"/>
      <c r="W97" s="278"/>
      <c r="X97" s="278"/>
      <c r="Y97" s="278"/>
      <c r="Z97" s="278"/>
      <c r="AA97" s="278"/>
      <c r="AB97" s="278"/>
      <c r="AC97" s="278"/>
    </row>
    <row r="98" ht="15.75" customHeight="1">
      <c r="A98" s="290" t="str">
        <f>IFERROR(__xludf.DUMMYFUNCTION("""COMPUTED_VALUE"""),"Bevy")</f>
        <v>Bevy</v>
      </c>
      <c r="B98" s="291">
        <f>IFERROR(__xludf.DUMMYFUNCTION("""COMPUTED_VALUE"""),45618.0)</f>
        <v>45618</v>
      </c>
      <c r="C98" s="292"/>
      <c r="D98" s="293">
        <f>IFERROR(__xludf.DUMMYFUNCTION("""COMPUTED_VALUE"""),200673.0)</f>
        <v>200673</v>
      </c>
      <c r="E98" s="290" t="str">
        <f>IFERROR(__xludf.DUMMYFUNCTION("""COMPUTED_VALUE"""),"教師を堕とすメンヘラビッチ～おとなチ○ポでイカせて？")</f>
        <v>教師を堕とすメンヘラビッチ～おとなチ○ポでイカせて？</v>
      </c>
      <c r="F98" s="298" t="str">
        <f>IFERROR(__xludf.DUMMYFUNCTION("""COMPUTED_VALUE"""),"電池")</f>
        <v>電池</v>
      </c>
      <c r="G98" s="298" t="str">
        <f>IFERROR(__xludf.DUMMYFUNCTION("""COMPUTED_VALUE"""),"オトナコミック")</f>
        <v>オトナコミック</v>
      </c>
      <c r="H98" s="298" t="str">
        <f>IFERROR(__xludf.DUMMYFUNCTION("""COMPUTED_VALUE"""),"2024/11/25～）クレジットカードでの購入のみ停止")</f>
        <v>2024/11/25～）クレジットカードでの購入のみ停止</v>
      </c>
      <c r="I98" s="283"/>
      <c r="J98" s="283"/>
      <c r="K98" s="283"/>
      <c r="L98" s="283"/>
      <c r="M98" s="283"/>
      <c r="N98" s="283"/>
      <c r="O98" s="283"/>
      <c r="P98" s="283"/>
      <c r="Q98" s="278"/>
      <c r="R98" s="278"/>
      <c r="S98" s="278"/>
      <c r="T98" s="278"/>
      <c r="U98" s="278"/>
      <c r="V98" s="278"/>
      <c r="W98" s="278"/>
      <c r="X98" s="278"/>
      <c r="Y98" s="278"/>
      <c r="Z98" s="278"/>
      <c r="AA98" s="278"/>
      <c r="AB98" s="278"/>
      <c r="AC98" s="278"/>
    </row>
    <row r="99" ht="15.75" customHeight="1">
      <c r="A99" s="290" t="str">
        <f>IFERROR(__xludf.DUMMYFUNCTION("""COMPUTED_VALUE"""),"DEEPER-ZERO")</f>
        <v>DEEPER-ZERO</v>
      </c>
      <c r="B99" s="291">
        <f>IFERROR(__xludf.DUMMYFUNCTION("""COMPUTED_VALUE"""),45405.0)</f>
        <v>45405</v>
      </c>
      <c r="C99" s="292"/>
      <c r="D99" s="293" t="str">
        <f>IFERROR(__xludf.DUMMYFUNCTION("""COMPUTED_VALUE"""),"未")</f>
        <v>未</v>
      </c>
      <c r="E99" s="290" t="str">
        <f>IFERROR(__xludf.DUMMYFUNCTION("""COMPUTED_VALUE"""),"マヨナカ侵略者")</f>
        <v>マヨナカ侵略者</v>
      </c>
      <c r="F99" s="298"/>
      <c r="G99" s="298"/>
      <c r="H99" s="298" t="str">
        <f>IFERROR(__xludf.DUMMYFUNCTION("""COMPUTED_VALUE"""),"ソル判定　キャラ見た目年齢NG　※事前検討時のチェック")</f>
        <v>ソル判定　キャラ見た目年齢NG　※事前検討時のチェック</v>
      </c>
      <c r="I99" s="283"/>
      <c r="J99" s="283"/>
      <c r="K99" s="283"/>
      <c r="L99" s="283"/>
      <c r="M99" s="283"/>
      <c r="N99" s="283"/>
      <c r="O99" s="283"/>
      <c r="P99" s="283"/>
      <c r="Q99" s="278"/>
      <c r="R99" s="278"/>
      <c r="S99" s="278"/>
      <c r="T99" s="278"/>
      <c r="U99" s="278"/>
      <c r="V99" s="278"/>
      <c r="W99" s="278"/>
      <c r="X99" s="278"/>
      <c r="Y99" s="278"/>
      <c r="Z99" s="278"/>
      <c r="AA99" s="278"/>
      <c r="AB99" s="278"/>
      <c r="AC99" s="278"/>
    </row>
    <row r="100" ht="15.75" customHeight="1">
      <c r="A100" s="290" t="str">
        <f>IFERROR(__xludf.DUMMYFUNCTION("""COMPUTED_VALUE"""),"DEEPER-ZERO")</f>
        <v>DEEPER-ZERO</v>
      </c>
      <c r="B100" s="291">
        <f>IFERROR(__xludf.DUMMYFUNCTION("""COMPUTED_VALUE"""),45618.0)</f>
        <v>45618</v>
      </c>
      <c r="C100" s="292"/>
      <c r="D100" s="293">
        <f>IFERROR(__xludf.DUMMYFUNCTION("""COMPUTED_VALUE"""),39198.0)</f>
        <v>39198</v>
      </c>
      <c r="E100" s="290" t="str">
        <f>IFERROR(__xludf.DUMMYFUNCTION("""COMPUTED_VALUE"""),"触手警察24時(フルカラー)")</f>
        <v>触手警察24時(フルカラー)</v>
      </c>
      <c r="F100" s="298" t="str">
        <f>IFERROR(__xludf.DUMMYFUNCTION("""COMPUTED_VALUE"""),"高瀬むぅ")</f>
        <v>高瀬むぅ</v>
      </c>
      <c r="G100" s="298" t="str">
        <f>IFERROR(__xludf.DUMMYFUNCTION("""COMPUTED_VALUE"""),"オトナコミック")</f>
        <v>オトナコミック</v>
      </c>
      <c r="H100" s="298" t="str">
        <f>IFERROR(__xludf.DUMMYFUNCTION("""COMPUTED_VALUE"""),"2024/11/25～）クレジットカードでの購入のみ停止")</f>
        <v>2024/11/25～）クレジットカードでの購入のみ停止</v>
      </c>
      <c r="I100" s="283"/>
      <c r="J100" s="283"/>
      <c r="K100" s="283"/>
      <c r="L100" s="283"/>
      <c r="M100" s="283"/>
      <c r="N100" s="283"/>
      <c r="O100" s="283"/>
      <c r="P100" s="283"/>
      <c r="Q100" s="278"/>
      <c r="R100" s="278"/>
      <c r="S100" s="278"/>
      <c r="T100" s="278"/>
      <c r="U100" s="278"/>
      <c r="V100" s="278"/>
      <c r="W100" s="278"/>
      <c r="X100" s="278"/>
      <c r="Y100" s="278"/>
      <c r="Z100" s="278"/>
      <c r="AA100" s="278"/>
      <c r="AB100" s="278"/>
      <c r="AC100" s="278"/>
    </row>
    <row r="101" ht="15.75" customHeight="1">
      <c r="A101" s="290" t="str">
        <f>IFERROR(__xludf.DUMMYFUNCTION("""COMPUTED_VALUE"""),"DEEPER-ZERO")</f>
        <v>DEEPER-ZERO</v>
      </c>
      <c r="B101" s="291">
        <f>IFERROR(__xludf.DUMMYFUNCTION("""COMPUTED_VALUE"""),45618.0)</f>
        <v>45618</v>
      </c>
      <c r="C101" s="292"/>
      <c r="D101" s="293">
        <f>IFERROR(__xludf.DUMMYFUNCTION("""COMPUTED_VALUE"""),68516.0)</f>
        <v>68516</v>
      </c>
      <c r="E101" s="290" t="str">
        <f>IFERROR(__xludf.DUMMYFUNCTION("""COMPUTED_VALUE"""),"GOカン倶楽部～ヤっても許される女～")</f>
        <v>GOカン倶楽部～ヤっても許される女～</v>
      </c>
      <c r="F101" s="298" t="str">
        <f>IFERROR(__xludf.DUMMYFUNCTION("""COMPUTED_VALUE"""),"サガッとる")</f>
        <v>サガッとる</v>
      </c>
      <c r="G101" s="298" t="str">
        <f>IFERROR(__xludf.DUMMYFUNCTION("""COMPUTED_VALUE"""),"オトナコミック")</f>
        <v>オトナコミック</v>
      </c>
      <c r="H101" s="298" t="str">
        <f>IFERROR(__xludf.DUMMYFUNCTION("""COMPUTED_VALUE"""),"2024/11/25～）クレジットカードでの購入のみ停止")</f>
        <v>2024/11/25～）クレジットカードでの購入のみ停止</v>
      </c>
      <c r="I101" s="283"/>
      <c r="J101" s="283"/>
      <c r="K101" s="283"/>
      <c r="L101" s="283"/>
      <c r="M101" s="283"/>
      <c r="N101" s="283"/>
      <c r="O101" s="283"/>
      <c r="P101" s="283"/>
      <c r="Q101" s="278"/>
      <c r="R101" s="278"/>
      <c r="S101" s="278"/>
      <c r="T101" s="278"/>
      <c r="U101" s="278"/>
      <c r="V101" s="278"/>
      <c r="W101" s="278"/>
      <c r="X101" s="278"/>
      <c r="Y101" s="278"/>
      <c r="Z101" s="278"/>
      <c r="AA101" s="278"/>
      <c r="AB101" s="278"/>
      <c r="AC101" s="278"/>
    </row>
    <row r="102" ht="15.75" customHeight="1">
      <c r="A102" s="290" t="str">
        <f>IFERROR(__xludf.DUMMYFUNCTION("""COMPUTED_VALUE"""),"DEEPER-ZERO")</f>
        <v>DEEPER-ZERO</v>
      </c>
      <c r="B102" s="291">
        <f>IFERROR(__xludf.DUMMYFUNCTION("""COMPUTED_VALUE"""),45618.0)</f>
        <v>45618</v>
      </c>
      <c r="C102" s="292"/>
      <c r="D102" s="293">
        <f>IFERROR(__xludf.DUMMYFUNCTION("""COMPUTED_VALUE"""),87732.0)</f>
        <v>87732</v>
      </c>
      <c r="E102" s="290" t="str">
        <f>IFERROR(__xludf.DUMMYFUNCTION("""COMPUTED_VALUE"""),"股間を透明にして女子校に潜入！ビッチたちへリベンジポルノ（フルカラー）")</f>
        <v>股間を透明にして女子校に潜入！ビッチたちへリベンジポルノ（フルカラー）</v>
      </c>
      <c r="F102" s="298" t="str">
        <f>IFERROR(__xludf.DUMMYFUNCTION("""COMPUTED_VALUE"""),"いごっそう")</f>
        <v>いごっそう</v>
      </c>
      <c r="G102" s="298" t="str">
        <f>IFERROR(__xludf.DUMMYFUNCTION("""COMPUTED_VALUE"""),"オトナコミック")</f>
        <v>オトナコミック</v>
      </c>
      <c r="H102" s="298" t="str">
        <f>IFERROR(__xludf.DUMMYFUNCTION("""COMPUTED_VALUE"""),"2024/11/25～）クレジットカードでの購入のみ停止")</f>
        <v>2024/11/25～）クレジットカードでの購入のみ停止</v>
      </c>
      <c r="I102" s="283"/>
      <c r="J102" s="283"/>
      <c r="K102" s="283"/>
      <c r="L102" s="283"/>
      <c r="M102" s="283"/>
      <c r="N102" s="283"/>
      <c r="O102" s="283"/>
      <c r="P102" s="283"/>
      <c r="Q102" s="278"/>
      <c r="R102" s="278"/>
      <c r="S102" s="278"/>
      <c r="T102" s="278"/>
      <c r="U102" s="278"/>
      <c r="V102" s="278"/>
      <c r="W102" s="278"/>
      <c r="X102" s="278"/>
      <c r="Y102" s="278"/>
      <c r="Z102" s="278"/>
      <c r="AA102" s="278"/>
      <c r="AB102" s="278"/>
      <c r="AC102" s="278"/>
    </row>
    <row r="103" ht="15.75" customHeight="1">
      <c r="A103" s="290" t="str">
        <f>IFERROR(__xludf.DUMMYFUNCTION("""COMPUTED_VALUE"""),"DEEPER-ZERO")</f>
        <v>DEEPER-ZERO</v>
      </c>
      <c r="B103" s="291">
        <f>IFERROR(__xludf.DUMMYFUNCTION("""COMPUTED_VALUE"""),45618.0)</f>
        <v>45618</v>
      </c>
      <c r="C103" s="292"/>
      <c r="D103" s="293">
        <f>IFERROR(__xludf.DUMMYFUNCTION("""COMPUTED_VALUE"""),89576.0)</f>
        <v>89576</v>
      </c>
      <c r="E103" s="290" t="str">
        <f>IFERROR(__xludf.DUMMYFUNCTION("""COMPUTED_VALUE"""),"とろとろ催淫マッサージ～診察がエロすぎてヤバイ～（フルカラー）")</f>
        <v>とろとろ催淫マッサージ～診察がエロすぎてヤバイ～（フルカラー）</v>
      </c>
      <c r="F103" s="298" t="str">
        <f>IFERROR(__xludf.DUMMYFUNCTION("""COMPUTED_VALUE"""),"ユリ")</f>
        <v>ユリ</v>
      </c>
      <c r="G103" s="298" t="str">
        <f>IFERROR(__xludf.DUMMYFUNCTION("""COMPUTED_VALUE"""),"オトナコミック")</f>
        <v>オトナコミック</v>
      </c>
      <c r="H103" s="298" t="str">
        <f>IFERROR(__xludf.DUMMYFUNCTION("""COMPUTED_VALUE"""),"2024/11/25～）クレジットカードでの購入のみ停止")</f>
        <v>2024/11/25～）クレジットカードでの購入のみ停止</v>
      </c>
      <c r="I103" s="283"/>
      <c r="J103" s="283"/>
      <c r="K103" s="283"/>
      <c r="L103" s="283"/>
      <c r="M103" s="283"/>
      <c r="N103" s="283"/>
      <c r="O103" s="283"/>
      <c r="P103" s="283"/>
      <c r="Q103" s="278"/>
      <c r="R103" s="278"/>
      <c r="S103" s="278"/>
      <c r="T103" s="278"/>
      <c r="U103" s="278"/>
      <c r="V103" s="278"/>
      <c r="W103" s="278"/>
      <c r="X103" s="278"/>
      <c r="Y103" s="278"/>
      <c r="Z103" s="278"/>
      <c r="AA103" s="278"/>
      <c r="AB103" s="278"/>
      <c r="AC103" s="278"/>
    </row>
    <row r="104" ht="15.75" customHeight="1">
      <c r="A104" s="290" t="str">
        <f>IFERROR(__xludf.DUMMYFUNCTION("""COMPUTED_VALUE"""),"DEEPER-ZERO")</f>
        <v>DEEPER-ZERO</v>
      </c>
      <c r="B104" s="291">
        <f>IFERROR(__xludf.DUMMYFUNCTION("""COMPUTED_VALUE"""),45618.0)</f>
        <v>45618</v>
      </c>
      <c r="C104" s="292"/>
      <c r="D104" s="293">
        <f>IFERROR(__xludf.DUMMYFUNCTION("""COMPUTED_VALUE"""),121953.0)</f>
        <v>121953</v>
      </c>
      <c r="E104" s="290" t="str">
        <f>IFERROR(__xludf.DUMMYFUNCTION("""COMPUTED_VALUE"""),"ハメられたJKの復讐劇～クズ教師の妻を牝奴隷に堕とすまで～（フルカラー）")</f>
        <v>ハメられたJKの復讐劇～クズ教師の妻を牝奴隷に堕とすまで～（フルカラー）</v>
      </c>
      <c r="F104" s="298" t="str">
        <f>IFERROR(__xludf.DUMMYFUNCTION("""COMPUTED_VALUE"""),"お稲荷さん / win win 豊")</f>
        <v>お稲荷さん / win win 豊</v>
      </c>
      <c r="G104" s="298" t="str">
        <f>IFERROR(__xludf.DUMMYFUNCTION("""COMPUTED_VALUE"""),"オトナコミック")</f>
        <v>オトナコミック</v>
      </c>
      <c r="H104" s="298" t="str">
        <f>IFERROR(__xludf.DUMMYFUNCTION("""COMPUTED_VALUE"""),"2024/11/25～）クレジットカードでの購入のみ停止")</f>
        <v>2024/11/25～）クレジットカードでの購入のみ停止</v>
      </c>
      <c r="I104" s="283"/>
      <c r="J104" s="283"/>
      <c r="K104" s="283"/>
      <c r="L104" s="283"/>
      <c r="M104" s="283"/>
      <c r="N104" s="283"/>
      <c r="O104" s="283"/>
      <c r="P104" s="283"/>
      <c r="Q104" s="278"/>
      <c r="R104" s="278"/>
      <c r="S104" s="278"/>
      <c r="T104" s="278"/>
      <c r="U104" s="278"/>
      <c r="V104" s="278"/>
      <c r="W104" s="278"/>
      <c r="X104" s="278"/>
      <c r="Y104" s="278"/>
      <c r="Z104" s="278"/>
      <c r="AA104" s="278"/>
      <c r="AB104" s="278"/>
      <c r="AC104" s="278"/>
    </row>
    <row r="105" ht="15.75" customHeight="1">
      <c r="A105" s="290" t="str">
        <f>IFERROR(__xludf.DUMMYFUNCTION("""COMPUTED_VALUE"""),"DEEPER-ZERO")</f>
        <v>DEEPER-ZERO</v>
      </c>
      <c r="B105" s="291">
        <f>IFERROR(__xludf.DUMMYFUNCTION("""COMPUTED_VALUE"""),45618.0)</f>
        <v>45618</v>
      </c>
      <c r="C105" s="292"/>
      <c r="D105" s="293">
        <f>IFERROR(__xludf.DUMMYFUNCTION("""COMPUTED_VALUE"""),127123.0)</f>
        <v>127123</v>
      </c>
      <c r="E105" s="290" t="str">
        <f>IFERROR(__xludf.DUMMYFUNCTION("""COMPUTED_VALUE"""),"催淫カルテ～旦那より院長のアレが欲しくて…～【フルカラー】")</f>
        <v>催淫カルテ～旦那より院長のアレが欲しくて…～【フルカラー】</v>
      </c>
      <c r="F105" s="298" t="str">
        <f>IFERROR(__xludf.DUMMYFUNCTION("""COMPUTED_VALUE"""),"恐竜坊や")</f>
        <v>恐竜坊や</v>
      </c>
      <c r="G105" s="298" t="str">
        <f>IFERROR(__xludf.DUMMYFUNCTION("""COMPUTED_VALUE"""),"オトナコミック")</f>
        <v>オトナコミック</v>
      </c>
      <c r="H105" s="298" t="str">
        <f>IFERROR(__xludf.DUMMYFUNCTION("""COMPUTED_VALUE"""),"2024/11/25～）クレジットカードでの購入のみ停止")</f>
        <v>2024/11/25～）クレジットカードでの購入のみ停止</v>
      </c>
      <c r="I105" s="283"/>
      <c r="J105" s="283"/>
      <c r="K105" s="283"/>
      <c r="L105" s="283"/>
      <c r="M105" s="283"/>
      <c r="N105" s="283"/>
      <c r="O105" s="283"/>
      <c r="P105" s="283"/>
      <c r="Q105" s="278"/>
      <c r="R105" s="278"/>
      <c r="S105" s="278"/>
      <c r="T105" s="278"/>
      <c r="U105" s="278"/>
      <c r="V105" s="278"/>
      <c r="W105" s="278"/>
      <c r="X105" s="278"/>
      <c r="Y105" s="278"/>
      <c r="Z105" s="278"/>
      <c r="AA105" s="278"/>
      <c r="AB105" s="278"/>
      <c r="AC105" s="278"/>
    </row>
    <row r="106" ht="15.75" customHeight="1">
      <c r="A106" s="290" t="str">
        <f>IFERROR(__xludf.DUMMYFUNCTION("""COMPUTED_VALUE"""),"DEEPER-ZERO")</f>
        <v>DEEPER-ZERO</v>
      </c>
      <c r="B106" s="291">
        <f>IFERROR(__xludf.DUMMYFUNCTION("""COMPUTED_VALUE"""),45618.0)</f>
        <v>45618</v>
      </c>
      <c r="C106" s="292"/>
      <c r="D106" s="293">
        <f>IFERROR(__xludf.DUMMYFUNCTION("""COMPUTED_VALUE"""),127772.0)</f>
        <v>127772</v>
      </c>
      <c r="E106" s="290" t="str">
        <f>IFERROR(__xludf.DUMMYFUNCTION("""COMPUTED_VALUE"""),"凌○輪○アンサンブル")</f>
        <v>凌○輪○アンサンブル</v>
      </c>
      <c r="F106" s="298" t="str">
        <f>IFERROR(__xludf.DUMMYFUNCTION("""COMPUTED_VALUE"""),"菊一もんじ / カニトマト")</f>
        <v>菊一もんじ / カニトマト</v>
      </c>
      <c r="G106" s="298" t="str">
        <f>IFERROR(__xludf.DUMMYFUNCTION("""COMPUTED_VALUE"""),"オトナコミック")</f>
        <v>オトナコミック</v>
      </c>
      <c r="H106" s="298" t="str">
        <f>IFERROR(__xludf.DUMMYFUNCTION("""COMPUTED_VALUE"""),"2024/11/25～）クレジットカードでの購入のみ停止")</f>
        <v>2024/11/25～）クレジットカードでの購入のみ停止</v>
      </c>
      <c r="I106" s="283"/>
      <c r="J106" s="283"/>
      <c r="K106" s="283"/>
      <c r="L106" s="283"/>
      <c r="M106" s="283"/>
      <c r="N106" s="283"/>
      <c r="O106" s="283"/>
      <c r="P106" s="283"/>
      <c r="Q106" s="278"/>
      <c r="R106" s="278"/>
      <c r="S106" s="278"/>
      <c r="T106" s="278"/>
      <c r="U106" s="278"/>
      <c r="V106" s="278"/>
      <c r="W106" s="278"/>
      <c r="X106" s="278"/>
      <c r="Y106" s="278"/>
      <c r="Z106" s="278"/>
      <c r="AA106" s="278"/>
      <c r="AB106" s="278"/>
      <c r="AC106" s="278"/>
    </row>
    <row r="107" ht="15.75" customHeight="1">
      <c r="A107" s="290" t="str">
        <f>IFERROR(__xludf.DUMMYFUNCTION("""COMPUTED_VALUE"""),"DEEPER-ZERO")</f>
        <v>DEEPER-ZERO</v>
      </c>
      <c r="B107" s="291">
        <f>IFERROR(__xludf.DUMMYFUNCTION("""COMPUTED_VALUE"""),45618.0)</f>
        <v>45618</v>
      </c>
      <c r="C107" s="292"/>
      <c r="D107" s="293">
        <f>IFERROR(__xludf.DUMMYFUNCTION("""COMPUTED_VALUE"""),163145.0)</f>
        <v>163145</v>
      </c>
      <c r="E107" s="290" t="str">
        <f>IFERROR(__xludf.DUMMYFUNCTION("""COMPUTED_VALUE"""),"拉致姦")</f>
        <v>拉致姦</v>
      </c>
      <c r="F107" s="298" t="str">
        <f>IFERROR(__xludf.DUMMYFUNCTION("""COMPUTED_VALUE"""),"ma-yu")</f>
        <v>ma-yu</v>
      </c>
      <c r="G107" s="298" t="str">
        <f>IFERROR(__xludf.DUMMYFUNCTION("""COMPUTED_VALUE"""),"オトナコミック")</f>
        <v>オトナコミック</v>
      </c>
      <c r="H107" s="298" t="str">
        <f>IFERROR(__xludf.DUMMYFUNCTION("""COMPUTED_VALUE"""),"2024/11/25～）クレジットカードでの購入のみ停止")</f>
        <v>2024/11/25～）クレジットカードでの購入のみ停止</v>
      </c>
      <c r="I107" s="283"/>
      <c r="J107" s="283"/>
      <c r="K107" s="283"/>
      <c r="L107" s="283"/>
      <c r="M107" s="283"/>
      <c r="N107" s="283"/>
      <c r="O107" s="283"/>
      <c r="P107" s="283"/>
      <c r="Q107" s="278"/>
      <c r="R107" s="278"/>
      <c r="S107" s="278"/>
      <c r="T107" s="278"/>
      <c r="U107" s="278"/>
      <c r="V107" s="278"/>
      <c r="W107" s="278"/>
      <c r="X107" s="278"/>
      <c r="Y107" s="278"/>
      <c r="Z107" s="278"/>
      <c r="AA107" s="278"/>
      <c r="AB107" s="278"/>
      <c r="AC107" s="278"/>
    </row>
    <row r="108" ht="15.75" customHeight="1">
      <c r="A108" s="290" t="str">
        <f>IFERROR(__xludf.DUMMYFUNCTION("""COMPUTED_VALUE"""),"DEEPER-ZERO")</f>
        <v>DEEPER-ZERO</v>
      </c>
      <c r="B108" s="291">
        <f>IFERROR(__xludf.DUMMYFUNCTION("""COMPUTED_VALUE"""),45618.0)</f>
        <v>45618</v>
      </c>
      <c r="C108" s="292"/>
      <c r="D108" s="293">
        <f>IFERROR(__xludf.DUMMYFUNCTION("""COMPUTED_VALUE"""),163146.0)</f>
        <v>163146</v>
      </c>
      <c r="E108" s="290" t="str">
        <f>IFERROR(__xludf.DUMMYFUNCTION("""COMPUTED_VALUE"""),"拉致姦【フルカラー】")</f>
        <v>拉致姦【フルカラー】</v>
      </c>
      <c r="F108" s="298" t="str">
        <f>IFERROR(__xludf.DUMMYFUNCTION("""COMPUTED_VALUE"""),"ma-yu")</f>
        <v>ma-yu</v>
      </c>
      <c r="G108" s="298" t="str">
        <f>IFERROR(__xludf.DUMMYFUNCTION("""COMPUTED_VALUE"""),"オトナコミック")</f>
        <v>オトナコミック</v>
      </c>
      <c r="H108" s="298" t="str">
        <f>IFERROR(__xludf.DUMMYFUNCTION("""COMPUTED_VALUE"""),"2024/11/25～）クレジットカードでの購入のみ停止")</f>
        <v>2024/11/25～）クレジットカードでの購入のみ停止</v>
      </c>
      <c r="I108" s="283"/>
      <c r="J108" s="283"/>
      <c r="K108" s="283"/>
      <c r="L108" s="283"/>
      <c r="M108" s="283"/>
      <c r="N108" s="283"/>
      <c r="O108" s="283"/>
      <c r="P108" s="283"/>
      <c r="Q108" s="278"/>
      <c r="R108" s="278"/>
      <c r="S108" s="278"/>
      <c r="T108" s="278"/>
      <c r="U108" s="278"/>
      <c r="V108" s="278"/>
      <c r="W108" s="278"/>
      <c r="X108" s="278"/>
      <c r="Y108" s="278"/>
      <c r="Z108" s="278"/>
      <c r="AA108" s="278"/>
      <c r="AB108" s="278"/>
      <c r="AC108" s="278"/>
    </row>
    <row r="109" ht="15.75" customHeight="1">
      <c r="A109" s="290" t="str">
        <f>IFERROR(__xludf.DUMMYFUNCTION("""COMPUTED_VALUE"""),"DEEPER-ZERO")</f>
        <v>DEEPER-ZERO</v>
      </c>
      <c r="B109" s="291">
        <f>IFERROR(__xludf.DUMMYFUNCTION("""COMPUTED_VALUE"""),45618.0)</f>
        <v>45618</v>
      </c>
      <c r="C109" s="292"/>
      <c r="D109" s="293">
        <f>IFERROR(__xludf.DUMMYFUNCTION("""COMPUTED_VALUE"""),192548.0)</f>
        <v>192548</v>
      </c>
      <c r="E109" s="290" t="str">
        <f>IFERROR(__xludf.DUMMYFUNCTION("""COMPUTED_VALUE"""),"イキ狂う彼女に無限ピストン乱暴セックス「赦して…もうこれ以上は壊れちゃう…!」")</f>
        <v>イキ狂う彼女に無限ピストン乱暴セックス「赦して…もうこれ以上は壊れちゃう…!」</v>
      </c>
      <c r="F109" s="298" t="str">
        <f>IFERROR(__xludf.DUMMYFUNCTION("""COMPUTED_VALUE"""),"たかみやはいり / 折川 / big.g / カニトマト / めぬ。 / 粉織")</f>
        <v>たかみやはいり / 折川 / big.g / カニトマト / めぬ。 / 粉織</v>
      </c>
      <c r="G109" s="298" t="str">
        <f>IFERROR(__xludf.DUMMYFUNCTION("""COMPUTED_VALUE"""),"オトナコミック")</f>
        <v>オトナコミック</v>
      </c>
      <c r="H109" s="298" t="str">
        <f>IFERROR(__xludf.DUMMYFUNCTION("""COMPUTED_VALUE"""),"2024/11/25～）クレジットカードでの購入のみ停止")</f>
        <v>2024/11/25～）クレジットカードでの購入のみ停止</v>
      </c>
      <c r="I109" s="283"/>
      <c r="J109" s="283"/>
      <c r="K109" s="283"/>
      <c r="L109" s="283"/>
      <c r="M109" s="283"/>
      <c r="N109" s="283"/>
      <c r="O109" s="283"/>
      <c r="P109" s="283"/>
      <c r="Q109" s="278"/>
      <c r="R109" s="278"/>
      <c r="S109" s="278"/>
      <c r="T109" s="278"/>
      <c r="U109" s="278"/>
      <c r="V109" s="278"/>
      <c r="W109" s="278"/>
      <c r="X109" s="278"/>
      <c r="Y109" s="278"/>
      <c r="Z109" s="278"/>
      <c r="AA109" s="278"/>
      <c r="AB109" s="278"/>
      <c r="AC109" s="278"/>
    </row>
    <row r="110" ht="15.75" customHeight="1">
      <c r="A110" s="290" t="str">
        <f>IFERROR(__xludf.DUMMYFUNCTION("""COMPUTED_VALUE"""),"DEEPER-ZERO")</f>
        <v>DEEPER-ZERO</v>
      </c>
      <c r="B110" s="291">
        <f>IFERROR(__xludf.DUMMYFUNCTION("""COMPUTED_VALUE"""),45618.0)</f>
        <v>45618</v>
      </c>
      <c r="C110" s="292"/>
      <c r="D110" s="293">
        <f>IFERROR(__xludf.DUMMYFUNCTION("""COMPUTED_VALUE"""),207177.0)</f>
        <v>207177</v>
      </c>
      <c r="E110" s="290" t="str">
        <f>IFERROR(__xludf.DUMMYFUNCTION("""COMPUTED_VALUE"""),"イキ狂う彼女に無限ピストン乱暴セックス「赦して…もうこれ以上は壊れちゃう…!」【フルカラー】")</f>
        <v>イキ狂う彼女に無限ピストン乱暴セックス「赦して…もうこれ以上は壊れちゃう…!」【フルカラー】</v>
      </c>
      <c r="F110" s="298" t="str">
        <f>IFERROR(__xludf.DUMMYFUNCTION("""COMPUTED_VALUE"""),"たかみやはいり / 折川 / big.g / カニトマト / めぬ。 / 粉織")</f>
        <v>たかみやはいり / 折川 / big.g / カニトマト / めぬ。 / 粉織</v>
      </c>
      <c r="G110" s="298" t="str">
        <f>IFERROR(__xludf.DUMMYFUNCTION("""COMPUTED_VALUE"""),"オトナコミック")</f>
        <v>オトナコミック</v>
      </c>
      <c r="H110" s="298" t="str">
        <f>IFERROR(__xludf.DUMMYFUNCTION("""COMPUTED_VALUE"""),"2024/11/25～）クレジットカードでの購入のみ停止")</f>
        <v>2024/11/25～）クレジットカードでの購入のみ停止</v>
      </c>
      <c r="I110" s="283"/>
      <c r="J110" s="283"/>
      <c r="K110" s="283"/>
      <c r="L110" s="283"/>
      <c r="M110" s="283"/>
      <c r="N110" s="283"/>
      <c r="O110" s="283"/>
      <c r="P110" s="283"/>
      <c r="Q110" s="278"/>
      <c r="R110" s="278"/>
      <c r="S110" s="278"/>
      <c r="T110" s="278"/>
      <c r="U110" s="278"/>
      <c r="V110" s="278"/>
      <c r="W110" s="278"/>
      <c r="X110" s="278"/>
      <c r="Y110" s="278"/>
      <c r="Z110" s="278"/>
      <c r="AA110" s="278"/>
      <c r="AB110" s="278"/>
      <c r="AC110" s="278"/>
    </row>
    <row r="111" ht="15.75" customHeight="1">
      <c r="A111" s="290" t="str">
        <f>IFERROR(__xludf.DUMMYFUNCTION("""COMPUTED_VALUE"""),"DEEPER-ZERO")</f>
        <v>DEEPER-ZERO</v>
      </c>
      <c r="B111" s="291">
        <f>IFERROR(__xludf.DUMMYFUNCTION("""COMPUTED_VALUE"""),45618.0)</f>
        <v>45618</v>
      </c>
      <c r="C111" s="292"/>
      <c r="D111" s="293">
        <f>IFERROR(__xludf.DUMMYFUNCTION("""COMPUTED_VALUE"""),229969.0)</f>
        <v>229969</v>
      </c>
      <c r="E111" s="290" t="str">
        <f>IFERROR(__xludf.DUMMYFUNCTION("""COMPUTED_VALUE"""),"「どうして…！嫌なのに、抗えないっ」完堕ちするまで終わらない淫湿ピストン服従SEX")</f>
        <v>「どうして…！嫌なのに、抗えないっ」完堕ちするまで終わらない淫湿ピストン服従SEX</v>
      </c>
      <c r="F111" s="298" t="str">
        <f>IFERROR(__xludf.DUMMYFUNCTION("""COMPUTED_VALUE"""),"じゃこうねずみ / ひらたいら / 折川 / タカヤマノン / 乙の助 / ブラザーピエロ")</f>
        <v>じゃこうねずみ / ひらたいら / 折川 / タカヤマノン / 乙の助 / ブラザーピエロ</v>
      </c>
      <c r="G111" s="298" t="str">
        <f>IFERROR(__xludf.DUMMYFUNCTION("""COMPUTED_VALUE"""),"オトナコミック")</f>
        <v>オトナコミック</v>
      </c>
      <c r="H111" s="298" t="str">
        <f>IFERROR(__xludf.DUMMYFUNCTION("""COMPUTED_VALUE"""),"2024/11/25～）クレジットカードでの購入のみ停止")</f>
        <v>2024/11/25～）クレジットカードでの購入のみ停止</v>
      </c>
      <c r="I111" s="283"/>
      <c r="J111" s="283"/>
      <c r="K111" s="283"/>
      <c r="L111" s="283"/>
      <c r="M111" s="283"/>
      <c r="N111" s="283"/>
      <c r="O111" s="283"/>
      <c r="P111" s="283"/>
      <c r="Q111" s="278"/>
      <c r="R111" s="278"/>
      <c r="S111" s="278"/>
      <c r="T111" s="278"/>
      <c r="U111" s="278"/>
      <c r="V111" s="278"/>
      <c r="W111" s="278"/>
      <c r="X111" s="278"/>
      <c r="Y111" s="278"/>
      <c r="Z111" s="278"/>
      <c r="AA111" s="278"/>
      <c r="AB111" s="278"/>
      <c r="AC111" s="278"/>
    </row>
    <row r="112">
      <c r="A112" s="290" t="str">
        <f>IFERROR(__xludf.DUMMYFUNCTION("""COMPUTED_VALUE"""),"DEEPER-ZERO")</f>
        <v>DEEPER-ZERO</v>
      </c>
      <c r="B112" s="291">
        <f>IFERROR(__xludf.DUMMYFUNCTION("""COMPUTED_VALUE"""),45618.0)</f>
        <v>45618</v>
      </c>
      <c r="C112" s="292"/>
      <c r="D112" s="293">
        <f>IFERROR(__xludf.DUMMYFUNCTION("""COMPUTED_VALUE"""),232268.0)</f>
        <v>232268</v>
      </c>
      <c r="E112" s="290" t="str">
        <f>IFERROR(__xludf.DUMMYFUNCTION("""COMPUTED_VALUE"""),"突然女の子になってから10年経ったので、俺のおっぱいもっと揉んでみませんか？～永田まりあ短編作品集～")</f>
        <v>突然女の子になってから10年経ったので、俺のおっぱいもっと揉んでみませんか？～永田まりあ短編作品集～</v>
      </c>
      <c r="F112" s="298" t="str">
        <f>IFERROR(__xludf.DUMMYFUNCTION("""COMPUTED_VALUE"""),"永田まりあ")</f>
        <v>永田まりあ</v>
      </c>
      <c r="G112" s="298" t="str">
        <f>IFERROR(__xludf.DUMMYFUNCTION("""COMPUTED_VALUE"""),"オトナコミック")</f>
        <v>オトナコミック</v>
      </c>
      <c r="H112" s="298" t="str">
        <f>IFERROR(__xludf.DUMMYFUNCTION("""COMPUTED_VALUE"""),"2024/11/25～）クレジットカードでの購入のみ停止")</f>
        <v>2024/11/25～）クレジットカードでの購入のみ停止</v>
      </c>
      <c r="I112" s="283"/>
      <c r="J112" s="283"/>
      <c r="K112" s="283"/>
      <c r="L112" s="283"/>
      <c r="M112" s="283"/>
      <c r="N112" s="283"/>
      <c r="O112" s="283"/>
      <c r="P112" s="283"/>
      <c r="Q112" s="278"/>
      <c r="R112" s="278"/>
      <c r="S112" s="278"/>
      <c r="T112" s="278"/>
      <c r="U112" s="278"/>
      <c r="V112" s="278"/>
      <c r="W112" s="278"/>
      <c r="X112" s="278"/>
      <c r="Y112" s="278"/>
      <c r="Z112" s="278"/>
      <c r="AA112" s="278"/>
      <c r="AB112" s="278"/>
      <c r="AC112" s="278"/>
    </row>
    <row r="113">
      <c r="A113" s="290" t="str">
        <f>IFERROR(__xludf.DUMMYFUNCTION("""COMPUTED_VALUE"""),"DEEPER-ZERO")</f>
        <v>DEEPER-ZERO</v>
      </c>
      <c r="B113" s="291">
        <f>IFERROR(__xludf.DUMMYFUNCTION("""COMPUTED_VALUE"""),45618.0)</f>
        <v>45618</v>
      </c>
      <c r="C113" s="292"/>
      <c r="D113" s="293">
        <f>IFERROR(__xludf.DUMMYFUNCTION("""COMPUTED_VALUE"""),278018.0)</f>
        <v>278018</v>
      </c>
      <c r="E113" s="290" t="str">
        <f>IFERROR(__xludf.DUMMYFUNCTION("""COMPUTED_VALUE"""),"「どうして…！嫌なのに、抗えないっ」完堕ちするまで終わらない淫湿ピストン服従SEX【フルカラー】")</f>
        <v>「どうして…！嫌なのに、抗えないっ」完堕ちするまで終わらない淫湿ピストン服従SEX【フルカラー】</v>
      </c>
      <c r="F113" s="298" t="str">
        <f>IFERROR(__xludf.DUMMYFUNCTION("""COMPUTED_VALUE"""),"じゃこうねずみ / ひらたいら / 折川 / タカヤマノン / 乙の助 / ブラザーピエロ")</f>
        <v>じゃこうねずみ / ひらたいら / 折川 / タカヤマノン / 乙の助 / ブラザーピエロ</v>
      </c>
      <c r="G113" s="298" t="str">
        <f>IFERROR(__xludf.DUMMYFUNCTION("""COMPUTED_VALUE"""),"オトナコミック")</f>
        <v>オトナコミック</v>
      </c>
      <c r="H113" s="298" t="str">
        <f>IFERROR(__xludf.DUMMYFUNCTION("""COMPUTED_VALUE"""),"2024/11/25～）クレジットカードでの購入のみ停止")</f>
        <v>2024/11/25～）クレジットカードでの購入のみ停止</v>
      </c>
      <c r="I113" s="283"/>
      <c r="J113" s="283"/>
      <c r="K113" s="283"/>
      <c r="L113" s="283"/>
      <c r="M113" s="283"/>
      <c r="N113" s="283"/>
      <c r="O113" s="283"/>
      <c r="P113" s="283"/>
      <c r="Q113" s="278"/>
      <c r="R113" s="278"/>
      <c r="S113" s="278"/>
      <c r="T113" s="278"/>
      <c r="U113" s="278"/>
      <c r="V113" s="278"/>
      <c r="W113" s="278"/>
      <c r="X113" s="278"/>
      <c r="Y113" s="278"/>
      <c r="Z113" s="278"/>
      <c r="AA113" s="278"/>
      <c r="AB113" s="278"/>
      <c r="AC113" s="278"/>
    </row>
    <row r="114" ht="15.75" customHeight="1">
      <c r="A114" s="290" t="str">
        <f>IFERROR(__xludf.DUMMYFUNCTION("""COMPUTED_VALUE"""),"DEEPER-ZERO")</f>
        <v>DEEPER-ZERO</v>
      </c>
      <c r="B114" s="291">
        <f>IFERROR(__xludf.DUMMYFUNCTION("""COMPUTED_VALUE"""),45692.0)</f>
        <v>45692</v>
      </c>
      <c r="C114" s="292"/>
      <c r="D114" s="293">
        <f>IFERROR(__xludf.DUMMYFUNCTION("""COMPUTED_VALUE"""),307069.0)</f>
        <v>307069</v>
      </c>
      <c r="E114" s="290" t="str">
        <f>IFERROR(__xludf.DUMMYFUNCTION("""COMPUTED_VALUE"""),"ヤバい人に沼りました…千人斬り裏アカ男子")</f>
        <v>ヤバい人に沼りました…千人斬り裏アカ男子</v>
      </c>
      <c r="F114" s="298" t="str">
        <f>IFERROR(__xludf.DUMMYFUNCTION("""COMPUTED_VALUE"""),"赤木紫乙")</f>
        <v>赤木紫乙</v>
      </c>
      <c r="G114" s="298" t="str">
        <f>IFERROR(__xludf.DUMMYFUNCTION("""COMPUTED_VALUE"""),"アダルトマンガ")</f>
        <v>アダルトマンガ</v>
      </c>
      <c r="H114" s="298" t="str">
        <f>IFERROR(__xludf.DUMMYFUNCTION("""COMPUTED_VALUE"""),"2025/2/8（土）～：出版社都合により配信停止")</f>
        <v>2025/2/8（土）～：出版社都合により配信停止</v>
      </c>
      <c r="I114" s="283"/>
      <c r="J114" s="283"/>
      <c r="K114" s="283"/>
      <c r="L114" s="283"/>
      <c r="M114" s="283"/>
      <c r="N114" s="283"/>
      <c r="O114" s="283"/>
      <c r="P114" s="283"/>
      <c r="Q114" s="278"/>
      <c r="R114" s="278"/>
      <c r="S114" s="278"/>
      <c r="T114" s="278"/>
      <c r="U114" s="278"/>
      <c r="V114" s="278"/>
      <c r="W114" s="278"/>
      <c r="X114" s="278"/>
      <c r="Y114" s="278"/>
      <c r="Z114" s="278"/>
      <c r="AA114" s="278"/>
      <c r="AB114" s="278"/>
      <c r="AC114" s="278"/>
    </row>
    <row r="115" ht="15.75" customHeight="1">
      <c r="A115" s="290" t="str">
        <f>IFERROR(__xludf.DUMMYFUNCTION("""COMPUTED_VALUE"""),"DLcomics")</f>
        <v>DLcomics</v>
      </c>
      <c r="B115" s="291">
        <f>IFERROR(__xludf.DUMMYFUNCTION("""COMPUTED_VALUE"""),45618.0)</f>
        <v>45618</v>
      </c>
      <c r="C115" s="292"/>
      <c r="D115" s="293">
        <f>IFERROR(__xludf.DUMMYFUNCTION("""COMPUTED_VALUE"""),188940.0)</f>
        <v>188940</v>
      </c>
      <c r="E115" s="290" t="str">
        <f>IFERROR(__xludf.DUMMYFUNCTION("""COMPUTED_VALUE"""),"フタナリさんとノンケさん♀")</f>
        <v>フタナリさんとノンケさん♀</v>
      </c>
      <c r="F115" s="298" t="str">
        <f>IFERROR(__xludf.DUMMYFUNCTION("""COMPUTED_VALUE"""),"非凡")</f>
        <v>非凡</v>
      </c>
      <c r="G115" s="298" t="str">
        <f>IFERROR(__xludf.DUMMYFUNCTION("""COMPUTED_VALUE"""),"オトナコミック")</f>
        <v>オトナコミック</v>
      </c>
      <c r="H115" s="298" t="str">
        <f>IFERROR(__xludf.DUMMYFUNCTION("""COMPUTED_VALUE"""),"2024/11/25～）クレジットカードでの購入のみ停止")</f>
        <v>2024/11/25～）クレジットカードでの購入のみ停止</v>
      </c>
      <c r="I115" s="283"/>
      <c r="J115" s="283"/>
      <c r="K115" s="283"/>
      <c r="L115" s="283"/>
      <c r="M115" s="283"/>
      <c r="N115" s="283"/>
      <c r="O115" s="283"/>
      <c r="P115" s="283"/>
      <c r="Q115" s="278"/>
      <c r="R115" s="278"/>
      <c r="S115" s="278"/>
      <c r="T115" s="278"/>
      <c r="U115" s="278"/>
      <c r="V115" s="278"/>
      <c r="W115" s="278"/>
      <c r="X115" s="278"/>
      <c r="Y115" s="278"/>
      <c r="Z115" s="278"/>
      <c r="AA115" s="278"/>
      <c r="AB115" s="278"/>
      <c r="AC115" s="278"/>
    </row>
    <row r="116" ht="15.75" customHeight="1">
      <c r="A116" s="290" t="str">
        <f>IFERROR(__xludf.DUMMYFUNCTION("""COMPUTED_VALUE"""),"DLcomics")</f>
        <v>DLcomics</v>
      </c>
      <c r="B116" s="291">
        <f>IFERROR(__xludf.DUMMYFUNCTION("""COMPUTED_VALUE"""),45618.0)</f>
        <v>45618</v>
      </c>
      <c r="C116" s="292"/>
      <c r="D116" s="293">
        <f>IFERROR(__xludf.DUMMYFUNCTION("""COMPUTED_VALUE"""),194555.0)</f>
        <v>194555</v>
      </c>
      <c r="E116" s="290" t="str">
        <f>IFERROR(__xludf.DUMMYFUNCTION("""COMPUTED_VALUE"""),"おもらしを治す為の催眠治療法～彼女が治療を経て妊娠するまでの記録～")</f>
        <v>おもらしを治す為の催眠治療法～彼女が治療を経て妊娠するまでの記録～</v>
      </c>
      <c r="F116" s="298" t="str">
        <f>IFERROR(__xludf.DUMMYFUNCTION("""COMPUTED_VALUE"""),"不自然動物保護団体")</f>
        <v>不自然動物保護団体</v>
      </c>
      <c r="G116" s="298" t="str">
        <f>IFERROR(__xludf.DUMMYFUNCTION("""COMPUTED_VALUE"""),"オトナコミック")</f>
        <v>オトナコミック</v>
      </c>
      <c r="H116" s="298" t="str">
        <f>IFERROR(__xludf.DUMMYFUNCTION("""COMPUTED_VALUE"""),"2024/11/25～）クレジットカードでの購入のみ停止")</f>
        <v>2024/11/25～）クレジットカードでの購入のみ停止</v>
      </c>
      <c r="I116" s="283"/>
      <c r="J116" s="283"/>
      <c r="K116" s="283"/>
      <c r="L116" s="283"/>
      <c r="M116" s="283"/>
      <c r="N116" s="283"/>
      <c r="O116" s="283"/>
      <c r="P116" s="283"/>
      <c r="Q116" s="278"/>
      <c r="R116" s="278"/>
      <c r="S116" s="278"/>
      <c r="T116" s="278"/>
      <c r="U116" s="278"/>
      <c r="V116" s="278"/>
      <c r="W116" s="278"/>
      <c r="X116" s="278"/>
      <c r="Y116" s="278"/>
      <c r="Z116" s="278"/>
      <c r="AA116" s="278"/>
      <c r="AB116" s="278"/>
      <c r="AC116" s="278"/>
    </row>
    <row r="117" ht="15.75" customHeight="1">
      <c r="A117" s="290" t="str">
        <f>IFERROR(__xludf.DUMMYFUNCTION("""COMPUTED_VALUE"""),"DLcomics")</f>
        <v>DLcomics</v>
      </c>
      <c r="B117" s="291">
        <f>IFERROR(__xludf.DUMMYFUNCTION("""COMPUTED_VALUE"""),45618.0)</f>
        <v>45618</v>
      </c>
      <c r="C117" s="292"/>
      <c r="D117" s="293">
        <f>IFERROR(__xludf.DUMMYFUNCTION("""COMPUTED_VALUE"""),215431.0)</f>
        <v>215431</v>
      </c>
      <c r="E117" s="290" t="str">
        <f>IFERROR(__xludf.DUMMYFUNCTION("""COMPUTED_VALUE"""),"10000回ヤったらビッチ卒業するJK")</f>
        <v>10000回ヤったらビッチ卒業するJK</v>
      </c>
      <c r="F117" s="298" t="str">
        <f>IFERROR(__xludf.DUMMYFUNCTION("""COMPUTED_VALUE"""),"春花楼")</f>
        <v>春花楼</v>
      </c>
      <c r="G117" s="298" t="str">
        <f>IFERROR(__xludf.DUMMYFUNCTION("""COMPUTED_VALUE"""),"オトナコミック")</f>
        <v>オトナコミック</v>
      </c>
      <c r="H117" s="298" t="str">
        <f>IFERROR(__xludf.DUMMYFUNCTION("""COMPUTED_VALUE"""),"2024/11/25～）クレジットカードでの購入のみ停止")</f>
        <v>2024/11/25～）クレジットカードでの購入のみ停止</v>
      </c>
      <c r="I117" s="283"/>
      <c r="J117" s="283"/>
      <c r="K117" s="283"/>
      <c r="L117" s="283"/>
      <c r="M117" s="283"/>
      <c r="N117" s="283"/>
      <c r="O117" s="283"/>
      <c r="P117" s="283"/>
      <c r="Q117" s="278"/>
      <c r="R117" s="278"/>
      <c r="S117" s="278"/>
      <c r="T117" s="278"/>
      <c r="U117" s="278"/>
      <c r="V117" s="278"/>
      <c r="W117" s="278"/>
      <c r="X117" s="278"/>
      <c r="Y117" s="278"/>
      <c r="Z117" s="278"/>
      <c r="AA117" s="278"/>
      <c r="AB117" s="278"/>
      <c r="AC117" s="278"/>
    </row>
    <row r="118" ht="15.75" customHeight="1">
      <c r="A118" s="290" t="str">
        <f>IFERROR(__xludf.DUMMYFUNCTION("""COMPUTED_VALUE"""),"DLcomics")</f>
        <v>DLcomics</v>
      </c>
      <c r="B118" s="291">
        <f>IFERROR(__xludf.DUMMYFUNCTION("""COMPUTED_VALUE"""),45618.0)</f>
        <v>45618</v>
      </c>
      <c r="C118" s="292"/>
      <c r="D118" s="293">
        <f>IFERROR(__xludf.DUMMYFUNCTION("""COMPUTED_VALUE"""),230048.0)</f>
        <v>230048</v>
      </c>
      <c r="E118" s="290" t="str">
        <f>IFERROR(__xludf.DUMMYFUNCTION("""COMPUTED_VALUE"""),"だれでもエッチでやさしいママにしちゃうアプリ")</f>
        <v>だれでもエッチでやさしいママにしちゃうアプリ</v>
      </c>
      <c r="F118" s="298" t="str">
        <f>IFERROR(__xludf.DUMMYFUNCTION("""COMPUTED_VALUE"""),"藤島製1号")</f>
        <v>藤島製1号</v>
      </c>
      <c r="G118" s="298" t="str">
        <f>IFERROR(__xludf.DUMMYFUNCTION("""COMPUTED_VALUE"""),"オトナコミック")</f>
        <v>オトナコミック</v>
      </c>
      <c r="H118" s="298" t="str">
        <f>IFERROR(__xludf.DUMMYFUNCTION("""COMPUTED_VALUE"""),"2024/11/25～）クレジットカードでの購入のみ停止")</f>
        <v>2024/11/25～）クレジットカードでの購入のみ停止</v>
      </c>
      <c r="I118" s="283"/>
      <c r="J118" s="283"/>
      <c r="K118" s="283"/>
      <c r="L118" s="283"/>
      <c r="M118" s="283"/>
      <c r="N118" s="283"/>
      <c r="O118" s="283"/>
      <c r="P118" s="283"/>
      <c r="Q118" s="278"/>
      <c r="R118" s="278"/>
      <c r="S118" s="278"/>
      <c r="T118" s="278"/>
      <c r="U118" s="278"/>
      <c r="V118" s="278"/>
      <c r="W118" s="278"/>
      <c r="X118" s="278"/>
      <c r="Y118" s="278"/>
      <c r="Z118" s="278"/>
      <c r="AA118" s="278"/>
      <c r="AB118" s="278"/>
      <c r="AC118" s="278"/>
    </row>
    <row r="119" ht="15.75" customHeight="1">
      <c r="A119" s="290" t="str">
        <f>IFERROR(__xludf.DUMMYFUNCTION("""COMPUTED_VALUE"""),"DLcomics")</f>
        <v>DLcomics</v>
      </c>
      <c r="B119" s="291">
        <f>IFERROR(__xludf.DUMMYFUNCTION("""COMPUTED_VALUE"""),45618.0)</f>
        <v>45618</v>
      </c>
      <c r="C119" s="292"/>
      <c r="D119" s="293">
        <f>IFERROR(__xludf.DUMMYFUNCTION("""COMPUTED_VALUE"""),238035.0)</f>
        <v>238035</v>
      </c>
      <c r="E119" s="290" t="str">
        <f>IFERROR(__xludf.DUMMYFUNCTION("""COMPUTED_VALUE"""),"俺は年下彼氏のイイナリ彼女")</f>
        <v>俺は年下彼氏のイイナリ彼女</v>
      </c>
      <c r="F119" s="298" t="str">
        <f>IFERROR(__xludf.DUMMYFUNCTION("""COMPUTED_VALUE"""),"くりかま")</f>
        <v>くりかま</v>
      </c>
      <c r="G119" s="298" t="str">
        <f>IFERROR(__xludf.DUMMYFUNCTION("""COMPUTED_VALUE"""),"オトナコミック")</f>
        <v>オトナコミック</v>
      </c>
      <c r="H119" s="298" t="str">
        <f>IFERROR(__xludf.DUMMYFUNCTION("""COMPUTED_VALUE"""),"2024/11/25～）クレジットカードでの購入のみ停止")</f>
        <v>2024/11/25～）クレジットカードでの購入のみ停止</v>
      </c>
      <c r="I119" s="283"/>
      <c r="J119" s="283"/>
      <c r="K119" s="283"/>
      <c r="L119" s="283"/>
      <c r="M119" s="283"/>
      <c r="N119" s="283"/>
      <c r="O119" s="283"/>
      <c r="P119" s="283"/>
      <c r="Q119" s="278"/>
      <c r="R119" s="278"/>
      <c r="S119" s="278"/>
      <c r="T119" s="278"/>
      <c r="U119" s="278"/>
      <c r="V119" s="278"/>
      <c r="W119" s="278"/>
      <c r="X119" s="278"/>
      <c r="Y119" s="278"/>
      <c r="Z119" s="278"/>
      <c r="AA119" s="278"/>
      <c r="AB119" s="278"/>
      <c r="AC119" s="278"/>
    </row>
    <row r="120" ht="15.75" customHeight="1">
      <c r="A120" s="290" t="str">
        <f>IFERROR(__xludf.DUMMYFUNCTION("""COMPUTED_VALUE"""),"DLcomics")</f>
        <v>DLcomics</v>
      </c>
      <c r="B120" s="291">
        <f>IFERROR(__xludf.DUMMYFUNCTION("""COMPUTED_VALUE"""),45618.0)</f>
        <v>45618</v>
      </c>
      <c r="C120" s="292"/>
      <c r="D120" s="293">
        <f>IFERROR(__xludf.DUMMYFUNCTION("""COMPUTED_VALUE"""),238674.0)</f>
        <v>238674</v>
      </c>
      <c r="E120" s="290" t="str">
        <f>IFERROR(__xludf.DUMMYFUNCTION("""COMPUTED_VALUE"""),"マリオネット")</f>
        <v>マリオネット</v>
      </c>
      <c r="F120" s="298" t="str">
        <f>IFERROR(__xludf.DUMMYFUNCTION("""COMPUTED_VALUE"""),"バニラタイプ")</f>
        <v>バニラタイプ</v>
      </c>
      <c r="G120" s="298" t="str">
        <f>IFERROR(__xludf.DUMMYFUNCTION("""COMPUTED_VALUE"""),"オトナコミック")</f>
        <v>オトナコミック</v>
      </c>
      <c r="H120" s="298" t="str">
        <f>IFERROR(__xludf.DUMMYFUNCTION("""COMPUTED_VALUE"""),"2024/11/25～）クレジットカードでの購入のみ停止")</f>
        <v>2024/11/25～）クレジットカードでの購入のみ停止</v>
      </c>
      <c r="I120" s="283"/>
      <c r="J120" s="283"/>
      <c r="K120" s="283"/>
      <c r="L120" s="283"/>
      <c r="M120" s="283"/>
      <c r="N120" s="283"/>
      <c r="O120" s="283"/>
      <c r="P120" s="283"/>
      <c r="Q120" s="278"/>
      <c r="R120" s="278"/>
      <c r="S120" s="278"/>
      <c r="T120" s="278"/>
      <c r="U120" s="278"/>
      <c r="V120" s="278"/>
      <c r="W120" s="278"/>
      <c r="X120" s="278"/>
      <c r="Y120" s="278"/>
      <c r="Z120" s="278"/>
      <c r="AA120" s="278"/>
      <c r="AB120" s="278"/>
      <c r="AC120" s="278"/>
    </row>
    <row r="121" ht="15.75" customHeight="1">
      <c r="A121" s="290" t="str">
        <f>IFERROR(__xludf.DUMMYFUNCTION("""COMPUTED_VALUE"""),"DLcomics")</f>
        <v>DLcomics</v>
      </c>
      <c r="B121" s="291">
        <f>IFERROR(__xludf.DUMMYFUNCTION("""COMPUTED_VALUE"""),45618.0)</f>
        <v>45618</v>
      </c>
      <c r="C121" s="292"/>
      <c r="D121" s="293">
        <f>IFERROR(__xludf.DUMMYFUNCTION("""COMPUTED_VALUE"""),240618.0)</f>
        <v>240618</v>
      </c>
      <c r="E121" s="290" t="str">
        <f>IFERROR(__xludf.DUMMYFUNCTION("""COMPUTED_VALUE"""),"モブ推しJKの悪役令嬢異世界転生 ～悲惨～【R-18版】")</f>
        <v>モブ推しJKの悪役令嬢異世界転生 ～悲惨～【R-18版】</v>
      </c>
      <c r="F121" s="298" t="str">
        <f>IFERROR(__xludf.DUMMYFUNCTION("""COMPUTED_VALUE"""),"もふ緒")</f>
        <v>もふ緒</v>
      </c>
      <c r="G121" s="298" t="str">
        <f>IFERROR(__xludf.DUMMYFUNCTION("""COMPUTED_VALUE"""),"オトナコミック")</f>
        <v>オトナコミック</v>
      </c>
      <c r="H121" s="298" t="str">
        <f>IFERROR(__xludf.DUMMYFUNCTION("""COMPUTED_VALUE"""),"2024/11/25～）クレジットカードでの購入のみ停止")</f>
        <v>2024/11/25～）クレジットカードでの購入のみ停止</v>
      </c>
      <c r="I121" s="283"/>
      <c r="J121" s="283"/>
      <c r="K121" s="283"/>
      <c r="L121" s="283"/>
      <c r="M121" s="283"/>
      <c r="N121" s="283"/>
      <c r="O121" s="283"/>
      <c r="P121" s="283"/>
      <c r="Q121" s="278"/>
      <c r="R121" s="278"/>
      <c r="S121" s="278"/>
      <c r="T121" s="278"/>
      <c r="U121" s="278"/>
      <c r="V121" s="278"/>
      <c r="W121" s="278"/>
      <c r="X121" s="278"/>
      <c r="Y121" s="278"/>
      <c r="Z121" s="278"/>
      <c r="AA121" s="278"/>
      <c r="AB121" s="278"/>
      <c r="AC121" s="278"/>
    </row>
    <row r="122" ht="15.75" customHeight="1">
      <c r="A122" s="290" t="str">
        <f>IFERROR(__xludf.DUMMYFUNCTION("""COMPUTED_VALUE"""),"DLcomics")</f>
        <v>DLcomics</v>
      </c>
      <c r="B122" s="291">
        <f>IFERROR(__xludf.DUMMYFUNCTION("""COMPUTED_VALUE"""),45618.0)</f>
        <v>45618</v>
      </c>
      <c r="C122" s="292"/>
      <c r="D122" s="293">
        <f>IFERROR(__xludf.DUMMYFUNCTION("""COMPUTED_VALUE"""),249039.0)</f>
        <v>249039</v>
      </c>
      <c r="E122" s="290" t="str">
        <f>IFERROR(__xludf.DUMMYFUNCTION("""COMPUTED_VALUE"""),"家出少女")</f>
        <v>家出少女</v>
      </c>
      <c r="F122" s="298" t="str">
        <f>IFERROR(__xludf.DUMMYFUNCTION("""COMPUTED_VALUE"""),"ピラミッドハウス")</f>
        <v>ピラミッドハウス</v>
      </c>
      <c r="G122" s="298" t="str">
        <f>IFERROR(__xludf.DUMMYFUNCTION("""COMPUTED_VALUE"""),"オトナコミック")</f>
        <v>オトナコミック</v>
      </c>
      <c r="H122" s="298" t="str">
        <f>IFERROR(__xludf.DUMMYFUNCTION("""COMPUTED_VALUE"""),"2024/11/25～）クレジットカードでの購入のみ停止")</f>
        <v>2024/11/25～）クレジットカードでの購入のみ停止</v>
      </c>
      <c r="I122" s="283"/>
      <c r="J122" s="283"/>
      <c r="K122" s="283"/>
      <c r="L122" s="283"/>
      <c r="M122" s="283"/>
      <c r="N122" s="283"/>
      <c r="O122" s="283"/>
      <c r="P122" s="283"/>
      <c r="Q122" s="278"/>
      <c r="R122" s="278"/>
      <c r="S122" s="278"/>
      <c r="T122" s="278"/>
      <c r="U122" s="278"/>
      <c r="V122" s="278"/>
      <c r="W122" s="278"/>
      <c r="X122" s="278"/>
      <c r="Y122" s="278"/>
      <c r="Z122" s="278"/>
      <c r="AA122" s="278"/>
      <c r="AB122" s="278"/>
      <c r="AC122" s="278"/>
    </row>
    <row r="123" ht="15.75" customHeight="1">
      <c r="A123" s="290" t="str">
        <f>IFERROR(__xludf.DUMMYFUNCTION("""COMPUTED_VALUE"""),"DLcomics")</f>
        <v>DLcomics</v>
      </c>
      <c r="B123" s="291">
        <f>IFERROR(__xludf.DUMMYFUNCTION("""COMPUTED_VALUE"""),45618.0)</f>
        <v>45618</v>
      </c>
      <c r="C123" s="292"/>
      <c r="D123" s="293">
        <f>IFERROR(__xludf.DUMMYFUNCTION("""COMPUTED_VALUE"""),250189.0)</f>
        <v>250189</v>
      </c>
      <c r="E123" s="290" t="str">
        <f>IFERROR(__xludf.DUMMYFUNCTION("""COMPUTED_VALUE"""),"JKをレ○プしたら懐かれた話")</f>
        <v>JKをレ○プしたら懐かれた話</v>
      </c>
      <c r="F123" s="298" t="str">
        <f>IFERROR(__xludf.DUMMYFUNCTION("""COMPUTED_VALUE"""),"ピラミッドハウス")</f>
        <v>ピラミッドハウス</v>
      </c>
      <c r="G123" s="298" t="str">
        <f>IFERROR(__xludf.DUMMYFUNCTION("""COMPUTED_VALUE"""),"オトナコミック")</f>
        <v>オトナコミック</v>
      </c>
      <c r="H123" s="298" t="str">
        <f>IFERROR(__xludf.DUMMYFUNCTION("""COMPUTED_VALUE"""),"2024/11/25～）クレジットカードでの購入のみ停止")</f>
        <v>2024/11/25～）クレジットカードでの購入のみ停止</v>
      </c>
      <c r="I123" s="283"/>
      <c r="J123" s="283"/>
      <c r="K123" s="283"/>
      <c r="L123" s="283"/>
      <c r="M123" s="283"/>
      <c r="N123" s="283"/>
      <c r="O123" s="283"/>
      <c r="P123" s="283"/>
      <c r="Q123" s="278"/>
      <c r="R123" s="278"/>
      <c r="S123" s="278"/>
      <c r="T123" s="278"/>
      <c r="U123" s="278"/>
      <c r="V123" s="278"/>
      <c r="W123" s="278"/>
      <c r="X123" s="278"/>
      <c r="Y123" s="278"/>
      <c r="Z123" s="278"/>
      <c r="AA123" s="278"/>
      <c r="AB123" s="278"/>
      <c r="AC123" s="278"/>
    </row>
    <row r="124" ht="15.75" customHeight="1">
      <c r="A124" s="290" t="str">
        <f>IFERROR(__xludf.DUMMYFUNCTION("""COMPUTED_VALUE"""),"DLcomics")</f>
        <v>DLcomics</v>
      </c>
      <c r="B124" s="291">
        <f>IFERROR(__xludf.DUMMYFUNCTION("""COMPUTED_VALUE"""),45618.0)</f>
        <v>45618</v>
      </c>
      <c r="C124" s="292"/>
      <c r="D124" s="293">
        <f>IFERROR(__xludf.DUMMYFUNCTION("""COMPUTED_VALUE"""),250191.0)</f>
        <v>250191</v>
      </c>
      <c r="E124" s="290" t="str">
        <f>IFERROR(__xludf.DUMMYFUNCTION("""COMPUTED_VALUE"""),"淫魔必殺忍美月")</f>
        <v>淫魔必殺忍美月</v>
      </c>
      <c r="F124" s="298" t="str">
        <f>IFERROR(__xludf.DUMMYFUNCTION("""COMPUTED_VALUE"""),"ピラミッドハウス")</f>
        <v>ピラミッドハウス</v>
      </c>
      <c r="G124" s="298" t="str">
        <f>IFERROR(__xludf.DUMMYFUNCTION("""COMPUTED_VALUE"""),"オトナコミック")</f>
        <v>オトナコミック</v>
      </c>
      <c r="H124" s="298" t="str">
        <f>IFERROR(__xludf.DUMMYFUNCTION("""COMPUTED_VALUE"""),"2024/11/25～）クレジットカードでの購入のみ停止")</f>
        <v>2024/11/25～）クレジットカードでの購入のみ停止</v>
      </c>
      <c r="I124" s="283"/>
      <c r="J124" s="283"/>
      <c r="K124" s="283"/>
      <c r="L124" s="283"/>
      <c r="M124" s="283"/>
      <c r="N124" s="283"/>
      <c r="O124" s="283"/>
      <c r="P124" s="283"/>
      <c r="Q124" s="278"/>
      <c r="R124" s="278"/>
      <c r="S124" s="278"/>
      <c r="T124" s="278"/>
      <c r="U124" s="278"/>
      <c r="V124" s="278"/>
      <c r="W124" s="278"/>
      <c r="X124" s="278"/>
      <c r="Y124" s="278"/>
      <c r="Z124" s="278"/>
      <c r="AA124" s="278"/>
      <c r="AB124" s="278"/>
      <c r="AC124" s="278"/>
    </row>
    <row r="125" ht="15.75" customHeight="1">
      <c r="A125" s="290" t="str">
        <f>IFERROR(__xludf.DUMMYFUNCTION("""COMPUTED_VALUE"""),"DLcomics")</f>
        <v>DLcomics</v>
      </c>
      <c r="B125" s="291">
        <f>IFERROR(__xludf.DUMMYFUNCTION("""COMPUTED_VALUE"""),45618.0)</f>
        <v>45618</v>
      </c>
      <c r="C125" s="292"/>
      <c r="D125" s="293">
        <f>IFERROR(__xludf.DUMMYFUNCTION("""COMPUTED_VALUE"""),269137.0)</f>
        <v>269137</v>
      </c>
      <c r="E125" s="290" t="str">
        <f>IFERROR(__xludf.DUMMYFUNCTION("""COMPUTED_VALUE"""),"着脱体操第一 ブルマ絶対領域の男の娘がエッチな準備体操する")</f>
        <v>着脱体操第一 ブルマ絶対領域の男の娘がエッチな準備体操する</v>
      </c>
      <c r="F125" s="298" t="str">
        <f>IFERROR(__xludf.DUMMYFUNCTION("""COMPUTED_VALUE"""),"ハチマル")</f>
        <v>ハチマル</v>
      </c>
      <c r="G125" s="298" t="str">
        <f>IFERROR(__xludf.DUMMYFUNCTION("""COMPUTED_VALUE"""),"オトナコミック")</f>
        <v>オトナコミック</v>
      </c>
      <c r="H125" s="298" t="str">
        <f>IFERROR(__xludf.DUMMYFUNCTION("""COMPUTED_VALUE"""),"2024/11/25～）クレジットカードでの購入のみ停止")</f>
        <v>2024/11/25～）クレジットカードでの購入のみ停止</v>
      </c>
      <c r="I125" s="283"/>
      <c r="J125" s="283"/>
      <c r="K125" s="283"/>
      <c r="L125" s="283"/>
      <c r="M125" s="283"/>
      <c r="N125" s="283"/>
      <c r="O125" s="283"/>
      <c r="P125" s="283"/>
      <c r="Q125" s="278"/>
      <c r="R125" s="278"/>
      <c r="S125" s="278"/>
      <c r="T125" s="278"/>
      <c r="U125" s="278"/>
      <c r="V125" s="278"/>
      <c r="W125" s="278"/>
      <c r="X125" s="278"/>
      <c r="Y125" s="278"/>
      <c r="Z125" s="278"/>
      <c r="AA125" s="278"/>
      <c r="AB125" s="278"/>
      <c r="AC125" s="278"/>
    </row>
    <row r="126" ht="15.75" customHeight="1">
      <c r="A126" s="290" t="str">
        <f>IFERROR(__xludf.DUMMYFUNCTION("""COMPUTED_VALUE"""),"DLcomics")</f>
        <v>DLcomics</v>
      </c>
      <c r="B126" s="291">
        <f>IFERROR(__xludf.DUMMYFUNCTION("""COMPUTED_VALUE"""),45618.0)</f>
        <v>45618</v>
      </c>
      <c r="C126" s="292"/>
      <c r="D126" s="293">
        <f>IFERROR(__xludf.DUMMYFUNCTION("""COMPUTED_VALUE"""),280496.0)</f>
        <v>280496</v>
      </c>
      <c r="E126" s="290" t="str">
        <f>IFERROR(__xludf.DUMMYFUNCTION("""COMPUTED_VALUE"""),"藤匂い花誘う【R-18版】")</f>
        <v>藤匂い花誘う【R-18版】</v>
      </c>
      <c r="F126" s="298" t="str">
        <f>IFERROR(__xludf.DUMMYFUNCTION("""COMPUTED_VALUE"""),"Tamtam")</f>
        <v>Tamtam</v>
      </c>
      <c r="G126" s="298" t="str">
        <f>IFERROR(__xludf.DUMMYFUNCTION("""COMPUTED_VALUE"""),"オトナコミック")</f>
        <v>オトナコミック</v>
      </c>
      <c r="H126" s="298" t="str">
        <f>IFERROR(__xludf.DUMMYFUNCTION("""COMPUTED_VALUE"""),"2024/11/25～）クレジットカードでの購入のみ停止")</f>
        <v>2024/11/25～）クレジットカードでの購入のみ停止</v>
      </c>
      <c r="I126" s="283"/>
      <c r="J126" s="283"/>
      <c r="K126" s="283"/>
      <c r="L126" s="283"/>
      <c r="M126" s="283"/>
      <c r="N126" s="283"/>
      <c r="O126" s="283"/>
      <c r="P126" s="283"/>
      <c r="Q126" s="278"/>
      <c r="R126" s="278"/>
      <c r="S126" s="278"/>
      <c r="T126" s="278"/>
      <c r="U126" s="278"/>
      <c r="V126" s="278"/>
      <c r="W126" s="278"/>
      <c r="X126" s="278"/>
      <c r="Y126" s="278"/>
      <c r="Z126" s="278"/>
      <c r="AA126" s="278"/>
      <c r="AB126" s="278"/>
      <c r="AC126" s="278"/>
    </row>
    <row r="127" ht="15.75" customHeight="1">
      <c r="A127" s="290" t="str">
        <f>IFERROR(__xludf.DUMMYFUNCTION("""COMPUTED_VALUE"""),"DLcomics")</f>
        <v>DLcomics</v>
      </c>
      <c r="B127" s="291">
        <f>IFERROR(__xludf.DUMMYFUNCTION("""COMPUTED_VALUE"""),45618.0)</f>
        <v>45618</v>
      </c>
      <c r="C127" s="292"/>
      <c r="D127" s="293">
        <f>IFERROR(__xludf.DUMMYFUNCTION("""COMPUTED_VALUE"""),282629.0)</f>
        <v>282629</v>
      </c>
      <c r="E127" s="290" t="str">
        <f>IFERROR(__xludf.DUMMYFUNCTION("""COMPUTED_VALUE"""),"先生に、無理やり性教育をされちゃって…")</f>
        <v>先生に、無理やり性教育をされちゃって…</v>
      </c>
      <c r="F127" s="298" t="str">
        <f>IFERROR(__xludf.DUMMYFUNCTION("""COMPUTED_VALUE"""),"ふじお")</f>
        <v>ふじお</v>
      </c>
      <c r="G127" s="298" t="str">
        <f>IFERROR(__xludf.DUMMYFUNCTION("""COMPUTED_VALUE"""),"オトナコミック")</f>
        <v>オトナコミック</v>
      </c>
      <c r="H127" s="298" t="str">
        <f>IFERROR(__xludf.DUMMYFUNCTION("""COMPUTED_VALUE"""),"2024/11/25～）クレジットカードでの購入のみ停止")</f>
        <v>2024/11/25～）クレジットカードでの購入のみ停止</v>
      </c>
      <c r="I127" s="283"/>
      <c r="J127" s="283"/>
      <c r="K127" s="283"/>
      <c r="L127" s="283"/>
      <c r="M127" s="283"/>
      <c r="N127" s="283"/>
      <c r="O127" s="283"/>
      <c r="P127" s="283"/>
      <c r="Q127" s="278"/>
      <c r="R127" s="278"/>
      <c r="S127" s="278"/>
      <c r="T127" s="278"/>
      <c r="U127" s="278"/>
      <c r="V127" s="278"/>
      <c r="W127" s="278"/>
      <c r="X127" s="278"/>
      <c r="Y127" s="278"/>
      <c r="Z127" s="278"/>
      <c r="AA127" s="278"/>
      <c r="AB127" s="278"/>
      <c r="AC127" s="278"/>
    </row>
    <row r="128" ht="15.75" customHeight="1">
      <c r="A128" s="290" t="str">
        <f>IFERROR(__xludf.DUMMYFUNCTION("""COMPUTED_VALUE"""),"DLcomics")</f>
        <v>DLcomics</v>
      </c>
      <c r="B128" s="291">
        <f>IFERROR(__xludf.DUMMYFUNCTION("""COMPUTED_VALUE"""),45618.0)</f>
        <v>45618</v>
      </c>
      <c r="C128" s="292"/>
      <c r="D128" s="293">
        <f>IFERROR(__xludf.DUMMYFUNCTION("""COMPUTED_VALUE"""),282784.0)</f>
        <v>282784</v>
      </c>
      <c r="E128" s="290" t="str">
        <f>IFERROR(__xludf.DUMMYFUNCTION("""COMPUTED_VALUE"""),"ドS組は問題児ばかりっっ!!～エッチな子だけど先生は負けません!!～【R-18版】")</f>
        <v>ドS組は問題児ばかりっっ!!～エッチな子だけど先生は負けません!!～【R-18版】</v>
      </c>
      <c r="F128" s="298" t="str">
        <f>IFERROR(__xludf.DUMMYFUNCTION("""COMPUTED_VALUE"""),"あいゆうき")</f>
        <v>あいゆうき</v>
      </c>
      <c r="G128" s="298" t="str">
        <f>IFERROR(__xludf.DUMMYFUNCTION("""COMPUTED_VALUE"""),"オトナコミック")</f>
        <v>オトナコミック</v>
      </c>
      <c r="H128" s="298" t="str">
        <f>IFERROR(__xludf.DUMMYFUNCTION("""COMPUTED_VALUE"""),"2024/11/25～）クレジットカードでの購入のみ停止")</f>
        <v>2024/11/25～）クレジットカードでの購入のみ停止</v>
      </c>
      <c r="I128" s="283"/>
      <c r="J128" s="283"/>
      <c r="K128" s="283"/>
      <c r="L128" s="283"/>
      <c r="M128" s="283"/>
      <c r="N128" s="283"/>
      <c r="O128" s="283"/>
      <c r="P128" s="283"/>
      <c r="Q128" s="278"/>
      <c r="R128" s="278"/>
      <c r="S128" s="278"/>
      <c r="T128" s="278"/>
      <c r="U128" s="278"/>
      <c r="V128" s="278"/>
      <c r="W128" s="278"/>
      <c r="X128" s="278"/>
      <c r="Y128" s="278"/>
      <c r="Z128" s="278"/>
      <c r="AA128" s="278"/>
      <c r="AB128" s="278"/>
      <c r="AC128" s="278"/>
    </row>
    <row r="129" ht="15.75" customHeight="1">
      <c r="A129" s="290" t="str">
        <f>IFERROR(__xludf.DUMMYFUNCTION("""COMPUTED_VALUE"""),"DLcomics")</f>
        <v>DLcomics</v>
      </c>
      <c r="B129" s="291">
        <f>IFERROR(__xludf.DUMMYFUNCTION("""COMPUTED_VALUE"""),45618.0)</f>
        <v>45618</v>
      </c>
      <c r="C129" s="292"/>
      <c r="D129" s="293">
        <f>IFERROR(__xludf.DUMMYFUNCTION("""COMPUTED_VALUE"""),284396.0)</f>
        <v>284396</v>
      </c>
      <c r="E129" s="290" t="str">
        <f>IFERROR(__xludf.DUMMYFUNCTION("""COMPUTED_VALUE"""),"輪姦列車は進むよ何処までも・・・")</f>
        <v>輪姦列車は進むよ何処までも・・・</v>
      </c>
      <c r="F129" s="298" t="str">
        <f>IFERROR(__xludf.DUMMYFUNCTION("""COMPUTED_VALUE"""),"ミレニアムセブン")</f>
        <v>ミレニアムセブン</v>
      </c>
      <c r="G129" s="298" t="str">
        <f>IFERROR(__xludf.DUMMYFUNCTION("""COMPUTED_VALUE"""),"オトナコミック")</f>
        <v>オトナコミック</v>
      </c>
      <c r="H129" s="298" t="str">
        <f>IFERROR(__xludf.DUMMYFUNCTION("""COMPUTED_VALUE"""),"2024/11/25～）クレジットカードでの購入のみ停止")</f>
        <v>2024/11/25～）クレジットカードでの購入のみ停止</v>
      </c>
      <c r="I129" s="283"/>
      <c r="J129" s="283"/>
      <c r="K129" s="283"/>
      <c r="L129" s="283"/>
      <c r="M129" s="283"/>
      <c r="N129" s="283"/>
      <c r="O129" s="283"/>
      <c r="P129" s="283"/>
      <c r="Q129" s="278"/>
      <c r="R129" s="278"/>
      <c r="S129" s="278"/>
      <c r="T129" s="278"/>
      <c r="U129" s="278"/>
      <c r="V129" s="278"/>
      <c r="W129" s="278"/>
      <c r="X129" s="278"/>
      <c r="Y129" s="278"/>
      <c r="Z129" s="278"/>
      <c r="AA129" s="278"/>
      <c r="AB129" s="278"/>
      <c r="AC129" s="278"/>
    </row>
    <row r="130" ht="15.75" customHeight="1">
      <c r="A130" s="290" t="str">
        <f>IFERROR(__xludf.DUMMYFUNCTION("""COMPUTED_VALUE"""),"DLcomics")</f>
        <v>DLcomics</v>
      </c>
      <c r="B130" s="291">
        <f>IFERROR(__xludf.DUMMYFUNCTION("""COMPUTED_VALUE"""),45618.0)</f>
        <v>45618</v>
      </c>
      <c r="C130" s="292"/>
      <c r="D130" s="293">
        <f>IFERROR(__xludf.DUMMYFUNCTION("""COMPUTED_VALUE"""),284403.0)</f>
        <v>284403</v>
      </c>
      <c r="E130" s="290" t="str">
        <f>IFERROR(__xludf.DUMMYFUNCTION("""COMPUTED_VALUE"""),"JKアイドル島里あかりは露出狂である")</f>
        <v>JKアイドル島里あかりは露出狂である</v>
      </c>
      <c r="F130" s="298" t="str">
        <f>IFERROR(__xludf.DUMMYFUNCTION("""COMPUTED_VALUE"""),"ミレニアムセブン")</f>
        <v>ミレニアムセブン</v>
      </c>
      <c r="G130" s="298" t="str">
        <f>IFERROR(__xludf.DUMMYFUNCTION("""COMPUTED_VALUE"""),"オトナコミック")</f>
        <v>オトナコミック</v>
      </c>
      <c r="H130" s="298" t="str">
        <f>IFERROR(__xludf.DUMMYFUNCTION("""COMPUTED_VALUE"""),"2024/11/25～）クレジットカードでの購入のみ停止")</f>
        <v>2024/11/25～）クレジットカードでの購入のみ停止</v>
      </c>
      <c r="I130" s="283"/>
      <c r="J130" s="283"/>
      <c r="K130" s="283"/>
      <c r="L130" s="283"/>
      <c r="M130" s="283"/>
      <c r="N130" s="283"/>
      <c r="O130" s="283"/>
      <c r="P130" s="283"/>
      <c r="Q130" s="278"/>
      <c r="R130" s="278"/>
      <c r="S130" s="278"/>
      <c r="T130" s="278"/>
      <c r="U130" s="278"/>
      <c r="V130" s="278"/>
      <c r="W130" s="278"/>
      <c r="X130" s="278"/>
      <c r="Y130" s="278"/>
      <c r="Z130" s="278"/>
      <c r="AA130" s="278"/>
      <c r="AB130" s="278"/>
      <c r="AC130" s="278"/>
    </row>
    <row r="131" ht="15.75" customHeight="1">
      <c r="A131" s="290" t="str">
        <f>IFERROR(__xludf.DUMMYFUNCTION("""COMPUTED_VALUE"""),"DLcomics")</f>
        <v>DLcomics</v>
      </c>
      <c r="B131" s="291">
        <f>IFERROR(__xludf.DUMMYFUNCTION("""COMPUTED_VALUE"""),45618.0)</f>
        <v>45618</v>
      </c>
      <c r="C131" s="292"/>
      <c r="D131" s="293">
        <f>IFERROR(__xludf.DUMMYFUNCTION("""COMPUTED_VALUE"""),288595.0)</f>
        <v>288595</v>
      </c>
      <c r="E131" s="290" t="str">
        <f>IFERROR(__xludf.DUMMYFUNCTION("""COMPUTED_VALUE"""),"お仕置きはレ○プで決まり")</f>
        <v>お仕置きはレ○プで決まり</v>
      </c>
      <c r="F131" s="298" t="str">
        <f>IFERROR(__xludf.DUMMYFUNCTION("""COMPUTED_VALUE"""),"杜こすた")</f>
        <v>杜こすた</v>
      </c>
      <c r="G131" s="298" t="str">
        <f>IFERROR(__xludf.DUMMYFUNCTION("""COMPUTED_VALUE"""),"オトナコミック")</f>
        <v>オトナコミック</v>
      </c>
      <c r="H131" s="298" t="str">
        <f>IFERROR(__xludf.DUMMYFUNCTION("""COMPUTED_VALUE"""),"2024/11/25～）クレジットカードでの購入のみ停止")</f>
        <v>2024/11/25～）クレジットカードでの購入のみ停止</v>
      </c>
      <c r="I131" s="283"/>
      <c r="J131" s="283"/>
      <c r="K131" s="283"/>
      <c r="L131" s="283"/>
      <c r="M131" s="283"/>
      <c r="N131" s="283"/>
      <c r="O131" s="283"/>
      <c r="P131" s="283"/>
      <c r="Q131" s="278"/>
      <c r="R131" s="278"/>
      <c r="S131" s="278"/>
      <c r="T131" s="278"/>
      <c r="U131" s="278"/>
      <c r="V131" s="278"/>
      <c r="W131" s="278"/>
      <c r="X131" s="278"/>
      <c r="Y131" s="278"/>
      <c r="Z131" s="278"/>
      <c r="AA131" s="278"/>
      <c r="AB131" s="278"/>
      <c r="AC131" s="278"/>
    </row>
    <row r="132" ht="15.75" customHeight="1">
      <c r="A132" s="290" t="str">
        <f>IFERROR(__xludf.DUMMYFUNCTION("""COMPUTED_VALUE"""),"FILL-IN")</f>
        <v>FILL-IN</v>
      </c>
      <c r="B132" s="291">
        <f>IFERROR(__xludf.DUMMYFUNCTION("""COMPUTED_VALUE"""),45618.0)</f>
        <v>45618</v>
      </c>
      <c r="C132" s="292"/>
      <c r="D132" s="293">
        <f>IFERROR(__xludf.DUMMYFUNCTION("""COMPUTED_VALUE"""),76826.0)</f>
        <v>76826</v>
      </c>
      <c r="E132" s="290" t="str">
        <f>IFERROR(__xludf.DUMMYFUNCTION("""COMPUTED_VALUE"""),"ヤンキーJKに性的制裁授業 -いじめの代償、終わらないリベンジポルノ…")</f>
        <v>ヤンキーJKに性的制裁授業 -いじめの代償、終わらないリベンジポルノ…</v>
      </c>
      <c r="F132" s="298" t="str">
        <f>IFERROR(__xludf.DUMMYFUNCTION("""COMPUTED_VALUE"""),"IRIE")</f>
        <v>IRIE</v>
      </c>
      <c r="G132" s="298" t="str">
        <f>IFERROR(__xludf.DUMMYFUNCTION("""COMPUTED_VALUE"""),"オトナコミック")</f>
        <v>オトナコミック</v>
      </c>
      <c r="H132" s="298" t="str">
        <f>IFERROR(__xludf.DUMMYFUNCTION("""COMPUTED_VALUE"""),"2024/11/25～）クレジットカードでの購入のみ停止")</f>
        <v>2024/11/25～）クレジットカードでの購入のみ停止</v>
      </c>
      <c r="I132" s="283"/>
      <c r="J132" s="283"/>
      <c r="K132" s="283"/>
      <c r="L132" s="283"/>
      <c r="M132" s="283"/>
      <c r="N132" s="283"/>
      <c r="O132" s="283"/>
      <c r="P132" s="283"/>
      <c r="Q132" s="278"/>
      <c r="R132" s="278"/>
      <c r="S132" s="278"/>
      <c r="T132" s="278"/>
      <c r="U132" s="278"/>
      <c r="V132" s="278"/>
      <c r="W132" s="278"/>
      <c r="X132" s="278"/>
      <c r="Y132" s="278"/>
      <c r="Z132" s="278"/>
      <c r="AA132" s="278"/>
      <c r="AB132" s="278"/>
      <c r="AC132" s="278"/>
    </row>
    <row r="133" ht="15.75" customHeight="1">
      <c r="A133" s="290" t="str">
        <f>IFERROR(__xludf.DUMMYFUNCTION("""COMPUTED_VALUE"""),"FILL-IN")</f>
        <v>FILL-IN</v>
      </c>
      <c r="B133" s="291">
        <f>IFERROR(__xludf.DUMMYFUNCTION("""COMPUTED_VALUE"""),45618.0)</f>
        <v>45618</v>
      </c>
      <c r="C133" s="292"/>
      <c r="D133" s="293">
        <f>IFERROR(__xludf.DUMMYFUNCTION("""COMPUTED_VALUE"""),242316.0)</f>
        <v>242316</v>
      </c>
      <c r="E133" s="290" t="str">
        <f>IFERROR(__xludf.DUMMYFUNCTION("""COMPUTED_VALUE"""),"ヤンキーJKに性的制裁授業 -いじめの代償、終わらないリベンジポルノ…【合本版】")</f>
        <v>ヤンキーJKに性的制裁授業 -いじめの代償、終わらないリベンジポルノ…【合本版】</v>
      </c>
      <c r="F133" s="298" t="str">
        <f>IFERROR(__xludf.DUMMYFUNCTION("""COMPUTED_VALUE"""),"IRIE")</f>
        <v>IRIE</v>
      </c>
      <c r="G133" s="298" t="str">
        <f>IFERROR(__xludf.DUMMYFUNCTION("""COMPUTED_VALUE"""),"オトナコミック")</f>
        <v>オトナコミック</v>
      </c>
      <c r="H133" s="298" t="str">
        <f>IFERROR(__xludf.DUMMYFUNCTION("""COMPUTED_VALUE"""),"2024/11/25～）クレジットカードでの購入のみ停止")</f>
        <v>2024/11/25～）クレジットカードでの購入のみ停止</v>
      </c>
      <c r="I133" s="283"/>
      <c r="J133" s="283"/>
      <c r="K133" s="283"/>
      <c r="L133" s="283"/>
      <c r="M133" s="283"/>
      <c r="N133" s="283"/>
      <c r="O133" s="283"/>
      <c r="P133" s="283"/>
      <c r="Q133" s="278"/>
      <c r="R133" s="278"/>
      <c r="S133" s="278"/>
      <c r="T133" s="278"/>
      <c r="U133" s="278"/>
      <c r="V133" s="278"/>
      <c r="W133" s="278"/>
      <c r="X133" s="278"/>
      <c r="Y133" s="278"/>
      <c r="Z133" s="278"/>
      <c r="AA133" s="278"/>
      <c r="AB133" s="278"/>
      <c r="AC133" s="278"/>
    </row>
    <row r="134" ht="15.75" customHeight="1">
      <c r="A134" s="290" t="str">
        <f>IFERROR(__xludf.DUMMYFUNCTION("""COMPUTED_VALUE"""),"FILL-IN")</f>
        <v>FILL-IN</v>
      </c>
      <c r="B134" s="291">
        <f>IFERROR(__xludf.DUMMYFUNCTION("""COMPUTED_VALUE"""),45618.0)</f>
        <v>45618</v>
      </c>
      <c r="C134" s="292"/>
      <c r="D134" s="293">
        <f>IFERROR(__xludf.DUMMYFUNCTION("""COMPUTED_VALUE"""),292124.0)</f>
        <v>292124</v>
      </c>
      <c r="E134" s="290" t="str">
        <f>IFERROR(__xludf.DUMMYFUNCTION("""COMPUTED_VALUE"""),"純愛コラプス【分冊版】")</f>
        <v>純愛コラプス【分冊版】</v>
      </c>
      <c r="F134" s="298" t="str">
        <f>IFERROR(__xludf.DUMMYFUNCTION("""COMPUTED_VALUE"""),"流一本 / ヒット出版社")</f>
        <v>流一本 / ヒット出版社</v>
      </c>
      <c r="G134" s="298" t="str">
        <f>IFERROR(__xludf.DUMMYFUNCTION("""COMPUTED_VALUE"""),"オトナコミック")</f>
        <v>オトナコミック</v>
      </c>
      <c r="H134" s="298" t="str">
        <f>IFERROR(__xludf.DUMMYFUNCTION("""COMPUTED_VALUE"""),"2024/11/25～）クレジットカードでの購入のみ停止")</f>
        <v>2024/11/25～）クレジットカードでの購入のみ停止</v>
      </c>
      <c r="I134" s="283"/>
      <c r="J134" s="283"/>
      <c r="K134" s="283"/>
      <c r="L134" s="283"/>
      <c r="M134" s="283"/>
      <c r="N134" s="283"/>
      <c r="O134" s="283"/>
      <c r="P134" s="283"/>
      <c r="Q134" s="278"/>
      <c r="R134" s="278"/>
      <c r="S134" s="278"/>
      <c r="T134" s="278"/>
      <c r="U134" s="278"/>
      <c r="V134" s="278"/>
      <c r="W134" s="278"/>
      <c r="X134" s="278"/>
      <c r="Y134" s="278"/>
      <c r="Z134" s="278"/>
      <c r="AA134" s="278"/>
      <c r="AB134" s="278"/>
      <c r="AC134" s="278"/>
    </row>
    <row r="135" ht="15.75" customHeight="1">
      <c r="A135" s="290" t="str">
        <f>IFERROR(__xludf.DUMMYFUNCTION("""COMPUTED_VALUE"""),"forcs")</f>
        <v>forcs</v>
      </c>
      <c r="B135" s="291">
        <f>IFERROR(__xludf.DUMMYFUNCTION("""COMPUTED_VALUE"""),45618.0)</f>
        <v>45618</v>
      </c>
      <c r="C135" s="292"/>
      <c r="D135" s="293">
        <f>IFERROR(__xludf.DUMMYFUNCTION("""COMPUTED_VALUE"""),85263.0)</f>
        <v>85263</v>
      </c>
      <c r="E135" s="290" t="str">
        <f>IFERROR(__xludf.DUMMYFUNCTION("""COMPUTED_VALUE"""),"俺得修学旅行～男は女装した俺だけ!!(フルカラー)")</f>
        <v>俺得修学旅行～男は女装した俺だけ!!(フルカラー)</v>
      </c>
      <c r="F135" s="298" t="str">
        <f>IFERROR(__xludf.DUMMYFUNCTION("""COMPUTED_VALUE"""),"奥森ボウイ")</f>
        <v>奥森ボウイ</v>
      </c>
      <c r="G135" s="298" t="str">
        <f>IFERROR(__xludf.DUMMYFUNCTION("""COMPUTED_VALUE"""),"オトナコミック")</f>
        <v>オトナコミック</v>
      </c>
      <c r="H135" s="298" t="str">
        <f>IFERROR(__xludf.DUMMYFUNCTION("""COMPUTED_VALUE"""),"2024/11/25～）クレジットカードでの購入のみ停止")</f>
        <v>2024/11/25～）クレジットカードでの購入のみ停止</v>
      </c>
      <c r="I135" s="283"/>
      <c r="J135" s="283"/>
      <c r="K135" s="283"/>
      <c r="L135" s="283"/>
      <c r="M135" s="283"/>
      <c r="N135" s="283"/>
      <c r="O135" s="283"/>
      <c r="P135" s="283"/>
      <c r="Q135" s="278"/>
      <c r="R135" s="278"/>
      <c r="S135" s="278"/>
      <c r="T135" s="278"/>
      <c r="U135" s="278"/>
      <c r="V135" s="278"/>
      <c r="W135" s="278"/>
      <c r="X135" s="278"/>
      <c r="Y135" s="278"/>
      <c r="Z135" s="278"/>
      <c r="AA135" s="278"/>
      <c r="AB135" s="278"/>
      <c r="AC135" s="278"/>
    </row>
    <row r="136" ht="15.75" customHeight="1">
      <c r="A136" s="290" t="str">
        <f>IFERROR(__xludf.DUMMYFUNCTION("""COMPUTED_VALUE"""),"forcs")</f>
        <v>forcs</v>
      </c>
      <c r="B136" s="291">
        <f>IFERROR(__xludf.DUMMYFUNCTION("""COMPUTED_VALUE"""),45618.0)</f>
        <v>45618</v>
      </c>
      <c r="C136" s="292"/>
      <c r="D136" s="293">
        <f>IFERROR(__xludf.DUMMYFUNCTION("""COMPUTED_VALUE"""),85838.0)</f>
        <v>85838</v>
      </c>
      <c r="E136" s="290" t="str">
        <f>IFERROR(__xludf.DUMMYFUNCTION("""COMPUTED_VALUE"""),"密室強制性徒指導(フルカラー)")</f>
        <v>密室強制性徒指導(フルカラー)</v>
      </c>
      <c r="F136" s="298" t="str">
        <f>IFERROR(__xludf.DUMMYFUNCTION("""COMPUTED_VALUE"""),"断華ナオキ")</f>
        <v>断華ナオキ</v>
      </c>
      <c r="G136" s="298" t="str">
        <f>IFERROR(__xludf.DUMMYFUNCTION("""COMPUTED_VALUE"""),"オトナコミック")</f>
        <v>オトナコミック</v>
      </c>
      <c r="H136" s="298" t="str">
        <f>IFERROR(__xludf.DUMMYFUNCTION("""COMPUTED_VALUE"""),"2024/11/25～）クレジットカードでの購入のみ停止")</f>
        <v>2024/11/25～）クレジットカードでの購入のみ停止</v>
      </c>
      <c r="I136" s="283"/>
      <c r="J136" s="283"/>
      <c r="K136" s="283"/>
      <c r="L136" s="283"/>
      <c r="M136" s="283"/>
      <c r="N136" s="283"/>
      <c r="O136" s="283"/>
      <c r="P136" s="283"/>
      <c r="Q136" s="278"/>
      <c r="R136" s="278"/>
      <c r="S136" s="278"/>
      <c r="T136" s="278"/>
      <c r="U136" s="278"/>
      <c r="V136" s="278"/>
      <c r="W136" s="278"/>
      <c r="X136" s="278"/>
      <c r="Y136" s="278"/>
      <c r="Z136" s="278"/>
      <c r="AA136" s="278"/>
      <c r="AB136" s="278"/>
      <c r="AC136" s="278"/>
    </row>
    <row r="137" ht="15.75" customHeight="1">
      <c r="A137" s="290" t="str">
        <f>IFERROR(__xludf.DUMMYFUNCTION("""COMPUTED_VALUE"""),"Jコミックテラス")</f>
        <v>Jコミックテラス</v>
      </c>
      <c r="B137" s="291">
        <f>IFERROR(__xludf.DUMMYFUNCTION("""COMPUTED_VALUE"""),45618.0)</f>
        <v>45618</v>
      </c>
      <c r="C137" s="292"/>
      <c r="D137" s="293">
        <f>IFERROR(__xludf.DUMMYFUNCTION("""COMPUTED_VALUE"""),193018.0)</f>
        <v>193018</v>
      </c>
      <c r="E137" s="290" t="str">
        <f>IFERROR(__xludf.DUMMYFUNCTION("""COMPUTED_VALUE"""),"淫らな果肉")</f>
        <v>淫らな果肉</v>
      </c>
      <c r="F137" s="298" t="str">
        <f>IFERROR(__xludf.DUMMYFUNCTION("""COMPUTED_VALUE"""),"MANA-KO")</f>
        <v>MANA-KO</v>
      </c>
      <c r="G137" s="298" t="str">
        <f>IFERROR(__xludf.DUMMYFUNCTION("""COMPUTED_VALUE"""),"オトナコミック")</f>
        <v>オトナコミック</v>
      </c>
      <c r="H137" s="298" t="str">
        <f>IFERROR(__xludf.DUMMYFUNCTION("""COMPUTED_VALUE"""),"2024/11/25～）クレジットカードでの購入のみ停止")</f>
        <v>2024/11/25～）クレジットカードでの購入のみ停止</v>
      </c>
      <c r="I137" s="283"/>
      <c r="J137" s="283"/>
      <c r="K137" s="283"/>
      <c r="L137" s="283"/>
      <c r="M137" s="283"/>
      <c r="N137" s="283"/>
      <c r="O137" s="283"/>
      <c r="P137" s="283"/>
      <c r="Q137" s="278"/>
      <c r="R137" s="278"/>
      <c r="S137" s="278"/>
      <c r="T137" s="278"/>
      <c r="U137" s="278"/>
      <c r="V137" s="278"/>
      <c r="W137" s="278"/>
      <c r="X137" s="278"/>
      <c r="Y137" s="278"/>
      <c r="Z137" s="278"/>
      <c r="AA137" s="278"/>
      <c r="AB137" s="278"/>
      <c r="AC137" s="278"/>
    </row>
    <row r="138" ht="15.75" customHeight="1">
      <c r="A138" s="290" t="str">
        <f>IFERROR(__xludf.DUMMYFUNCTION("""COMPUTED_VALUE"""),"KATTS")</f>
        <v>KATTS</v>
      </c>
      <c r="B138" s="291">
        <f>IFERROR(__xludf.DUMMYFUNCTION("""COMPUTED_VALUE"""),45618.0)</f>
        <v>45618</v>
      </c>
      <c r="C138" s="292"/>
      <c r="D138" s="293">
        <f>IFERROR(__xludf.DUMMYFUNCTION("""COMPUTED_VALUE"""),107863.0)</f>
        <v>107863</v>
      </c>
      <c r="E138" s="290" t="str">
        <f>IFERROR(__xludf.DUMMYFUNCTION("""COMPUTED_VALUE"""),"みんなハダカで勉強中！！")</f>
        <v>みんなハダカで勉強中！！</v>
      </c>
      <c r="F138" s="298" t="str">
        <f>IFERROR(__xludf.DUMMYFUNCTION("""COMPUTED_VALUE"""),"あいとまとこ / 穴乱")</f>
        <v>あいとまとこ / 穴乱</v>
      </c>
      <c r="G138" s="298" t="str">
        <f>IFERROR(__xludf.DUMMYFUNCTION("""COMPUTED_VALUE"""),"オトナコミック")</f>
        <v>オトナコミック</v>
      </c>
      <c r="H138" s="298" t="str">
        <f>IFERROR(__xludf.DUMMYFUNCTION("""COMPUTED_VALUE"""),"2024/11/25～）クレジットカードでの購入のみ停止")</f>
        <v>2024/11/25～）クレジットカードでの購入のみ停止</v>
      </c>
      <c r="I138" s="283"/>
      <c r="J138" s="283"/>
      <c r="K138" s="283"/>
      <c r="L138" s="283"/>
      <c r="M138" s="283"/>
      <c r="N138" s="283"/>
      <c r="O138" s="283"/>
      <c r="P138" s="283"/>
      <c r="Q138" s="278"/>
      <c r="R138" s="278"/>
      <c r="S138" s="278"/>
      <c r="T138" s="278"/>
      <c r="U138" s="278"/>
      <c r="V138" s="278"/>
      <c r="W138" s="278"/>
      <c r="X138" s="278"/>
      <c r="Y138" s="278"/>
      <c r="Z138" s="278"/>
      <c r="AA138" s="278"/>
      <c r="AB138" s="278"/>
      <c r="AC138" s="278"/>
    </row>
    <row r="139" ht="15.75" customHeight="1">
      <c r="A139" s="290" t="str">
        <f>IFERROR(__xludf.DUMMYFUNCTION("""COMPUTED_VALUE"""),"KATTS")</f>
        <v>KATTS</v>
      </c>
      <c r="B139" s="291">
        <f>IFERROR(__xludf.DUMMYFUNCTION("""COMPUTED_VALUE"""),45618.0)</f>
        <v>45618</v>
      </c>
      <c r="C139" s="292"/>
      <c r="D139" s="293">
        <f>IFERROR(__xludf.DUMMYFUNCTION("""COMPUTED_VALUE"""),125072.0)</f>
        <v>125072</v>
      </c>
      <c r="E139" s="290" t="str">
        <f>IFERROR(__xludf.DUMMYFUNCTION("""COMPUTED_VALUE"""),"合宿免許の実態～彼女を変えた14日間～")</f>
        <v>合宿免許の実態～彼女を変えた14日間～</v>
      </c>
      <c r="F139" s="298" t="str">
        <f>IFERROR(__xludf.DUMMYFUNCTION("""COMPUTED_VALUE"""),"チンジャオ娘 / エンガワ卓")</f>
        <v>チンジャオ娘 / エンガワ卓</v>
      </c>
      <c r="G139" s="298" t="str">
        <f>IFERROR(__xludf.DUMMYFUNCTION("""COMPUTED_VALUE"""),"オトナコミック")</f>
        <v>オトナコミック</v>
      </c>
      <c r="H139" s="298" t="str">
        <f>IFERROR(__xludf.DUMMYFUNCTION("""COMPUTED_VALUE"""),"2024/11/25～）クレジットカードでの購入のみ停止")</f>
        <v>2024/11/25～）クレジットカードでの購入のみ停止</v>
      </c>
      <c r="I139" s="283"/>
      <c r="J139" s="283"/>
      <c r="K139" s="283"/>
      <c r="L139" s="283"/>
      <c r="M139" s="283"/>
      <c r="N139" s="283"/>
      <c r="O139" s="283"/>
      <c r="P139" s="283"/>
      <c r="Q139" s="278"/>
      <c r="R139" s="278"/>
      <c r="S139" s="278"/>
      <c r="T139" s="278"/>
      <c r="U139" s="278"/>
      <c r="V139" s="278"/>
      <c r="W139" s="278"/>
      <c r="X139" s="278"/>
      <c r="Y139" s="278"/>
      <c r="Z139" s="278"/>
      <c r="AA139" s="278"/>
      <c r="AB139" s="278"/>
      <c r="AC139" s="278"/>
    </row>
    <row r="140" ht="15.75" customHeight="1">
      <c r="A140" s="290" t="str">
        <f>IFERROR(__xludf.DUMMYFUNCTION("""COMPUTED_VALUE"""),"Kzentertainment")</f>
        <v>Kzentertainment</v>
      </c>
      <c r="B140" s="291">
        <f>IFERROR(__xludf.DUMMYFUNCTION("""COMPUTED_VALUE"""),45618.0)</f>
        <v>45618</v>
      </c>
      <c r="C140" s="292"/>
      <c r="D140" s="293">
        <f>IFERROR(__xludf.DUMMYFUNCTION("""COMPUTED_VALUE"""),282896.0)</f>
        <v>282896</v>
      </c>
      <c r="E140" s="290" t="str">
        <f>IFERROR(__xludf.DUMMYFUNCTION("""COMPUTED_VALUE"""),"体育会輪姦SEX ラグビー部の性処理マネージャー")</f>
        <v>体育会輪姦SEX ラグビー部の性処理マネージャー</v>
      </c>
      <c r="F140" s="298" t="str">
        <f>IFERROR(__xludf.DUMMYFUNCTION("""COMPUTED_VALUE"""),"Kzentertainment")</f>
        <v>Kzentertainment</v>
      </c>
      <c r="G140" s="298" t="str">
        <f>IFERROR(__xludf.DUMMYFUNCTION("""COMPUTED_VALUE"""),"オトナコミック")</f>
        <v>オトナコミック</v>
      </c>
      <c r="H140" s="298" t="str">
        <f>IFERROR(__xludf.DUMMYFUNCTION("""COMPUTED_VALUE"""),"2024/11/25～）クレジットカードでの購入のみ停止")</f>
        <v>2024/11/25～）クレジットカードでの購入のみ停止</v>
      </c>
      <c r="I140" s="283"/>
      <c r="J140" s="283"/>
      <c r="K140" s="283"/>
      <c r="L140" s="283"/>
      <c r="M140" s="283"/>
      <c r="N140" s="283"/>
      <c r="O140" s="283"/>
      <c r="P140" s="283"/>
      <c r="Q140" s="278"/>
      <c r="R140" s="278"/>
      <c r="S140" s="278"/>
      <c r="T140" s="278"/>
      <c r="U140" s="278"/>
      <c r="V140" s="278"/>
      <c r="W140" s="278"/>
      <c r="X140" s="278"/>
      <c r="Y140" s="278"/>
      <c r="Z140" s="278"/>
      <c r="AA140" s="278"/>
      <c r="AB140" s="278"/>
      <c r="AC140" s="278"/>
    </row>
    <row r="141" ht="15.75" customHeight="1">
      <c r="A141" s="290" t="str">
        <f>IFERROR(__xludf.DUMMYFUNCTION("""COMPUTED_VALUE"""),"Kzentertainment")</f>
        <v>Kzentertainment</v>
      </c>
      <c r="B141" s="291">
        <f>IFERROR(__xludf.DUMMYFUNCTION("""COMPUTED_VALUE"""),45618.0)</f>
        <v>45618</v>
      </c>
      <c r="C141" s="292"/>
      <c r="D141" s="293">
        <f>IFERROR(__xludf.DUMMYFUNCTION("""COMPUTED_VALUE"""),289488.0)</f>
        <v>289488</v>
      </c>
      <c r="E141" s="290" t="str">
        <f>IFERROR(__xludf.DUMMYFUNCTION("""COMPUTED_VALUE"""),"リベンジレイプ【コミック版】")</f>
        <v>リベンジレイプ【コミック版】</v>
      </c>
      <c r="F141" s="298" t="str">
        <f>IFERROR(__xludf.DUMMYFUNCTION("""COMPUTED_VALUE"""),"Kzentertainment")</f>
        <v>Kzentertainment</v>
      </c>
      <c r="G141" s="298" t="str">
        <f>IFERROR(__xludf.DUMMYFUNCTION("""COMPUTED_VALUE"""),"オトナコミック")</f>
        <v>オトナコミック</v>
      </c>
      <c r="H141" s="298" t="str">
        <f>IFERROR(__xludf.DUMMYFUNCTION("""COMPUTED_VALUE"""),"2024/11/25～）クレジットカードでの購入のみ停止")</f>
        <v>2024/11/25～）クレジットカードでの購入のみ停止</v>
      </c>
      <c r="I141" s="283"/>
      <c r="J141" s="283"/>
      <c r="K141" s="283"/>
      <c r="L141" s="283"/>
      <c r="M141" s="283"/>
      <c r="N141" s="283"/>
      <c r="O141" s="283"/>
      <c r="P141" s="283"/>
      <c r="Q141" s="278"/>
      <c r="R141" s="278"/>
      <c r="S141" s="278"/>
      <c r="T141" s="278"/>
      <c r="U141" s="278"/>
      <c r="V141" s="278"/>
      <c r="W141" s="278"/>
      <c r="X141" s="278"/>
      <c r="Y141" s="278"/>
      <c r="Z141" s="278"/>
      <c r="AA141" s="278"/>
      <c r="AB141" s="278"/>
      <c r="AC141" s="278"/>
    </row>
    <row r="142" ht="15.75" customHeight="1">
      <c r="A142" s="290" t="str">
        <f>IFERROR(__xludf.DUMMYFUNCTION("""COMPUTED_VALUE"""),"Kzentertainment")</f>
        <v>Kzentertainment</v>
      </c>
      <c r="B142" s="291">
        <f>IFERROR(__xludf.DUMMYFUNCTION("""COMPUTED_VALUE"""),45618.0)</f>
        <v>45618</v>
      </c>
      <c r="C142" s="292"/>
      <c r="D142" s="293">
        <f>IFERROR(__xludf.DUMMYFUNCTION("""COMPUTED_VALUE"""),292377.0)</f>
        <v>292377</v>
      </c>
      <c r="E142" s="290" t="str">
        <f>IFERROR(__xludf.DUMMYFUNCTION("""COMPUTED_VALUE"""),"溺愛する教え子に彼氏ができたので担任教師の俺は悪い虫がつく前に監禁して妊娠するまで中出しレイプしまくった……【コミック版】")</f>
        <v>溺愛する教え子に彼氏ができたので担任教師の俺は悪い虫がつく前に監禁して妊娠するまで中出しレイプしまくった……【コミック版】</v>
      </c>
      <c r="F142" s="298" t="str">
        <f>IFERROR(__xludf.DUMMYFUNCTION("""COMPUTED_VALUE"""),"Kzentertainment")</f>
        <v>Kzentertainment</v>
      </c>
      <c r="G142" s="298" t="str">
        <f>IFERROR(__xludf.DUMMYFUNCTION("""COMPUTED_VALUE"""),"オトナコミック")</f>
        <v>オトナコミック</v>
      </c>
      <c r="H142" s="298" t="str">
        <f>IFERROR(__xludf.DUMMYFUNCTION("""COMPUTED_VALUE"""),"2024/11/25～）クレジットカードでの購入のみ停止")</f>
        <v>2024/11/25～）クレジットカードでの購入のみ停止</v>
      </c>
      <c r="I142" s="283"/>
      <c r="J142" s="283"/>
      <c r="K142" s="283"/>
      <c r="L142" s="283"/>
      <c r="M142" s="283"/>
      <c r="N142" s="283"/>
      <c r="O142" s="283"/>
      <c r="P142" s="283"/>
      <c r="Q142" s="278"/>
      <c r="R142" s="278"/>
      <c r="S142" s="278"/>
      <c r="T142" s="278"/>
      <c r="U142" s="278"/>
      <c r="V142" s="278"/>
      <c r="W142" s="278"/>
      <c r="X142" s="278"/>
      <c r="Y142" s="278"/>
      <c r="Z142" s="278"/>
      <c r="AA142" s="278"/>
      <c r="AB142" s="278"/>
      <c r="AC142" s="278"/>
    </row>
    <row r="143" ht="15.75" customHeight="1">
      <c r="A143" s="290" t="str">
        <f>IFERROR(__xludf.DUMMYFUNCTION("""COMPUTED_VALUE"""),"Kzentertainment")</f>
        <v>Kzentertainment</v>
      </c>
      <c r="B143" s="291">
        <f>IFERROR(__xludf.DUMMYFUNCTION("""COMPUTED_VALUE"""),45618.0)</f>
        <v>45618</v>
      </c>
      <c r="C143" s="292"/>
      <c r="D143" s="293">
        <f>IFERROR(__xludf.DUMMYFUNCTION("""COMPUTED_VALUE"""),300417.0)</f>
        <v>300417</v>
      </c>
      <c r="E143" s="290" t="str">
        <f>IFERROR(__xludf.DUMMYFUNCTION("""COMPUTED_VALUE"""),"バイト先のストーカー男に待ち伏せされ監禁レイプされた……")</f>
        <v>バイト先のストーカー男に待ち伏せされ監禁レイプされた……</v>
      </c>
      <c r="F143" s="298" t="str">
        <f>IFERROR(__xludf.DUMMYFUNCTION("""COMPUTED_VALUE"""),"Kzentertainment")</f>
        <v>Kzentertainment</v>
      </c>
      <c r="G143" s="298" t="str">
        <f>IFERROR(__xludf.DUMMYFUNCTION("""COMPUTED_VALUE"""),"オトナコミック")</f>
        <v>オトナコミック</v>
      </c>
      <c r="H143" s="298" t="str">
        <f>IFERROR(__xludf.DUMMYFUNCTION("""COMPUTED_VALUE"""),"2024/11/25～）クレジットカードでの購入のみ停止")</f>
        <v>2024/11/25～）クレジットカードでの購入のみ停止</v>
      </c>
      <c r="I143" s="283"/>
      <c r="J143" s="283"/>
      <c r="K143" s="283"/>
      <c r="L143" s="283"/>
      <c r="M143" s="283"/>
      <c r="N143" s="283"/>
      <c r="O143" s="283"/>
      <c r="P143" s="283"/>
      <c r="Q143" s="278"/>
      <c r="R143" s="278"/>
      <c r="S143" s="278"/>
      <c r="T143" s="278"/>
      <c r="U143" s="278"/>
      <c r="V143" s="278"/>
      <c r="W143" s="278"/>
      <c r="X143" s="278"/>
      <c r="Y143" s="278"/>
      <c r="Z143" s="278"/>
      <c r="AA143" s="278"/>
      <c r="AB143" s="278"/>
      <c r="AC143" s="278"/>
    </row>
    <row r="144" ht="15.75" customHeight="1">
      <c r="A144" s="290" t="str">
        <f>IFERROR(__xludf.DUMMYFUNCTION("""COMPUTED_VALUE"""),"STDパブリッシング")</f>
        <v>STDパブリッシング</v>
      </c>
      <c r="B144" s="291">
        <f>IFERROR(__xludf.DUMMYFUNCTION("""COMPUTED_VALUE"""),45618.0)</f>
        <v>45618</v>
      </c>
      <c r="C144" s="292"/>
      <c r="D144" s="293">
        <f>IFERROR(__xludf.DUMMYFUNCTION("""COMPUTED_VALUE"""),71761.0)</f>
        <v>71761</v>
      </c>
      <c r="E144" s="290" t="str">
        <f>IFERROR(__xludf.DUMMYFUNCTION("""COMPUTED_VALUE"""),"出会ってから即マンできる理由")</f>
        <v>出会ってから即マンできる理由</v>
      </c>
      <c r="F144" s="298" t="str">
        <f>IFERROR(__xludf.DUMMYFUNCTION("""COMPUTED_VALUE"""),"もみじ")</f>
        <v>もみじ</v>
      </c>
      <c r="G144" s="298" t="str">
        <f>IFERROR(__xludf.DUMMYFUNCTION("""COMPUTED_VALUE"""),"オトナコミック")</f>
        <v>オトナコミック</v>
      </c>
      <c r="H144" s="298" t="str">
        <f>IFERROR(__xludf.DUMMYFUNCTION("""COMPUTED_VALUE"""),"2024/11/25～）クレジットカードでの購入のみ停止")</f>
        <v>2024/11/25～）クレジットカードでの購入のみ停止</v>
      </c>
      <c r="I144" s="283"/>
      <c r="J144" s="283"/>
      <c r="K144" s="283"/>
      <c r="L144" s="283"/>
      <c r="M144" s="283"/>
      <c r="N144" s="283"/>
      <c r="O144" s="283"/>
      <c r="P144" s="283"/>
      <c r="Q144" s="278"/>
      <c r="R144" s="278"/>
      <c r="S144" s="278"/>
      <c r="T144" s="278"/>
      <c r="U144" s="278"/>
      <c r="V144" s="278"/>
      <c r="W144" s="278"/>
      <c r="X144" s="278"/>
      <c r="Y144" s="278"/>
      <c r="Z144" s="278"/>
      <c r="AA144" s="278"/>
      <c r="AB144" s="278"/>
      <c r="AC144" s="278"/>
    </row>
    <row r="145" ht="15.75" customHeight="1">
      <c r="A145" s="290" t="str">
        <f>IFERROR(__xludf.DUMMYFUNCTION("""COMPUTED_VALUE"""),"STDパブリッシング")</f>
        <v>STDパブリッシング</v>
      </c>
      <c r="B145" s="291">
        <f>IFERROR(__xludf.DUMMYFUNCTION("""COMPUTED_VALUE"""),45618.0)</f>
        <v>45618</v>
      </c>
      <c r="C145" s="292"/>
      <c r="D145" s="293">
        <f>IFERROR(__xludf.DUMMYFUNCTION("""COMPUTED_VALUE"""),123098.0)</f>
        <v>123098</v>
      </c>
      <c r="E145" s="290" t="str">
        <f>IFERROR(__xludf.DUMMYFUNCTION("""COMPUTED_VALUE"""),"義父ネトリ ～娘のカラダは調教され快楽に堕ちていく…～")</f>
        <v>義父ネトリ ～娘のカラダは調教され快楽に堕ちていく…～</v>
      </c>
      <c r="F145" s="298" t="str">
        <f>IFERROR(__xludf.DUMMYFUNCTION("""COMPUTED_VALUE"""),"たなはらりうら")</f>
        <v>たなはらりうら</v>
      </c>
      <c r="G145" s="298" t="str">
        <f>IFERROR(__xludf.DUMMYFUNCTION("""COMPUTED_VALUE"""),"オトナコミック")</f>
        <v>オトナコミック</v>
      </c>
      <c r="H145" s="298" t="str">
        <f>IFERROR(__xludf.DUMMYFUNCTION("""COMPUTED_VALUE"""),"2024/11/25～）クレジットカードでの購入のみ停止")</f>
        <v>2024/11/25～）クレジットカードでの購入のみ停止</v>
      </c>
      <c r="I145" s="283"/>
      <c r="J145" s="283"/>
      <c r="K145" s="283"/>
      <c r="L145" s="283"/>
      <c r="M145" s="283"/>
      <c r="N145" s="283"/>
      <c r="O145" s="283"/>
      <c r="P145" s="283"/>
      <c r="Q145" s="278"/>
      <c r="R145" s="278"/>
      <c r="S145" s="278"/>
      <c r="T145" s="278"/>
      <c r="U145" s="278"/>
      <c r="V145" s="278"/>
      <c r="W145" s="278"/>
      <c r="X145" s="278"/>
      <c r="Y145" s="278"/>
      <c r="Z145" s="278"/>
      <c r="AA145" s="278"/>
      <c r="AB145" s="278"/>
      <c r="AC145" s="278"/>
    </row>
    <row r="146" ht="15.75" customHeight="1">
      <c r="A146" s="290" t="str">
        <f>IFERROR(__xludf.DUMMYFUNCTION("""COMPUTED_VALUE"""),"STDパブリッシング")</f>
        <v>STDパブリッシング</v>
      </c>
      <c r="B146" s="291">
        <f>IFERROR(__xludf.DUMMYFUNCTION("""COMPUTED_VALUE"""),45618.0)</f>
        <v>45618</v>
      </c>
      <c r="C146" s="292"/>
      <c r="D146" s="293">
        <f>IFERROR(__xludf.DUMMYFUNCTION("""COMPUTED_VALUE"""),133311.0)</f>
        <v>133311</v>
      </c>
      <c r="E146" s="290" t="str">
        <f>IFERROR(__xludf.DUMMYFUNCTION("""COMPUTED_VALUE"""),"絶頂征服！Ｚ")</f>
        <v>絶頂征服！Ｚ</v>
      </c>
      <c r="F146" s="298" t="str">
        <f>IFERROR(__xludf.DUMMYFUNCTION("""COMPUTED_VALUE"""),"きょん / 三顕人 / 西川孔人 / もみじ / サバイバー")</f>
        <v>きょん / 三顕人 / 西川孔人 / もみじ / サバイバー</v>
      </c>
      <c r="G146" s="298" t="str">
        <f>IFERROR(__xludf.DUMMYFUNCTION("""COMPUTED_VALUE"""),"オトナコミック")</f>
        <v>オトナコミック</v>
      </c>
      <c r="H146" s="298" t="str">
        <f>IFERROR(__xludf.DUMMYFUNCTION("""COMPUTED_VALUE"""),"2024/11/25～）クレジットカードでの購入のみ停止")</f>
        <v>2024/11/25～）クレジットカードでの購入のみ停止</v>
      </c>
      <c r="I146" s="283"/>
      <c r="J146" s="283"/>
      <c r="K146" s="283"/>
      <c r="L146" s="283"/>
      <c r="M146" s="283"/>
      <c r="N146" s="283"/>
      <c r="O146" s="283"/>
      <c r="P146" s="283"/>
      <c r="Q146" s="278"/>
      <c r="R146" s="278"/>
      <c r="S146" s="278"/>
      <c r="T146" s="278"/>
      <c r="U146" s="278"/>
      <c r="V146" s="278"/>
      <c r="W146" s="278"/>
      <c r="X146" s="278"/>
      <c r="Y146" s="278"/>
      <c r="Z146" s="278"/>
      <c r="AA146" s="278"/>
      <c r="AB146" s="278"/>
      <c r="AC146" s="278"/>
    </row>
    <row r="147" ht="15.75" customHeight="1">
      <c r="A147" s="290" t="str">
        <f>IFERROR(__xludf.DUMMYFUNCTION("""COMPUTED_VALUE"""),"STDパブリッシング")</f>
        <v>STDパブリッシング</v>
      </c>
      <c r="B147" s="291">
        <f>IFERROR(__xludf.DUMMYFUNCTION("""COMPUTED_VALUE"""),45618.0)</f>
        <v>45618</v>
      </c>
      <c r="C147" s="292"/>
      <c r="D147" s="293">
        <f>IFERROR(__xludf.DUMMYFUNCTION("""COMPUTED_VALUE"""),135788.0)</f>
        <v>135788</v>
      </c>
      <c r="E147" s="290" t="str">
        <f>IFERROR(__xludf.DUMMYFUNCTION("""COMPUTED_VALUE"""),"エロ過ぎる事件簿～処女、人妻、ＯＬの女●器を挿入捜査中!!")</f>
        <v>エロ過ぎる事件簿～処女、人妻、ＯＬの女●器を挿入捜査中!!</v>
      </c>
      <c r="F147" s="298" t="str">
        <f>IFERROR(__xludf.DUMMYFUNCTION("""COMPUTED_VALUE"""),"ひるまこうじ")</f>
        <v>ひるまこうじ</v>
      </c>
      <c r="G147" s="298" t="str">
        <f>IFERROR(__xludf.DUMMYFUNCTION("""COMPUTED_VALUE"""),"オトナコミック")</f>
        <v>オトナコミック</v>
      </c>
      <c r="H147" s="298" t="str">
        <f>IFERROR(__xludf.DUMMYFUNCTION("""COMPUTED_VALUE"""),"2024/11/25～）クレジットカードでの購入のみ停止")</f>
        <v>2024/11/25～）クレジットカードでの購入のみ停止</v>
      </c>
      <c r="I147" s="283"/>
      <c r="J147" s="283"/>
      <c r="K147" s="283"/>
      <c r="L147" s="283"/>
      <c r="M147" s="283"/>
      <c r="N147" s="283"/>
      <c r="O147" s="283"/>
      <c r="P147" s="283"/>
      <c r="Q147" s="278"/>
      <c r="R147" s="278"/>
      <c r="S147" s="278"/>
      <c r="T147" s="278"/>
      <c r="U147" s="278"/>
      <c r="V147" s="278"/>
      <c r="W147" s="278"/>
      <c r="X147" s="278"/>
      <c r="Y147" s="278"/>
      <c r="Z147" s="278"/>
      <c r="AA147" s="278"/>
      <c r="AB147" s="278"/>
      <c r="AC147" s="278"/>
    </row>
    <row r="148" ht="15.75" customHeight="1">
      <c r="A148" s="290" t="str">
        <f>IFERROR(__xludf.DUMMYFUNCTION("""COMPUTED_VALUE"""),"STDパブリッシング")</f>
        <v>STDパブリッシング</v>
      </c>
      <c r="B148" s="291">
        <f>IFERROR(__xludf.DUMMYFUNCTION("""COMPUTED_VALUE"""),45618.0)</f>
        <v>45618</v>
      </c>
      <c r="C148" s="292"/>
      <c r="D148" s="293">
        <f>IFERROR(__xludf.DUMMYFUNCTION("""COMPUTED_VALUE"""),141318.0)</f>
        <v>141318</v>
      </c>
      <c r="E148" s="290" t="str">
        <f>IFERROR(__xludf.DUMMYFUNCTION("""COMPUTED_VALUE"""),"【セット売り】エロ過ぎる事件簿～処女、人妻、ＯＬの女●器を挿入捜査中!!")</f>
        <v>【セット売り】エロ過ぎる事件簿～処女、人妻、ＯＬの女●器を挿入捜査中!!</v>
      </c>
      <c r="F148" s="298" t="str">
        <f>IFERROR(__xludf.DUMMYFUNCTION("""COMPUTED_VALUE"""),"ひるまこうじ")</f>
        <v>ひるまこうじ</v>
      </c>
      <c r="G148" s="298" t="str">
        <f>IFERROR(__xludf.DUMMYFUNCTION("""COMPUTED_VALUE"""),"オトナコミック")</f>
        <v>オトナコミック</v>
      </c>
      <c r="H148" s="298" t="str">
        <f>IFERROR(__xludf.DUMMYFUNCTION("""COMPUTED_VALUE"""),"2024/11/25～）クレジットカードでの購入のみ停止")</f>
        <v>2024/11/25～）クレジットカードでの購入のみ停止</v>
      </c>
      <c r="I148" s="283"/>
      <c r="J148" s="283"/>
      <c r="K148" s="283"/>
      <c r="L148" s="283"/>
      <c r="M148" s="283"/>
      <c r="N148" s="283"/>
      <c r="O148" s="283"/>
      <c r="P148" s="283"/>
      <c r="Q148" s="278"/>
      <c r="R148" s="278"/>
      <c r="S148" s="278"/>
      <c r="T148" s="278"/>
      <c r="U148" s="278"/>
      <c r="V148" s="278"/>
      <c r="W148" s="278"/>
      <c r="X148" s="278"/>
      <c r="Y148" s="278"/>
      <c r="Z148" s="278"/>
      <c r="AA148" s="278"/>
      <c r="AB148" s="278"/>
      <c r="AC148" s="278"/>
    </row>
    <row r="149" ht="15.75" customHeight="1">
      <c r="A149" s="290" t="str">
        <f>IFERROR(__xludf.DUMMYFUNCTION("""COMPUTED_VALUE"""),"STDパブリッシング")</f>
        <v>STDパブリッシング</v>
      </c>
      <c r="B149" s="291">
        <f>IFERROR(__xludf.DUMMYFUNCTION("""COMPUTED_VALUE"""),45618.0)</f>
        <v>45618</v>
      </c>
      <c r="C149" s="292"/>
      <c r="D149" s="293">
        <f>IFERROR(__xludf.DUMMYFUNCTION("""COMPUTED_VALUE"""),188449.0)</f>
        <v>188449</v>
      </c>
      <c r="E149" s="290" t="str">
        <f>IFERROR(__xludf.DUMMYFUNCTION("""COMPUTED_VALUE"""),"【セット売り】義父ネトリ～娘のカラダは調教され快楽に堕ちていく…")</f>
        <v>【セット売り】義父ネトリ～娘のカラダは調教され快楽に堕ちていく…</v>
      </c>
      <c r="F149" s="298" t="str">
        <f>IFERROR(__xludf.DUMMYFUNCTION("""COMPUTED_VALUE"""),"たなはらりうら")</f>
        <v>たなはらりうら</v>
      </c>
      <c r="G149" s="298" t="str">
        <f>IFERROR(__xludf.DUMMYFUNCTION("""COMPUTED_VALUE"""),"オトナコミック")</f>
        <v>オトナコミック</v>
      </c>
      <c r="H149" s="298" t="str">
        <f>IFERROR(__xludf.DUMMYFUNCTION("""COMPUTED_VALUE"""),"2024/11/25～）クレジットカードでの購入のみ停止")</f>
        <v>2024/11/25～）クレジットカードでの購入のみ停止</v>
      </c>
      <c r="I149" s="283"/>
      <c r="J149" s="283"/>
      <c r="K149" s="283"/>
      <c r="L149" s="283"/>
      <c r="M149" s="283"/>
      <c r="N149" s="283"/>
      <c r="O149" s="283"/>
      <c r="P149" s="283"/>
      <c r="Q149" s="278"/>
      <c r="R149" s="278"/>
      <c r="S149" s="278"/>
      <c r="T149" s="278"/>
      <c r="U149" s="278"/>
      <c r="V149" s="278"/>
      <c r="W149" s="278"/>
      <c r="X149" s="278"/>
      <c r="Y149" s="278"/>
      <c r="Z149" s="278"/>
      <c r="AA149" s="278"/>
      <c r="AB149" s="278"/>
      <c r="AC149" s="278"/>
    </row>
    <row r="150" ht="15.75" customHeight="1">
      <c r="A150" s="290" t="str">
        <f>IFERROR(__xludf.DUMMYFUNCTION("""COMPUTED_VALUE"""),"STDパブリッシング")</f>
        <v>STDパブリッシング</v>
      </c>
      <c r="B150" s="291">
        <f>IFERROR(__xludf.DUMMYFUNCTION("""COMPUTED_VALUE"""),45618.0)</f>
        <v>45618</v>
      </c>
      <c r="C150" s="292"/>
      <c r="D150" s="293">
        <f>IFERROR(__xludf.DUMMYFUNCTION("""COMPUTED_VALUE"""),238551.0)</f>
        <v>238551</v>
      </c>
      <c r="E150" s="290" t="str">
        <f>IFERROR(__xludf.DUMMYFUNCTION("""COMPUTED_VALUE"""),"JK孕ませ催眠指導「授業中なのにイクの止められない…」")</f>
        <v>JK孕ませ催眠指導「授業中なのにイクの止められない…」</v>
      </c>
      <c r="F150" s="298" t="str">
        <f>IFERROR(__xludf.DUMMYFUNCTION("""COMPUTED_VALUE"""),"ひるまこうじ")</f>
        <v>ひるまこうじ</v>
      </c>
      <c r="G150" s="298" t="str">
        <f>IFERROR(__xludf.DUMMYFUNCTION("""COMPUTED_VALUE"""),"オトナコミック")</f>
        <v>オトナコミック</v>
      </c>
      <c r="H150" s="298" t="str">
        <f>IFERROR(__xludf.DUMMYFUNCTION("""COMPUTED_VALUE"""),"2024/11/25～）クレジットカードでの購入のみ停止")</f>
        <v>2024/11/25～）クレジットカードでの購入のみ停止</v>
      </c>
      <c r="I150" s="283"/>
      <c r="J150" s="283"/>
      <c r="K150" s="283"/>
      <c r="L150" s="283"/>
      <c r="M150" s="283"/>
      <c r="N150" s="283"/>
      <c r="O150" s="283"/>
      <c r="P150" s="283"/>
      <c r="Q150" s="278"/>
      <c r="R150" s="278"/>
      <c r="S150" s="278"/>
      <c r="T150" s="278"/>
      <c r="U150" s="278"/>
      <c r="V150" s="278"/>
      <c r="W150" s="278"/>
      <c r="X150" s="278"/>
      <c r="Y150" s="278"/>
      <c r="Z150" s="278"/>
      <c r="AA150" s="278"/>
      <c r="AB150" s="278"/>
      <c r="AC150" s="278"/>
    </row>
    <row r="151" ht="15.75" customHeight="1">
      <c r="A151" s="290" t="str">
        <f>IFERROR(__xludf.DUMMYFUNCTION("""COMPUTED_VALUE"""),"STDパブリッシング")</f>
        <v>STDパブリッシング</v>
      </c>
      <c r="B151" s="291">
        <f>IFERROR(__xludf.DUMMYFUNCTION("""COMPUTED_VALUE"""),45618.0)</f>
        <v>45618</v>
      </c>
      <c r="C151" s="292"/>
      <c r="D151" s="293">
        <f>IFERROR(__xludf.DUMMYFUNCTION("""COMPUTED_VALUE"""),276143.0)</f>
        <v>276143</v>
      </c>
      <c r="E151" s="290" t="str">
        <f>IFERROR(__xludf.DUMMYFUNCTION("""COMPUTED_VALUE"""),"XL上司に寝取られ堕ちる調教オフィスSEX「彼氏がいるのに…上司のチ●ポに逆らえない…」")</f>
        <v>XL上司に寝取られ堕ちる調教オフィスSEX「彼氏がいるのに…上司のチ●ポに逆らえない…」</v>
      </c>
      <c r="F151" s="298" t="str">
        <f>IFERROR(__xludf.DUMMYFUNCTION("""COMPUTED_VALUE"""),"ひるまこうじ / ダイナマイトmoca / モティカ / ぷにた / シキオウジ / あおいせな")</f>
        <v>ひるまこうじ / ダイナマイトmoca / モティカ / ぷにた / シキオウジ / あおいせな</v>
      </c>
      <c r="G151" s="298" t="str">
        <f>IFERROR(__xludf.DUMMYFUNCTION("""COMPUTED_VALUE"""),"オトナコミック")</f>
        <v>オトナコミック</v>
      </c>
      <c r="H151" s="298" t="str">
        <f>IFERROR(__xludf.DUMMYFUNCTION("""COMPUTED_VALUE"""),"2024/11/25～）クレジットカードでの購入のみ停止")</f>
        <v>2024/11/25～）クレジットカードでの購入のみ停止</v>
      </c>
      <c r="I151" s="283"/>
      <c r="J151" s="283"/>
      <c r="K151" s="283"/>
      <c r="L151" s="283"/>
      <c r="M151" s="283"/>
      <c r="N151" s="283"/>
      <c r="O151" s="283"/>
      <c r="P151" s="283"/>
      <c r="Q151" s="278"/>
      <c r="R151" s="278"/>
      <c r="S151" s="278"/>
      <c r="T151" s="278"/>
      <c r="U151" s="278"/>
      <c r="V151" s="278"/>
      <c r="W151" s="278"/>
      <c r="X151" s="278"/>
      <c r="Y151" s="278"/>
      <c r="Z151" s="278"/>
      <c r="AA151" s="278"/>
      <c r="AB151" s="278"/>
      <c r="AC151" s="278"/>
    </row>
    <row r="152" ht="15.75" customHeight="1">
      <c r="A152" s="290" t="str">
        <f>IFERROR(__xludf.DUMMYFUNCTION("""COMPUTED_VALUE"""),"STDパブリッシング")</f>
        <v>STDパブリッシング</v>
      </c>
      <c r="B152" s="291">
        <f>IFERROR(__xludf.DUMMYFUNCTION("""COMPUTED_VALUE"""),45618.0)</f>
        <v>45618</v>
      </c>
      <c r="C152" s="292"/>
      <c r="D152" s="293">
        <f>IFERROR(__xludf.DUMMYFUNCTION("""COMPUTED_VALUE"""),276319.0)</f>
        <v>276319</v>
      </c>
      <c r="E152" s="290" t="str">
        <f>IFERROR(__xludf.DUMMYFUNCTION("""COMPUTED_VALUE"""),"XL上司に寝取られ堕ちる調教オフィスSEX「彼氏がいるのに…上司のチ●ポに逆らえない…」【分冊版】")</f>
        <v>XL上司に寝取られ堕ちる調教オフィスSEX「彼氏がいるのに…上司のチ●ポに逆らえない…」【分冊版】</v>
      </c>
      <c r="F152" s="298" t="str">
        <f>IFERROR(__xludf.DUMMYFUNCTION("""COMPUTED_VALUE"""),"ひるまこうじ / ダイナマイトmoca / モティカ / ぷにた / シキオウジ / あおいせな")</f>
        <v>ひるまこうじ / ダイナマイトmoca / モティカ / ぷにた / シキオウジ / あおいせな</v>
      </c>
      <c r="G152" s="298" t="str">
        <f>IFERROR(__xludf.DUMMYFUNCTION("""COMPUTED_VALUE"""),"オトナコミック")</f>
        <v>オトナコミック</v>
      </c>
      <c r="H152" s="298" t="str">
        <f>IFERROR(__xludf.DUMMYFUNCTION("""COMPUTED_VALUE"""),"2024/11/25～）クレジットカードでの購入のみ停止")</f>
        <v>2024/11/25～）クレジットカードでの購入のみ停止</v>
      </c>
      <c r="I152" s="283"/>
      <c r="J152" s="283"/>
      <c r="K152" s="283"/>
      <c r="L152" s="283"/>
      <c r="M152" s="283"/>
      <c r="N152" s="283"/>
      <c r="O152" s="283"/>
      <c r="P152" s="283"/>
      <c r="Q152" s="278"/>
      <c r="R152" s="278"/>
      <c r="S152" s="278"/>
      <c r="T152" s="278"/>
      <c r="U152" s="278"/>
      <c r="V152" s="278"/>
      <c r="W152" s="278"/>
      <c r="X152" s="278"/>
      <c r="Y152" s="278"/>
      <c r="Z152" s="278"/>
      <c r="AA152" s="278"/>
      <c r="AB152" s="278"/>
      <c r="AC152" s="278"/>
    </row>
    <row r="153" ht="15.75" customHeight="1">
      <c r="A153" s="290" t="str">
        <f>IFERROR(__xludf.DUMMYFUNCTION("""COMPUTED_VALUE"""),"STDパブリッシング")</f>
        <v>STDパブリッシング</v>
      </c>
      <c r="B153" s="291">
        <f>IFERROR(__xludf.DUMMYFUNCTION("""COMPUTED_VALUE"""),45618.0)</f>
        <v>45618</v>
      </c>
      <c r="C153" s="292"/>
      <c r="D153" s="293">
        <f>IFERROR(__xludf.DUMMYFUNCTION("""COMPUTED_VALUE"""),283936.0)</f>
        <v>283936</v>
      </c>
      <c r="E153" s="290" t="str">
        <f>IFERROR(__xludf.DUMMYFUNCTION("""COMPUTED_VALUE"""),"恥辱拘束ピストンで抉られた未開発なア●コ「やだ…奥まで挿入ってこないで…」")</f>
        <v>恥辱拘束ピストンで抉られた未開発なア●コ「やだ…奥まで挿入ってこないで…」</v>
      </c>
      <c r="F153" s="298" t="str">
        <f>IFERROR(__xludf.DUMMYFUNCTION("""COMPUTED_VALUE"""),"トヨ")</f>
        <v>トヨ</v>
      </c>
      <c r="G153" s="298" t="str">
        <f>IFERROR(__xludf.DUMMYFUNCTION("""COMPUTED_VALUE"""),"オトナコミック")</f>
        <v>オトナコミック</v>
      </c>
      <c r="H153" s="298" t="str">
        <f>IFERROR(__xludf.DUMMYFUNCTION("""COMPUTED_VALUE"""),"2024/11/25～）クレジットカードでの購入のみ停止")</f>
        <v>2024/11/25～）クレジットカードでの購入のみ停止</v>
      </c>
      <c r="I153" s="283"/>
      <c r="J153" s="283"/>
      <c r="K153" s="283"/>
      <c r="L153" s="283"/>
      <c r="M153" s="283"/>
      <c r="N153" s="283"/>
      <c r="O153" s="283"/>
      <c r="P153" s="283"/>
      <c r="Q153" s="278"/>
      <c r="R153" s="278"/>
      <c r="S153" s="278"/>
      <c r="T153" s="278"/>
      <c r="U153" s="278"/>
      <c r="V153" s="278"/>
      <c r="W153" s="278"/>
      <c r="X153" s="278"/>
      <c r="Y153" s="278"/>
      <c r="Z153" s="278"/>
      <c r="AA153" s="278"/>
      <c r="AB153" s="278"/>
      <c r="AC153" s="278"/>
    </row>
    <row r="154" ht="15.75" customHeight="1">
      <c r="A154" s="290" t="str">
        <f>IFERROR(__xludf.DUMMYFUNCTION("""COMPUTED_VALUE"""),"STDパブリッシング")</f>
        <v>STDパブリッシング</v>
      </c>
      <c r="B154" s="291">
        <f>IFERROR(__xludf.DUMMYFUNCTION("""COMPUTED_VALUE"""),45618.0)</f>
        <v>45618</v>
      </c>
      <c r="C154" s="292"/>
      <c r="D154" s="293">
        <f>IFERROR(__xludf.DUMMYFUNCTION("""COMPUTED_VALUE"""),293025.0)</f>
        <v>293025</v>
      </c>
      <c r="E154" s="290" t="str">
        <f>IFERROR(__xludf.DUMMYFUNCTION("""COMPUTED_VALUE"""),"性姦拘束マッサージ「嫌…もうイってるからぁ!」無防備なア●コを凄イキ開発!")</f>
        <v>性姦拘束マッサージ「嫌…もうイってるからぁ!」無防備なア●コを凄イキ開発!</v>
      </c>
      <c r="F154" s="298" t="str">
        <f>IFERROR(__xludf.DUMMYFUNCTION("""COMPUTED_VALUE"""),"ひるまこうじ / モティカ / ぷにた / 相尾リト / 久崎")</f>
        <v>ひるまこうじ / モティカ / ぷにた / 相尾リト / 久崎</v>
      </c>
      <c r="G154" s="298" t="str">
        <f>IFERROR(__xludf.DUMMYFUNCTION("""COMPUTED_VALUE"""),"オトナコミック")</f>
        <v>オトナコミック</v>
      </c>
      <c r="H154" s="298" t="str">
        <f>IFERROR(__xludf.DUMMYFUNCTION("""COMPUTED_VALUE"""),"2024/11/25～）クレジットカードでの購入のみ停止")</f>
        <v>2024/11/25～）クレジットカードでの購入のみ停止</v>
      </c>
      <c r="I154" s="283"/>
      <c r="J154" s="283"/>
      <c r="K154" s="283"/>
      <c r="L154" s="283"/>
      <c r="M154" s="283"/>
      <c r="N154" s="283"/>
      <c r="O154" s="283"/>
      <c r="P154" s="283"/>
      <c r="Q154" s="278"/>
      <c r="R154" s="278"/>
      <c r="S154" s="278"/>
      <c r="T154" s="278"/>
      <c r="U154" s="278"/>
      <c r="V154" s="278"/>
      <c r="W154" s="278"/>
      <c r="X154" s="278"/>
      <c r="Y154" s="278"/>
      <c r="Z154" s="278"/>
      <c r="AA154" s="278"/>
      <c r="AB154" s="278"/>
      <c r="AC154" s="278"/>
    </row>
    <row r="155" ht="15.75" customHeight="1">
      <c r="A155" s="290" t="str">
        <f>IFERROR(__xludf.DUMMYFUNCTION("""COMPUTED_VALUE"""),"アド・グッド")</f>
        <v>アド・グッド</v>
      </c>
      <c r="B155" s="291">
        <f>IFERROR(__xludf.DUMMYFUNCTION("""COMPUTED_VALUE"""),45618.0)</f>
        <v>45618</v>
      </c>
      <c r="C155" s="292"/>
      <c r="D155" s="293">
        <f>IFERROR(__xludf.DUMMYFUNCTION("""COMPUTED_VALUE"""),114719.0)</f>
        <v>114719</v>
      </c>
      <c r="E155" s="290" t="str">
        <f>IFERROR(__xludf.DUMMYFUNCTION("""COMPUTED_VALUE"""),"濡れ透けJKが雨宿りしてたのでナカにいれてあげた")</f>
        <v>濡れ透けJKが雨宿りしてたのでナカにいれてあげた</v>
      </c>
      <c r="F155" s="298" t="str">
        <f>IFERROR(__xludf.DUMMYFUNCTION("""COMPUTED_VALUE"""),"もえまん / ぱいん")</f>
        <v>もえまん / ぱいん</v>
      </c>
      <c r="G155" s="298" t="str">
        <f>IFERROR(__xludf.DUMMYFUNCTION("""COMPUTED_VALUE"""),"オトナコミック")</f>
        <v>オトナコミック</v>
      </c>
      <c r="H155" s="298" t="str">
        <f>IFERROR(__xludf.DUMMYFUNCTION("""COMPUTED_VALUE"""),"2024/11/25～）クレジットカードでの購入のみ停止")</f>
        <v>2024/11/25～）クレジットカードでの購入のみ停止</v>
      </c>
      <c r="I155" s="283"/>
      <c r="J155" s="283"/>
      <c r="K155" s="283"/>
      <c r="L155" s="283"/>
      <c r="M155" s="283"/>
      <c r="N155" s="283"/>
      <c r="O155" s="283"/>
      <c r="P155" s="283"/>
      <c r="Q155" s="278"/>
      <c r="R155" s="278"/>
      <c r="S155" s="278"/>
      <c r="T155" s="278"/>
      <c r="U155" s="278"/>
      <c r="V155" s="278"/>
      <c r="W155" s="278"/>
      <c r="X155" s="278"/>
      <c r="Y155" s="278"/>
      <c r="Z155" s="278"/>
      <c r="AA155" s="278"/>
      <c r="AB155" s="278"/>
      <c r="AC155" s="278"/>
    </row>
    <row r="156" ht="15.75" customHeight="1">
      <c r="A156" s="290" t="str">
        <f>IFERROR(__xludf.DUMMYFUNCTION("""COMPUTED_VALUE"""),"アド・グッド")</f>
        <v>アド・グッド</v>
      </c>
      <c r="B156" s="291">
        <f>IFERROR(__xludf.DUMMYFUNCTION("""COMPUTED_VALUE"""),45618.0)</f>
        <v>45618</v>
      </c>
      <c r="C156" s="292"/>
      <c r="D156" s="293">
        <f>IFERROR(__xludf.DUMMYFUNCTION("""COMPUTED_VALUE"""),118873.0)</f>
        <v>118873</v>
      </c>
      <c r="E156" s="290" t="str">
        <f>IFERROR(__xludf.DUMMYFUNCTION("""COMPUTED_VALUE"""),"カテキョノ罠")</f>
        <v>カテキョノ罠</v>
      </c>
      <c r="F156" s="298" t="str">
        <f>IFERROR(__xludf.DUMMYFUNCTION("""COMPUTED_VALUE"""),"もえまん / ハンサム兄貴")</f>
        <v>もえまん / ハンサム兄貴</v>
      </c>
      <c r="G156" s="298" t="str">
        <f>IFERROR(__xludf.DUMMYFUNCTION("""COMPUTED_VALUE"""),"オトナコミック")</f>
        <v>オトナコミック</v>
      </c>
      <c r="H156" s="298" t="str">
        <f>IFERROR(__xludf.DUMMYFUNCTION("""COMPUTED_VALUE"""),"2024/11/25～）クレジットカードでの購入のみ停止")</f>
        <v>2024/11/25～）クレジットカードでの購入のみ停止</v>
      </c>
      <c r="I156" s="283"/>
      <c r="J156" s="283"/>
      <c r="K156" s="283"/>
      <c r="L156" s="283"/>
      <c r="M156" s="283"/>
      <c r="N156" s="283"/>
      <c r="O156" s="283"/>
      <c r="P156" s="283"/>
      <c r="Q156" s="278"/>
      <c r="R156" s="278"/>
      <c r="S156" s="278"/>
      <c r="T156" s="278"/>
      <c r="U156" s="278"/>
      <c r="V156" s="278"/>
      <c r="W156" s="278"/>
      <c r="X156" s="278"/>
      <c r="Y156" s="278"/>
      <c r="Z156" s="278"/>
      <c r="AA156" s="278"/>
      <c r="AB156" s="278"/>
      <c r="AC156" s="278"/>
    </row>
    <row r="157" ht="15.75" customHeight="1">
      <c r="A157" s="290" t="str">
        <f>IFERROR(__xludf.DUMMYFUNCTION("""COMPUTED_VALUE"""),"アド・グッド")</f>
        <v>アド・グッド</v>
      </c>
      <c r="B157" s="291">
        <f>IFERROR(__xludf.DUMMYFUNCTION("""COMPUTED_VALUE"""),45618.0)</f>
        <v>45618</v>
      </c>
      <c r="C157" s="292"/>
      <c r="D157" s="293">
        <f>IFERROR(__xludf.DUMMYFUNCTION("""COMPUTED_VALUE"""),154713.0)</f>
        <v>154713</v>
      </c>
      <c r="E157" s="290" t="str">
        <f>IFERROR(__xludf.DUMMYFUNCTION("""COMPUTED_VALUE"""),"女子校生理不尽レ〇プ～高飛車な彼女にお仕置きだ！～")</f>
        <v>女子校生理不尽レ〇プ～高飛車な彼女にお仕置きだ！～</v>
      </c>
      <c r="F157" s="298" t="str">
        <f>IFERROR(__xludf.DUMMYFUNCTION("""COMPUTED_VALUE"""),"もえまん / 桃屋しょう猫")</f>
        <v>もえまん / 桃屋しょう猫</v>
      </c>
      <c r="G157" s="298" t="str">
        <f>IFERROR(__xludf.DUMMYFUNCTION("""COMPUTED_VALUE"""),"オトナコミック")</f>
        <v>オトナコミック</v>
      </c>
      <c r="H157" s="298" t="str">
        <f>IFERROR(__xludf.DUMMYFUNCTION("""COMPUTED_VALUE"""),"2024/11/25～）クレジットカードでの購入のみ停止")</f>
        <v>2024/11/25～）クレジットカードでの購入のみ停止</v>
      </c>
      <c r="I157" s="283"/>
      <c r="J157" s="283"/>
      <c r="K157" s="283"/>
      <c r="L157" s="283"/>
      <c r="M157" s="283"/>
      <c r="N157" s="283"/>
      <c r="O157" s="283"/>
      <c r="P157" s="283"/>
      <c r="Q157" s="278"/>
      <c r="R157" s="278"/>
      <c r="S157" s="278"/>
      <c r="T157" s="278"/>
      <c r="U157" s="278"/>
      <c r="V157" s="278"/>
      <c r="W157" s="278"/>
      <c r="X157" s="278"/>
      <c r="Y157" s="278"/>
      <c r="Z157" s="278"/>
      <c r="AA157" s="278"/>
      <c r="AB157" s="278"/>
      <c r="AC157" s="278"/>
    </row>
    <row r="158" ht="15.75" customHeight="1">
      <c r="A158" s="290" t="str">
        <f>IFERROR(__xludf.DUMMYFUNCTION("""COMPUTED_VALUE"""),"アド・グッド")</f>
        <v>アド・グッド</v>
      </c>
      <c r="B158" s="291">
        <f>IFERROR(__xludf.DUMMYFUNCTION("""COMPUTED_VALUE"""),45618.0)</f>
        <v>45618</v>
      </c>
      <c r="C158" s="292"/>
      <c r="D158" s="293">
        <f>IFERROR(__xludf.DUMMYFUNCTION("""COMPUTED_VALUE"""),172339.0)</f>
        <v>172339</v>
      </c>
      <c r="E158" s="290" t="str">
        <f>IFERROR(__xludf.DUMMYFUNCTION("""COMPUTED_VALUE"""),"漂流孤島で濡れ透けJKをハメまくり!! 種付けレ●プで5人全員オレの嫁!")</f>
        <v>漂流孤島で濡れ透けJKをハメまくり!! 種付けレ●プで5人全員オレの嫁!</v>
      </c>
      <c r="F158" s="298" t="str">
        <f>IFERROR(__xludf.DUMMYFUNCTION("""COMPUTED_VALUE"""),"もえまん / ぱいん")</f>
        <v>もえまん / ぱいん</v>
      </c>
      <c r="G158" s="298" t="str">
        <f>IFERROR(__xludf.DUMMYFUNCTION("""COMPUTED_VALUE"""),"オトナコミック")</f>
        <v>オトナコミック</v>
      </c>
      <c r="H158" s="298" t="str">
        <f>IFERROR(__xludf.DUMMYFUNCTION("""COMPUTED_VALUE"""),"2024/11/25～）クレジットカードでの購入のみ停止")</f>
        <v>2024/11/25～）クレジットカードでの購入のみ停止</v>
      </c>
      <c r="I158" s="283"/>
      <c r="J158" s="283"/>
      <c r="K158" s="283"/>
      <c r="L158" s="283"/>
      <c r="M158" s="283"/>
      <c r="N158" s="283"/>
      <c r="O158" s="283"/>
      <c r="P158" s="283"/>
      <c r="Q158" s="278"/>
      <c r="R158" s="278"/>
      <c r="S158" s="278"/>
      <c r="T158" s="278"/>
      <c r="U158" s="278"/>
      <c r="V158" s="278"/>
      <c r="W158" s="278"/>
      <c r="X158" s="278"/>
      <c r="Y158" s="278"/>
      <c r="Z158" s="278"/>
      <c r="AA158" s="278"/>
      <c r="AB158" s="278"/>
      <c r="AC158" s="278"/>
    </row>
    <row r="159" ht="15.75" customHeight="1">
      <c r="A159" s="290" t="str">
        <f>IFERROR(__xludf.DUMMYFUNCTION("""COMPUTED_VALUE"""),"アド・グッド")</f>
        <v>アド・グッド</v>
      </c>
      <c r="B159" s="291">
        <f>IFERROR(__xludf.DUMMYFUNCTION("""COMPUTED_VALUE"""),45618.0)</f>
        <v>45618</v>
      </c>
      <c r="C159" s="292"/>
      <c r="D159" s="293">
        <f>IFERROR(__xludf.DUMMYFUNCTION("""COMPUTED_VALUE"""),220223.0)</f>
        <v>220223</v>
      </c>
      <c r="E159" s="290" t="str">
        <f>IFERROR(__xludf.DUMMYFUNCTION("""COMPUTED_VALUE"""),"種つけリゾート3―性欲旺盛ドスケベなメスばかりの島で孕ませ三昧―")</f>
        <v>種つけリゾート3―性欲旺盛ドスケベなメスばかりの島で孕ませ三昧―</v>
      </c>
      <c r="F159" s="298" t="str">
        <f>IFERROR(__xludf.DUMMYFUNCTION("""COMPUTED_VALUE"""),"もえまん / くっくみるく")</f>
        <v>もえまん / くっくみるく</v>
      </c>
      <c r="G159" s="298" t="str">
        <f>IFERROR(__xludf.DUMMYFUNCTION("""COMPUTED_VALUE"""),"オトナコミック")</f>
        <v>オトナコミック</v>
      </c>
      <c r="H159" s="298" t="str">
        <f>IFERROR(__xludf.DUMMYFUNCTION("""COMPUTED_VALUE"""),"2024/11/25～）クレジットカードでの購入のみ停止")</f>
        <v>2024/11/25～）クレジットカードでの購入のみ停止</v>
      </c>
      <c r="I159" s="283"/>
      <c r="J159" s="283"/>
      <c r="K159" s="283"/>
      <c r="L159" s="283"/>
      <c r="M159" s="283"/>
      <c r="N159" s="283"/>
      <c r="O159" s="283"/>
      <c r="P159" s="283"/>
      <c r="Q159" s="278"/>
      <c r="R159" s="278"/>
      <c r="S159" s="278"/>
      <c r="T159" s="278"/>
      <c r="U159" s="278"/>
      <c r="V159" s="278"/>
      <c r="W159" s="278"/>
      <c r="X159" s="278"/>
      <c r="Y159" s="278"/>
      <c r="Z159" s="278"/>
      <c r="AA159" s="278"/>
      <c r="AB159" s="278"/>
      <c r="AC159" s="278"/>
    </row>
    <row r="160" ht="15.75" customHeight="1">
      <c r="A160" s="290" t="str">
        <f>IFERROR(__xludf.DUMMYFUNCTION("""COMPUTED_VALUE"""),"アド・グッド")</f>
        <v>アド・グッド</v>
      </c>
      <c r="B160" s="291">
        <f>IFERROR(__xludf.DUMMYFUNCTION("""COMPUTED_VALUE"""),45618.0)</f>
        <v>45618</v>
      </c>
      <c r="C160" s="292"/>
      <c r="D160" s="293">
        <f>IFERROR(__xludf.DUMMYFUNCTION("""COMPUTED_VALUE"""),224114.0)</f>
        <v>224114</v>
      </c>
      <c r="E160" s="290" t="str">
        <f>IFERROR(__xludf.DUMMYFUNCTION("""COMPUTED_VALUE"""),"痴漢冤罪復讐レ●プ -3人のJKをハメ穴奴隷へ堕とす車両-")</f>
        <v>痴漢冤罪復讐レ●プ -3人のJKをハメ穴奴隷へ堕とす車両-</v>
      </c>
      <c r="F160" s="298" t="str">
        <f>IFERROR(__xludf.DUMMYFUNCTION("""COMPUTED_VALUE"""),"もえまん / さーもんピンク / KIRI☆かえる")</f>
        <v>もえまん / さーもんピンク / KIRI☆かえる</v>
      </c>
      <c r="G160" s="298" t="str">
        <f>IFERROR(__xludf.DUMMYFUNCTION("""COMPUTED_VALUE"""),"オトナコミック")</f>
        <v>オトナコミック</v>
      </c>
      <c r="H160" s="298" t="str">
        <f>IFERROR(__xludf.DUMMYFUNCTION("""COMPUTED_VALUE"""),"2024/11/25～）クレジットカードでの購入のみ停止")</f>
        <v>2024/11/25～）クレジットカードでの購入のみ停止</v>
      </c>
      <c r="I160" s="283"/>
      <c r="J160" s="283"/>
      <c r="K160" s="283"/>
      <c r="L160" s="283"/>
      <c r="M160" s="283"/>
      <c r="N160" s="283"/>
      <c r="O160" s="283"/>
      <c r="P160" s="283"/>
      <c r="Q160" s="278"/>
      <c r="R160" s="278"/>
      <c r="S160" s="278"/>
      <c r="T160" s="278"/>
      <c r="U160" s="278"/>
      <c r="V160" s="278"/>
      <c r="W160" s="278"/>
      <c r="X160" s="278"/>
      <c r="Y160" s="278"/>
      <c r="Z160" s="278"/>
      <c r="AA160" s="278"/>
      <c r="AB160" s="278"/>
      <c r="AC160" s="278"/>
    </row>
    <row r="161" ht="15.75" customHeight="1">
      <c r="A161" s="290" t="str">
        <f>IFERROR(__xludf.DUMMYFUNCTION("""COMPUTED_VALUE"""),"アド・グッド")</f>
        <v>アド・グッド</v>
      </c>
      <c r="B161" s="291">
        <f>IFERROR(__xludf.DUMMYFUNCTION("""COMPUTED_VALUE"""),45618.0)</f>
        <v>45618</v>
      </c>
      <c r="C161" s="292"/>
      <c r="D161" s="293">
        <f>IFERROR(__xludf.DUMMYFUNCTION("""COMPUTED_VALUE"""),233217.0)</f>
        <v>233217</v>
      </c>
      <c r="E161" s="290" t="str">
        <f>IFERROR(__xludf.DUMMYFUNCTION("""COMPUTED_VALUE"""),"睡眠パフューム―JKや女教師を眠らせて問答無用のステルスレ●プ―")</f>
        <v>睡眠パフューム―JKや女教師を眠らせて問答無用のステルスレ●プ―</v>
      </c>
      <c r="F161" s="298" t="str">
        <f>IFERROR(__xludf.DUMMYFUNCTION("""COMPUTED_VALUE"""),"もえまん / ＨＥＬＬＴＥＲ　ＳＫＥＬＴＥＲ")</f>
        <v>もえまん / ＨＥＬＬＴＥＲ　ＳＫＥＬＴＥＲ</v>
      </c>
      <c r="G161" s="298" t="str">
        <f>IFERROR(__xludf.DUMMYFUNCTION("""COMPUTED_VALUE"""),"オトナコミック")</f>
        <v>オトナコミック</v>
      </c>
      <c r="H161" s="298" t="str">
        <f>IFERROR(__xludf.DUMMYFUNCTION("""COMPUTED_VALUE"""),"2024/11/25～）クレジットカードでの購入のみ停止")</f>
        <v>2024/11/25～）クレジットカードでの購入のみ停止</v>
      </c>
      <c r="I161" s="283"/>
      <c r="J161" s="283"/>
      <c r="K161" s="283"/>
      <c r="L161" s="283"/>
      <c r="M161" s="283"/>
      <c r="N161" s="283"/>
      <c r="O161" s="283"/>
      <c r="P161" s="283"/>
      <c r="Q161" s="278"/>
      <c r="R161" s="278"/>
      <c r="S161" s="278"/>
      <c r="T161" s="278"/>
      <c r="U161" s="278"/>
      <c r="V161" s="278"/>
      <c r="W161" s="278"/>
      <c r="X161" s="278"/>
      <c r="Y161" s="278"/>
      <c r="Z161" s="278"/>
      <c r="AA161" s="278"/>
      <c r="AB161" s="278"/>
      <c r="AC161" s="278"/>
    </row>
    <row r="162" ht="15.75" customHeight="1">
      <c r="A162" s="290" t="str">
        <f>IFERROR(__xludf.DUMMYFUNCTION("""COMPUTED_VALUE"""),"アド・グッド")</f>
        <v>アド・グッド</v>
      </c>
      <c r="B162" s="291">
        <f>IFERROR(__xludf.DUMMYFUNCTION("""COMPUTED_VALUE"""),45618.0)</f>
        <v>45618</v>
      </c>
      <c r="C162" s="292"/>
      <c r="D162" s="293">
        <f>IFERROR(__xludf.DUMMYFUNCTION("""COMPUTED_VALUE"""),240235.0)</f>
        <v>240235</v>
      </c>
      <c r="E162" s="290" t="str">
        <f>IFERROR(__xludf.DUMMYFUNCTION("""COMPUTED_VALUE"""),"発情催淫!ドスケベ女銭湯!～湯の力で女子は即堕ち!番台のオレ専用ハーレム～")</f>
        <v>発情催淫!ドスケベ女銭湯!～湯の力で女子は即堕ち!番台のオレ専用ハーレム～</v>
      </c>
      <c r="F162" s="298" t="str">
        <f>IFERROR(__xludf.DUMMYFUNCTION("""COMPUTED_VALUE"""),"式部 / もえまん")</f>
        <v>式部 / もえまん</v>
      </c>
      <c r="G162" s="298" t="str">
        <f>IFERROR(__xludf.DUMMYFUNCTION("""COMPUTED_VALUE"""),"オトナコミック")</f>
        <v>オトナコミック</v>
      </c>
      <c r="H162" s="298" t="str">
        <f>IFERROR(__xludf.DUMMYFUNCTION("""COMPUTED_VALUE"""),"2024/11/25～）クレジットカードでの購入のみ停止")</f>
        <v>2024/11/25～）クレジットカードでの購入のみ停止</v>
      </c>
      <c r="I162" s="283"/>
      <c r="J162" s="283"/>
      <c r="K162" s="283"/>
      <c r="L162" s="283"/>
      <c r="M162" s="283"/>
      <c r="N162" s="283"/>
      <c r="O162" s="283"/>
      <c r="P162" s="283"/>
      <c r="Q162" s="278"/>
      <c r="R162" s="278"/>
      <c r="S162" s="278"/>
      <c r="T162" s="278"/>
      <c r="U162" s="278"/>
      <c r="V162" s="278"/>
      <c r="W162" s="278"/>
      <c r="X162" s="278"/>
      <c r="Y162" s="278"/>
      <c r="Z162" s="278"/>
      <c r="AA162" s="278"/>
      <c r="AB162" s="278"/>
      <c r="AC162" s="278"/>
    </row>
    <row r="163" ht="15.75" customHeight="1">
      <c r="A163" s="290" t="str">
        <f>IFERROR(__xludf.DUMMYFUNCTION("""COMPUTED_VALUE"""),"アド・グッド")</f>
        <v>アド・グッド</v>
      </c>
      <c r="B163" s="291">
        <f>IFERROR(__xludf.DUMMYFUNCTION("""COMPUTED_VALUE"""),45618.0)</f>
        <v>45618</v>
      </c>
      <c r="C163" s="292"/>
      <c r="D163" s="293">
        <f>IFERROR(__xludf.DUMMYFUNCTION("""COMPUTED_VALUE"""),244184.0)</f>
        <v>244184</v>
      </c>
      <c r="E163" s="290" t="str">
        <f>IFERROR(__xludf.DUMMYFUNCTION("""COMPUTED_VALUE"""),"彼氏に寝取られナマ配信～無垢な巨乳JK彼女は絶倫チ●ポの言いなりになる～")</f>
        <v>彼氏に寝取られナマ配信～無垢な巨乳JK彼女は絶倫チ●ポの言いなりになる～</v>
      </c>
      <c r="F163" s="298" t="str">
        <f>IFERROR(__xludf.DUMMYFUNCTION("""COMPUTED_VALUE"""),"もえまん / NIKULABO")</f>
        <v>もえまん / NIKULABO</v>
      </c>
      <c r="G163" s="298" t="str">
        <f>IFERROR(__xludf.DUMMYFUNCTION("""COMPUTED_VALUE"""),"オトナコミック")</f>
        <v>オトナコミック</v>
      </c>
      <c r="H163" s="298" t="str">
        <f>IFERROR(__xludf.DUMMYFUNCTION("""COMPUTED_VALUE"""),"2024/11/25～）クレジットカードでの購入のみ停止")</f>
        <v>2024/11/25～）クレジットカードでの購入のみ停止</v>
      </c>
      <c r="I163" s="283"/>
      <c r="J163" s="283"/>
      <c r="K163" s="283"/>
      <c r="L163" s="283"/>
      <c r="M163" s="283"/>
      <c r="N163" s="283"/>
      <c r="O163" s="283"/>
      <c r="P163" s="283"/>
      <c r="Q163" s="278"/>
      <c r="R163" s="278"/>
      <c r="S163" s="278"/>
      <c r="T163" s="278"/>
      <c r="U163" s="278"/>
      <c r="V163" s="278"/>
      <c r="W163" s="278"/>
      <c r="X163" s="278"/>
      <c r="Y163" s="278"/>
      <c r="Z163" s="278"/>
      <c r="AA163" s="278"/>
      <c r="AB163" s="278"/>
      <c r="AC163" s="278"/>
    </row>
    <row r="164" ht="15.75" customHeight="1">
      <c r="A164" s="290" t="str">
        <f>IFERROR(__xludf.DUMMYFUNCTION("""COMPUTED_VALUE"""),"アド・グッド")</f>
        <v>アド・グッド</v>
      </c>
      <c r="B164" s="291">
        <f>IFERROR(__xludf.DUMMYFUNCTION("""COMPUTED_VALUE"""),45618.0)</f>
        <v>45618</v>
      </c>
      <c r="C164" s="292"/>
      <c r="D164" s="293">
        <f>IFERROR(__xludf.DUMMYFUNCTION("""COMPUTED_VALUE"""),246125.0)</f>
        <v>246125</v>
      </c>
      <c r="E164" s="290" t="str">
        <f>IFERROR(__xludf.DUMMYFUNCTION("""COMPUTED_VALUE"""),"裏垢JK、ハメられる～気絶しても終わらない連続イキ地獄～")</f>
        <v>裏垢JK、ハメられる～気絶しても終わらない連続イキ地獄～</v>
      </c>
      <c r="F164" s="298" t="str">
        <f>IFERROR(__xludf.DUMMYFUNCTION("""COMPUTED_VALUE"""),"もえまん / ぺんぎんねこ")</f>
        <v>もえまん / ぺんぎんねこ</v>
      </c>
      <c r="G164" s="298" t="str">
        <f>IFERROR(__xludf.DUMMYFUNCTION("""COMPUTED_VALUE"""),"オトナコミック")</f>
        <v>オトナコミック</v>
      </c>
      <c r="H164" s="298" t="str">
        <f>IFERROR(__xludf.DUMMYFUNCTION("""COMPUTED_VALUE"""),"2024/11/25～）クレジットカードでの購入のみ停止")</f>
        <v>2024/11/25～）クレジットカードでの購入のみ停止</v>
      </c>
      <c r="I164" s="283"/>
      <c r="J164" s="283"/>
      <c r="K164" s="283"/>
      <c r="L164" s="283"/>
      <c r="M164" s="283"/>
      <c r="N164" s="283"/>
      <c r="O164" s="283"/>
      <c r="P164" s="283"/>
      <c r="Q164" s="278"/>
      <c r="R164" s="278"/>
      <c r="S164" s="278"/>
      <c r="T164" s="278"/>
      <c r="U164" s="278"/>
      <c r="V164" s="278"/>
      <c r="W164" s="278"/>
      <c r="X164" s="278"/>
      <c r="Y164" s="278"/>
      <c r="Z164" s="278"/>
      <c r="AA164" s="278"/>
      <c r="AB164" s="278"/>
      <c r="AC164" s="278"/>
    </row>
    <row r="165" ht="15.75" customHeight="1">
      <c r="A165" s="290" t="str">
        <f>IFERROR(__xludf.DUMMYFUNCTION("""COMPUTED_VALUE"""),"アド・グッド")</f>
        <v>アド・グッド</v>
      </c>
      <c r="B165" s="291">
        <f>IFERROR(__xludf.DUMMYFUNCTION("""COMPUTED_VALUE"""),45618.0)</f>
        <v>45618</v>
      </c>
      <c r="C165" s="292"/>
      <c r="D165" s="293">
        <f>IFERROR(__xludf.DUMMYFUNCTION("""COMPUTED_VALUE"""),258433.0)</f>
        <v>258433</v>
      </c>
      <c r="E165" s="290" t="str">
        <f>IFERROR(__xludf.DUMMYFUNCTION("""COMPUTED_VALUE"""),"種つけリゾート3―性欲旺盛ドスケベなメスばかりの島で孕ませ三昧―【合本版】")</f>
        <v>種つけリゾート3―性欲旺盛ドスケベなメスばかりの島で孕ませ三昧―【合本版】</v>
      </c>
      <c r="F165" s="298" t="str">
        <f>IFERROR(__xludf.DUMMYFUNCTION("""COMPUTED_VALUE"""),"もえまん / くっくみるく")</f>
        <v>もえまん / くっくみるく</v>
      </c>
      <c r="G165" s="298" t="str">
        <f>IFERROR(__xludf.DUMMYFUNCTION("""COMPUTED_VALUE"""),"オトナコミック")</f>
        <v>オトナコミック</v>
      </c>
      <c r="H165" s="298" t="str">
        <f>IFERROR(__xludf.DUMMYFUNCTION("""COMPUTED_VALUE"""),"2024/11/25～）クレジットカードでの購入のみ停止")</f>
        <v>2024/11/25～）クレジットカードでの購入のみ停止</v>
      </c>
      <c r="I165" s="283"/>
      <c r="J165" s="283"/>
      <c r="K165" s="283"/>
      <c r="L165" s="283"/>
      <c r="M165" s="283"/>
      <c r="N165" s="283"/>
      <c r="O165" s="283"/>
      <c r="P165" s="283"/>
      <c r="Q165" s="278"/>
      <c r="R165" s="278"/>
      <c r="S165" s="278"/>
      <c r="T165" s="278"/>
      <c r="U165" s="278"/>
      <c r="V165" s="278"/>
      <c r="W165" s="278"/>
      <c r="X165" s="278"/>
      <c r="Y165" s="278"/>
      <c r="Z165" s="278"/>
      <c r="AA165" s="278"/>
      <c r="AB165" s="278"/>
      <c r="AC165" s="278"/>
    </row>
    <row r="166" ht="15.75" customHeight="1">
      <c r="A166" s="290" t="str">
        <f>IFERROR(__xludf.DUMMYFUNCTION("""COMPUTED_VALUE"""),"アド・グッド")</f>
        <v>アド・グッド</v>
      </c>
      <c r="B166" s="291">
        <f>IFERROR(__xludf.DUMMYFUNCTION("""COMPUTED_VALUE"""),45618.0)</f>
        <v>45618</v>
      </c>
      <c r="C166" s="292"/>
      <c r="D166" s="293">
        <f>IFERROR(__xludf.DUMMYFUNCTION("""COMPUTED_VALUE"""),265801.0)</f>
        <v>265801</v>
      </c>
      <c r="E166" s="290" t="str">
        <f>IFERROR(__xludf.DUMMYFUNCTION("""COMPUTED_VALUE"""),"生意気ギャルJKお仕置きレ●プ")</f>
        <v>生意気ギャルJKお仕置きレ●プ</v>
      </c>
      <c r="F166" s="298" t="str">
        <f>IFERROR(__xludf.DUMMYFUNCTION("""COMPUTED_VALUE"""),"もえまん / ＢＬＡＣＫＳＭＩＬＥ")</f>
        <v>もえまん / ＢＬＡＣＫＳＭＩＬＥ</v>
      </c>
      <c r="G166" s="298" t="str">
        <f>IFERROR(__xludf.DUMMYFUNCTION("""COMPUTED_VALUE"""),"オトナコミック")</f>
        <v>オトナコミック</v>
      </c>
      <c r="H166" s="298" t="str">
        <f>IFERROR(__xludf.DUMMYFUNCTION("""COMPUTED_VALUE"""),"2024/11/25～）クレジットカードでの購入のみ停止")</f>
        <v>2024/11/25～）クレジットカードでの購入のみ停止</v>
      </c>
      <c r="I166" s="283"/>
      <c r="J166" s="283"/>
      <c r="K166" s="283"/>
      <c r="L166" s="283"/>
      <c r="M166" s="283"/>
      <c r="N166" s="283"/>
      <c r="O166" s="283"/>
      <c r="P166" s="283"/>
      <c r="Q166" s="278"/>
      <c r="R166" s="278"/>
      <c r="S166" s="278"/>
      <c r="T166" s="278"/>
      <c r="U166" s="278"/>
      <c r="V166" s="278"/>
      <c r="W166" s="278"/>
      <c r="X166" s="278"/>
      <c r="Y166" s="278"/>
      <c r="Z166" s="278"/>
      <c r="AA166" s="278"/>
      <c r="AB166" s="278"/>
      <c r="AC166" s="278"/>
    </row>
    <row r="167" ht="15.75" customHeight="1">
      <c r="A167" s="290" t="str">
        <f>IFERROR(__xludf.DUMMYFUNCTION("""COMPUTED_VALUE"""),"アド・グッド")</f>
        <v>アド・グッド</v>
      </c>
      <c r="B167" s="291">
        <f>IFERROR(__xludf.DUMMYFUNCTION("""COMPUTED_VALUE"""),45618.0)</f>
        <v>45618</v>
      </c>
      <c r="C167" s="292"/>
      <c r="D167" s="293">
        <f>IFERROR(__xludf.DUMMYFUNCTION("""COMPUTED_VALUE"""),267427.0)</f>
        <v>267427</v>
      </c>
      <c r="E167" s="290" t="str">
        <f>IFERROR(__xludf.DUMMYFUNCTION("""COMPUTED_VALUE"""),"痴漢冤罪復讐レ●プ -3人のJKをハメ穴奴隷へ堕とす車両-【合本版】")</f>
        <v>痴漢冤罪復讐レ●プ -3人のJKをハメ穴奴隷へ堕とす車両-【合本版】</v>
      </c>
      <c r="F167" s="298" t="str">
        <f>IFERROR(__xludf.DUMMYFUNCTION("""COMPUTED_VALUE"""),"もえまん / さーもんピンク / KIRI☆かえる")</f>
        <v>もえまん / さーもんピンク / KIRI☆かえる</v>
      </c>
      <c r="G167" s="298" t="str">
        <f>IFERROR(__xludf.DUMMYFUNCTION("""COMPUTED_VALUE"""),"オトナコミック")</f>
        <v>オトナコミック</v>
      </c>
      <c r="H167" s="298" t="str">
        <f>IFERROR(__xludf.DUMMYFUNCTION("""COMPUTED_VALUE"""),"2024/11/25～）クレジットカードでの購入のみ停止")</f>
        <v>2024/11/25～）クレジットカードでの購入のみ停止</v>
      </c>
      <c r="I167" s="283"/>
      <c r="J167" s="283"/>
      <c r="K167" s="283"/>
      <c r="L167" s="283"/>
      <c r="M167" s="283"/>
      <c r="N167" s="283"/>
      <c r="O167" s="283"/>
      <c r="P167" s="283"/>
      <c r="Q167" s="278"/>
      <c r="R167" s="278"/>
      <c r="S167" s="278"/>
      <c r="T167" s="278"/>
      <c r="U167" s="278"/>
      <c r="V167" s="278"/>
      <c r="W167" s="278"/>
      <c r="X167" s="278"/>
      <c r="Y167" s="278"/>
      <c r="Z167" s="278"/>
      <c r="AA167" s="278"/>
      <c r="AB167" s="278"/>
      <c r="AC167" s="278"/>
    </row>
    <row r="168" ht="15.75" customHeight="1">
      <c r="A168" s="290" t="str">
        <f>IFERROR(__xludf.DUMMYFUNCTION("""COMPUTED_VALUE"""),"アド・グッド")</f>
        <v>アド・グッド</v>
      </c>
      <c r="B168" s="291">
        <f>IFERROR(__xludf.DUMMYFUNCTION("""COMPUTED_VALUE"""),45618.0)</f>
        <v>45618</v>
      </c>
      <c r="C168" s="292"/>
      <c r="D168" s="293">
        <f>IFERROR(__xludf.DUMMYFUNCTION("""COMPUTED_VALUE"""),268309.0)</f>
        <v>268309</v>
      </c>
      <c r="E168" s="290" t="str">
        <f>IFERROR(__xludf.DUMMYFUNCTION("""COMPUTED_VALUE"""),"スポーツ少女は催淫ドリンクで発情モード～バレー部エースの巨乳JKはエロマッサージで連続絶頂～")</f>
        <v>スポーツ少女は催淫ドリンクで発情モード～バレー部エースの巨乳JKはエロマッサージで連続絶頂～</v>
      </c>
      <c r="F168" s="298" t="str">
        <f>IFERROR(__xludf.DUMMYFUNCTION("""COMPUTED_VALUE"""),"もえまん / wuck")</f>
        <v>もえまん / wuck</v>
      </c>
      <c r="G168" s="298" t="str">
        <f>IFERROR(__xludf.DUMMYFUNCTION("""COMPUTED_VALUE"""),"オトナコミック")</f>
        <v>オトナコミック</v>
      </c>
      <c r="H168" s="298" t="str">
        <f>IFERROR(__xludf.DUMMYFUNCTION("""COMPUTED_VALUE"""),"2024/11/25～）クレジットカードでの購入のみ停止")</f>
        <v>2024/11/25～）クレジットカードでの購入のみ停止</v>
      </c>
      <c r="I168" s="283"/>
      <c r="J168" s="283"/>
      <c r="K168" s="283"/>
      <c r="L168" s="283"/>
      <c r="M168" s="283"/>
      <c r="N168" s="283"/>
      <c r="O168" s="283"/>
      <c r="P168" s="283"/>
      <c r="Q168" s="278"/>
      <c r="R168" s="278"/>
      <c r="S168" s="278"/>
      <c r="T168" s="278"/>
      <c r="U168" s="278"/>
      <c r="V168" s="278"/>
      <c r="W168" s="278"/>
      <c r="X168" s="278"/>
      <c r="Y168" s="278"/>
      <c r="Z168" s="278"/>
      <c r="AA168" s="278"/>
      <c r="AB168" s="278"/>
      <c r="AC168" s="278"/>
    </row>
    <row r="169" ht="15.75" customHeight="1">
      <c r="A169" s="290" t="str">
        <f>IFERROR(__xludf.DUMMYFUNCTION("""COMPUTED_VALUE"""),"アド・グッド")</f>
        <v>アド・グッド</v>
      </c>
      <c r="B169" s="291">
        <f>IFERROR(__xludf.DUMMYFUNCTION("""COMPUTED_VALUE"""),45618.0)</f>
        <v>45618</v>
      </c>
      <c r="C169" s="292"/>
      <c r="D169" s="293">
        <f>IFERROR(__xludf.DUMMYFUNCTION("""COMPUTED_VALUE"""),269685.0)</f>
        <v>269685</v>
      </c>
      <c r="E169" s="290" t="str">
        <f>IFERROR(__xludf.DUMMYFUNCTION("""COMPUTED_VALUE"""),"【18禁】裏垢JK、ハメられる～気絶しても終わらない連続イキ地獄～")</f>
        <v>【18禁】裏垢JK、ハメられる～気絶しても終わらない連続イキ地獄～</v>
      </c>
      <c r="F169" s="298" t="str">
        <f>IFERROR(__xludf.DUMMYFUNCTION("""COMPUTED_VALUE"""),"もえまん / ぺんぎんねこ")</f>
        <v>もえまん / ぺんぎんねこ</v>
      </c>
      <c r="G169" s="298" t="str">
        <f>IFERROR(__xludf.DUMMYFUNCTION("""COMPUTED_VALUE"""),"オトナコミック")</f>
        <v>オトナコミック</v>
      </c>
      <c r="H169" s="298" t="str">
        <f>IFERROR(__xludf.DUMMYFUNCTION("""COMPUTED_VALUE"""),"2024/11/25～）クレジットカードでの購入のみ停止")</f>
        <v>2024/11/25～）クレジットカードでの購入のみ停止</v>
      </c>
      <c r="I169" s="283"/>
      <c r="J169" s="283"/>
      <c r="K169" s="283"/>
      <c r="L169" s="283"/>
      <c r="M169" s="283"/>
      <c r="N169" s="283"/>
      <c r="O169" s="283"/>
      <c r="P169" s="283"/>
      <c r="Q169" s="278"/>
      <c r="R169" s="278"/>
      <c r="S169" s="278"/>
      <c r="T169" s="278"/>
      <c r="U169" s="278"/>
      <c r="V169" s="278"/>
      <c r="W169" s="278"/>
      <c r="X169" s="278"/>
      <c r="Y169" s="278"/>
      <c r="Z169" s="278"/>
      <c r="AA169" s="278"/>
      <c r="AB169" s="278"/>
      <c r="AC169" s="278"/>
    </row>
    <row r="170" ht="15.75" customHeight="1">
      <c r="A170" s="290" t="str">
        <f>IFERROR(__xludf.DUMMYFUNCTION("""COMPUTED_VALUE"""),"アド・グッド")</f>
        <v>アド・グッド</v>
      </c>
      <c r="B170" s="291">
        <f>IFERROR(__xludf.DUMMYFUNCTION("""COMPUTED_VALUE"""),45618.0)</f>
        <v>45618</v>
      </c>
      <c r="C170" s="292"/>
      <c r="D170" s="293">
        <f>IFERROR(__xludf.DUMMYFUNCTION("""COMPUTED_VALUE"""),279409.0)</f>
        <v>279409</v>
      </c>
      <c r="E170" s="290" t="str">
        <f>IFERROR(__xludf.DUMMYFUNCTION("""COMPUTED_VALUE"""),"生意気ギャルJKお仕置きレ●プ【合本版】")</f>
        <v>生意気ギャルJKお仕置きレ●プ【合本版】</v>
      </c>
      <c r="F170" s="298" t="str">
        <f>IFERROR(__xludf.DUMMYFUNCTION("""COMPUTED_VALUE"""),"もえまん / ＢＬＡＣＫＳＭＩＬＥ")</f>
        <v>もえまん / ＢＬＡＣＫＳＭＩＬＥ</v>
      </c>
      <c r="G170" s="298" t="str">
        <f>IFERROR(__xludf.DUMMYFUNCTION("""COMPUTED_VALUE"""),"オトナコミック")</f>
        <v>オトナコミック</v>
      </c>
      <c r="H170" s="298" t="str">
        <f>IFERROR(__xludf.DUMMYFUNCTION("""COMPUTED_VALUE"""),"2024/11/25～）クレジットカードでの購入のみ停止")</f>
        <v>2024/11/25～）クレジットカードでの購入のみ停止</v>
      </c>
      <c r="I170" s="283"/>
      <c r="J170" s="283"/>
      <c r="K170" s="283"/>
      <c r="L170" s="283"/>
      <c r="M170" s="283"/>
      <c r="N170" s="283"/>
      <c r="O170" s="283"/>
      <c r="P170" s="283"/>
      <c r="Q170" s="278"/>
      <c r="R170" s="278"/>
      <c r="S170" s="278"/>
      <c r="T170" s="278"/>
      <c r="U170" s="278"/>
      <c r="V170" s="278"/>
      <c r="W170" s="278"/>
      <c r="X170" s="278"/>
      <c r="Y170" s="278"/>
      <c r="Z170" s="278"/>
      <c r="AA170" s="278"/>
      <c r="AB170" s="278"/>
      <c r="AC170" s="278"/>
    </row>
    <row r="171" ht="15.75" customHeight="1">
      <c r="A171" s="290" t="str">
        <f>IFERROR(__xludf.DUMMYFUNCTION("""COMPUTED_VALUE"""),"アド・グッド")</f>
        <v>アド・グッド</v>
      </c>
      <c r="B171" s="291">
        <f>IFERROR(__xludf.DUMMYFUNCTION("""COMPUTED_VALUE"""),45618.0)</f>
        <v>45618</v>
      </c>
      <c r="C171" s="292"/>
      <c r="D171" s="293">
        <f>IFERROR(__xludf.DUMMYFUNCTION("""COMPUTED_VALUE"""),292215.0)</f>
        <v>292215</v>
      </c>
      <c r="E171" s="290" t="str">
        <f>IFERROR(__xludf.DUMMYFUNCTION("""COMPUTED_VALUE"""),"睡眠パフューム―JKや女教師を眠らせて問答無用のステルスレ●プ―【合本版】")</f>
        <v>睡眠パフューム―JKや女教師を眠らせて問答無用のステルスレ●プ―【合本版】</v>
      </c>
      <c r="F171" s="298" t="str">
        <f>IFERROR(__xludf.DUMMYFUNCTION("""COMPUTED_VALUE"""),"もえまん / ＨＥＬＬＴＥＲ　ＳＫＥＬＴＥＲ")</f>
        <v>もえまん / ＨＥＬＬＴＥＲ　ＳＫＥＬＴＥＲ</v>
      </c>
      <c r="G171" s="298" t="str">
        <f>IFERROR(__xludf.DUMMYFUNCTION("""COMPUTED_VALUE"""),"オトナコミック")</f>
        <v>オトナコミック</v>
      </c>
      <c r="H171" s="298" t="str">
        <f>IFERROR(__xludf.DUMMYFUNCTION("""COMPUTED_VALUE"""),"2024/11/25～）クレジットカードでの購入のみ停止")</f>
        <v>2024/11/25～）クレジットカードでの購入のみ停止</v>
      </c>
      <c r="I171" s="283"/>
      <c r="J171" s="283"/>
      <c r="K171" s="283"/>
      <c r="L171" s="283"/>
      <c r="M171" s="283"/>
      <c r="N171" s="283"/>
      <c r="O171" s="283"/>
      <c r="P171" s="283"/>
      <c r="Q171" s="278"/>
      <c r="R171" s="278"/>
      <c r="S171" s="278"/>
      <c r="T171" s="278"/>
      <c r="U171" s="278"/>
      <c r="V171" s="278"/>
      <c r="W171" s="278"/>
      <c r="X171" s="278"/>
      <c r="Y171" s="278"/>
      <c r="Z171" s="278"/>
      <c r="AA171" s="278"/>
      <c r="AB171" s="278"/>
      <c r="AC171" s="278"/>
    </row>
    <row r="172" ht="15.75" customHeight="1">
      <c r="A172" s="290" t="str">
        <f>IFERROR(__xludf.DUMMYFUNCTION("""COMPUTED_VALUE"""),"アド・グッド")</f>
        <v>アド・グッド</v>
      </c>
      <c r="B172" s="291">
        <f>IFERROR(__xludf.DUMMYFUNCTION("""COMPUTED_VALUE"""),45618.0)</f>
        <v>45618</v>
      </c>
      <c r="C172" s="292"/>
      <c r="D172" s="293">
        <f>IFERROR(__xludf.DUMMYFUNCTION("""COMPUTED_VALUE"""),293406.0)</f>
        <v>293406</v>
      </c>
      <c r="E172" s="290" t="str">
        <f>IFERROR(__xludf.DUMMYFUNCTION("""COMPUTED_VALUE"""),"最愛の彼女が友達グループに寝取られた～清楚なJKが淫乱メス堕ちする一部始終～")</f>
        <v>最愛の彼女が友達グループに寝取られた～清楚なJKが淫乱メス堕ちする一部始終～</v>
      </c>
      <c r="F172" s="298" t="str">
        <f>IFERROR(__xludf.DUMMYFUNCTION("""COMPUTED_VALUE"""),"もえまん / パンケーキ")</f>
        <v>もえまん / パンケーキ</v>
      </c>
      <c r="G172" s="298" t="str">
        <f>IFERROR(__xludf.DUMMYFUNCTION("""COMPUTED_VALUE"""),"オトナコミック")</f>
        <v>オトナコミック</v>
      </c>
      <c r="H172" s="298" t="str">
        <f>IFERROR(__xludf.DUMMYFUNCTION("""COMPUTED_VALUE"""),"2024/11/25～）クレジットカードでの購入のみ停止")</f>
        <v>2024/11/25～）クレジットカードでの購入のみ停止</v>
      </c>
      <c r="I172" s="283"/>
      <c r="J172" s="283"/>
      <c r="K172" s="283"/>
      <c r="L172" s="283"/>
      <c r="M172" s="283"/>
      <c r="N172" s="283"/>
      <c r="O172" s="283"/>
      <c r="P172" s="283"/>
      <c r="Q172" s="278"/>
      <c r="R172" s="278"/>
      <c r="S172" s="278"/>
      <c r="T172" s="278"/>
      <c r="U172" s="278"/>
      <c r="V172" s="278"/>
      <c r="W172" s="278"/>
      <c r="X172" s="278"/>
      <c r="Y172" s="278"/>
      <c r="Z172" s="278"/>
      <c r="AA172" s="278"/>
      <c r="AB172" s="278"/>
      <c r="AC172" s="278"/>
    </row>
    <row r="173" ht="15.75" customHeight="1">
      <c r="A173" s="290" t="str">
        <f>IFERROR(__xludf.DUMMYFUNCTION("""COMPUTED_VALUE"""),"アド・グッド")</f>
        <v>アド・グッド</v>
      </c>
      <c r="B173" s="291">
        <f>IFERROR(__xludf.DUMMYFUNCTION("""COMPUTED_VALUE"""),45618.0)</f>
        <v>45618</v>
      </c>
      <c r="C173" s="292"/>
      <c r="D173" s="293">
        <f>IFERROR(__xludf.DUMMYFUNCTION("""COMPUTED_VALUE"""),294265.0)</f>
        <v>294265</v>
      </c>
      <c r="E173" s="290" t="str">
        <f>IFERROR(__xludf.DUMMYFUNCTION("""COMPUTED_VALUE"""),"【18禁】スポーツ少女は催淫ドリンクで発情モード～バレー部エースの巨乳JKはエロマッサージで連続絶頂～")</f>
        <v>【18禁】スポーツ少女は催淫ドリンクで発情モード～バレー部エースの巨乳JKはエロマッサージで連続絶頂～</v>
      </c>
      <c r="F173" s="298" t="str">
        <f>IFERROR(__xludf.DUMMYFUNCTION("""COMPUTED_VALUE"""),"wuck / もえまんR")</f>
        <v>wuck / もえまんR</v>
      </c>
      <c r="G173" s="298" t="str">
        <f>IFERROR(__xludf.DUMMYFUNCTION("""COMPUTED_VALUE"""),"オトナコミック")</f>
        <v>オトナコミック</v>
      </c>
      <c r="H173" s="298" t="str">
        <f>IFERROR(__xludf.DUMMYFUNCTION("""COMPUTED_VALUE"""),"2024/11/25～）クレジットカードでの購入のみ停止")</f>
        <v>2024/11/25～）クレジットカードでの購入のみ停止</v>
      </c>
      <c r="I173" s="283"/>
      <c r="J173" s="283"/>
      <c r="K173" s="283"/>
      <c r="L173" s="283"/>
      <c r="M173" s="283"/>
      <c r="N173" s="283"/>
      <c r="O173" s="283"/>
      <c r="P173" s="283"/>
      <c r="Q173" s="278"/>
      <c r="R173" s="278"/>
      <c r="S173" s="278"/>
      <c r="T173" s="278"/>
      <c r="U173" s="278"/>
      <c r="V173" s="278"/>
      <c r="W173" s="278"/>
      <c r="X173" s="278"/>
      <c r="Y173" s="278"/>
      <c r="Z173" s="278"/>
      <c r="AA173" s="278"/>
      <c r="AB173" s="278"/>
      <c r="AC173" s="278"/>
    </row>
    <row r="174" ht="15.75" customHeight="1">
      <c r="A174" s="290" t="str">
        <f>IFERROR(__xludf.DUMMYFUNCTION("""COMPUTED_VALUE"""),"アド・グッド")</f>
        <v>アド・グッド</v>
      </c>
      <c r="B174" s="291">
        <f>IFERROR(__xludf.DUMMYFUNCTION("""COMPUTED_VALUE"""),45618.0)</f>
        <v>45618</v>
      </c>
      <c r="C174" s="292"/>
      <c r="D174" s="293">
        <f>IFERROR(__xludf.DUMMYFUNCTION("""COMPUTED_VALUE"""),301821.0)</f>
        <v>301821</v>
      </c>
      <c r="E174" s="290" t="str">
        <f>IFERROR(__xludf.DUMMYFUNCTION("""COMPUTED_VALUE"""),"発情催淫！ドスケベ女銭湯！～湯の力で女子は即堕ち！番台のオレ専用ハーレム～【合本版】")</f>
        <v>発情催淫！ドスケベ女銭湯！～湯の力で女子は即堕ち！番台のオレ専用ハーレム～【合本版】</v>
      </c>
      <c r="F174" s="298" t="str">
        <f>IFERROR(__xludf.DUMMYFUNCTION("""COMPUTED_VALUE"""),"式部 / もえまん")</f>
        <v>式部 / もえまん</v>
      </c>
      <c r="G174" s="298" t="str">
        <f>IFERROR(__xludf.DUMMYFUNCTION("""COMPUTED_VALUE"""),"オトナコミック")</f>
        <v>オトナコミック</v>
      </c>
      <c r="H174" s="298" t="str">
        <f>IFERROR(__xludf.DUMMYFUNCTION("""COMPUTED_VALUE"""),"2024/11/25～）クレジットカードでの購入のみ停止")</f>
        <v>2024/11/25～）クレジットカードでの購入のみ停止</v>
      </c>
      <c r="I174" s="283"/>
      <c r="J174" s="283"/>
      <c r="K174" s="283"/>
      <c r="L174" s="283"/>
      <c r="M174" s="283"/>
      <c r="N174" s="283"/>
      <c r="O174" s="283"/>
      <c r="P174" s="283"/>
      <c r="Q174" s="278"/>
      <c r="R174" s="278"/>
      <c r="S174" s="278"/>
      <c r="T174" s="278"/>
      <c r="U174" s="278"/>
      <c r="V174" s="278"/>
      <c r="W174" s="278"/>
      <c r="X174" s="278"/>
      <c r="Y174" s="278"/>
      <c r="Z174" s="278"/>
      <c r="AA174" s="278"/>
      <c r="AB174" s="278"/>
      <c r="AC174" s="278"/>
    </row>
    <row r="175" ht="15.75" customHeight="1">
      <c r="A175" s="290" t="str">
        <f>IFERROR(__xludf.DUMMYFUNCTION("""COMPUTED_VALUE"""),"アド・グッド")</f>
        <v>アド・グッド</v>
      </c>
      <c r="B175" s="291">
        <f>IFERROR(__xludf.DUMMYFUNCTION("""COMPUTED_VALUE"""),45618.0)</f>
        <v>45618</v>
      </c>
      <c r="C175" s="292"/>
      <c r="D175" s="293">
        <f>IFERROR(__xludf.DUMMYFUNCTION("""COMPUTED_VALUE"""),305037.0)</f>
        <v>305037</v>
      </c>
      <c r="E175" s="290" t="str">
        <f>IFERROR(__xludf.DUMMYFUNCTION("""COMPUTED_VALUE"""),"彼氏に寝取られナマ配信～無垢な巨乳JK彼女は絶倫チ●ポの言いなりになる～【合本版】")</f>
        <v>彼氏に寝取られナマ配信～無垢な巨乳JK彼女は絶倫チ●ポの言いなりになる～【合本版】</v>
      </c>
      <c r="F175" s="298" t="str">
        <f>IFERROR(__xludf.DUMMYFUNCTION("""COMPUTED_VALUE"""),"もえまん / NIKULABO")</f>
        <v>もえまん / NIKULABO</v>
      </c>
      <c r="G175" s="298" t="str">
        <f>IFERROR(__xludf.DUMMYFUNCTION("""COMPUTED_VALUE"""),"オトナコミック")</f>
        <v>オトナコミック</v>
      </c>
      <c r="H175" s="298" t="str">
        <f>IFERROR(__xludf.DUMMYFUNCTION("""COMPUTED_VALUE"""),"2024/11/25～）クレジットカードでの購入のみ停止")</f>
        <v>2024/11/25～）クレジットカードでの購入のみ停止</v>
      </c>
      <c r="I175" s="283"/>
      <c r="J175" s="283"/>
      <c r="K175" s="283"/>
      <c r="L175" s="283"/>
      <c r="M175" s="283"/>
      <c r="N175" s="283"/>
      <c r="O175" s="283"/>
      <c r="P175" s="283"/>
      <c r="Q175" s="278"/>
      <c r="R175" s="278"/>
      <c r="S175" s="278"/>
      <c r="T175" s="278"/>
      <c r="U175" s="278"/>
      <c r="V175" s="278"/>
      <c r="W175" s="278"/>
      <c r="X175" s="278"/>
      <c r="Y175" s="278"/>
      <c r="Z175" s="278"/>
      <c r="AA175" s="278"/>
      <c r="AB175" s="278"/>
      <c r="AC175" s="278"/>
    </row>
    <row r="176" ht="15.75" customHeight="1">
      <c r="A176" s="290" t="str">
        <f>IFERROR(__xludf.DUMMYFUNCTION("""COMPUTED_VALUE"""),"アムコミ")</f>
        <v>アムコミ</v>
      </c>
      <c r="B176" s="291">
        <f>IFERROR(__xludf.DUMMYFUNCTION("""COMPUTED_VALUE"""),45618.0)</f>
        <v>45618</v>
      </c>
      <c r="C176" s="292"/>
      <c r="D176" s="293">
        <f>IFERROR(__xludf.DUMMYFUNCTION("""COMPUTED_VALUE"""),117249.0)</f>
        <v>117249</v>
      </c>
      <c r="E176" s="290" t="str">
        <f>IFERROR(__xludf.DUMMYFUNCTION("""COMPUTED_VALUE"""),"性徒指導室 先生もう許シテ!")</f>
        <v>性徒指導室 先生もう許シテ!</v>
      </c>
      <c r="F176" s="298" t="str">
        <f>IFERROR(__xludf.DUMMYFUNCTION("""COMPUTED_VALUE"""),"さぬきやん")</f>
        <v>さぬきやん</v>
      </c>
      <c r="G176" s="298" t="str">
        <f>IFERROR(__xludf.DUMMYFUNCTION("""COMPUTED_VALUE"""),"オトナコミック")</f>
        <v>オトナコミック</v>
      </c>
      <c r="H176" s="298" t="str">
        <f>IFERROR(__xludf.DUMMYFUNCTION("""COMPUTED_VALUE"""),"2024/11/25～）クレジットカードでの購入のみ停止")</f>
        <v>2024/11/25～）クレジットカードでの購入のみ停止</v>
      </c>
      <c r="I176" s="283"/>
      <c r="J176" s="283"/>
      <c r="K176" s="283"/>
      <c r="L176" s="283"/>
      <c r="M176" s="283"/>
      <c r="N176" s="283"/>
      <c r="O176" s="283"/>
      <c r="P176" s="283"/>
      <c r="Q176" s="278"/>
      <c r="R176" s="278"/>
      <c r="S176" s="278"/>
      <c r="T176" s="278"/>
      <c r="U176" s="278"/>
      <c r="V176" s="278"/>
      <c r="W176" s="278"/>
      <c r="X176" s="278"/>
      <c r="Y176" s="278"/>
      <c r="Z176" s="278"/>
      <c r="AA176" s="278"/>
      <c r="AB176" s="278"/>
      <c r="AC176" s="278"/>
    </row>
    <row r="177" ht="15.75" customHeight="1">
      <c r="A177" s="290" t="str">
        <f>IFERROR(__xludf.DUMMYFUNCTION("""COMPUTED_VALUE"""),"アロマコミック")</f>
        <v>アロマコミック</v>
      </c>
      <c r="B177" s="291">
        <f>IFERROR(__xludf.DUMMYFUNCTION("""COMPUTED_VALUE"""),45618.0)</f>
        <v>45618</v>
      </c>
      <c r="C177" s="292"/>
      <c r="D177" s="293">
        <f>IFERROR(__xludf.DUMMYFUNCTION("""COMPUTED_VALUE"""),98109.0)</f>
        <v>98109</v>
      </c>
      <c r="E177" s="290" t="str">
        <f>IFERROR(__xludf.DUMMYFUNCTION("""COMPUTED_VALUE"""),"インケン数学教師の性活指導 ～僕がお前を躾けてやる～(フルカラー)")</f>
        <v>インケン数学教師の性活指導 ～僕がお前を躾けてやる～(フルカラー)</v>
      </c>
      <c r="F177" s="298" t="str">
        <f>IFERROR(__xludf.DUMMYFUNCTION("""COMPUTED_VALUE"""),"アロマコミック")</f>
        <v>アロマコミック</v>
      </c>
      <c r="G177" s="298" t="str">
        <f>IFERROR(__xludf.DUMMYFUNCTION("""COMPUTED_VALUE"""),"オトナコミック")</f>
        <v>オトナコミック</v>
      </c>
      <c r="H177" s="298" t="str">
        <f>IFERROR(__xludf.DUMMYFUNCTION("""COMPUTED_VALUE"""),"2024/11/25～）クレジットカードでの購入のみ停止")</f>
        <v>2024/11/25～）クレジットカードでの購入のみ停止</v>
      </c>
      <c r="I177" s="283"/>
      <c r="J177" s="283"/>
      <c r="K177" s="283"/>
      <c r="L177" s="283"/>
      <c r="M177" s="283"/>
      <c r="N177" s="283"/>
      <c r="O177" s="283"/>
      <c r="P177" s="283"/>
      <c r="Q177" s="278"/>
      <c r="R177" s="278"/>
      <c r="S177" s="278"/>
      <c r="T177" s="278"/>
      <c r="U177" s="278"/>
      <c r="V177" s="278"/>
      <c r="W177" s="278"/>
      <c r="X177" s="278"/>
      <c r="Y177" s="278"/>
      <c r="Z177" s="278"/>
      <c r="AA177" s="278"/>
      <c r="AB177" s="278"/>
      <c r="AC177" s="278"/>
    </row>
    <row r="178" ht="15.75" customHeight="1">
      <c r="A178" s="290" t="str">
        <f>IFERROR(__xludf.DUMMYFUNCTION("""COMPUTED_VALUE"""),"アロマコミック")</f>
        <v>アロマコミック</v>
      </c>
      <c r="B178" s="291">
        <f>IFERROR(__xludf.DUMMYFUNCTION("""COMPUTED_VALUE"""),45618.0)</f>
        <v>45618</v>
      </c>
      <c r="C178" s="292"/>
      <c r="D178" s="293">
        <f>IFERROR(__xludf.DUMMYFUNCTION("""COMPUTED_VALUE"""),102933.0)</f>
        <v>102933</v>
      </c>
      <c r="E178" s="290" t="str">
        <f>IFERROR(__xludf.DUMMYFUNCTION("""COMPUTED_VALUE"""),"この学園という檻の中で ～抗えない女生徒を犯した日～(フルカラー)")</f>
        <v>この学園という檻の中で ～抗えない女生徒を犯した日～(フルカラー)</v>
      </c>
      <c r="F178" s="298" t="str">
        <f>IFERROR(__xludf.DUMMYFUNCTION("""COMPUTED_VALUE"""),"アロマコミック / Liquid")</f>
        <v>アロマコミック / Liquid</v>
      </c>
      <c r="G178" s="298" t="str">
        <f>IFERROR(__xludf.DUMMYFUNCTION("""COMPUTED_VALUE"""),"オトナコミック")</f>
        <v>オトナコミック</v>
      </c>
      <c r="H178" s="298" t="str">
        <f>IFERROR(__xludf.DUMMYFUNCTION("""COMPUTED_VALUE"""),"2024/11/25～）クレジットカードでの購入のみ停止")</f>
        <v>2024/11/25～）クレジットカードでの購入のみ停止</v>
      </c>
      <c r="I178" s="283"/>
      <c r="J178" s="283"/>
      <c r="K178" s="283"/>
      <c r="L178" s="283"/>
      <c r="M178" s="283"/>
      <c r="N178" s="283"/>
      <c r="O178" s="283"/>
      <c r="P178" s="283"/>
      <c r="Q178" s="278"/>
      <c r="R178" s="278"/>
      <c r="S178" s="278"/>
      <c r="T178" s="278"/>
      <c r="U178" s="278"/>
      <c r="V178" s="278"/>
      <c r="W178" s="278"/>
      <c r="X178" s="278"/>
      <c r="Y178" s="278"/>
      <c r="Z178" s="278"/>
      <c r="AA178" s="278"/>
      <c r="AB178" s="278"/>
      <c r="AC178" s="278"/>
    </row>
    <row r="179" ht="15.75" customHeight="1">
      <c r="A179" s="290" t="str">
        <f>IFERROR(__xludf.DUMMYFUNCTION("""COMPUTED_VALUE"""),"アロマコミック")</f>
        <v>アロマコミック</v>
      </c>
      <c r="B179" s="291">
        <f>IFERROR(__xludf.DUMMYFUNCTION("""COMPUTED_VALUE"""),45618.0)</f>
        <v>45618</v>
      </c>
      <c r="C179" s="292"/>
      <c r="D179" s="293">
        <f>IFERROR(__xludf.DUMMYFUNCTION("""COMPUTED_VALUE"""),185952.0)</f>
        <v>185952</v>
      </c>
      <c r="E179" s="290" t="str">
        <f>IFERROR(__xludf.DUMMYFUNCTION("""COMPUTED_VALUE"""),"【新装版】祭りのぼっキング！ ～穴があったら挿れないと～")</f>
        <v>【新装版】祭りのぼっキング！ ～穴があったら挿れないと～</v>
      </c>
      <c r="F179" s="298" t="str">
        <f>IFERROR(__xludf.DUMMYFUNCTION("""COMPUTED_VALUE"""),"アロマコミック")</f>
        <v>アロマコミック</v>
      </c>
      <c r="G179" s="298" t="str">
        <f>IFERROR(__xludf.DUMMYFUNCTION("""COMPUTED_VALUE"""),"オトナコミック")</f>
        <v>オトナコミック</v>
      </c>
      <c r="H179" s="298" t="str">
        <f>IFERROR(__xludf.DUMMYFUNCTION("""COMPUTED_VALUE"""),"2024/11/25～）クレジットカードでの購入のみ停止")</f>
        <v>2024/11/25～）クレジットカードでの購入のみ停止</v>
      </c>
      <c r="I179" s="283"/>
      <c r="J179" s="283"/>
      <c r="K179" s="283"/>
      <c r="L179" s="283"/>
      <c r="M179" s="283"/>
      <c r="N179" s="283"/>
      <c r="O179" s="283"/>
      <c r="P179" s="283"/>
      <c r="Q179" s="278"/>
      <c r="R179" s="278"/>
      <c r="S179" s="278"/>
      <c r="T179" s="278"/>
      <c r="U179" s="278"/>
      <c r="V179" s="278"/>
      <c r="W179" s="278"/>
      <c r="X179" s="278"/>
      <c r="Y179" s="278"/>
      <c r="Z179" s="278"/>
      <c r="AA179" s="278"/>
      <c r="AB179" s="278"/>
      <c r="AC179" s="278"/>
    </row>
    <row r="180" ht="15.75" customHeight="1">
      <c r="A180" s="290" t="str">
        <f>IFERROR(__xludf.DUMMYFUNCTION("""COMPUTED_VALUE"""),"アロマコミック")</f>
        <v>アロマコミック</v>
      </c>
      <c r="B180" s="291">
        <f>IFERROR(__xludf.DUMMYFUNCTION("""COMPUTED_VALUE"""),45618.0)</f>
        <v>45618</v>
      </c>
      <c r="C180" s="292"/>
      <c r="D180" s="293">
        <f>IFERROR(__xludf.DUMMYFUNCTION("""COMPUTED_VALUE"""),185953.0)</f>
        <v>185953</v>
      </c>
      <c r="E180" s="290" t="str">
        <f>IFERROR(__xludf.DUMMYFUNCTION("""COMPUTED_VALUE"""),"【新装版】祭りのぼっキング！ ～穴があったら挿れないと～ （単話）")</f>
        <v>【新装版】祭りのぼっキング！ ～穴があったら挿れないと～ （単話）</v>
      </c>
      <c r="F180" s="298" t="str">
        <f>IFERROR(__xludf.DUMMYFUNCTION("""COMPUTED_VALUE"""),"アロマコミック")</f>
        <v>アロマコミック</v>
      </c>
      <c r="G180" s="298" t="str">
        <f>IFERROR(__xludf.DUMMYFUNCTION("""COMPUTED_VALUE"""),"オトナコミック")</f>
        <v>オトナコミック</v>
      </c>
      <c r="H180" s="298" t="str">
        <f>IFERROR(__xludf.DUMMYFUNCTION("""COMPUTED_VALUE"""),"2024/11/25～）クレジットカードでの購入のみ停止")</f>
        <v>2024/11/25～）クレジットカードでの購入のみ停止</v>
      </c>
      <c r="I180" s="283"/>
      <c r="J180" s="283"/>
      <c r="K180" s="283"/>
      <c r="L180" s="283"/>
      <c r="M180" s="283"/>
      <c r="N180" s="283"/>
      <c r="O180" s="283"/>
      <c r="P180" s="283"/>
      <c r="Q180" s="278"/>
      <c r="R180" s="278"/>
      <c r="S180" s="278"/>
      <c r="T180" s="278"/>
      <c r="U180" s="278"/>
      <c r="V180" s="278"/>
      <c r="W180" s="278"/>
      <c r="X180" s="278"/>
      <c r="Y180" s="278"/>
      <c r="Z180" s="278"/>
      <c r="AA180" s="278"/>
      <c r="AB180" s="278"/>
      <c r="AC180" s="278"/>
    </row>
    <row r="181" ht="15.75" customHeight="1">
      <c r="A181" s="290" t="str">
        <f>IFERROR(__xludf.DUMMYFUNCTION("""COMPUTED_VALUE"""),"アロマコミック")</f>
        <v>アロマコミック</v>
      </c>
      <c r="B181" s="291">
        <f>IFERROR(__xludf.DUMMYFUNCTION("""COMPUTED_VALUE"""),45618.0)</f>
        <v>45618</v>
      </c>
      <c r="C181" s="292"/>
      <c r="D181" s="293">
        <f>IFERROR(__xludf.DUMMYFUNCTION("""COMPUTED_VALUE"""),191954.0)</f>
        <v>191954</v>
      </c>
      <c r="E181" s="290" t="str">
        <f>IFERROR(__xludf.DUMMYFUNCTION("""COMPUTED_VALUE"""),"【新装版】インケン数学教師の性活指導 ～僕がお前を躾けてやる～")</f>
        <v>【新装版】インケン数学教師の性活指導 ～僕がお前を躾けてやる～</v>
      </c>
      <c r="F181" s="298" t="str">
        <f>IFERROR(__xludf.DUMMYFUNCTION("""COMPUTED_VALUE"""),"アロマコミック")</f>
        <v>アロマコミック</v>
      </c>
      <c r="G181" s="298" t="str">
        <f>IFERROR(__xludf.DUMMYFUNCTION("""COMPUTED_VALUE"""),"オトナコミック")</f>
        <v>オトナコミック</v>
      </c>
      <c r="H181" s="298" t="str">
        <f>IFERROR(__xludf.DUMMYFUNCTION("""COMPUTED_VALUE"""),"2024/11/25～）クレジットカードでの購入のみ停止")</f>
        <v>2024/11/25～）クレジットカードでの購入のみ停止</v>
      </c>
      <c r="I181" s="283"/>
      <c r="J181" s="283"/>
      <c r="K181" s="283"/>
      <c r="L181" s="283"/>
      <c r="M181" s="283"/>
      <c r="N181" s="283"/>
      <c r="O181" s="283"/>
      <c r="P181" s="283"/>
      <c r="Q181" s="278"/>
      <c r="R181" s="278"/>
      <c r="S181" s="278"/>
      <c r="T181" s="278"/>
      <c r="U181" s="278"/>
      <c r="V181" s="278"/>
      <c r="W181" s="278"/>
      <c r="X181" s="278"/>
      <c r="Y181" s="278"/>
      <c r="Z181" s="278"/>
      <c r="AA181" s="278"/>
      <c r="AB181" s="278"/>
      <c r="AC181" s="278"/>
    </row>
    <row r="182" ht="15.75" customHeight="1">
      <c r="A182" s="290" t="str">
        <f>IFERROR(__xludf.DUMMYFUNCTION("""COMPUTED_VALUE"""),"アロマコミック")</f>
        <v>アロマコミック</v>
      </c>
      <c r="B182" s="291">
        <f>IFERROR(__xludf.DUMMYFUNCTION("""COMPUTED_VALUE"""),45618.0)</f>
        <v>45618</v>
      </c>
      <c r="C182" s="292"/>
      <c r="D182" s="293">
        <f>IFERROR(__xludf.DUMMYFUNCTION("""COMPUTED_VALUE"""),191955.0)</f>
        <v>191955</v>
      </c>
      <c r="E182" s="290" t="str">
        <f>IFERROR(__xludf.DUMMYFUNCTION("""COMPUTED_VALUE"""),"【新装版】インケン数学教師の性活指導 ～僕がお前を躾けてやる～ （単話）")</f>
        <v>【新装版】インケン数学教師の性活指導 ～僕がお前を躾けてやる～ （単話）</v>
      </c>
      <c r="F182" s="298" t="str">
        <f>IFERROR(__xludf.DUMMYFUNCTION("""COMPUTED_VALUE"""),"アロマコミック")</f>
        <v>アロマコミック</v>
      </c>
      <c r="G182" s="298" t="str">
        <f>IFERROR(__xludf.DUMMYFUNCTION("""COMPUTED_VALUE"""),"オトナコミック")</f>
        <v>オトナコミック</v>
      </c>
      <c r="H182" s="298" t="str">
        <f>IFERROR(__xludf.DUMMYFUNCTION("""COMPUTED_VALUE"""),"2024/11/25～）クレジットカードでの購入のみ停止")</f>
        <v>2024/11/25～）クレジットカードでの購入のみ停止</v>
      </c>
      <c r="I182" s="283"/>
      <c r="J182" s="283"/>
      <c r="K182" s="283"/>
      <c r="L182" s="283"/>
      <c r="M182" s="283"/>
      <c r="N182" s="283"/>
      <c r="O182" s="283"/>
      <c r="P182" s="283"/>
      <c r="Q182" s="278"/>
      <c r="R182" s="278"/>
      <c r="S182" s="278"/>
      <c r="T182" s="278"/>
      <c r="U182" s="278"/>
      <c r="V182" s="278"/>
      <c r="W182" s="278"/>
      <c r="X182" s="278"/>
      <c r="Y182" s="278"/>
      <c r="Z182" s="278"/>
      <c r="AA182" s="278"/>
      <c r="AB182" s="278"/>
      <c r="AC182" s="278"/>
    </row>
    <row r="183" ht="15.75" customHeight="1">
      <c r="A183" s="290" t="str">
        <f>IFERROR(__xludf.DUMMYFUNCTION("""COMPUTED_VALUE"""),"アロマコミック")</f>
        <v>アロマコミック</v>
      </c>
      <c r="B183" s="291">
        <f>IFERROR(__xludf.DUMMYFUNCTION("""COMPUTED_VALUE"""),45618.0)</f>
        <v>45618</v>
      </c>
      <c r="C183" s="292"/>
      <c r="D183" s="293">
        <f>IFERROR(__xludf.DUMMYFUNCTION("""COMPUTED_VALUE"""),198916.0)</f>
        <v>198916</v>
      </c>
      <c r="E183" s="290" t="str">
        <f>IFERROR(__xludf.DUMMYFUNCTION("""COMPUTED_VALUE"""),"【新装版】絶望教室 ～教師が女生徒を犯す日～")</f>
        <v>【新装版】絶望教室 ～教師が女生徒を犯す日～</v>
      </c>
      <c r="F183" s="298" t="str">
        <f>IFERROR(__xludf.DUMMYFUNCTION("""COMPUTED_VALUE"""),"アロマコミック")</f>
        <v>アロマコミック</v>
      </c>
      <c r="G183" s="298" t="str">
        <f>IFERROR(__xludf.DUMMYFUNCTION("""COMPUTED_VALUE"""),"オトナコミック")</f>
        <v>オトナコミック</v>
      </c>
      <c r="H183" s="298" t="str">
        <f>IFERROR(__xludf.DUMMYFUNCTION("""COMPUTED_VALUE"""),"2024/11/25～）クレジットカードでの購入のみ停止")</f>
        <v>2024/11/25～）クレジットカードでの購入のみ停止</v>
      </c>
      <c r="I183" s="283"/>
      <c r="J183" s="283"/>
      <c r="K183" s="283"/>
      <c r="L183" s="283"/>
      <c r="M183" s="283"/>
      <c r="N183" s="283"/>
      <c r="O183" s="283"/>
      <c r="P183" s="283"/>
      <c r="Q183" s="278"/>
      <c r="R183" s="278"/>
      <c r="S183" s="278"/>
      <c r="T183" s="278"/>
      <c r="U183" s="278"/>
      <c r="V183" s="278"/>
      <c r="W183" s="278"/>
      <c r="X183" s="278"/>
      <c r="Y183" s="278"/>
      <c r="Z183" s="278"/>
      <c r="AA183" s="278"/>
      <c r="AB183" s="278"/>
      <c r="AC183" s="278"/>
    </row>
    <row r="184" ht="15.75" customHeight="1">
      <c r="A184" s="290" t="str">
        <f>IFERROR(__xludf.DUMMYFUNCTION("""COMPUTED_VALUE"""),"アロマコミック")</f>
        <v>アロマコミック</v>
      </c>
      <c r="B184" s="291">
        <f>IFERROR(__xludf.DUMMYFUNCTION("""COMPUTED_VALUE"""),45618.0)</f>
        <v>45618</v>
      </c>
      <c r="C184" s="292"/>
      <c r="D184" s="293">
        <f>IFERROR(__xludf.DUMMYFUNCTION("""COMPUTED_VALUE"""),198917.0)</f>
        <v>198917</v>
      </c>
      <c r="E184" s="290" t="str">
        <f>IFERROR(__xludf.DUMMYFUNCTION("""COMPUTED_VALUE"""),"【新装版】絶望教室 ～教師が女生徒を犯す日～ （単話）")</f>
        <v>【新装版】絶望教室 ～教師が女生徒を犯す日～ （単話）</v>
      </c>
      <c r="F184" s="298" t="str">
        <f>IFERROR(__xludf.DUMMYFUNCTION("""COMPUTED_VALUE"""),"アロマコミック")</f>
        <v>アロマコミック</v>
      </c>
      <c r="G184" s="298" t="str">
        <f>IFERROR(__xludf.DUMMYFUNCTION("""COMPUTED_VALUE"""),"オトナコミック")</f>
        <v>オトナコミック</v>
      </c>
      <c r="H184" s="298" t="str">
        <f>IFERROR(__xludf.DUMMYFUNCTION("""COMPUTED_VALUE"""),"2024/11/25～）クレジットカードでの購入のみ停止")</f>
        <v>2024/11/25～）クレジットカードでの購入のみ停止</v>
      </c>
      <c r="I184" s="283"/>
      <c r="J184" s="283"/>
      <c r="K184" s="283"/>
      <c r="L184" s="283"/>
      <c r="M184" s="283"/>
      <c r="N184" s="283"/>
      <c r="O184" s="283"/>
      <c r="P184" s="283"/>
      <c r="Q184" s="278"/>
      <c r="R184" s="278"/>
      <c r="S184" s="278"/>
      <c r="T184" s="278"/>
      <c r="U184" s="278"/>
      <c r="V184" s="278"/>
      <c r="W184" s="278"/>
      <c r="X184" s="278"/>
      <c r="Y184" s="278"/>
      <c r="Z184" s="278"/>
      <c r="AA184" s="278"/>
      <c r="AB184" s="278"/>
      <c r="AC184" s="278"/>
    </row>
    <row r="185" ht="15.75" customHeight="1">
      <c r="A185" s="290" t="str">
        <f>IFERROR(__xludf.DUMMYFUNCTION("""COMPUTED_VALUE"""),"アロマコミック")</f>
        <v>アロマコミック</v>
      </c>
      <c r="B185" s="291">
        <f>IFERROR(__xludf.DUMMYFUNCTION("""COMPUTED_VALUE"""),45618.0)</f>
        <v>45618</v>
      </c>
      <c r="C185" s="292"/>
      <c r="D185" s="293">
        <f>IFERROR(__xludf.DUMMYFUNCTION("""COMPUTED_VALUE"""),212722.0)</f>
        <v>212722</v>
      </c>
      <c r="E185" s="290" t="str">
        <f>IFERROR(__xludf.DUMMYFUNCTION("""COMPUTED_VALUE"""),"【新装版】変チン！乱棒仮面スペル＝マスク ～これは体罰ではない、お仕置きだ～")</f>
        <v>【新装版】変チン！乱棒仮面スペル＝マスク ～これは体罰ではない、お仕置きだ～</v>
      </c>
      <c r="F185" s="298" t="str">
        <f>IFERROR(__xludf.DUMMYFUNCTION("""COMPUTED_VALUE"""),"アロマコミック")</f>
        <v>アロマコミック</v>
      </c>
      <c r="G185" s="298" t="str">
        <f>IFERROR(__xludf.DUMMYFUNCTION("""COMPUTED_VALUE"""),"オトナコミック")</f>
        <v>オトナコミック</v>
      </c>
      <c r="H185" s="298" t="str">
        <f>IFERROR(__xludf.DUMMYFUNCTION("""COMPUTED_VALUE"""),"2024/11/25～）クレジットカードでの購入のみ停止")</f>
        <v>2024/11/25～）クレジットカードでの購入のみ停止</v>
      </c>
      <c r="I185" s="283"/>
      <c r="J185" s="283"/>
      <c r="K185" s="283"/>
      <c r="L185" s="283"/>
      <c r="M185" s="283"/>
      <c r="N185" s="283"/>
      <c r="O185" s="283"/>
      <c r="P185" s="283"/>
      <c r="Q185" s="278"/>
      <c r="R185" s="278"/>
      <c r="S185" s="278"/>
      <c r="T185" s="278"/>
      <c r="U185" s="278"/>
      <c r="V185" s="278"/>
      <c r="W185" s="278"/>
      <c r="X185" s="278"/>
      <c r="Y185" s="278"/>
      <c r="Z185" s="278"/>
      <c r="AA185" s="278"/>
      <c r="AB185" s="278"/>
      <c r="AC185" s="278"/>
    </row>
    <row r="186" ht="15.75" customHeight="1">
      <c r="A186" s="290" t="str">
        <f>IFERROR(__xludf.DUMMYFUNCTION("""COMPUTED_VALUE"""),"アロマコミック")</f>
        <v>アロマコミック</v>
      </c>
      <c r="B186" s="291">
        <f>IFERROR(__xludf.DUMMYFUNCTION("""COMPUTED_VALUE"""),45618.0)</f>
        <v>45618</v>
      </c>
      <c r="C186" s="292"/>
      <c r="D186" s="293">
        <f>IFERROR(__xludf.DUMMYFUNCTION("""COMPUTED_VALUE"""),212751.0)</f>
        <v>212751</v>
      </c>
      <c r="E186" s="290" t="str">
        <f>IFERROR(__xludf.DUMMYFUNCTION("""COMPUTED_VALUE"""),"【新装版】変チン！乱棒仮面スペル＝マスク ～これは体罰ではない、お仕置きだ～ （単話）")</f>
        <v>【新装版】変チン！乱棒仮面スペル＝マスク ～これは体罰ではない、お仕置きだ～ （単話）</v>
      </c>
      <c r="F186" s="298" t="str">
        <f>IFERROR(__xludf.DUMMYFUNCTION("""COMPUTED_VALUE"""),"アロマコミック")</f>
        <v>アロマコミック</v>
      </c>
      <c r="G186" s="298" t="str">
        <f>IFERROR(__xludf.DUMMYFUNCTION("""COMPUTED_VALUE"""),"オトナコミック")</f>
        <v>オトナコミック</v>
      </c>
      <c r="H186" s="298" t="str">
        <f>IFERROR(__xludf.DUMMYFUNCTION("""COMPUTED_VALUE"""),"2024/11/25～）クレジットカードでの購入のみ停止")</f>
        <v>2024/11/25～）クレジットカードでの購入のみ停止</v>
      </c>
      <c r="I186" s="283"/>
      <c r="J186" s="283"/>
      <c r="K186" s="283"/>
      <c r="L186" s="283"/>
      <c r="M186" s="283"/>
      <c r="N186" s="283"/>
      <c r="O186" s="283"/>
      <c r="P186" s="283"/>
      <c r="Q186" s="278"/>
      <c r="R186" s="278"/>
      <c r="S186" s="278"/>
      <c r="T186" s="278"/>
      <c r="U186" s="278"/>
      <c r="V186" s="278"/>
      <c r="W186" s="278"/>
      <c r="X186" s="278"/>
      <c r="Y186" s="278"/>
      <c r="Z186" s="278"/>
      <c r="AA186" s="278"/>
      <c r="AB186" s="278"/>
      <c r="AC186" s="278"/>
    </row>
    <row r="187" ht="15.75" customHeight="1">
      <c r="A187" s="290" t="str">
        <f>IFERROR(__xludf.DUMMYFUNCTION("""COMPUTED_VALUE"""),"アロマコミック")</f>
        <v>アロマコミック</v>
      </c>
      <c r="B187" s="291">
        <f>IFERROR(__xludf.DUMMYFUNCTION("""COMPUTED_VALUE"""),45618.0)</f>
        <v>45618</v>
      </c>
      <c r="C187" s="292"/>
      <c r="D187" s="293">
        <f>IFERROR(__xludf.DUMMYFUNCTION("""COMPUTED_VALUE"""),215553.0)</f>
        <v>215553</v>
      </c>
      <c r="E187" s="290" t="str">
        <f>IFERROR(__xludf.DUMMYFUNCTION("""COMPUTED_VALUE"""),"【新装版】この学園という檻の中で ～抗えない女生徒を犯した日～")</f>
        <v>【新装版】この学園という檻の中で ～抗えない女生徒を犯した日～</v>
      </c>
      <c r="F187" s="298" t="str">
        <f>IFERROR(__xludf.DUMMYFUNCTION("""COMPUTED_VALUE"""),"アロマコミック / Liquid")</f>
        <v>アロマコミック / Liquid</v>
      </c>
      <c r="G187" s="298" t="str">
        <f>IFERROR(__xludf.DUMMYFUNCTION("""COMPUTED_VALUE"""),"オトナコミック")</f>
        <v>オトナコミック</v>
      </c>
      <c r="H187" s="298" t="str">
        <f>IFERROR(__xludf.DUMMYFUNCTION("""COMPUTED_VALUE"""),"2024/11/25～）クレジットカードでの購入のみ停止")</f>
        <v>2024/11/25～）クレジットカードでの購入のみ停止</v>
      </c>
      <c r="I187" s="283"/>
      <c r="J187" s="283"/>
      <c r="K187" s="283"/>
      <c r="L187" s="283"/>
      <c r="M187" s="283"/>
      <c r="N187" s="283"/>
      <c r="O187" s="283"/>
      <c r="P187" s="283"/>
      <c r="Q187" s="278"/>
      <c r="R187" s="278"/>
      <c r="S187" s="278"/>
      <c r="T187" s="278"/>
      <c r="U187" s="278"/>
      <c r="V187" s="278"/>
      <c r="W187" s="278"/>
      <c r="X187" s="278"/>
      <c r="Y187" s="278"/>
      <c r="Z187" s="278"/>
      <c r="AA187" s="278"/>
      <c r="AB187" s="278"/>
      <c r="AC187" s="278"/>
    </row>
    <row r="188" ht="15.75" customHeight="1">
      <c r="A188" s="290" t="str">
        <f>IFERROR(__xludf.DUMMYFUNCTION("""COMPUTED_VALUE"""),"アロマコミック")</f>
        <v>アロマコミック</v>
      </c>
      <c r="B188" s="291">
        <f>IFERROR(__xludf.DUMMYFUNCTION("""COMPUTED_VALUE"""),45618.0)</f>
        <v>45618</v>
      </c>
      <c r="C188" s="292"/>
      <c r="D188" s="293">
        <f>IFERROR(__xludf.DUMMYFUNCTION("""COMPUTED_VALUE"""),215555.0)</f>
        <v>215555</v>
      </c>
      <c r="E188" s="290" t="str">
        <f>IFERROR(__xludf.DUMMYFUNCTION("""COMPUTED_VALUE"""),"【新装版】チン生占い『きょうのま●こ』 ～ムケば見つかる開運JK～")</f>
        <v>【新装版】チン生占い『きょうのま●こ』 ～ムケば見つかる開運JK～</v>
      </c>
      <c r="F188" s="298" t="str">
        <f>IFERROR(__xludf.DUMMYFUNCTION("""COMPUTED_VALUE"""),"アロマコミック")</f>
        <v>アロマコミック</v>
      </c>
      <c r="G188" s="298" t="str">
        <f>IFERROR(__xludf.DUMMYFUNCTION("""COMPUTED_VALUE"""),"オトナコミック")</f>
        <v>オトナコミック</v>
      </c>
      <c r="H188" s="298" t="str">
        <f>IFERROR(__xludf.DUMMYFUNCTION("""COMPUTED_VALUE"""),"2024/11/25～）クレジットカードでの購入のみ停止")</f>
        <v>2024/11/25～）クレジットカードでの購入のみ停止</v>
      </c>
      <c r="I188" s="283"/>
      <c r="J188" s="283"/>
      <c r="K188" s="283"/>
      <c r="L188" s="283"/>
      <c r="M188" s="283"/>
      <c r="N188" s="283"/>
      <c r="O188" s="283"/>
      <c r="P188" s="283"/>
      <c r="Q188" s="278"/>
      <c r="R188" s="278"/>
      <c r="S188" s="278"/>
      <c r="T188" s="278"/>
      <c r="U188" s="278"/>
      <c r="V188" s="278"/>
      <c r="W188" s="278"/>
      <c r="X188" s="278"/>
      <c r="Y188" s="278"/>
      <c r="Z188" s="278"/>
      <c r="AA188" s="278"/>
      <c r="AB188" s="278"/>
      <c r="AC188" s="278"/>
    </row>
    <row r="189" ht="15.75" customHeight="1">
      <c r="A189" s="290" t="str">
        <f>IFERROR(__xludf.DUMMYFUNCTION("""COMPUTED_VALUE"""),"アロマコミック")</f>
        <v>アロマコミック</v>
      </c>
      <c r="B189" s="291">
        <f>IFERROR(__xludf.DUMMYFUNCTION("""COMPUTED_VALUE"""),45618.0)</f>
        <v>45618</v>
      </c>
      <c r="C189" s="292"/>
      <c r="D189" s="293">
        <f>IFERROR(__xludf.DUMMYFUNCTION("""COMPUTED_VALUE"""),215557.0)</f>
        <v>215557</v>
      </c>
      <c r="E189" s="290" t="str">
        <f>IFERROR(__xludf.DUMMYFUNCTION("""COMPUTED_VALUE"""),"【新装版】この学園という檻の中で ～抗えない女生徒を犯した日～（単話）")</f>
        <v>【新装版】この学園という檻の中で ～抗えない女生徒を犯した日～（単話）</v>
      </c>
      <c r="F189" s="298" t="str">
        <f>IFERROR(__xludf.DUMMYFUNCTION("""COMPUTED_VALUE"""),"アロマコミック / Liquid")</f>
        <v>アロマコミック / Liquid</v>
      </c>
      <c r="G189" s="298" t="str">
        <f>IFERROR(__xludf.DUMMYFUNCTION("""COMPUTED_VALUE"""),"オトナコミック")</f>
        <v>オトナコミック</v>
      </c>
      <c r="H189" s="298" t="str">
        <f>IFERROR(__xludf.DUMMYFUNCTION("""COMPUTED_VALUE"""),"2024/11/25～）クレジットカードでの購入のみ停止")</f>
        <v>2024/11/25～）クレジットカードでの購入のみ停止</v>
      </c>
      <c r="I189" s="283"/>
      <c r="J189" s="283"/>
      <c r="K189" s="283"/>
      <c r="L189" s="283"/>
      <c r="M189" s="283"/>
      <c r="N189" s="283"/>
      <c r="O189" s="283"/>
      <c r="P189" s="283"/>
      <c r="Q189" s="278"/>
      <c r="R189" s="278"/>
      <c r="S189" s="278"/>
      <c r="T189" s="278"/>
      <c r="U189" s="278"/>
      <c r="V189" s="278"/>
      <c r="W189" s="278"/>
      <c r="X189" s="278"/>
      <c r="Y189" s="278"/>
      <c r="Z189" s="278"/>
      <c r="AA189" s="278"/>
      <c r="AB189" s="278"/>
      <c r="AC189" s="278"/>
    </row>
    <row r="190" ht="15.75" customHeight="1">
      <c r="A190" s="290" t="str">
        <f>IFERROR(__xludf.DUMMYFUNCTION("""COMPUTED_VALUE"""),"アロマコミック")</f>
        <v>アロマコミック</v>
      </c>
      <c r="B190" s="291">
        <f>IFERROR(__xludf.DUMMYFUNCTION("""COMPUTED_VALUE"""),45618.0)</f>
        <v>45618</v>
      </c>
      <c r="C190" s="292"/>
      <c r="D190" s="293">
        <f>IFERROR(__xludf.DUMMYFUNCTION("""COMPUTED_VALUE"""),215559.0)</f>
        <v>215559</v>
      </c>
      <c r="E190" s="290" t="str">
        <f>IFERROR(__xludf.DUMMYFUNCTION("""COMPUTED_VALUE"""),"【新装版】チン生占い『きょうのま●こ』 ～ムケば見つかる開運JK～（単話）")</f>
        <v>【新装版】チン生占い『きょうのま●こ』 ～ムケば見つかる開運JK～（単話）</v>
      </c>
      <c r="F190" s="298" t="str">
        <f>IFERROR(__xludf.DUMMYFUNCTION("""COMPUTED_VALUE"""),"アロマコミック")</f>
        <v>アロマコミック</v>
      </c>
      <c r="G190" s="298" t="str">
        <f>IFERROR(__xludf.DUMMYFUNCTION("""COMPUTED_VALUE"""),"オトナコミック")</f>
        <v>オトナコミック</v>
      </c>
      <c r="H190" s="298" t="str">
        <f>IFERROR(__xludf.DUMMYFUNCTION("""COMPUTED_VALUE"""),"2024/11/25～）クレジットカードでの購入のみ停止")</f>
        <v>2024/11/25～）クレジットカードでの購入のみ停止</v>
      </c>
      <c r="I190" s="283"/>
      <c r="J190" s="283"/>
      <c r="K190" s="283"/>
      <c r="L190" s="283"/>
      <c r="M190" s="283"/>
      <c r="N190" s="283"/>
      <c r="O190" s="283"/>
      <c r="P190" s="283"/>
      <c r="Q190" s="278"/>
      <c r="R190" s="278"/>
      <c r="S190" s="278"/>
      <c r="T190" s="278"/>
      <c r="U190" s="278"/>
      <c r="V190" s="278"/>
      <c r="W190" s="278"/>
      <c r="X190" s="278"/>
      <c r="Y190" s="278"/>
      <c r="Z190" s="278"/>
      <c r="AA190" s="278"/>
      <c r="AB190" s="278"/>
      <c r="AC190" s="278"/>
    </row>
    <row r="191" ht="15.75" customHeight="1">
      <c r="A191" s="290" t="str">
        <f>IFERROR(__xludf.DUMMYFUNCTION("""COMPUTED_VALUE"""),"キリック")</f>
        <v>キリック</v>
      </c>
      <c r="B191" s="291">
        <f>IFERROR(__xludf.DUMMYFUNCTION("""COMPUTED_VALUE"""),45618.0)</f>
        <v>45618</v>
      </c>
      <c r="C191" s="292"/>
      <c r="D191" s="293">
        <f>IFERROR(__xludf.DUMMYFUNCTION("""COMPUTED_VALUE"""),65336.0)</f>
        <v>65336</v>
      </c>
      <c r="E191" s="290" t="str">
        <f>IFERROR(__xludf.DUMMYFUNCTION("""COMPUTED_VALUE"""),"緊縛隷娘達の淫宴")</f>
        <v>緊縛隷娘達の淫宴</v>
      </c>
      <c r="F191" s="298" t="str">
        <f>IFERROR(__xludf.DUMMYFUNCTION("""COMPUTED_VALUE"""),"東航")</f>
        <v>東航</v>
      </c>
      <c r="G191" s="298" t="str">
        <f>IFERROR(__xludf.DUMMYFUNCTION("""COMPUTED_VALUE"""),"オトナコミック")</f>
        <v>オトナコミック</v>
      </c>
      <c r="H191" s="298" t="str">
        <f>IFERROR(__xludf.DUMMYFUNCTION("""COMPUTED_VALUE"""),"2024/11/25～）クレジットカードでの購入のみ停止")</f>
        <v>2024/11/25～）クレジットカードでの購入のみ停止</v>
      </c>
      <c r="I191" s="283"/>
      <c r="J191" s="283"/>
      <c r="K191" s="283"/>
      <c r="L191" s="283"/>
      <c r="M191" s="283"/>
      <c r="N191" s="283"/>
      <c r="O191" s="283"/>
      <c r="P191" s="283"/>
      <c r="Q191" s="278"/>
      <c r="R191" s="278"/>
      <c r="S191" s="278"/>
      <c r="T191" s="278"/>
      <c r="U191" s="278"/>
      <c r="V191" s="278"/>
      <c r="W191" s="278"/>
      <c r="X191" s="278"/>
      <c r="Y191" s="278"/>
      <c r="Z191" s="278"/>
      <c r="AA191" s="278"/>
      <c r="AB191" s="278"/>
      <c r="AC191" s="278"/>
    </row>
    <row r="192" ht="15.75" customHeight="1">
      <c r="A192" s="290" t="str">
        <f>IFERROR(__xludf.DUMMYFUNCTION("""COMPUTED_VALUE"""),"キルタイムコミュニケーション")</f>
        <v>キルタイムコミュニケーション</v>
      </c>
      <c r="B192" s="291">
        <f>IFERROR(__xludf.DUMMYFUNCTION("""COMPUTED_VALUE"""),45618.0)</f>
        <v>45618</v>
      </c>
      <c r="C192" s="292"/>
      <c r="D192" s="293">
        <f>IFERROR(__xludf.DUMMYFUNCTION("""COMPUTED_VALUE"""),114475.0)</f>
        <v>114475</v>
      </c>
      <c r="E192" s="290" t="str">
        <f>IFERROR(__xludf.DUMMYFUNCTION("""COMPUTED_VALUE"""),"がっちり★快楽ランド")</f>
        <v>がっちり★快楽ランド</v>
      </c>
      <c r="F192" s="298" t="str">
        <f>IFERROR(__xludf.DUMMYFUNCTION("""COMPUTED_VALUE"""),"ニム / 神尾96 / しまシュー / かいづか / 山井逆太郎")</f>
        <v>ニム / 神尾96 / しまシュー / かいづか / 山井逆太郎</v>
      </c>
      <c r="G192" s="298" t="str">
        <f>IFERROR(__xludf.DUMMYFUNCTION("""COMPUTED_VALUE"""),"オトナコミック")</f>
        <v>オトナコミック</v>
      </c>
      <c r="H192" s="298" t="str">
        <f>IFERROR(__xludf.DUMMYFUNCTION("""COMPUTED_VALUE"""),"2024/11/25～）クレジットカードでの購入のみ停止")</f>
        <v>2024/11/25～）クレジットカードでの購入のみ停止</v>
      </c>
      <c r="I192" s="283"/>
      <c r="J192" s="283"/>
      <c r="K192" s="283"/>
      <c r="L192" s="283"/>
      <c r="M192" s="283"/>
      <c r="N192" s="283"/>
      <c r="O192" s="283"/>
      <c r="P192" s="283"/>
      <c r="Q192" s="278"/>
      <c r="R192" s="278"/>
      <c r="S192" s="278"/>
      <c r="T192" s="278"/>
      <c r="U192" s="278"/>
      <c r="V192" s="278"/>
      <c r="W192" s="278"/>
      <c r="X192" s="278"/>
      <c r="Y192" s="278"/>
      <c r="Z192" s="278"/>
      <c r="AA192" s="278"/>
      <c r="AB192" s="278"/>
      <c r="AC192" s="278"/>
    </row>
    <row r="193" ht="15.75" customHeight="1">
      <c r="A193" s="290" t="str">
        <f>IFERROR(__xludf.DUMMYFUNCTION("""COMPUTED_VALUE"""),"キルタイムコミュニケーション")</f>
        <v>キルタイムコミュニケーション</v>
      </c>
      <c r="B193" s="291">
        <f>IFERROR(__xludf.DUMMYFUNCTION("""COMPUTED_VALUE"""),45618.0)</f>
        <v>45618</v>
      </c>
      <c r="C193" s="292"/>
      <c r="D193" s="293">
        <f>IFERROR(__xludf.DUMMYFUNCTION("""COMPUTED_VALUE"""),154883.0)</f>
        <v>154883</v>
      </c>
      <c r="E193" s="290" t="str">
        <f>IFERROR(__xludf.DUMMYFUNCTION("""COMPUTED_VALUE"""),"Deep Stalker―ソノ皮デ美少女ニナル―")</f>
        <v>Deep Stalker―ソノ皮デ美少女ニナル―</v>
      </c>
      <c r="F193" s="298" t="str">
        <f>IFERROR(__xludf.DUMMYFUNCTION("""COMPUTED_VALUE"""),"DATE")</f>
        <v>DATE</v>
      </c>
      <c r="G193" s="298" t="str">
        <f>IFERROR(__xludf.DUMMYFUNCTION("""COMPUTED_VALUE"""),"オトナコミック")</f>
        <v>オトナコミック</v>
      </c>
      <c r="H193" s="298" t="str">
        <f>IFERROR(__xludf.DUMMYFUNCTION("""COMPUTED_VALUE"""),"2024/11/25～）クレジットカードでの購入のみ停止")</f>
        <v>2024/11/25～）クレジットカードでの購入のみ停止</v>
      </c>
      <c r="I193" s="283"/>
      <c r="J193" s="283"/>
      <c r="K193" s="283"/>
      <c r="L193" s="283"/>
      <c r="M193" s="283"/>
      <c r="N193" s="283"/>
      <c r="O193" s="283"/>
      <c r="P193" s="283"/>
      <c r="Q193" s="278"/>
      <c r="R193" s="278"/>
      <c r="S193" s="278"/>
      <c r="T193" s="278"/>
      <c r="U193" s="278"/>
      <c r="V193" s="278"/>
      <c r="W193" s="278"/>
      <c r="X193" s="278"/>
      <c r="Y193" s="278"/>
      <c r="Z193" s="278"/>
      <c r="AA193" s="278"/>
      <c r="AB193" s="278"/>
      <c r="AC193" s="278"/>
    </row>
    <row r="194" ht="15.75" customHeight="1">
      <c r="A194" s="290" t="str">
        <f>IFERROR(__xludf.DUMMYFUNCTION("""COMPUTED_VALUE"""),"キルタイムコミュニケーション")</f>
        <v>キルタイムコミュニケーション</v>
      </c>
      <c r="B194" s="291">
        <f>IFERROR(__xludf.DUMMYFUNCTION("""COMPUTED_VALUE"""),45618.0)</f>
        <v>45618</v>
      </c>
      <c r="C194" s="292"/>
      <c r="D194" s="293">
        <f>IFERROR(__xludf.DUMMYFUNCTION("""COMPUTED_VALUE"""),155137.0)</f>
        <v>155137</v>
      </c>
      <c r="E194" s="290" t="str">
        <f>IFERROR(__xludf.DUMMYFUNCTION("""COMPUTED_VALUE"""),"redress")</f>
        <v>redress</v>
      </c>
      <c r="F194" s="298" t="str">
        <f>IFERROR(__xludf.DUMMYFUNCTION("""COMPUTED_VALUE"""),"科手黒")</f>
        <v>科手黒</v>
      </c>
      <c r="G194" s="298" t="str">
        <f>IFERROR(__xludf.DUMMYFUNCTION("""COMPUTED_VALUE"""),"オトナコミック")</f>
        <v>オトナコミック</v>
      </c>
      <c r="H194" s="298" t="str">
        <f>IFERROR(__xludf.DUMMYFUNCTION("""COMPUTED_VALUE"""),"2024/11/25～）クレジットカードでの購入のみ停止")</f>
        <v>2024/11/25～）クレジットカードでの購入のみ停止</v>
      </c>
      <c r="I194" s="283"/>
      <c r="J194" s="283"/>
      <c r="K194" s="283"/>
      <c r="L194" s="283"/>
      <c r="M194" s="283"/>
      <c r="N194" s="283"/>
      <c r="O194" s="283"/>
      <c r="P194" s="283"/>
      <c r="Q194" s="278"/>
      <c r="R194" s="278"/>
      <c r="S194" s="278"/>
      <c r="T194" s="278"/>
      <c r="U194" s="278"/>
      <c r="V194" s="278"/>
      <c r="W194" s="278"/>
      <c r="X194" s="278"/>
      <c r="Y194" s="278"/>
      <c r="Z194" s="278"/>
      <c r="AA194" s="278"/>
      <c r="AB194" s="278"/>
      <c r="AC194" s="278"/>
    </row>
    <row r="195" ht="15.75" customHeight="1">
      <c r="A195" s="290" t="str">
        <f>IFERROR(__xludf.DUMMYFUNCTION("""COMPUTED_VALUE"""),"キルタイムコミュニケーション")</f>
        <v>キルタイムコミュニケーション</v>
      </c>
      <c r="B195" s="291">
        <f>IFERROR(__xludf.DUMMYFUNCTION("""COMPUTED_VALUE"""),45618.0)</f>
        <v>45618</v>
      </c>
      <c r="C195" s="292"/>
      <c r="D195" s="293">
        <f>IFERROR(__xludf.DUMMYFUNCTION("""COMPUTED_VALUE"""),155160.0)</f>
        <v>155160</v>
      </c>
      <c r="E195" s="290" t="str">
        <f>IFERROR(__xludf.DUMMYFUNCTION("""COMPUTED_VALUE"""),"ヒロイック・マニア")</f>
        <v>ヒロイック・マニア</v>
      </c>
      <c r="F195" s="298" t="str">
        <f>IFERROR(__xludf.DUMMYFUNCTION("""COMPUTED_VALUE"""),"ウメ吉")</f>
        <v>ウメ吉</v>
      </c>
      <c r="G195" s="298" t="str">
        <f>IFERROR(__xludf.DUMMYFUNCTION("""COMPUTED_VALUE"""),"オトナコミック")</f>
        <v>オトナコミック</v>
      </c>
      <c r="H195" s="298" t="str">
        <f>IFERROR(__xludf.DUMMYFUNCTION("""COMPUTED_VALUE"""),"2024/11/25～）クレジットカードでの購入のみ停止")</f>
        <v>2024/11/25～）クレジットカードでの購入のみ停止</v>
      </c>
      <c r="I195" s="283"/>
      <c r="J195" s="283"/>
      <c r="K195" s="283"/>
      <c r="L195" s="283"/>
      <c r="M195" s="283"/>
      <c r="N195" s="283"/>
      <c r="O195" s="283"/>
      <c r="P195" s="283"/>
      <c r="Q195" s="278"/>
      <c r="R195" s="278"/>
      <c r="S195" s="278"/>
      <c r="T195" s="278"/>
      <c r="U195" s="278"/>
      <c r="V195" s="278"/>
      <c r="W195" s="278"/>
      <c r="X195" s="278"/>
      <c r="Y195" s="278"/>
      <c r="Z195" s="278"/>
      <c r="AA195" s="278"/>
      <c r="AB195" s="278"/>
      <c r="AC195" s="278"/>
    </row>
    <row r="196" ht="15.75" customHeight="1">
      <c r="A196" s="290" t="str">
        <f>IFERROR(__xludf.DUMMYFUNCTION("""COMPUTED_VALUE"""),"キルタイムコミュニケーション")</f>
        <v>キルタイムコミュニケーション</v>
      </c>
      <c r="B196" s="291">
        <f>IFERROR(__xludf.DUMMYFUNCTION("""COMPUTED_VALUE"""),45618.0)</f>
        <v>45618</v>
      </c>
      <c r="C196" s="292"/>
      <c r="D196" s="293">
        <f>IFERROR(__xludf.DUMMYFUNCTION("""COMPUTED_VALUE"""),155161.0)</f>
        <v>155161</v>
      </c>
      <c r="E196" s="290" t="str">
        <f>IFERROR(__xludf.DUMMYFUNCTION("""COMPUTED_VALUE"""),"ファンタジー★えっち")</f>
        <v>ファンタジー★えっち</v>
      </c>
      <c r="F196" s="298" t="str">
        <f>IFERROR(__xludf.DUMMYFUNCTION("""COMPUTED_VALUE"""),"さき千鈴")</f>
        <v>さき千鈴</v>
      </c>
      <c r="G196" s="298" t="str">
        <f>IFERROR(__xludf.DUMMYFUNCTION("""COMPUTED_VALUE"""),"オトナコミック")</f>
        <v>オトナコミック</v>
      </c>
      <c r="H196" s="298" t="str">
        <f>IFERROR(__xludf.DUMMYFUNCTION("""COMPUTED_VALUE"""),"2024/11/25～）クレジットカードでの購入のみ停止")</f>
        <v>2024/11/25～）クレジットカードでの購入のみ停止</v>
      </c>
      <c r="I196" s="283"/>
      <c r="J196" s="283"/>
      <c r="K196" s="283"/>
      <c r="L196" s="283"/>
      <c r="M196" s="283"/>
      <c r="N196" s="283"/>
      <c r="O196" s="283"/>
      <c r="P196" s="283"/>
      <c r="Q196" s="278"/>
      <c r="R196" s="278"/>
      <c r="S196" s="278"/>
      <c r="T196" s="278"/>
      <c r="U196" s="278"/>
      <c r="V196" s="278"/>
      <c r="W196" s="278"/>
      <c r="X196" s="278"/>
      <c r="Y196" s="278"/>
      <c r="Z196" s="278"/>
      <c r="AA196" s="278"/>
      <c r="AB196" s="278"/>
      <c r="AC196" s="278"/>
    </row>
    <row r="197" ht="15.75" customHeight="1">
      <c r="A197" s="290" t="str">
        <f>IFERROR(__xludf.DUMMYFUNCTION("""COMPUTED_VALUE"""),"キルタイムコミュニケーション")</f>
        <v>キルタイムコミュニケーション</v>
      </c>
      <c r="B197" s="291">
        <f>IFERROR(__xludf.DUMMYFUNCTION("""COMPUTED_VALUE"""),45618.0)</f>
        <v>45618</v>
      </c>
      <c r="C197" s="292"/>
      <c r="D197" s="293">
        <f>IFERROR(__xludf.DUMMYFUNCTION("""COMPUTED_VALUE"""),155164.0)</f>
        <v>155164</v>
      </c>
      <c r="E197" s="290" t="str">
        <f>IFERROR(__xludf.DUMMYFUNCTION("""COMPUTED_VALUE"""),"ふにぷにデイズ")</f>
        <v>ふにぷにデイズ</v>
      </c>
      <c r="F197" s="298" t="str">
        <f>IFERROR(__xludf.DUMMYFUNCTION("""COMPUTED_VALUE"""),"歌麿")</f>
        <v>歌麿</v>
      </c>
      <c r="G197" s="298" t="str">
        <f>IFERROR(__xludf.DUMMYFUNCTION("""COMPUTED_VALUE"""),"オトナコミック")</f>
        <v>オトナコミック</v>
      </c>
      <c r="H197" s="298" t="str">
        <f>IFERROR(__xludf.DUMMYFUNCTION("""COMPUTED_VALUE"""),"2024/11/25～）クレジットカードでの購入のみ停止")</f>
        <v>2024/11/25～）クレジットカードでの購入のみ停止</v>
      </c>
      <c r="I197" s="283"/>
      <c r="J197" s="283"/>
      <c r="K197" s="283"/>
      <c r="L197" s="283"/>
      <c r="M197" s="283"/>
      <c r="N197" s="283"/>
      <c r="O197" s="283"/>
      <c r="P197" s="283"/>
      <c r="Q197" s="278"/>
      <c r="R197" s="278"/>
      <c r="S197" s="278"/>
      <c r="T197" s="278"/>
      <c r="U197" s="278"/>
      <c r="V197" s="278"/>
      <c r="W197" s="278"/>
      <c r="X197" s="278"/>
      <c r="Y197" s="278"/>
      <c r="Z197" s="278"/>
      <c r="AA197" s="278"/>
      <c r="AB197" s="278"/>
      <c r="AC197" s="278"/>
    </row>
    <row r="198" ht="15.75" customHeight="1">
      <c r="A198" s="290" t="str">
        <f>IFERROR(__xludf.DUMMYFUNCTION("""COMPUTED_VALUE"""),"キルタイムコミュニケーション")</f>
        <v>キルタイムコミュニケーション</v>
      </c>
      <c r="B198" s="291">
        <f>IFERROR(__xludf.DUMMYFUNCTION("""COMPUTED_VALUE"""),45618.0)</f>
        <v>45618</v>
      </c>
      <c r="C198" s="292"/>
      <c r="D198" s="293">
        <f>IFERROR(__xludf.DUMMYFUNCTION("""COMPUTED_VALUE"""),155174.0)</f>
        <v>155174</v>
      </c>
      <c r="E198" s="290" t="str">
        <f>IFERROR(__xludf.DUMMYFUNCTION("""COMPUTED_VALUE"""),"異種姦幻想戯画")</f>
        <v>異種姦幻想戯画</v>
      </c>
      <c r="F198" s="298" t="str">
        <f>IFERROR(__xludf.DUMMYFUNCTION("""COMPUTED_VALUE"""),"松波留美")</f>
        <v>松波留美</v>
      </c>
      <c r="G198" s="298" t="str">
        <f>IFERROR(__xludf.DUMMYFUNCTION("""COMPUTED_VALUE"""),"オトナコミック")</f>
        <v>オトナコミック</v>
      </c>
      <c r="H198" s="298" t="str">
        <f>IFERROR(__xludf.DUMMYFUNCTION("""COMPUTED_VALUE"""),"2024/11/25～）クレジットカードでの購入のみ停止")</f>
        <v>2024/11/25～）クレジットカードでの購入のみ停止</v>
      </c>
      <c r="I198" s="283"/>
      <c r="J198" s="283"/>
      <c r="K198" s="283"/>
      <c r="L198" s="283"/>
      <c r="M198" s="283"/>
      <c r="N198" s="283"/>
      <c r="O198" s="283"/>
      <c r="P198" s="283"/>
      <c r="Q198" s="278"/>
      <c r="R198" s="278"/>
      <c r="S198" s="278"/>
      <c r="T198" s="278"/>
      <c r="U198" s="278"/>
      <c r="V198" s="278"/>
      <c r="W198" s="278"/>
      <c r="X198" s="278"/>
      <c r="Y198" s="278"/>
      <c r="Z198" s="278"/>
      <c r="AA198" s="278"/>
      <c r="AB198" s="278"/>
      <c r="AC198" s="278"/>
    </row>
    <row r="199" ht="15.75" customHeight="1">
      <c r="A199" s="290" t="str">
        <f>IFERROR(__xludf.DUMMYFUNCTION("""COMPUTED_VALUE"""),"キルタイムコミュニケーション")</f>
        <v>キルタイムコミュニケーション</v>
      </c>
      <c r="B199" s="291">
        <f>IFERROR(__xludf.DUMMYFUNCTION("""COMPUTED_VALUE"""),45618.0)</f>
        <v>45618</v>
      </c>
      <c r="C199" s="292"/>
      <c r="D199" s="293">
        <f>IFERROR(__xludf.DUMMYFUNCTION("""COMPUTED_VALUE"""),155193.0)</f>
        <v>155193</v>
      </c>
      <c r="E199" s="290" t="str">
        <f>IFERROR(__xludf.DUMMYFUNCTION("""COMPUTED_VALUE"""),"監獄戦艦")</f>
        <v>監獄戦艦</v>
      </c>
      <c r="F199" s="298" t="str">
        <f>IFERROR(__xludf.DUMMYFUNCTION("""COMPUTED_VALUE"""),"楠木りん / ＡｎｉｍｅＬｉＬｉＴＨ")</f>
        <v>楠木りん / ＡｎｉｍｅＬｉＬｉＴＨ</v>
      </c>
      <c r="G199" s="298" t="str">
        <f>IFERROR(__xludf.DUMMYFUNCTION("""COMPUTED_VALUE"""),"オトナコミック")</f>
        <v>オトナコミック</v>
      </c>
      <c r="H199" s="298" t="str">
        <f>IFERROR(__xludf.DUMMYFUNCTION("""COMPUTED_VALUE"""),"2024/11/25～）クレジットカードでの購入のみ停止")</f>
        <v>2024/11/25～）クレジットカードでの購入のみ停止</v>
      </c>
      <c r="I199" s="283"/>
      <c r="J199" s="283"/>
      <c r="K199" s="283"/>
      <c r="L199" s="283"/>
      <c r="M199" s="283"/>
      <c r="N199" s="283"/>
      <c r="O199" s="283"/>
      <c r="P199" s="283"/>
      <c r="Q199" s="278"/>
      <c r="R199" s="278"/>
      <c r="S199" s="278"/>
      <c r="T199" s="278"/>
      <c r="U199" s="278"/>
      <c r="V199" s="278"/>
      <c r="W199" s="278"/>
      <c r="X199" s="278"/>
      <c r="Y199" s="278"/>
      <c r="Z199" s="278"/>
      <c r="AA199" s="278"/>
      <c r="AB199" s="278"/>
      <c r="AC199" s="278"/>
    </row>
    <row r="200" ht="15.75" customHeight="1">
      <c r="A200" s="290" t="str">
        <f>IFERROR(__xludf.DUMMYFUNCTION("""COMPUTED_VALUE"""),"キルタイムコミュニケーション")</f>
        <v>キルタイムコミュニケーション</v>
      </c>
      <c r="B200" s="291">
        <f>IFERROR(__xludf.DUMMYFUNCTION("""COMPUTED_VALUE"""),45618.0)</f>
        <v>45618</v>
      </c>
      <c r="C200" s="292"/>
      <c r="D200" s="293">
        <f>IFERROR(__xludf.DUMMYFUNCTION("""COMPUTED_VALUE"""),155198.0)</f>
        <v>155198</v>
      </c>
      <c r="E200" s="290" t="str">
        <f>IFERROR(__xludf.DUMMYFUNCTION("""COMPUTED_VALUE"""),"高浜太郎アートワークス")</f>
        <v>高浜太郎アートワークス</v>
      </c>
      <c r="F200" s="298" t="str">
        <f>IFERROR(__xludf.DUMMYFUNCTION("""COMPUTED_VALUE"""),"高浜太郎")</f>
        <v>高浜太郎</v>
      </c>
      <c r="G200" s="298" t="str">
        <f>IFERROR(__xludf.DUMMYFUNCTION("""COMPUTED_VALUE"""),"オトナコミック")</f>
        <v>オトナコミック</v>
      </c>
      <c r="H200" s="298" t="str">
        <f>IFERROR(__xludf.DUMMYFUNCTION("""COMPUTED_VALUE"""),"2024/11/25～）クレジットカードでの購入のみ停止")</f>
        <v>2024/11/25～）クレジットカードでの購入のみ停止</v>
      </c>
      <c r="I200" s="283"/>
      <c r="J200" s="283"/>
      <c r="K200" s="283"/>
      <c r="L200" s="283"/>
      <c r="M200" s="283"/>
      <c r="N200" s="283"/>
      <c r="O200" s="283"/>
      <c r="P200" s="283"/>
      <c r="Q200" s="278"/>
      <c r="R200" s="278"/>
      <c r="S200" s="278"/>
      <c r="T200" s="278"/>
      <c r="U200" s="278"/>
      <c r="V200" s="278"/>
      <c r="W200" s="278"/>
      <c r="X200" s="278"/>
      <c r="Y200" s="278"/>
      <c r="Z200" s="278"/>
      <c r="AA200" s="278"/>
      <c r="AB200" s="278"/>
      <c r="AC200" s="278"/>
    </row>
    <row r="201" ht="15.75" customHeight="1">
      <c r="A201" s="290" t="str">
        <f>IFERROR(__xludf.DUMMYFUNCTION("""COMPUTED_VALUE"""),"キルタイムコミュニケーション")</f>
        <v>キルタイムコミュニケーション</v>
      </c>
      <c r="B201" s="291">
        <f>IFERROR(__xludf.DUMMYFUNCTION("""COMPUTED_VALUE"""),45618.0)</f>
        <v>45618</v>
      </c>
      <c r="C201" s="292"/>
      <c r="D201" s="293">
        <f>IFERROR(__xludf.DUMMYFUNCTION("""COMPUTED_VALUE"""),155201.0)</f>
        <v>155201</v>
      </c>
      <c r="E201" s="290" t="str">
        <f>IFERROR(__xludf.DUMMYFUNCTION("""COMPUTED_VALUE"""),"散らされた純潔 ──女子校生 淫夢の放課後── コミック版")</f>
        <v>散らされた純潔 ──女子校生 淫夢の放課後── コミック版</v>
      </c>
      <c r="F201" s="298" t="str">
        <f>IFERROR(__xludf.DUMMYFUNCTION("""COMPUTED_VALUE"""),"御前零士 / 猫丸")</f>
        <v>御前零士 / 猫丸</v>
      </c>
      <c r="G201" s="298" t="str">
        <f>IFERROR(__xludf.DUMMYFUNCTION("""COMPUTED_VALUE"""),"オトナコミック")</f>
        <v>オトナコミック</v>
      </c>
      <c r="H201" s="298" t="str">
        <f>IFERROR(__xludf.DUMMYFUNCTION("""COMPUTED_VALUE"""),"2024/11/25～）クレジットカードでの購入のみ停止")</f>
        <v>2024/11/25～）クレジットカードでの購入のみ停止</v>
      </c>
      <c r="I201" s="283"/>
      <c r="J201" s="283"/>
      <c r="K201" s="283"/>
      <c r="L201" s="283"/>
      <c r="M201" s="283"/>
      <c r="N201" s="283"/>
      <c r="O201" s="283"/>
      <c r="P201" s="283"/>
      <c r="Q201" s="278"/>
      <c r="R201" s="278"/>
      <c r="S201" s="278"/>
      <c r="T201" s="278"/>
      <c r="U201" s="278"/>
      <c r="V201" s="278"/>
      <c r="W201" s="278"/>
      <c r="X201" s="278"/>
      <c r="Y201" s="278"/>
      <c r="Z201" s="278"/>
      <c r="AA201" s="278"/>
      <c r="AB201" s="278"/>
      <c r="AC201" s="278"/>
    </row>
    <row r="202" ht="15.75" customHeight="1">
      <c r="A202" s="290" t="str">
        <f>IFERROR(__xludf.DUMMYFUNCTION("""COMPUTED_VALUE"""),"キルタイムコミュニケーション")</f>
        <v>キルタイムコミュニケーション</v>
      </c>
      <c r="B202" s="291">
        <f>IFERROR(__xludf.DUMMYFUNCTION("""COMPUTED_VALUE"""),45618.0)</f>
        <v>45618</v>
      </c>
      <c r="C202" s="292"/>
      <c r="D202" s="293">
        <f>IFERROR(__xludf.DUMMYFUNCTION("""COMPUTED_VALUE"""),155226.0)</f>
        <v>155226</v>
      </c>
      <c r="E202" s="290" t="str">
        <f>IFERROR(__xludf.DUMMYFUNCTION("""COMPUTED_VALUE"""),"聖戦姫ソウルギア")</f>
        <v>聖戦姫ソウルギア</v>
      </c>
      <c r="F202" s="298" t="str">
        <f>IFERROR(__xludf.DUMMYFUNCTION("""COMPUTED_VALUE"""),"天道まさえ")</f>
        <v>天道まさえ</v>
      </c>
      <c r="G202" s="298" t="str">
        <f>IFERROR(__xludf.DUMMYFUNCTION("""COMPUTED_VALUE"""),"オトナコミック")</f>
        <v>オトナコミック</v>
      </c>
      <c r="H202" s="298" t="str">
        <f>IFERROR(__xludf.DUMMYFUNCTION("""COMPUTED_VALUE"""),"2024/11/25～）クレジットカードでの購入のみ停止")</f>
        <v>2024/11/25～）クレジットカードでの購入のみ停止</v>
      </c>
      <c r="I202" s="283"/>
      <c r="J202" s="283"/>
      <c r="K202" s="283"/>
      <c r="L202" s="283"/>
      <c r="M202" s="283"/>
      <c r="N202" s="283"/>
      <c r="O202" s="283"/>
      <c r="P202" s="283"/>
      <c r="Q202" s="278"/>
      <c r="R202" s="278"/>
      <c r="S202" s="278"/>
      <c r="T202" s="278"/>
      <c r="U202" s="278"/>
      <c r="V202" s="278"/>
      <c r="W202" s="278"/>
      <c r="X202" s="278"/>
      <c r="Y202" s="278"/>
      <c r="Z202" s="278"/>
      <c r="AA202" s="278"/>
      <c r="AB202" s="278"/>
      <c r="AC202" s="278"/>
    </row>
    <row r="203" ht="15.75" customHeight="1">
      <c r="A203" s="290" t="str">
        <f>IFERROR(__xludf.DUMMYFUNCTION("""COMPUTED_VALUE"""),"キルタイムコミュニケーション")</f>
        <v>キルタイムコミュニケーション</v>
      </c>
      <c r="B203" s="291">
        <f>IFERROR(__xludf.DUMMYFUNCTION("""COMPUTED_VALUE"""),45618.0)</f>
        <v>45618</v>
      </c>
      <c r="C203" s="292"/>
      <c r="D203" s="293">
        <f>IFERROR(__xludf.DUMMYFUNCTION("""COMPUTED_VALUE"""),155233.0)</f>
        <v>155233</v>
      </c>
      <c r="E203" s="290" t="str">
        <f>IFERROR(__xludf.DUMMYFUNCTION("""COMPUTED_VALUE"""),"戦乙女、快楽ニ呑マレイク")</f>
        <v>戦乙女、快楽ニ呑マレイク</v>
      </c>
      <c r="F203" s="298" t="str">
        <f>IFERROR(__xludf.DUMMYFUNCTION("""COMPUTED_VALUE"""),"しーあーる")</f>
        <v>しーあーる</v>
      </c>
      <c r="G203" s="298" t="str">
        <f>IFERROR(__xludf.DUMMYFUNCTION("""COMPUTED_VALUE"""),"オトナコミック")</f>
        <v>オトナコミック</v>
      </c>
      <c r="H203" s="298" t="str">
        <f>IFERROR(__xludf.DUMMYFUNCTION("""COMPUTED_VALUE"""),"2024/11/25～）クレジットカードでの購入のみ停止")</f>
        <v>2024/11/25～）クレジットカードでの購入のみ停止</v>
      </c>
      <c r="I203" s="283"/>
      <c r="J203" s="283"/>
      <c r="K203" s="283"/>
      <c r="L203" s="283"/>
      <c r="M203" s="283"/>
      <c r="N203" s="283"/>
      <c r="O203" s="283"/>
      <c r="P203" s="283"/>
      <c r="Q203" s="278"/>
      <c r="R203" s="278"/>
      <c r="S203" s="278"/>
      <c r="T203" s="278"/>
      <c r="U203" s="278"/>
      <c r="V203" s="278"/>
      <c r="W203" s="278"/>
      <c r="X203" s="278"/>
      <c r="Y203" s="278"/>
      <c r="Z203" s="278"/>
      <c r="AA203" s="278"/>
      <c r="AB203" s="278"/>
      <c r="AC203" s="278"/>
    </row>
    <row r="204" ht="15.75" customHeight="1">
      <c r="A204" s="290" t="str">
        <f>IFERROR(__xludf.DUMMYFUNCTION("""COMPUTED_VALUE"""),"キルタイムコミュニケーション")</f>
        <v>キルタイムコミュニケーション</v>
      </c>
      <c r="B204" s="291">
        <f>IFERROR(__xludf.DUMMYFUNCTION("""COMPUTED_VALUE"""),45618.0)</f>
        <v>45618</v>
      </c>
      <c r="C204" s="292"/>
      <c r="D204" s="293">
        <f>IFERROR(__xludf.DUMMYFUNCTION("""COMPUTED_VALUE"""),155235.0)</f>
        <v>155235</v>
      </c>
      <c r="E204" s="290" t="str">
        <f>IFERROR(__xludf.DUMMYFUNCTION("""COMPUTED_VALUE"""),"戦姫魔導伝アスカ&amp;シズル")</f>
        <v>戦姫魔導伝アスカ&amp;シズル</v>
      </c>
      <c r="F204" s="298" t="str">
        <f>IFERROR(__xludf.DUMMYFUNCTION("""COMPUTED_VALUE"""),"竜胆")</f>
        <v>竜胆</v>
      </c>
      <c r="G204" s="298" t="str">
        <f>IFERROR(__xludf.DUMMYFUNCTION("""COMPUTED_VALUE"""),"オトナコミック")</f>
        <v>オトナコミック</v>
      </c>
      <c r="H204" s="298" t="str">
        <f>IFERROR(__xludf.DUMMYFUNCTION("""COMPUTED_VALUE"""),"2024/11/25～）クレジットカードでの購入のみ停止")</f>
        <v>2024/11/25～）クレジットカードでの購入のみ停止</v>
      </c>
      <c r="I204" s="283"/>
      <c r="J204" s="283"/>
      <c r="K204" s="283"/>
      <c r="L204" s="283"/>
      <c r="M204" s="283"/>
      <c r="N204" s="283"/>
      <c r="O204" s="283"/>
      <c r="P204" s="283"/>
      <c r="Q204" s="278"/>
      <c r="R204" s="278"/>
      <c r="S204" s="278"/>
      <c r="T204" s="278"/>
      <c r="U204" s="278"/>
      <c r="V204" s="278"/>
      <c r="W204" s="278"/>
      <c r="X204" s="278"/>
      <c r="Y204" s="278"/>
      <c r="Z204" s="278"/>
      <c r="AA204" s="278"/>
      <c r="AB204" s="278"/>
      <c r="AC204" s="278"/>
    </row>
    <row r="205" ht="15.75" customHeight="1">
      <c r="A205" s="290" t="str">
        <f>IFERROR(__xludf.DUMMYFUNCTION("""COMPUTED_VALUE"""),"キルタイムコミュニケーション")</f>
        <v>キルタイムコミュニケーション</v>
      </c>
      <c r="B205" s="291">
        <f>IFERROR(__xludf.DUMMYFUNCTION("""COMPUTED_VALUE"""),45618.0)</f>
        <v>45618</v>
      </c>
      <c r="C205" s="292"/>
      <c r="D205" s="293">
        <f>IFERROR(__xludf.DUMMYFUNCTION("""COMPUTED_VALUE"""),155237.0)</f>
        <v>155237</v>
      </c>
      <c r="E205" s="290" t="str">
        <f>IFERROR(__xludf.DUMMYFUNCTION("""COMPUTED_VALUE"""),"堕ちた天使は儚くも")</f>
        <v>堕ちた天使は儚くも</v>
      </c>
      <c r="F205" s="298" t="str">
        <f>IFERROR(__xludf.DUMMYFUNCTION("""COMPUTED_VALUE"""),"大月渉")</f>
        <v>大月渉</v>
      </c>
      <c r="G205" s="298" t="str">
        <f>IFERROR(__xludf.DUMMYFUNCTION("""COMPUTED_VALUE"""),"オトナコミック")</f>
        <v>オトナコミック</v>
      </c>
      <c r="H205" s="298" t="str">
        <f>IFERROR(__xludf.DUMMYFUNCTION("""COMPUTED_VALUE"""),"2024/11/25～）クレジットカードでの購入のみ停止")</f>
        <v>2024/11/25～）クレジットカードでの購入のみ停止</v>
      </c>
      <c r="I205" s="283"/>
      <c r="J205" s="283"/>
      <c r="K205" s="283"/>
      <c r="L205" s="283"/>
      <c r="M205" s="283"/>
      <c r="N205" s="283"/>
      <c r="O205" s="283"/>
      <c r="P205" s="283"/>
      <c r="Q205" s="278"/>
      <c r="R205" s="278"/>
      <c r="S205" s="278"/>
      <c r="T205" s="278"/>
      <c r="U205" s="278"/>
      <c r="V205" s="278"/>
      <c r="W205" s="278"/>
      <c r="X205" s="278"/>
      <c r="Y205" s="278"/>
      <c r="Z205" s="278"/>
      <c r="AA205" s="278"/>
      <c r="AB205" s="278"/>
      <c r="AC205" s="278"/>
    </row>
    <row r="206" ht="15.75" customHeight="1">
      <c r="A206" s="290" t="str">
        <f>IFERROR(__xludf.DUMMYFUNCTION("""COMPUTED_VALUE"""),"キルタイムコミュニケーション")</f>
        <v>キルタイムコミュニケーション</v>
      </c>
      <c r="B206" s="291">
        <f>IFERROR(__xludf.DUMMYFUNCTION("""COMPUTED_VALUE"""),45618.0)</f>
        <v>45618</v>
      </c>
      <c r="C206" s="292"/>
      <c r="D206" s="293">
        <f>IFERROR(__xludf.DUMMYFUNCTION("""COMPUTED_VALUE"""),155258.0)</f>
        <v>155258</v>
      </c>
      <c r="E206" s="290" t="str">
        <f>IFERROR(__xludf.DUMMYFUNCTION("""COMPUTED_VALUE"""),"二次元コミックマガジン アナル姦で悶絶ケツマンアクメ!")</f>
        <v>二次元コミックマガジン アナル姦で悶絶ケツマンアクメ!</v>
      </c>
      <c r="F206" s="298" t="str">
        <f>IFERROR(__xludf.DUMMYFUNCTION("""COMPUTED_VALUE"""),"一弘 / アクオチスキー先生 / runa")</f>
        <v>一弘 / アクオチスキー先生 / runa</v>
      </c>
      <c r="G206" s="298" t="str">
        <f>IFERROR(__xludf.DUMMYFUNCTION("""COMPUTED_VALUE"""),"オトナコミック")</f>
        <v>オトナコミック</v>
      </c>
      <c r="H206" s="298" t="str">
        <f>IFERROR(__xludf.DUMMYFUNCTION("""COMPUTED_VALUE"""),"2024/11/25～）クレジットカードでの購入のみ停止")</f>
        <v>2024/11/25～）クレジットカードでの購入のみ停止</v>
      </c>
      <c r="I206" s="283"/>
      <c r="J206" s="283"/>
      <c r="K206" s="283"/>
      <c r="L206" s="283"/>
      <c r="M206" s="283"/>
      <c r="N206" s="283"/>
      <c r="O206" s="283"/>
      <c r="P206" s="283"/>
      <c r="Q206" s="278"/>
      <c r="R206" s="278"/>
      <c r="S206" s="278"/>
      <c r="T206" s="278"/>
      <c r="U206" s="278"/>
      <c r="V206" s="278"/>
      <c r="W206" s="278"/>
      <c r="X206" s="278"/>
      <c r="Y206" s="278"/>
      <c r="Z206" s="278"/>
      <c r="AA206" s="278"/>
      <c r="AB206" s="278"/>
      <c r="AC206" s="278"/>
    </row>
    <row r="207" ht="15.75" customHeight="1">
      <c r="A207" s="290" t="str">
        <f>IFERROR(__xludf.DUMMYFUNCTION("""COMPUTED_VALUE"""),"キルタイムコミュニケーション")</f>
        <v>キルタイムコミュニケーション</v>
      </c>
      <c r="B207" s="291">
        <f>IFERROR(__xludf.DUMMYFUNCTION("""COMPUTED_VALUE"""),45618.0)</f>
        <v>45618</v>
      </c>
      <c r="C207" s="292"/>
      <c r="D207" s="293">
        <f>IFERROR(__xludf.DUMMYFUNCTION("""COMPUTED_VALUE"""),155259.0)</f>
        <v>155259</v>
      </c>
      <c r="E207" s="290" t="str">
        <f>IFERROR(__xludf.DUMMYFUNCTION("""COMPUTED_VALUE"""),"二次元コミックマガジン エナジー吸収されて敗北してしまうヒロイン達")</f>
        <v>二次元コミックマガジン エナジー吸収されて敗北してしまうヒロイン達</v>
      </c>
      <c r="F207" s="298" t="str">
        <f>IFERROR(__xludf.DUMMYFUNCTION("""COMPUTED_VALUE"""),"アンソロジー")</f>
        <v>アンソロジー</v>
      </c>
      <c r="G207" s="298" t="str">
        <f>IFERROR(__xludf.DUMMYFUNCTION("""COMPUTED_VALUE"""),"オトナコミック")</f>
        <v>オトナコミック</v>
      </c>
      <c r="H207" s="298" t="str">
        <f>IFERROR(__xludf.DUMMYFUNCTION("""COMPUTED_VALUE"""),"2024/11/25～）クレジットカードでの購入のみ停止")</f>
        <v>2024/11/25～）クレジットカードでの購入のみ停止</v>
      </c>
      <c r="I207" s="283"/>
      <c r="J207" s="283"/>
      <c r="K207" s="283"/>
      <c r="L207" s="283"/>
      <c r="M207" s="283"/>
      <c r="N207" s="283"/>
      <c r="O207" s="283"/>
      <c r="P207" s="283"/>
      <c r="Q207" s="278"/>
      <c r="R207" s="278"/>
      <c r="S207" s="278"/>
      <c r="T207" s="278"/>
      <c r="U207" s="278"/>
      <c r="V207" s="278"/>
      <c r="W207" s="278"/>
      <c r="X207" s="278"/>
      <c r="Y207" s="278"/>
      <c r="Z207" s="278"/>
      <c r="AA207" s="278"/>
      <c r="AB207" s="278"/>
      <c r="AC207" s="278"/>
    </row>
    <row r="208" ht="15.75" customHeight="1">
      <c r="A208" s="290" t="str">
        <f>IFERROR(__xludf.DUMMYFUNCTION("""COMPUTED_VALUE"""),"キルタイムコミュニケーション")</f>
        <v>キルタイムコミュニケーション</v>
      </c>
      <c r="B208" s="291">
        <f>IFERROR(__xludf.DUMMYFUNCTION("""COMPUTED_VALUE"""),45618.0)</f>
        <v>45618</v>
      </c>
      <c r="C208" s="292"/>
      <c r="D208" s="293">
        <f>IFERROR(__xludf.DUMMYFUNCTION("""COMPUTED_VALUE"""),155267.0)</f>
        <v>155267</v>
      </c>
      <c r="E208" s="290" t="str">
        <f>IFERROR(__xludf.DUMMYFUNCTION("""COMPUTED_VALUE"""),"二次元コミックマガジン ハンターヒロインアンソロG")</f>
        <v>二次元コミックマガジン ハンターヒロインアンソロG</v>
      </c>
      <c r="F208" s="298" t="str">
        <f>IFERROR(__xludf.DUMMYFUNCTION("""COMPUTED_VALUE"""),"アンソロジー")</f>
        <v>アンソロジー</v>
      </c>
      <c r="G208" s="298" t="str">
        <f>IFERROR(__xludf.DUMMYFUNCTION("""COMPUTED_VALUE"""),"オトナコミック")</f>
        <v>オトナコミック</v>
      </c>
      <c r="H208" s="298" t="str">
        <f>IFERROR(__xludf.DUMMYFUNCTION("""COMPUTED_VALUE"""),"2024/11/25～）クレジットカードでの購入のみ停止")</f>
        <v>2024/11/25～）クレジットカードでの購入のみ停止</v>
      </c>
      <c r="I208" s="283"/>
      <c r="J208" s="283"/>
      <c r="K208" s="283"/>
      <c r="L208" s="283"/>
      <c r="M208" s="283"/>
      <c r="N208" s="283"/>
      <c r="O208" s="283"/>
      <c r="P208" s="283"/>
      <c r="Q208" s="278"/>
      <c r="R208" s="278"/>
      <c r="S208" s="278"/>
      <c r="T208" s="278"/>
      <c r="U208" s="278"/>
      <c r="V208" s="278"/>
      <c r="W208" s="278"/>
      <c r="X208" s="278"/>
      <c r="Y208" s="278"/>
      <c r="Z208" s="278"/>
      <c r="AA208" s="278"/>
      <c r="AB208" s="278"/>
      <c r="AC208" s="278"/>
    </row>
    <row r="209" ht="15.75" customHeight="1">
      <c r="A209" s="290" t="str">
        <f>IFERROR(__xludf.DUMMYFUNCTION("""COMPUTED_VALUE"""),"キルタイムコミュニケーション")</f>
        <v>キルタイムコミュニケーション</v>
      </c>
      <c r="B209" s="291">
        <f>IFERROR(__xludf.DUMMYFUNCTION("""COMPUTED_VALUE"""),45618.0)</f>
        <v>45618</v>
      </c>
      <c r="C209" s="292"/>
      <c r="D209" s="293">
        <f>IFERROR(__xludf.DUMMYFUNCTION("""COMPUTED_VALUE"""),155276.0)</f>
        <v>155276</v>
      </c>
      <c r="E209" s="290" t="str">
        <f>IFERROR(__xludf.DUMMYFUNCTION("""COMPUTED_VALUE"""),"二次元コミックマガジン 悪堕ちダークネス")</f>
        <v>二次元コミックマガジン 悪堕ちダークネス</v>
      </c>
      <c r="F209" s="298" t="str">
        <f>IFERROR(__xludf.DUMMYFUNCTION("""COMPUTED_VALUE"""),"アンソロジー")</f>
        <v>アンソロジー</v>
      </c>
      <c r="G209" s="298" t="str">
        <f>IFERROR(__xludf.DUMMYFUNCTION("""COMPUTED_VALUE"""),"オトナコミック")</f>
        <v>オトナコミック</v>
      </c>
      <c r="H209" s="298" t="str">
        <f>IFERROR(__xludf.DUMMYFUNCTION("""COMPUTED_VALUE"""),"2024/11/25～）クレジットカードでの購入のみ停止")</f>
        <v>2024/11/25～）クレジットカードでの購入のみ停止</v>
      </c>
      <c r="I209" s="283"/>
      <c r="J209" s="283"/>
      <c r="K209" s="283"/>
      <c r="L209" s="283"/>
      <c r="M209" s="283"/>
      <c r="N209" s="283"/>
      <c r="O209" s="283"/>
      <c r="P209" s="283"/>
      <c r="Q209" s="278"/>
      <c r="R209" s="278"/>
      <c r="S209" s="278"/>
      <c r="T209" s="278"/>
      <c r="U209" s="278"/>
      <c r="V209" s="278"/>
      <c r="W209" s="278"/>
      <c r="X209" s="278"/>
      <c r="Y209" s="278"/>
      <c r="Z209" s="278"/>
      <c r="AA209" s="278"/>
      <c r="AB209" s="278"/>
      <c r="AC209" s="278"/>
    </row>
    <row r="210" ht="15.75" customHeight="1">
      <c r="A210" s="290" t="str">
        <f>IFERROR(__xludf.DUMMYFUNCTION("""COMPUTED_VALUE"""),"キルタイムコミュニケーション")</f>
        <v>キルタイムコミュニケーション</v>
      </c>
      <c r="B210" s="291">
        <f>IFERROR(__xludf.DUMMYFUNCTION("""COMPUTED_VALUE"""),45618.0)</f>
        <v>45618</v>
      </c>
      <c r="C210" s="292"/>
      <c r="D210" s="293">
        <f>IFERROR(__xludf.DUMMYFUNCTION("""COMPUTED_VALUE"""),155277.0)</f>
        <v>155277</v>
      </c>
      <c r="E210" s="290" t="str">
        <f>IFERROR(__xludf.DUMMYFUNCTION("""COMPUTED_VALUE"""),"二次元コミックマガジン 悪堕ち逆レイプで悶絶快楽!")</f>
        <v>二次元コミックマガジン 悪堕ち逆レイプで悶絶快楽!</v>
      </c>
      <c r="F210" s="298" t="str">
        <f>IFERROR(__xludf.DUMMYFUNCTION("""COMPUTED_VALUE"""),"アンソロジー")</f>
        <v>アンソロジー</v>
      </c>
      <c r="G210" s="298" t="str">
        <f>IFERROR(__xludf.DUMMYFUNCTION("""COMPUTED_VALUE"""),"オトナコミック")</f>
        <v>オトナコミック</v>
      </c>
      <c r="H210" s="298" t="str">
        <f>IFERROR(__xludf.DUMMYFUNCTION("""COMPUTED_VALUE"""),"2024/11/25～）クレジットカードでの購入のみ停止")</f>
        <v>2024/11/25～）クレジットカードでの購入のみ停止</v>
      </c>
      <c r="I210" s="283"/>
      <c r="J210" s="283"/>
      <c r="K210" s="283"/>
      <c r="L210" s="283"/>
      <c r="M210" s="283"/>
      <c r="N210" s="283"/>
      <c r="O210" s="283"/>
      <c r="P210" s="283"/>
      <c r="Q210" s="278"/>
      <c r="R210" s="278"/>
      <c r="S210" s="278"/>
      <c r="T210" s="278"/>
      <c r="U210" s="278"/>
      <c r="V210" s="278"/>
      <c r="W210" s="278"/>
      <c r="X210" s="278"/>
      <c r="Y210" s="278"/>
      <c r="Z210" s="278"/>
      <c r="AA210" s="278"/>
      <c r="AB210" s="278"/>
      <c r="AC210" s="278"/>
    </row>
    <row r="211" ht="15.75" customHeight="1">
      <c r="A211" s="290" t="str">
        <f>IFERROR(__xludf.DUMMYFUNCTION("""COMPUTED_VALUE"""),"キルタイムコミュニケーション")</f>
        <v>キルタイムコミュニケーション</v>
      </c>
      <c r="B211" s="291">
        <f>IFERROR(__xludf.DUMMYFUNCTION("""COMPUTED_VALUE"""),45618.0)</f>
        <v>45618</v>
      </c>
      <c r="C211" s="292"/>
      <c r="D211" s="293">
        <f>IFERROR(__xludf.DUMMYFUNCTION("""COMPUTED_VALUE"""),155282.0)</f>
        <v>155282</v>
      </c>
      <c r="E211" s="290" t="str">
        <f>IFERROR(__xludf.DUMMYFUNCTION("""COMPUTED_VALUE"""),"二次元コミックマガジン 丸呑みイキ地獄 モンスターに捕食されたヒロイン達")</f>
        <v>二次元コミックマガジン 丸呑みイキ地獄 モンスターに捕食されたヒロイン達</v>
      </c>
      <c r="F211" s="298" t="str">
        <f>IFERROR(__xludf.DUMMYFUNCTION("""COMPUTED_VALUE"""),"アンソロジー")</f>
        <v>アンソロジー</v>
      </c>
      <c r="G211" s="298" t="str">
        <f>IFERROR(__xludf.DUMMYFUNCTION("""COMPUTED_VALUE"""),"オトナコミック")</f>
        <v>オトナコミック</v>
      </c>
      <c r="H211" s="298" t="str">
        <f>IFERROR(__xludf.DUMMYFUNCTION("""COMPUTED_VALUE"""),"2024/11/25～）クレジットカードでの購入のみ停止")</f>
        <v>2024/11/25～）クレジットカードでの購入のみ停止</v>
      </c>
      <c r="I211" s="283"/>
      <c r="J211" s="283"/>
      <c r="K211" s="283"/>
      <c r="L211" s="283"/>
      <c r="M211" s="283"/>
      <c r="N211" s="283"/>
      <c r="O211" s="283"/>
      <c r="P211" s="283"/>
      <c r="Q211" s="278"/>
      <c r="R211" s="278"/>
      <c r="S211" s="278"/>
      <c r="T211" s="278"/>
      <c r="U211" s="278"/>
      <c r="V211" s="278"/>
      <c r="W211" s="278"/>
      <c r="X211" s="278"/>
      <c r="Y211" s="278"/>
      <c r="Z211" s="278"/>
      <c r="AA211" s="278"/>
      <c r="AB211" s="278"/>
      <c r="AC211" s="278"/>
    </row>
    <row r="212" ht="15.75" customHeight="1">
      <c r="A212" s="290" t="str">
        <f>IFERROR(__xludf.DUMMYFUNCTION("""COMPUTED_VALUE"""),"キルタイムコミュニケーション")</f>
        <v>キルタイムコミュニケーション</v>
      </c>
      <c r="B212" s="291">
        <f>IFERROR(__xludf.DUMMYFUNCTION("""COMPUTED_VALUE"""),45618.0)</f>
        <v>45618</v>
      </c>
      <c r="C212" s="292"/>
      <c r="D212" s="293">
        <f>IFERROR(__xludf.DUMMYFUNCTION("""COMPUTED_VALUE"""),155285.0)</f>
        <v>155285</v>
      </c>
      <c r="E212" s="290" t="str">
        <f>IFERROR(__xludf.DUMMYFUNCTION("""COMPUTED_VALUE"""),"二次元コミックマガジン 機械姦で悶絶イキ地獄!")</f>
        <v>二次元コミックマガジン 機械姦で悶絶イキ地獄!</v>
      </c>
      <c r="F212" s="298" t="str">
        <f>IFERROR(__xludf.DUMMYFUNCTION("""COMPUTED_VALUE"""),"アンソロジー")</f>
        <v>アンソロジー</v>
      </c>
      <c r="G212" s="298" t="str">
        <f>IFERROR(__xludf.DUMMYFUNCTION("""COMPUTED_VALUE"""),"オトナコミック")</f>
        <v>オトナコミック</v>
      </c>
      <c r="H212" s="298" t="str">
        <f>IFERROR(__xludf.DUMMYFUNCTION("""COMPUTED_VALUE"""),"2024/11/25～）クレジットカードでの購入のみ停止")</f>
        <v>2024/11/25～）クレジットカードでの購入のみ停止</v>
      </c>
      <c r="I212" s="283"/>
      <c r="J212" s="283"/>
      <c r="K212" s="283"/>
      <c r="L212" s="283"/>
      <c r="M212" s="283"/>
      <c r="N212" s="283"/>
      <c r="O212" s="283"/>
      <c r="P212" s="283"/>
      <c r="Q212" s="278"/>
      <c r="R212" s="278"/>
      <c r="S212" s="278"/>
      <c r="T212" s="278"/>
      <c r="U212" s="278"/>
      <c r="V212" s="278"/>
      <c r="W212" s="278"/>
      <c r="X212" s="278"/>
      <c r="Y212" s="278"/>
      <c r="Z212" s="278"/>
      <c r="AA212" s="278"/>
      <c r="AB212" s="278"/>
      <c r="AC212" s="278"/>
    </row>
    <row r="213" ht="15.75" customHeight="1">
      <c r="A213" s="290" t="str">
        <f>IFERROR(__xludf.DUMMYFUNCTION("""COMPUTED_VALUE"""),"キルタイムコミュニケーション")</f>
        <v>キルタイムコミュニケーション</v>
      </c>
      <c r="B213" s="291">
        <f>IFERROR(__xludf.DUMMYFUNCTION("""COMPUTED_VALUE"""),45618.0)</f>
        <v>45618</v>
      </c>
      <c r="C213" s="292"/>
      <c r="D213" s="293">
        <f>IFERROR(__xludf.DUMMYFUNCTION("""COMPUTED_VALUE"""),155286.0)</f>
        <v>155286</v>
      </c>
      <c r="E213" s="290" t="str">
        <f>IFERROR(__xludf.DUMMYFUNCTION("""COMPUTED_VALUE"""),"二次元コミックマガジン 気高い女に中出し孕ませ!")</f>
        <v>二次元コミックマガジン 気高い女に中出し孕ませ!</v>
      </c>
      <c r="F213" s="298" t="str">
        <f>IFERROR(__xludf.DUMMYFUNCTION("""COMPUTED_VALUE"""),"アンソロジー")</f>
        <v>アンソロジー</v>
      </c>
      <c r="G213" s="298" t="str">
        <f>IFERROR(__xludf.DUMMYFUNCTION("""COMPUTED_VALUE"""),"オトナコミック")</f>
        <v>オトナコミック</v>
      </c>
      <c r="H213" s="298" t="str">
        <f>IFERROR(__xludf.DUMMYFUNCTION("""COMPUTED_VALUE"""),"2024/11/25～）クレジットカードでの購入のみ停止")</f>
        <v>2024/11/25～）クレジットカードでの購入のみ停止</v>
      </c>
      <c r="I213" s="283"/>
      <c r="J213" s="283"/>
      <c r="K213" s="283"/>
      <c r="L213" s="283"/>
      <c r="M213" s="283"/>
      <c r="N213" s="283"/>
      <c r="O213" s="283"/>
      <c r="P213" s="283"/>
      <c r="Q213" s="278"/>
      <c r="R213" s="278"/>
      <c r="S213" s="278"/>
      <c r="T213" s="278"/>
      <c r="U213" s="278"/>
      <c r="V213" s="278"/>
      <c r="W213" s="278"/>
      <c r="X213" s="278"/>
      <c r="Y213" s="278"/>
      <c r="Z213" s="278"/>
      <c r="AA213" s="278"/>
      <c r="AB213" s="278"/>
      <c r="AC213" s="278"/>
    </row>
    <row r="214" ht="15.75" customHeight="1">
      <c r="A214" s="290" t="str">
        <f>IFERROR(__xludf.DUMMYFUNCTION("""COMPUTED_VALUE"""),"キルタイムコミュニケーション")</f>
        <v>キルタイムコミュニケーション</v>
      </c>
      <c r="B214" s="291">
        <f>IFERROR(__xludf.DUMMYFUNCTION("""COMPUTED_VALUE"""),45618.0)</f>
        <v>45618</v>
      </c>
      <c r="C214" s="292"/>
      <c r="D214" s="293">
        <f>IFERROR(__xludf.DUMMYFUNCTION("""COMPUTED_VALUE"""),155287.0)</f>
        <v>155287</v>
      </c>
      <c r="E214" s="290" t="str">
        <f>IFERROR(__xludf.DUMMYFUNCTION("""COMPUTED_VALUE"""),"二次元コミックマガジン 気高い女も土下座してセックスおねだり!")</f>
        <v>二次元コミックマガジン 気高い女も土下座してセックスおねだり!</v>
      </c>
      <c r="F214" s="298" t="str">
        <f>IFERROR(__xludf.DUMMYFUNCTION("""COMPUTED_VALUE"""),"アンソロジー")</f>
        <v>アンソロジー</v>
      </c>
      <c r="G214" s="298" t="str">
        <f>IFERROR(__xludf.DUMMYFUNCTION("""COMPUTED_VALUE"""),"オトナコミック")</f>
        <v>オトナコミック</v>
      </c>
      <c r="H214" s="298" t="str">
        <f>IFERROR(__xludf.DUMMYFUNCTION("""COMPUTED_VALUE"""),"2024/11/25～）クレジットカードでの購入のみ停止")</f>
        <v>2024/11/25～）クレジットカードでの購入のみ停止</v>
      </c>
      <c r="I214" s="283"/>
      <c r="J214" s="283"/>
      <c r="K214" s="283"/>
      <c r="L214" s="283"/>
      <c r="M214" s="283"/>
      <c r="N214" s="283"/>
      <c r="O214" s="283"/>
      <c r="P214" s="283"/>
      <c r="Q214" s="278"/>
      <c r="R214" s="278"/>
      <c r="S214" s="278"/>
      <c r="T214" s="278"/>
      <c r="U214" s="278"/>
      <c r="V214" s="278"/>
      <c r="W214" s="278"/>
      <c r="X214" s="278"/>
      <c r="Y214" s="278"/>
      <c r="Z214" s="278"/>
      <c r="AA214" s="278"/>
      <c r="AB214" s="278"/>
      <c r="AC214" s="278"/>
    </row>
    <row r="215" ht="15.75" customHeight="1">
      <c r="A215" s="290" t="str">
        <f>IFERROR(__xludf.DUMMYFUNCTION("""COMPUTED_VALUE"""),"キルタイムコミュニケーション")</f>
        <v>キルタイムコミュニケーション</v>
      </c>
      <c r="B215" s="291">
        <f>IFERROR(__xludf.DUMMYFUNCTION("""COMPUTED_VALUE"""),45618.0)</f>
        <v>45618</v>
      </c>
      <c r="C215" s="292"/>
      <c r="D215" s="293">
        <f>IFERROR(__xludf.DUMMYFUNCTION("""COMPUTED_VALUE"""),155289.0)</f>
        <v>155289</v>
      </c>
      <c r="E215" s="290" t="str">
        <f>IFERROR(__xludf.DUMMYFUNCTION("""COMPUTED_VALUE"""),"二次元コミックマガジン 群がるゾンビに犯されるヒロインたち")</f>
        <v>二次元コミックマガジン 群がるゾンビに犯されるヒロインたち</v>
      </c>
      <c r="F215" s="298" t="str">
        <f>IFERROR(__xludf.DUMMYFUNCTION("""COMPUTED_VALUE"""),"アンソロジー")</f>
        <v>アンソロジー</v>
      </c>
      <c r="G215" s="298" t="str">
        <f>IFERROR(__xludf.DUMMYFUNCTION("""COMPUTED_VALUE"""),"オトナコミック")</f>
        <v>オトナコミック</v>
      </c>
      <c r="H215" s="298" t="str">
        <f>IFERROR(__xludf.DUMMYFUNCTION("""COMPUTED_VALUE"""),"2024/11/25～）クレジットカードでの購入のみ停止")</f>
        <v>2024/11/25～）クレジットカードでの購入のみ停止</v>
      </c>
      <c r="I215" s="283"/>
      <c r="J215" s="283"/>
      <c r="K215" s="283"/>
      <c r="L215" s="283"/>
      <c r="M215" s="283"/>
      <c r="N215" s="283"/>
      <c r="O215" s="283"/>
      <c r="P215" s="283"/>
      <c r="Q215" s="278"/>
      <c r="R215" s="278"/>
      <c r="S215" s="278"/>
      <c r="T215" s="278"/>
      <c r="U215" s="278"/>
      <c r="V215" s="278"/>
      <c r="W215" s="278"/>
      <c r="X215" s="278"/>
      <c r="Y215" s="278"/>
      <c r="Z215" s="278"/>
      <c r="AA215" s="278"/>
      <c r="AB215" s="278"/>
      <c r="AC215" s="278"/>
    </row>
    <row r="216" ht="15.75" customHeight="1">
      <c r="A216" s="290" t="str">
        <f>IFERROR(__xludf.DUMMYFUNCTION("""COMPUTED_VALUE"""),"キルタイムコミュニケーション")</f>
        <v>キルタイムコミュニケーション</v>
      </c>
      <c r="B216" s="291">
        <f>IFERROR(__xludf.DUMMYFUNCTION("""COMPUTED_VALUE"""),45618.0)</f>
        <v>45618</v>
      </c>
      <c r="C216" s="292"/>
      <c r="D216" s="293">
        <f>IFERROR(__xludf.DUMMYFUNCTION("""COMPUTED_VALUE"""),155293.0)</f>
        <v>155293</v>
      </c>
      <c r="E216" s="290" t="str">
        <f>IFERROR(__xludf.DUMMYFUNCTION("""COMPUTED_VALUE"""),"二次元コミックマガジン 射精管理マニアックス")</f>
        <v>二次元コミックマガジン 射精管理マニアックス</v>
      </c>
      <c r="F216" s="298" t="str">
        <f>IFERROR(__xludf.DUMMYFUNCTION("""COMPUTED_VALUE"""),"アンソロジー")</f>
        <v>アンソロジー</v>
      </c>
      <c r="G216" s="298" t="str">
        <f>IFERROR(__xludf.DUMMYFUNCTION("""COMPUTED_VALUE"""),"オトナコミック")</f>
        <v>オトナコミック</v>
      </c>
      <c r="H216" s="298" t="str">
        <f>IFERROR(__xludf.DUMMYFUNCTION("""COMPUTED_VALUE"""),"2024/11/25～）クレジットカードでの購入のみ停止")</f>
        <v>2024/11/25～）クレジットカードでの購入のみ停止</v>
      </c>
      <c r="I216" s="283"/>
      <c r="J216" s="283"/>
      <c r="K216" s="283"/>
      <c r="L216" s="283"/>
      <c r="M216" s="283"/>
      <c r="N216" s="283"/>
      <c r="O216" s="283"/>
      <c r="P216" s="283"/>
      <c r="Q216" s="278"/>
      <c r="R216" s="278"/>
      <c r="S216" s="278"/>
      <c r="T216" s="278"/>
      <c r="U216" s="278"/>
      <c r="V216" s="278"/>
      <c r="W216" s="278"/>
      <c r="X216" s="278"/>
      <c r="Y216" s="278"/>
      <c r="Z216" s="278"/>
      <c r="AA216" s="278"/>
      <c r="AB216" s="278"/>
      <c r="AC216" s="278"/>
    </row>
    <row r="217" ht="15.75" customHeight="1">
      <c r="A217" s="290" t="str">
        <f>IFERROR(__xludf.DUMMYFUNCTION("""COMPUTED_VALUE"""),"キルタイムコミュニケーション")</f>
        <v>キルタイムコミュニケーション</v>
      </c>
      <c r="B217" s="291">
        <f>IFERROR(__xludf.DUMMYFUNCTION("""COMPUTED_VALUE"""),45618.0)</f>
        <v>45618</v>
      </c>
      <c r="C217" s="292"/>
      <c r="D217" s="293">
        <f>IFERROR(__xludf.DUMMYFUNCTION("""COMPUTED_VALUE"""),155299.0)</f>
        <v>155299</v>
      </c>
      <c r="E217" s="290" t="str">
        <f>IFERROR(__xludf.DUMMYFUNCTION("""COMPUTED_VALUE"""),"二次元コミックマガジン 植物姦で悶絶アクメ咲き!")</f>
        <v>二次元コミックマガジン 植物姦で悶絶アクメ咲き!</v>
      </c>
      <c r="F217" s="298" t="str">
        <f>IFERROR(__xludf.DUMMYFUNCTION("""COMPUTED_VALUE"""),"アンソロジー")</f>
        <v>アンソロジー</v>
      </c>
      <c r="G217" s="298" t="str">
        <f>IFERROR(__xludf.DUMMYFUNCTION("""COMPUTED_VALUE"""),"オトナコミック")</f>
        <v>オトナコミック</v>
      </c>
      <c r="H217" s="298" t="str">
        <f>IFERROR(__xludf.DUMMYFUNCTION("""COMPUTED_VALUE"""),"2024/11/25～）クレジットカードでの購入のみ停止")</f>
        <v>2024/11/25～）クレジットカードでの購入のみ停止</v>
      </c>
      <c r="I217" s="283"/>
      <c r="J217" s="283"/>
      <c r="K217" s="283"/>
      <c r="L217" s="283"/>
      <c r="M217" s="283"/>
      <c r="N217" s="283"/>
      <c r="O217" s="283"/>
      <c r="P217" s="283"/>
      <c r="Q217" s="278"/>
      <c r="R217" s="278"/>
      <c r="S217" s="278"/>
      <c r="T217" s="278"/>
      <c r="U217" s="278"/>
      <c r="V217" s="278"/>
      <c r="W217" s="278"/>
      <c r="X217" s="278"/>
      <c r="Y217" s="278"/>
      <c r="Z217" s="278"/>
      <c r="AA217" s="278"/>
      <c r="AB217" s="278"/>
      <c r="AC217" s="278"/>
    </row>
    <row r="218" ht="15.75" customHeight="1">
      <c r="A218" s="290" t="str">
        <f>IFERROR(__xludf.DUMMYFUNCTION("""COMPUTED_VALUE"""),"キルタイムコミュニケーション")</f>
        <v>キルタイムコミュニケーション</v>
      </c>
      <c r="B218" s="291">
        <f>IFERROR(__xludf.DUMMYFUNCTION("""COMPUTED_VALUE"""),45618.0)</f>
        <v>45618</v>
      </c>
      <c r="C218" s="292"/>
      <c r="D218" s="293">
        <f>IFERROR(__xludf.DUMMYFUNCTION("""COMPUTED_VALUE"""),155307.0)</f>
        <v>155307</v>
      </c>
      <c r="E218" s="290" t="str">
        <f>IFERROR(__xludf.DUMMYFUNCTION("""COMPUTED_VALUE"""),"二次元コミックマガジン 水棲生物に犯されるヒロインたち")</f>
        <v>二次元コミックマガジン 水棲生物に犯されるヒロインたち</v>
      </c>
      <c r="F218" s="298" t="str">
        <f>IFERROR(__xludf.DUMMYFUNCTION("""COMPUTED_VALUE"""),"アンソロジー")</f>
        <v>アンソロジー</v>
      </c>
      <c r="G218" s="298" t="str">
        <f>IFERROR(__xludf.DUMMYFUNCTION("""COMPUTED_VALUE"""),"オトナコミック")</f>
        <v>オトナコミック</v>
      </c>
      <c r="H218" s="298" t="str">
        <f>IFERROR(__xludf.DUMMYFUNCTION("""COMPUTED_VALUE"""),"2024/11/25～）クレジットカードでの購入のみ停止")</f>
        <v>2024/11/25～）クレジットカードでの購入のみ停止</v>
      </c>
      <c r="I218" s="283"/>
      <c r="J218" s="283"/>
      <c r="K218" s="283"/>
      <c r="L218" s="283"/>
      <c r="M218" s="283"/>
      <c r="N218" s="283"/>
      <c r="O218" s="283"/>
      <c r="P218" s="283"/>
      <c r="Q218" s="278"/>
      <c r="R218" s="278"/>
      <c r="S218" s="278"/>
      <c r="T218" s="278"/>
      <c r="U218" s="278"/>
      <c r="V218" s="278"/>
      <c r="W218" s="278"/>
      <c r="X218" s="278"/>
      <c r="Y218" s="278"/>
      <c r="Z218" s="278"/>
      <c r="AA218" s="278"/>
      <c r="AB218" s="278"/>
      <c r="AC218" s="278"/>
    </row>
    <row r="219" ht="15.75" customHeight="1">
      <c r="A219" s="290" t="str">
        <f>IFERROR(__xludf.DUMMYFUNCTION("""COMPUTED_VALUE"""),"キルタイムコミュニケーション")</f>
        <v>キルタイムコミュニケーション</v>
      </c>
      <c r="B219" s="291">
        <f>IFERROR(__xludf.DUMMYFUNCTION("""COMPUTED_VALUE"""),45618.0)</f>
        <v>45618</v>
      </c>
      <c r="C219" s="292"/>
      <c r="D219" s="293">
        <f>IFERROR(__xludf.DUMMYFUNCTION("""COMPUTED_VALUE"""),155322.0)</f>
        <v>155322</v>
      </c>
      <c r="E219" s="290" t="str">
        <f>IFERROR(__xludf.DUMMYFUNCTION("""COMPUTED_VALUE"""),"二次元コミックマガジン 魔装淫辱 鎧に弄ばれるヒロインたち")</f>
        <v>二次元コミックマガジン 魔装淫辱 鎧に弄ばれるヒロインたち</v>
      </c>
      <c r="F219" s="298" t="str">
        <f>IFERROR(__xludf.DUMMYFUNCTION("""COMPUTED_VALUE"""),"アンソロジー")</f>
        <v>アンソロジー</v>
      </c>
      <c r="G219" s="298" t="str">
        <f>IFERROR(__xludf.DUMMYFUNCTION("""COMPUTED_VALUE"""),"オトナコミック")</f>
        <v>オトナコミック</v>
      </c>
      <c r="H219" s="298" t="str">
        <f>IFERROR(__xludf.DUMMYFUNCTION("""COMPUTED_VALUE"""),"2024/11/25～）クレジットカードでの購入のみ停止")</f>
        <v>2024/11/25～）クレジットカードでの購入のみ停止</v>
      </c>
      <c r="I219" s="283"/>
      <c r="J219" s="283"/>
      <c r="K219" s="283"/>
      <c r="L219" s="283"/>
      <c r="M219" s="283"/>
      <c r="N219" s="283"/>
      <c r="O219" s="283"/>
      <c r="P219" s="283"/>
      <c r="Q219" s="278"/>
      <c r="R219" s="278"/>
      <c r="S219" s="278"/>
      <c r="T219" s="278"/>
      <c r="U219" s="278"/>
      <c r="V219" s="278"/>
      <c r="W219" s="278"/>
      <c r="X219" s="278"/>
      <c r="Y219" s="278"/>
      <c r="Z219" s="278"/>
      <c r="AA219" s="278"/>
      <c r="AB219" s="278"/>
      <c r="AC219" s="278"/>
    </row>
    <row r="220" ht="15.75" customHeight="1">
      <c r="A220" s="290" t="str">
        <f>IFERROR(__xludf.DUMMYFUNCTION("""COMPUTED_VALUE"""),"キルタイムコミュニケーション")</f>
        <v>キルタイムコミュニケーション</v>
      </c>
      <c r="B220" s="291">
        <f>IFERROR(__xludf.DUMMYFUNCTION("""COMPUTED_VALUE"""),45618.0)</f>
        <v>45618</v>
      </c>
      <c r="C220" s="292"/>
      <c r="D220" s="293">
        <f>IFERROR(__xludf.DUMMYFUNCTION("""COMPUTED_VALUE"""),155325.0)</f>
        <v>155325</v>
      </c>
      <c r="E220" s="290" t="str">
        <f>IFERROR(__xludf.DUMMYFUNCTION("""COMPUTED_VALUE"""),"二次元コミックマガジン 薬漬けSEXで痙攣アヘ顔アクメ!")</f>
        <v>二次元コミックマガジン 薬漬けSEXで痙攣アヘ顔アクメ!</v>
      </c>
      <c r="F220" s="298" t="str">
        <f>IFERROR(__xludf.DUMMYFUNCTION("""COMPUTED_VALUE"""),"アンソロジー")</f>
        <v>アンソロジー</v>
      </c>
      <c r="G220" s="298" t="str">
        <f>IFERROR(__xludf.DUMMYFUNCTION("""COMPUTED_VALUE"""),"オトナコミック")</f>
        <v>オトナコミック</v>
      </c>
      <c r="H220" s="298" t="str">
        <f>IFERROR(__xludf.DUMMYFUNCTION("""COMPUTED_VALUE"""),"2024/11/25～）クレジットカードでの購入のみ停止")</f>
        <v>2024/11/25～）クレジットカードでの購入のみ停止</v>
      </c>
      <c r="I220" s="283"/>
      <c r="J220" s="283"/>
      <c r="K220" s="283"/>
      <c r="L220" s="283"/>
      <c r="M220" s="283"/>
      <c r="N220" s="283"/>
      <c r="O220" s="283"/>
      <c r="P220" s="283"/>
      <c r="Q220" s="278"/>
      <c r="R220" s="278"/>
      <c r="S220" s="278"/>
      <c r="T220" s="278"/>
      <c r="U220" s="278"/>
      <c r="V220" s="278"/>
      <c r="W220" s="278"/>
      <c r="X220" s="278"/>
      <c r="Y220" s="278"/>
      <c r="Z220" s="278"/>
      <c r="AA220" s="278"/>
      <c r="AB220" s="278"/>
      <c r="AC220" s="278"/>
    </row>
    <row r="221" ht="15.75" customHeight="1">
      <c r="A221" s="290" t="str">
        <f>IFERROR(__xludf.DUMMYFUNCTION("""COMPUTED_VALUE"""),"キルタイムコミュニケーション")</f>
        <v>キルタイムコミュニケーション</v>
      </c>
      <c r="B221" s="291">
        <f>IFERROR(__xludf.DUMMYFUNCTION("""COMPUTED_VALUE"""),45618.0)</f>
        <v>45618</v>
      </c>
      <c r="C221" s="292"/>
      <c r="D221" s="293">
        <f>IFERROR(__xludf.DUMMYFUNCTION("""COMPUTED_VALUE"""),155326.0)</f>
        <v>155326</v>
      </c>
      <c r="E221" s="290" t="str">
        <f>IFERROR(__xludf.DUMMYFUNCTION("""COMPUTED_VALUE"""),"二次元コミックマガジン 薬漬けヒロインは白目アヘ顔イキまくり!")</f>
        <v>二次元コミックマガジン 薬漬けヒロインは白目アヘ顔イキまくり!</v>
      </c>
      <c r="F221" s="298" t="str">
        <f>IFERROR(__xludf.DUMMYFUNCTION("""COMPUTED_VALUE"""),"アンソロジー")</f>
        <v>アンソロジー</v>
      </c>
      <c r="G221" s="298" t="str">
        <f>IFERROR(__xludf.DUMMYFUNCTION("""COMPUTED_VALUE"""),"オトナコミック")</f>
        <v>オトナコミック</v>
      </c>
      <c r="H221" s="298" t="str">
        <f>IFERROR(__xludf.DUMMYFUNCTION("""COMPUTED_VALUE"""),"2024/11/25～）クレジットカードでの購入のみ停止")</f>
        <v>2024/11/25～）クレジットカードでの購入のみ停止</v>
      </c>
      <c r="I221" s="283"/>
      <c r="J221" s="283"/>
      <c r="K221" s="283"/>
      <c r="L221" s="283"/>
      <c r="M221" s="283"/>
      <c r="N221" s="283"/>
      <c r="O221" s="283"/>
      <c r="P221" s="283"/>
      <c r="Q221" s="278"/>
      <c r="R221" s="278"/>
      <c r="S221" s="278"/>
      <c r="T221" s="278"/>
      <c r="U221" s="278"/>
      <c r="V221" s="278"/>
      <c r="W221" s="278"/>
      <c r="X221" s="278"/>
      <c r="Y221" s="278"/>
      <c r="Z221" s="278"/>
      <c r="AA221" s="278"/>
      <c r="AB221" s="278"/>
      <c r="AC221" s="278"/>
    </row>
    <row r="222" ht="15.75" customHeight="1">
      <c r="A222" s="290" t="str">
        <f>IFERROR(__xludf.DUMMYFUNCTION("""COMPUTED_VALUE"""),"キルタイムコミュニケーション")</f>
        <v>キルタイムコミュニケーション</v>
      </c>
      <c r="B222" s="291">
        <f>IFERROR(__xludf.DUMMYFUNCTION("""COMPUTED_VALUE"""),45618.0)</f>
        <v>45618</v>
      </c>
      <c r="C222" s="292"/>
      <c r="D222" s="293">
        <f>IFERROR(__xludf.DUMMYFUNCTION("""COMPUTED_VALUE"""),155332.0)</f>
        <v>155332</v>
      </c>
      <c r="E222" s="290" t="str">
        <f>IFERROR(__xludf.DUMMYFUNCTION("""COMPUTED_VALUE"""),"敗北の媚学")</f>
        <v>敗北の媚学</v>
      </c>
      <c r="F222" s="298" t="str">
        <f>IFERROR(__xludf.DUMMYFUNCTION("""COMPUTED_VALUE"""),"仁志田メガネ")</f>
        <v>仁志田メガネ</v>
      </c>
      <c r="G222" s="298" t="str">
        <f>IFERROR(__xludf.DUMMYFUNCTION("""COMPUTED_VALUE"""),"オトナコミック")</f>
        <v>オトナコミック</v>
      </c>
      <c r="H222" s="298" t="str">
        <f>IFERROR(__xludf.DUMMYFUNCTION("""COMPUTED_VALUE"""),"2024/11/25～）クレジットカードでの購入のみ停止")</f>
        <v>2024/11/25～）クレジットカードでの購入のみ停止</v>
      </c>
      <c r="I222" s="283"/>
      <c r="J222" s="283"/>
      <c r="K222" s="283"/>
      <c r="L222" s="283"/>
      <c r="M222" s="283"/>
      <c r="N222" s="283"/>
      <c r="O222" s="283"/>
      <c r="P222" s="283"/>
      <c r="Q222" s="278"/>
      <c r="R222" s="278"/>
      <c r="S222" s="278"/>
      <c r="T222" s="278"/>
      <c r="U222" s="278"/>
      <c r="V222" s="278"/>
      <c r="W222" s="278"/>
      <c r="X222" s="278"/>
      <c r="Y222" s="278"/>
      <c r="Z222" s="278"/>
      <c r="AA222" s="278"/>
      <c r="AB222" s="278"/>
      <c r="AC222" s="278"/>
    </row>
    <row r="223" ht="15.75" customHeight="1">
      <c r="A223" s="290" t="str">
        <f>IFERROR(__xludf.DUMMYFUNCTION("""COMPUTED_VALUE"""),"キルタイムコミュニケーション")</f>
        <v>キルタイムコミュニケーション</v>
      </c>
      <c r="B223" s="291">
        <f>IFERROR(__xludf.DUMMYFUNCTION("""COMPUTED_VALUE"""),45618.0)</f>
        <v>45618</v>
      </c>
      <c r="C223" s="292"/>
      <c r="D223" s="293">
        <f>IFERROR(__xludf.DUMMYFUNCTION("""COMPUTED_VALUE"""),155334.0)</f>
        <v>155334</v>
      </c>
      <c r="E223" s="290" t="str">
        <f>IFERROR(__xludf.DUMMYFUNCTION("""COMPUTED_VALUE"""),"敗北乙女エクスタシー")</f>
        <v>敗北乙女エクスタシー</v>
      </c>
      <c r="F223" s="298" t="str">
        <f>IFERROR(__xludf.DUMMYFUNCTION("""COMPUTED_VALUE"""),"アンソロジー")</f>
        <v>アンソロジー</v>
      </c>
      <c r="G223" s="298" t="str">
        <f>IFERROR(__xludf.DUMMYFUNCTION("""COMPUTED_VALUE"""),"オトナコミック")</f>
        <v>オトナコミック</v>
      </c>
      <c r="H223" s="298" t="str">
        <f>IFERROR(__xludf.DUMMYFUNCTION("""COMPUTED_VALUE"""),"2024/11/25～）クレジットカードでの購入のみ停止")</f>
        <v>2024/11/25～）クレジットカードでの購入のみ停止</v>
      </c>
      <c r="I223" s="283"/>
      <c r="J223" s="283"/>
      <c r="K223" s="283"/>
      <c r="L223" s="283"/>
      <c r="M223" s="283"/>
      <c r="N223" s="283"/>
      <c r="O223" s="283"/>
      <c r="P223" s="283"/>
      <c r="Q223" s="278"/>
      <c r="R223" s="278"/>
      <c r="S223" s="278"/>
      <c r="T223" s="278"/>
      <c r="U223" s="278"/>
      <c r="V223" s="278"/>
      <c r="W223" s="278"/>
      <c r="X223" s="278"/>
      <c r="Y223" s="278"/>
      <c r="Z223" s="278"/>
      <c r="AA223" s="278"/>
      <c r="AB223" s="278"/>
      <c r="AC223" s="278"/>
    </row>
    <row r="224" ht="15.75" customHeight="1">
      <c r="A224" s="290" t="str">
        <f>IFERROR(__xludf.DUMMYFUNCTION("""COMPUTED_VALUE"""),"キルタイムコミュニケーション")</f>
        <v>キルタイムコミュニケーション</v>
      </c>
      <c r="B224" s="291">
        <f>IFERROR(__xludf.DUMMYFUNCTION("""COMPUTED_VALUE"""),45618.0)</f>
        <v>45618</v>
      </c>
      <c r="C224" s="292"/>
      <c r="D224" s="293">
        <f>IFERROR(__xludf.DUMMYFUNCTION("""COMPUTED_VALUE"""),155354.0)</f>
        <v>155354</v>
      </c>
      <c r="E224" s="290" t="str">
        <f>IFERROR(__xludf.DUMMYFUNCTION("""COMPUTED_VALUE"""),"牝豚END")</f>
        <v>牝豚END</v>
      </c>
      <c r="F224" s="298" t="str">
        <f>IFERROR(__xludf.DUMMYFUNCTION("""COMPUTED_VALUE"""),"助三郎")</f>
        <v>助三郎</v>
      </c>
      <c r="G224" s="298" t="str">
        <f>IFERROR(__xludf.DUMMYFUNCTION("""COMPUTED_VALUE"""),"オトナコミック")</f>
        <v>オトナコミック</v>
      </c>
      <c r="H224" s="298" t="str">
        <f>IFERROR(__xludf.DUMMYFUNCTION("""COMPUTED_VALUE"""),"2024/11/25～）クレジットカードでの購入のみ停止")</f>
        <v>2024/11/25～）クレジットカードでの購入のみ停止</v>
      </c>
      <c r="I224" s="283"/>
      <c r="J224" s="283"/>
      <c r="K224" s="283"/>
      <c r="L224" s="283"/>
      <c r="M224" s="283"/>
      <c r="N224" s="283"/>
      <c r="O224" s="283"/>
      <c r="P224" s="283"/>
      <c r="Q224" s="278"/>
      <c r="R224" s="278"/>
      <c r="S224" s="278"/>
      <c r="T224" s="278"/>
      <c r="U224" s="278"/>
      <c r="V224" s="278"/>
      <c r="W224" s="278"/>
      <c r="X224" s="278"/>
      <c r="Y224" s="278"/>
      <c r="Z224" s="278"/>
      <c r="AA224" s="278"/>
      <c r="AB224" s="278"/>
      <c r="AC224" s="278"/>
    </row>
    <row r="225" ht="15.75" customHeight="1">
      <c r="A225" s="290" t="str">
        <f>IFERROR(__xludf.DUMMYFUNCTION("""COMPUTED_VALUE"""),"キルタイムコミュニケーション")</f>
        <v>キルタイムコミュニケーション</v>
      </c>
      <c r="B225" s="291">
        <f>IFERROR(__xludf.DUMMYFUNCTION("""COMPUTED_VALUE"""),45618.0)</f>
        <v>45618</v>
      </c>
      <c r="C225" s="292"/>
      <c r="D225" s="293">
        <f>IFERROR(__xludf.DUMMYFUNCTION("""COMPUTED_VALUE"""),155359.0)</f>
        <v>155359</v>
      </c>
      <c r="E225" s="290" t="str">
        <f>IFERROR(__xludf.DUMMYFUNCTION("""COMPUTED_VALUE"""),"媚肉の監獄")</f>
        <v>媚肉の監獄</v>
      </c>
      <c r="F225" s="298" t="str">
        <f>IFERROR(__xludf.DUMMYFUNCTION("""COMPUTED_VALUE"""),"瀬上大輔")</f>
        <v>瀬上大輔</v>
      </c>
      <c r="G225" s="298" t="str">
        <f>IFERROR(__xludf.DUMMYFUNCTION("""COMPUTED_VALUE"""),"オトナコミック")</f>
        <v>オトナコミック</v>
      </c>
      <c r="H225" s="298" t="str">
        <f>IFERROR(__xludf.DUMMYFUNCTION("""COMPUTED_VALUE"""),"2024/11/25～）クレジットカードでの購入のみ停止")</f>
        <v>2024/11/25～）クレジットカードでの購入のみ停止</v>
      </c>
      <c r="I225" s="283"/>
      <c r="J225" s="283"/>
      <c r="K225" s="283"/>
      <c r="L225" s="283"/>
      <c r="M225" s="283"/>
      <c r="N225" s="283"/>
      <c r="O225" s="283"/>
      <c r="P225" s="283"/>
      <c r="Q225" s="278"/>
      <c r="R225" s="278"/>
      <c r="S225" s="278"/>
      <c r="T225" s="278"/>
      <c r="U225" s="278"/>
      <c r="V225" s="278"/>
      <c r="W225" s="278"/>
      <c r="X225" s="278"/>
      <c r="Y225" s="278"/>
      <c r="Z225" s="278"/>
      <c r="AA225" s="278"/>
      <c r="AB225" s="278"/>
      <c r="AC225" s="278"/>
    </row>
    <row r="226" ht="15.75" customHeight="1">
      <c r="A226" s="290" t="str">
        <f>IFERROR(__xludf.DUMMYFUNCTION("""COMPUTED_VALUE"""),"キルタイムコミュニケーション")</f>
        <v>キルタイムコミュニケーション</v>
      </c>
      <c r="B226" s="291">
        <f>IFERROR(__xludf.DUMMYFUNCTION("""COMPUTED_VALUE"""),45618.0)</f>
        <v>45618</v>
      </c>
      <c r="C226" s="292"/>
      <c r="D226" s="293">
        <f>IFERROR(__xludf.DUMMYFUNCTION("""COMPUTED_VALUE"""),155369.0)</f>
        <v>155369</v>
      </c>
      <c r="E226" s="290" t="str">
        <f>IFERROR(__xludf.DUMMYFUNCTION("""COMPUTED_VALUE"""),"reincarnation～奪ワレタ少女ノカラダ～")</f>
        <v>reincarnation～奪ワレタ少女ノカラダ～</v>
      </c>
      <c r="F226" s="298" t="str">
        <f>IFERROR(__xludf.DUMMYFUNCTION("""COMPUTED_VALUE"""),"DATE")</f>
        <v>DATE</v>
      </c>
      <c r="G226" s="298" t="str">
        <f>IFERROR(__xludf.DUMMYFUNCTION("""COMPUTED_VALUE"""),"オトナコミック")</f>
        <v>オトナコミック</v>
      </c>
      <c r="H226" s="298" t="str">
        <f>IFERROR(__xludf.DUMMYFUNCTION("""COMPUTED_VALUE"""),"2024/11/25～）クレジットカードでの購入のみ停止")</f>
        <v>2024/11/25～）クレジットカードでの購入のみ停止</v>
      </c>
      <c r="I226" s="283"/>
      <c r="J226" s="283"/>
      <c r="K226" s="283"/>
      <c r="L226" s="283"/>
      <c r="M226" s="283"/>
      <c r="N226" s="283"/>
      <c r="O226" s="283"/>
      <c r="P226" s="283"/>
      <c r="Q226" s="278"/>
      <c r="R226" s="278"/>
      <c r="S226" s="278"/>
      <c r="T226" s="278"/>
      <c r="U226" s="278"/>
      <c r="V226" s="278"/>
      <c r="W226" s="278"/>
      <c r="X226" s="278"/>
      <c r="Y226" s="278"/>
      <c r="Z226" s="278"/>
      <c r="AA226" s="278"/>
      <c r="AB226" s="278"/>
      <c r="AC226" s="278"/>
    </row>
    <row r="227" ht="15.75" customHeight="1">
      <c r="A227" s="290" t="str">
        <f>IFERROR(__xludf.DUMMYFUNCTION("""COMPUTED_VALUE"""),"キルタイムコミュニケーション")</f>
        <v>キルタイムコミュニケーション</v>
      </c>
      <c r="B227" s="291">
        <f>IFERROR(__xludf.DUMMYFUNCTION("""COMPUTED_VALUE"""),45618.0)</f>
        <v>45618</v>
      </c>
      <c r="C227" s="292"/>
      <c r="D227" s="293">
        <f>IFERROR(__xludf.DUMMYFUNCTION("""COMPUTED_VALUE"""),155387.0)</f>
        <v>155387</v>
      </c>
      <c r="E227" s="290" t="str">
        <f>IFERROR(__xludf.DUMMYFUNCTION("""COMPUTED_VALUE"""),"パラレルワールド彼女")</f>
        <v>パラレルワールド彼女</v>
      </c>
      <c r="F227" s="298" t="str">
        <f>IFERROR(__xludf.DUMMYFUNCTION("""COMPUTED_VALUE"""),"ちみチャンガ")</f>
        <v>ちみチャンガ</v>
      </c>
      <c r="G227" s="298" t="str">
        <f>IFERROR(__xludf.DUMMYFUNCTION("""COMPUTED_VALUE"""),"オトナコミック")</f>
        <v>オトナコミック</v>
      </c>
      <c r="H227" s="298" t="str">
        <f>IFERROR(__xludf.DUMMYFUNCTION("""COMPUTED_VALUE"""),"2024/11/25～）クレジットカードでの購入のみ停止")</f>
        <v>2024/11/25～）クレジットカードでの購入のみ停止</v>
      </c>
      <c r="I227" s="283"/>
      <c r="J227" s="283"/>
      <c r="K227" s="283"/>
      <c r="L227" s="283"/>
      <c r="M227" s="283"/>
      <c r="N227" s="283"/>
      <c r="O227" s="283"/>
      <c r="P227" s="283"/>
      <c r="Q227" s="278"/>
      <c r="R227" s="278"/>
      <c r="S227" s="278"/>
      <c r="T227" s="278"/>
      <c r="U227" s="278"/>
      <c r="V227" s="278"/>
      <c r="W227" s="278"/>
      <c r="X227" s="278"/>
      <c r="Y227" s="278"/>
      <c r="Z227" s="278"/>
      <c r="AA227" s="278"/>
      <c r="AB227" s="278"/>
      <c r="AC227" s="278"/>
    </row>
    <row r="228" ht="15.75" customHeight="1">
      <c r="A228" s="290" t="str">
        <f>IFERROR(__xludf.DUMMYFUNCTION("""COMPUTED_VALUE"""),"キルタイムコミュニケーション")</f>
        <v>キルタイムコミュニケーション</v>
      </c>
      <c r="B228" s="291">
        <f>IFERROR(__xludf.DUMMYFUNCTION("""COMPUTED_VALUE"""),45618.0)</f>
        <v>45618</v>
      </c>
      <c r="C228" s="292"/>
      <c r="D228" s="293">
        <f>IFERROR(__xludf.DUMMYFUNCTION("""COMPUTED_VALUE"""),155401.0)</f>
        <v>155401</v>
      </c>
      <c r="E228" s="290" t="str">
        <f>IFERROR(__xludf.DUMMYFUNCTION("""COMPUTED_VALUE"""),"悪魔の質問")</f>
        <v>悪魔の質問</v>
      </c>
      <c r="F228" s="298" t="str">
        <f>IFERROR(__xludf.DUMMYFUNCTION("""COMPUTED_VALUE"""),"オオハシタカユキ")</f>
        <v>オオハシタカユキ</v>
      </c>
      <c r="G228" s="298" t="str">
        <f>IFERROR(__xludf.DUMMYFUNCTION("""COMPUTED_VALUE"""),"オトナコミック")</f>
        <v>オトナコミック</v>
      </c>
      <c r="H228" s="298" t="str">
        <f>IFERROR(__xludf.DUMMYFUNCTION("""COMPUTED_VALUE"""),"2024/11/25～）クレジットカードでの購入のみ停止")</f>
        <v>2024/11/25～）クレジットカードでの購入のみ停止</v>
      </c>
      <c r="I228" s="283"/>
      <c r="J228" s="283"/>
      <c r="K228" s="283"/>
      <c r="L228" s="283"/>
      <c r="M228" s="283"/>
      <c r="N228" s="283"/>
      <c r="O228" s="283"/>
      <c r="P228" s="283"/>
      <c r="Q228" s="278"/>
      <c r="R228" s="278"/>
      <c r="S228" s="278"/>
      <c r="T228" s="278"/>
      <c r="U228" s="278"/>
      <c r="V228" s="278"/>
      <c r="W228" s="278"/>
      <c r="X228" s="278"/>
      <c r="Y228" s="278"/>
      <c r="Z228" s="278"/>
      <c r="AA228" s="278"/>
      <c r="AB228" s="278"/>
      <c r="AC228" s="278"/>
    </row>
    <row r="229" ht="15.75" customHeight="1">
      <c r="A229" s="290" t="str">
        <f>IFERROR(__xludf.DUMMYFUNCTION("""COMPUTED_VALUE"""),"キルタイムコミュニケーション")</f>
        <v>キルタイムコミュニケーション</v>
      </c>
      <c r="B229" s="291">
        <f>IFERROR(__xludf.DUMMYFUNCTION("""COMPUTED_VALUE"""),45618.0)</f>
        <v>45618</v>
      </c>
      <c r="C229" s="292"/>
      <c r="D229" s="293">
        <f>IFERROR(__xludf.DUMMYFUNCTION("""COMPUTED_VALUE"""),155424.0)</f>
        <v>155424</v>
      </c>
      <c r="E229" s="290" t="str">
        <f>IFERROR(__xludf.DUMMYFUNCTION("""COMPUTED_VALUE"""),"別冊コミックアンリアル カラーコミックコレクション3 デジタル版")</f>
        <v>別冊コミックアンリアル カラーコミックコレクション3 デジタル版</v>
      </c>
      <c r="F229" s="298" t="str">
        <f>IFERROR(__xludf.DUMMYFUNCTION("""COMPUTED_VALUE"""),"アンソロジー")</f>
        <v>アンソロジー</v>
      </c>
      <c r="G229" s="298" t="str">
        <f>IFERROR(__xludf.DUMMYFUNCTION("""COMPUTED_VALUE"""),"オトナコミック")</f>
        <v>オトナコミック</v>
      </c>
      <c r="H229" s="298" t="str">
        <f>IFERROR(__xludf.DUMMYFUNCTION("""COMPUTED_VALUE"""),"2024/11/25～）クレジットカードでの購入のみ停止")</f>
        <v>2024/11/25～）クレジットカードでの購入のみ停止</v>
      </c>
      <c r="I229" s="283"/>
      <c r="J229" s="283"/>
      <c r="K229" s="283"/>
      <c r="L229" s="283"/>
      <c r="M229" s="283"/>
      <c r="N229" s="283"/>
      <c r="O229" s="283"/>
      <c r="P229" s="283"/>
      <c r="Q229" s="278"/>
      <c r="R229" s="278"/>
      <c r="S229" s="278"/>
      <c r="T229" s="278"/>
      <c r="U229" s="278"/>
      <c r="V229" s="278"/>
      <c r="W229" s="278"/>
      <c r="X229" s="278"/>
      <c r="Y229" s="278"/>
      <c r="Z229" s="278"/>
      <c r="AA229" s="278"/>
      <c r="AB229" s="278"/>
      <c r="AC229" s="278"/>
    </row>
    <row r="230" ht="15.75" customHeight="1">
      <c r="A230" s="290" t="str">
        <f>IFERROR(__xludf.DUMMYFUNCTION("""COMPUTED_VALUE"""),"キルタイムコミュニケーション")</f>
        <v>キルタイムコミュニケーション</v>
      </c>
      <c r="B230" s="291">
        <f>IFERROR(__xludf.DUMMYFUNCTION("""COMPUTED_VALUE"""),45618.0)</f>
        <v>45618</v>
      </c>
      <c r="C230" s="292"/>
      <c r="D230" s="293">
        <f>IFERROR(__xludf.DUMMYFUNCTION("""COMPUTED_VALUE"""),155427.0)</f>
        <v>155427</v>
      </c>
      <c r="E230" s="290" t="str">
        <f>IFERROR(__xludf.DUMMYFUNCTION("""COMPUTED_VALUE"""),"別冊コミックアンリアル モンスター娘パラダイス デジタル版")</f>
        <v>別冊コミックアンリアル モンスター娘パラダイス デジタル版</v>
      </c>
      <c r="F230" s="298" t="str">
        <f>IFERROR(__xludf.DUMMYFUNCTION("""COMPUTED_VALUE"""),"アンソロジー")</f>
        <v>アンソロジー</v>
      </c>
      <c r="G230" s="298" t="str">
        <f>IFERROR(__xludf.DUMMYFUNCTION("""COMPUTED_VALUE"""),"オトナコミック")</f>
        <v>オトナコミック</v>
      </c>
      <c r="H230" s="298" t="str">
        <f>IFERROR(__xludf.DUMMYFUNCTION("""COMPUTED_VALUE"""),"2024/11/25～）クレジットカードでの購入のみ停止")</f>
        <v>2024/11/25～）クレジットカードでの購入のみ停止</v>
      </c>
      <c r="I230" s="283"/>
      <c r="J230" s="283"/>
      <c r="K230" s="283"/>
      <c r="L230" s="283"/>
      <c r="M230" s="283"/>
      <c r="N230" s="283"/>
      <c r="O230" s="283"/>
      <c r="P230" s="283"/>
      <c r="Q230" s="278"/>
      <c r="R230" s="278"/>
      <c r="S230" s="278"/>
      <c r="T230" s="278"/>
      <c r="U230" s="278"/>
      <c r="V230" s="278"/>
      <c r="W230" s="278"/>
      <c r="X230" s="278"/>
      <c r="Y230" s="278"/>
      <c r="Z230" s="278"/>
      <c r="AA230" s="278"/>
      <c r="AB230" s="278"/>
      <c r="AC230" s="278"/>
    </row>
    <row r="231" ht="15.75" customHeight="1">
      <c r="A231" s="290" t="str">
        <f>IFERROR(__xludf.DUMMYFUNCTION("""COMPUTED_VALUE"""),"キルタイムコミュニケーション")</f>
        <v>キルタイムコミュニケーション</v>
      </c>
      <c r="B231" s="291">
        <f>IFERROR(__xludf.DUMMYFUNCTION("""COMPUTED_VALUE"""),45618.0)</f>
        <v>45618</v>
      </c>
      <c r="C231" s="292"/>
      <c r="D231" s="293">
        <f>IFERROR(__xludf.DUMMYFUNCTION("""COMPUTED_VALUE"""),155429.0)</f>
        <v>155429</v>
      </c>
      <c r="E231" s="290" t="str">
        <f>IFERROR(__xludf.DUMMYFUNCTION("""COMPUTED_VALUE"""),"別冊コミックアンリアル 常識がエロい異常な世界 デジタル版")</f>
        <v>別冊コミックアンリアル 常識がエロい異常な世界 デジタル版</v>
      </c>
      <c r="F231" s="298" t="str">
        <f>IFERROR(__xludf.DUMMYFUNCTION("""COMPUTED_VALUE"""),"アンソロジー")</f>
        <v>アンソロジー</v>
      </c>
      <c r="G231" s="298" t="str">
        <f>IFERROR(__xludf.DUMMYFUNCTION("""COMPUTED_VALUE"""),"オトナコミック")</f>
        <v>オトナコミック</v>
      </c>
      <c r="H231" s="298" t="str">
        <f>IFERROR(__xludf.DUMMYFUNCTION("""COMPUTED_VALUE"""),"2024/11/25～）クレジットカードでの購入のみ停止")</f>
        <v>2024/11/25～）クレジットカードでの購入のみ停止</v>
      </c>
      <c r="I231" s="283"/>
      <c r="J231" s="283"/>
      <c r="K231" s="283"/>
      <c r="L231" s="283"/>
      <c r="M231" s="283"/>
      <c r="N231" s="283"/>
      <c r="O231" s="283"/>
      <c r="P231" s="283"/>
      <c r="Q231" s="278"/>
      <c r="R231" s="278"/>
      <c r="S231" s="278"/>
      <c r="T231" s="278"/>
      <c r="U231" s="278"/>
      <c r="V231" s="278"/>
      <c r="W231" s="278"/>
      <c r="X231" s="278"/>
      <c r="Y231" s="278"/>
      <c r="Z231" s="278"/>
      <c r="AA231" s="278"/>
      <c r="AB231" s="278"/>
      <c r="AC231" s="278"/>
    </row>
    <row r="232" ht="15.75" customHeight="1">
      <c r="A232" s="290" t="str">
        <f>IFERROR(__xludf.DUMMYFUNCTION("""COMPUTED_VALUE"""),"キルタイムコミュニケーション")</f>
        <v>キルタイムコミュニケーション</v>
      </c>
      <c r="B232" s="291">
        <f>IFERROR(__xludf.DUMMYFUNCTION("""COMPUTED_VALUE"""),45618.0)</f>
        <v>45618</v>
      </c>
      <c r="C232" s="292"/>
      <c r="D232" s="293">
        <f>IFERROR(__xludf.DUMMYFUNCTION("""COMPUTED_VALUE"""),155435.0)</f>
        <v>155435</v>
      </c>
      <c r="E232" s="290" t="str">
        <f>IFERROR(__xludf.DUMMYFUNCTION("""COMPUTED_VALUE"""),"別冊コミックアンリアル 爆乳ファンタジー デジタル版")</f>
        <v>別冊コミックアンリアル 爆乳ファンタジー デジタル版</v>
      </c>
      <c r="F232" s="298" t="str">
        <f>IFERROR(__xludf.DUMMYFUNCTION("""COMPUTED_VALUE"""),"アンソロジー")</f>
        <v>アンソロジー</v>
      </c>
      <c r="G232" s="298" t="str">
        <f>IFERROR(__xludf.DUMMYFUNCTION("""COMPUTED_VALUE"""),"オトナコミック")</f>
        <v>オトナコミック</v>
      </c>
      <c r="H232" s="298" t="str">
        <f>IFERROR(__xludf.DUMMYFUNCTION("""COMPUTED_VALUE"""),"2024/11/25～）クレジットカードでの購入のみ停止")</f>
        <v>2024/11/25～）クレジットカードでの購入のみ停止</v>
      </c>
      <c r="I232" s="283"/>
      <c r="J232" s="283"/>
      <c r="K232" s="283"/>
      <c r="L232" s="283"/>
      <c r="M232" s="283"/>
      <c r="N232" s="283"/>
      <c r="O232" s="283"/>
      <c r="P232" s="283"/>
      <c r="Q232" s="278"/>
      <c r="R232" s="278"/>
      <c r="S232" s="278"/>
      <c r="T232" s="278"/>
      <c r="U232" s="278"/>
      <c r="V232" s="278"/>
      <c r="W232" s="278"/>
      <c r="X232" s="278"/>
      <c r="Y232" s="278"/>
      <c r="Z232" s="278"/>
      <c r="AA232" s="278"/>
      <c r="AB232" s="278"/>
      <c r="AC232" s="278"/>
    </row>
    <row r="233" ht="15.75" customHeight="1">
      <c r="A233" s="290" t="str">
        <f>IFERROR(__xludf.DUMMYFUNCTION("""COMPUTED_VALUE"""),"キルタイムコミュニケーション")</f>
        <v>キルタイムコミュニケーション</v>
      </c>
      <c r="B233" s="291">
        <f>IFERROR(__xludf.DUMMYFUNCTION("""COMPUTED_VALUE"""),45618.0)</f>
        <v>45618</v>
      </c>
      <c r="C233" s="292"/>
      <c r="D233" s="293">
        <f>IFERROR(__xludf.DUMMYFUNCTION("""COMPUTED_VALUE"""),155451.0)</f>
        <v>155451</v>
      </c>
      <c r="E233" s="290" t="str">
        <f>IFERROR(__xludf.DUMMYFUNCTION("""COMPUTED_VALUE"""),"コミックアンリアル")</f>
        <v>コミックアンリアル</v>
      </c>
      <c r="F233" s="298" t="str">
        <f>IFERROR(__xludf.DUMMYFUNCTION("""COMPUTED_VALUE"""),"アンソロジー")</f>
        <v>アンソロジー</v>
      </c>
      <c r="G233" s="298" t="str">
        <f>IFERROR(__xludf.DUMMYFUNCTION("""COMPUTED_VALUE"""),"オトナコミック")</f>
        <v>オトナコミック</v>
      </c>
      <c r="H233" s="298" t="str">
        <f>IFERROR(__xludf.DUMMYFUNCTION("""COMPUTED_VALUE"""),"2024/11/25～）クレジットカードでの購入のみ停止")</f>
        <v>2024/11/25～）クレジットカードでの購入のみ停止</v>
      </c>
      <c r="I233" s="283"/>
      <c r="J233" s="283"/>
      <c r="K233" s="283"/>
      <c r="L233" s="283"/>
      <c r="M233" s="283"/>
      <c r="N233" s="283"/>
      <c r="O233" s="283"/>
      <c r="P233" s="283"/>
      <c r="Q233" s="278"/>
      <c r="R233" s="278"/>
      <c r="S233" s="278"/>
      <c r="T233" s="278"/>
      <c r="U233" s="278"/>
      <c r="V233" s="278"/>
      <c r="W233" s="278"/>
      <c r="X233" s="278"/>
      <c r="Y233" s="278"/>
      <c r="Z233" s="278"/>
      <c r="AA233" s="278"/>
      <c r="AB233" s="278"/>
      <c r="AC233" s="278"/>
    </row>
    <row r="234" ht="15.75" customHeight="1">
      <c r="A234" s="290" t="str">
        <f>IFERROR(__xludf.DUMMYFUNCTION("""COMPUTED_VALUE"""),"キルタイムコミュニケーション")</f>
        <v>キルタイムコミュニケーション</v>
      </c>
      <c r="B234" s="291">
        <f>IFERROR(__xludf.DUMMYFUNCTION("""COMPUTED_VALUE"""),45618.0)</f>
        <v>45618</v>
      </c>
      <c r="C234" s="292"/>
      <c r="D234" s="293">
        <f>IFERROR(__xludf.DUMMYFUNCTION("""COMPUTED_VALUE"""),155527.0)</f>
        <v>155527</v>
      </c>
      <c r="E234" s="290" t="str">
        <f>IFERROR(__xludf.DUMMYFUNCTION("""COMPUTED_VALUE"""),"ドロップアウト")</f>
        <v>ドロップアウト</v>
      </c>
      <c r="F234" s="298" t="str">
        <f>IFERROR(__xludf.DUMMYFUNCTION("""COMPUTED_VALUE"""),"煌野一人")</f>
        <v>煌野一人</v>
      </c>
      <c r="G234" s="298" t="str">
        <f>IFERROR(__xludf.DUMMYFUNCTION("""COMPUTED_VALUE"""),"オトナコミック")</f>
        <v>オトナコミック</v>
      </c>
      <c r="H234" s="298" t="str">
        <f>IFERROR(__xludf.DUMMYFUNCTION("""COMPUTED_VALUE"""),"2024/11/25～）クレジットカードでの購入のみ停止")</f>
        <v>2024/11/25～）クレジットカードでの購入のみ停止</v>
      </c>
      <c r="I234" s="283"/>
      <c r="J234" s="283"/>
      <c r="K234" s="283"/>
      <c r="L234" s="283"/>
      <c r="M234" s="283"/>
      <c r="N234" s="283"/>
      <c r="O234" s="283"/>
      <c r="P234" s="283"/>
      <c r="Q234" s="278"/>
      <c r="R234" s="278"/>
      <c r="S234" s="278"/>
      <c r="T234" s="278"/>
      <c r="U234" s="278"/>
      <c r="V234" s="278"/>
      <c r="W234" s="278"/>
      <c r="X234" s="278"/>
      <c r="Y234" s="278"/>
      <c r="Z234" s="278"/>
      <c r="AA234" s="278"/>
      <c r="AB234" s="278"/>
      <c r="AC234" s="278"/>
    </row>
    <row r="235" ht="15.75" customHeight="1">
      <c r="A235" s="290" t="str">
        <f>IFERROR(__xludf.DUMMYFUNCTION("""COMPUTED_VALUE"""),"キルタイムコミュニケーション")</f>
        <v>キルタイムコミュニケーション</v>
      </c>
      <c r="B235" s="291">
        <f>IFERROR(__xludf.DUMMYFUNCTION("""COMPUTED_VALUE"""),45618.0)</f>
        <v>45618</v>
      </c>
      <c r="C235" s="292"/>
      <c r="D235" s="293">
        <f>IFERROR(__xludf.DUMMYFUNCTION("""COMPUTED_VALUE"""),161916.0)</f>
        <v>161916</v>
      </c>
      <c r="E235" s="290" t="str">
        <f>IFERROR(__xludf.DUMMYFUNCTION("""COMPUTED_VALUE"""),"淫隷戦士りるか")</f>
        <v>淫隷戦士りるか</v>
      </c>
      <c r="F235" s="298" t="str">
        <f>IFERROR(__xludf.DUMMYFUNCTION("""COMPUTED_VALUE"""),"おおたたけし")</f>
        <v>おおたたけし</v>
      </c>
      <c r="G235" s="298" t="str">
        <f>IFERROR(__xludf.DUMMYFUNCTION("""COMPUTED_VALUE"""),"オトナコミック")</f>
        <v>オトナコミック</v>
      </c>
      <c r="H235" s="298" t="str">
        <f>IFERROR(__xludf.DUMMYFUNCTION("""COMPUTED_VALUE"""),"2024/11/25～）クレジットカードでの購入のみ停止")</f>
        <v>2024/11/25～）クレジットカードでの購入のみ停止</v>
      </c>
      <c r="I235" s="283"/>
      <c r="J235" s="283"/>
      <c r="K235" s="283"/>
      <c r="L235" s="283"/>
      <c r="M235" s="283"/>
      <c r="N235" s="283"/>
      <c r="O235" s="283"/>
      <c r="P235" s="283"/>
      <c r="Q235" s="278"/>
      <c r="R235" s="278"/>
      <c r="S235" s="278"/>
      <c r="T235" s="278"/>
      <c r="U235" s="278"/>
      <c r="V235" s="278"/>
      <c r="W235" s="278"/>
      <c r="X235" s="278"/>
      <c r="Y235" s="278"/>
      <c r="Z235" s="278"/>
      <c r="AA235" s="278"/>
      <c r="AB235" s="278"/>
      <c r="AC235" s="278"/>
    </row>
    <row r="236" ht="15.75" customHeight="1">
      <c r="A236" s="290" t="str">
        <f>IFERROR(__xludf.DUMMYFUNCTION("""COMPUTED_VALUE"""),"キルタイムコミュニケーション")</f>
        <v>キルタイムコミュニケーション</v>
      </c>
      <c r="B236" s="291">
        <f>IFERROR(__xludf.DUMMYFUNCTION("""COMPUTED_VALUE"""),45618.0)</f>
        <v>45618</v>
      </c>
      <c r="C236" s="292"/>
      <c r="D236" s="293">
        <f>IFERROR(__xludf.DUMMYFUNCTION("""COMPUTED_VALUE"""),171407.0)</f>
        <v>171407</v>
      </c>
      <c r="E236" s="290" t="str">
        <f>IFERROR(__xludf.DUMMYFUNCTION("""COMPUTED_VALUE"""),"別冊コミックアンリアル 変態催眠～肉便器堕ちした美少女たち～デジタル版")</f>
        <v>別冊コミックアンリアル 変態催眠～肉便器堕ちした美少女たち～デジタル版</v>
      </c>
      <c r="F236" s="298" t="str">
        <f>IFERROR(__xludf.DUMMYFUNCTION("""COMPUTED_VALUE"""),"アンソロジー")</f>
        <v>アンソロジー</v>
      </c>
      <c r="G236" s="298" t="str">
        <f>IFERROR(__xludf.DUMMYFUNCTION("""COMPUTED_VALUE"""),"オトナコミック")</f>
        <v>オトナコミック</v>
      </c>
      <c r="H236" s="298" t="str">
        <f>IFERROR(__xludf.DUMMYFUNCTION("""COMPUTED_VALUE"""),"2024/11/25～）クレジットカードでの購入のみ停止")</f>
        <v>2024/11/25～）クレジットカードでの購入のみ停止</v>
      </c>
      <c r="I236" s="283"/>
      <c r="J236" s="283"/>
      <c r="K236" s="283"/>
      <c r="L236" s="283"/>
      <c r="M236" s="283"/>
      <c r="N236" s="283"/>
      <c r="O236" s="283"/>
      <c r="P236" s="283"/>
      <c r="Q236" s="278"/>
      <c r="R236" s="278"/>
      <c r="S236" s="278"/>
      <c r="T236" s="278"/>
      <c r="U236" s="278"/>
      <c r="V236" s="278"/>
      <c r="W236" s="278"/>
      <c r="X236" s="278"/>
      <c r="Y236" s="278"/>
      <c r="Z236" s="278"/>
      <c r="AA236" s="278"/>
      <c r="AB236" s="278"/>
      <c r="AC236" s="278"/>
    </row>
    <row r="237" ht="15.75" customHeight="1">
      <c r="A237" s="290" t="str">
        <f>IFERROR(__xludf.DUMMYFUNCTION("""COMPUTED_VALUE"""),"キルタイムコミュニケーション")</f>
        <v>キルタイムコミュニケーション</v>
      </c>
      <c r="B237" s="291">
        <f>IFERROR(__xludf.DUMMYFUNCTION("""COMPUTED_VALUE"""),45618.0)</f>
        <v>45618</v>
      </c>
      <c r="C237" s="292"/>
      <c r="D237" s="293">
        <f>IFERROR(__xludf.DUMMYFUNCTION("""COMPUTED_VALUE"""),171411.0)</f>
        <v>171411</v>
      </c>
      <c r="E237" s="290" t="str">
        <f>IFERROR(__xludf.DUMMYFUNCTION("""COMPUTED_VALUE"""),"夢魔転生～死んだらインキュバスに転生してました～【ささくまきょうたフルカラー作品集】")</f>
        <v>夢魔転生～死んだらインキュバスに転生してました～【ささくまきょうたフルカラー作品集】</v>
      </c>
      <c r="F237" s="298" t="str">
        <f>IFERROR(__xludf.DUMMYFUNCTION("""COMPUTED_VALUE"""),"ささくまきょうた")</f>
        <v>ささくまきょうた</v>
      </c>
      <c r="G237" s="298" t="str">
        <f>IFERROR(__xludf.DUMMYFUNCTION("""COMPUTED_VALUE"""),"オトナコミック")</f>
        <v>オトナコミック</v>
      </c>
      <c r="H237" s="298" t="str">
        <f>IFERROR(__xludf.DUMMYFUNCTION("""COMPUTED_VALUE"""),"2024/11/25～）クレジットカードでの購入のみ停止")</f>
        <v>2024/11/25～）クレジットカードでの購入のみ停止</v>
      </c>
      <c r="I237" s="283"/>
      <c r="J237" s="283"/>
      <c r="K237" s="283"/>
      <c r="L237" s="283"/>
      <c r="M237" s="283"/>
      <c r="N237" s="283"/>
      <c r="O237" s="283"/>
      <c r="P237" s="283"/>
      <c r="Q237" s="278"/>
      <c r="R237" s="278"/>
      <c r="S237" s="278"/>
      <c r="T237" s="278"/>
      <c r="U237" s="278"/>
      <c r="V237" s="278"/>
      <c r="W237" s="278"/>
      <c r="X237" s="278"/>
      <c r="Y237" s="278"/>
      <c r="Z237" s="278"/>
      <c r="AA237" s="278"/>
      <c r="AB237" s="278"/>
      <c r="AC237" s="278"/>
    </row>
    <row r="238" ht="15.75" customHeight="1">
      <c r="A238" s="290" t="str">
        <f>IFERROR(__xludf.DUMMYFUNCTION("""COMPUTED_VALUE"""),"キルタイムコミュニケーション")</f>
        <v>キルタイムコミュニケーション</v>
      </c>
      <c r="B238" s="291">
        <f>IFERROR(__xludf.DUMMYFUNCTION("""COMPUTED_VALUE"""),45618.0)</f>
        <v>45618</v>
      </c>
      <c r="C238" s="292"/>
      <c r="D238" s="293">
        <f>IFERROR(__xludf.DUMMYFUNCTION("""COMPUTED_VALUE"""),175036.0)</f>
        <v>175036</v>
      </c>
      <c r="E238" s="290" t="str">
        <f>IFERROR(__xludf.DUMMYFUNCTION("""COMPUTED_VALUE"""),"別冊コミックアンリアル 美少女ハッキング～発情させたり操ったり憑依女体化したり!?～デジタル版")</f>
        <v>別冊コミックアンリアル 美少女ハッキング～発情させたり操ったり憑依女体化したり!?～デジタル版</v>
      </c>
      <c r="F238" s="298" t="str">
        <f>IFERROR(__xludf.DUMMYFUNCTION("""COMPUTED_VALUE"""),"アンソロジー")</f>
        <v>アンソロジー</v>
      </c>
      <c r="G238" s="298" t="str">
        <f>IFERROR(__xludf.DUMMYFUNCTION("""COMPUTED_VALUE"""),"オトナコミック")</f>
        <v>オトナコミック</v>
      </c>
      <c r="H238" s="298" t="str">
        <f>IFERROR(__xludf.DUMMYFUNCTION("""COMPUTED_VALUE"""),"2024/11/25～）クレジットカードでの購入のみ停止")</f>
        <v>2024/11/25～）クレジットカードでの購入のみ停止</v>
      </c>
      <c r="I238" s="283"/>
      <c r="J238" s="283"/>
      <c r="K238" s="283"/>
      <c r="L238" s="283"/>
      <c r="M238" s="283"/>
      <c r="N238" s="283"/>
      <c r="O238" s="283"/>
      <c r="P238" s="283"/>
      <c r="Q238" s="278"/>
      <c r="R238" s="278"/>
      <c r="S238" s="278"/>
      <c r="T238" s="278"/>
      <c r="U238" s="278"/>
      <c r="V238" s="278"/>
      <c r="W238" s="278"/>
      <c r="X238" s="278"/>
      <c r="Y238" s="278"/>
      <c r="Z238" s="278"/>
      <c r="AA238" s="278"/>
      <c r="AB238" s="278"/>
      <c r="AC238" s="278"/>
    </row>
    <row r="239" ht="15.75" customHeight="1">
      <c r="A239" s="290" t="str">
        <f>IFERROR(__xludf.DUMMYFUNCTION("""COMPUTED_VALUE"""),"キルタイムコミュニケーション")</f>
        <v>キルタイムコミュニケーション</v>
      </c>
      <c r="B239" s="291">
        <f>IFERROR(__xludf.DUMMYFUNCTION("""COMPUTED_VALUE"""),45618.0)</f>
        <v>45618</v>
      </c>
      <c r="C239" s="292"/>
      <c r="D239" s="293">
        <f>IFERROR(__xludf.DUMMYFUNCTION("""COMPUTED_VALUE"""),175037.0)</f>
        <v>175037</v>
      </c>
      <c r="E239" s="290" t="str">
        <f>IFERROR(__xludf.DUMMYFUNCTION("""COMPUTED_VALUE"""),"ツイてるギャル勇者 異世界の地に勃つ")</f>
        <v>ツイてるギャル勇者 異世界の地に勃つ</v>
      </c>
      <c r="F239" s="298" t="str">
        <f>IFERROR(__xludf.DUMMYFUNCTION("""COMPUTED_VALUE"""),"こっぱむ")</f>
        <v>こっぱむ</v>
      </c>
      <c r="G239" s="298" t="str">
        <f>IFERROR(__xludf.DUMMYFUNCTION("""COMPUTED_VALUE"""),"オトナコミック")</f>
        <v>オトナコミック</v>
      </c>
      <c r="H239" s="298" t="str">
        <f>IFERROR(__xludf.DUMMYFUNCTION("""COMPUTED_VALUE"""),"2024/11/25～）クレジットカードでの購入のみ停止")</f>
        <v>2024/11/25～）クレジットカードでの購入のみ停止</v>
      </c>
      <c r="I239" s="283"/>
      <c r="J239" s="283"/>
      <c r="K239" s="283"/>
      <c r="L239" s="283"/>
      <c r="M239" s="283"/>
      <c r="N239" s="283"/>
      <c r="O239" s="283"/>
      <c r="P239" s="283"/>
      <c r="Q239" s="278"/>
      <c r="R239" s="278"/>
      <c r="S239" s="278"/>
      <c r="T239" s="278"/>
      <c r="U239" s="278"/>
      <c r="V239" s="278"/>
      <c r="W239" s="278"/>
      <c r="X239" s="278"/>
      <c r="Y239" s="278"/>
      <c r="Z239" s="278"/>
      <c r="AA239" s="278"/>
      <c r="AB239" s="278"/>
      <c r="AC239" s="278"/>
    </row>
    <row r="240" ht="15.75" customHeight="1">
      <c r="A240" s="290" t="str">
        <f>IFERROR(__xludf.DUMMYFUNCTION("""COMPUTED_VALUE"""),"キルタイムコミュニケーション")</f>
        <v>キルタイムコミュニケーション</v>
      </c>
      <c r="B240" s="291">
        <f>IFERROR(__xludf.DUMMYFUNCTION("""COMPUTED_VALUE"""),45618.0)</f>
        <v>45618</v>
      </c>
      <c r="C240" s="292"/>
      <c r="D240" s="293">
        <f>IFERROR(__xludf.DUMMYFUNCTION("""COMPUTED_VALUE"""),179819.0)</f>
        <v>179819</v>
      </c>
      <c r="E240" s="290" t="str">
        <f>IFERROR(__xludf.DUMMYFUNCTION("""COMPUTED_VALUE"""),"二次元コミックマガジン ガチレズ陵辱で快楽堕とし")</f>
        <v>二次元コミックマガジン ガチレズ陵辱で快楽堕とし</v>
      </c>
      <c r="F240" s="298" t="str">
        <f>IFERROR(__xludf.DUMMYFUNCTION("""COMPUTED_VALUE"""),"アンソロジー")</f>
        <v>アンソロジー</v>
      </c>
      <c r="G240" s="298" t="str">
        <f>IFERROR(__xludf.DUMMYFUNCTION("""COMPUTED_VALUE"""),"オトナコミック")</f>
        <v>オトナコミック</v>
      </c>
      <c r="H240" s="298" t="str">
        <f>IFERROR(__xludf.DUMMYFUNCTION("""COMPUTED_VALUE"""),"2024/11/25～）クレジットカードでの購入のみ停止")</f>
        <v>2024/11/25～）クレジットカードでの購入のみ停止</v>
      </c>
      <c r="I240" s="283"/>
      <c r="J240" s="283"/>
      <c r="K240" s="283"/>
      <c r="L240" s="283"/>
      <c r="M240" s="283"/>
      <c r="N240" s="283"/>
      <c r="O240" s="283"/>
      <c r="P240" s="283"/>
      <c r="Q240" s="278"/>
      <c r="R240" s="278"/>
      <c r="S240" s="278"/>
      <c r="T240" s="278"/>
      <c r="U240" s="278"/>
      <c r="V240" s="278"/>
      <c r="W240" s="278"/>
      <c r="X240" s="278"/>
      <c r="Y240" s="278"/>
      <c r="Z240" s="278"/>
      <c r="AA240" s="278"/>
      <c r="AB240" s="278"/>
      <c r="AC240" s="278"/>
    </row>
    <row r="241" ht="15.75" customHeight="1">
      <c r="A241" s="290" t="str">
        <f>IFERROR(__xludf.DUMMYFUNCTION("""COMPUTED_VALUE"""),"キルタイムコミュニケーション")</f>
        <v>キルタイムコミュニケーション</v>
      </c>
      <c r="B241" s="291">
        <f>IFERROR(__xludf.DUMMYFUNCTION("""COMPUTED_VALUE"""),45618.0)</f>
        <v>45618</v>
      </c>
      <c r="C241" s="292"/>
      <c r="D241" s="293">
        <f>IFERROR(__xludf.DUMMYFUNCTION("""COMPUTED_VALUE"""),179821.0)</f>
        <v>179821</v>
      </c>
      <c r="E241" s="290" t="str">
        <f>IFERROR(__xludf.DUMMYFUNCTION("""COMPUTED_VALUE"""),"二次元コミックマガジン パンツに変身してイタズラ密着陵辱!")</f>
        <v>二次元コミックマガジン パンツに変身してイタズラ密着陵辱!</v>
      </c>
      <c r="F241" s="298" t="str">
        <f>IFERROR(__xludf.DUMMYFUNCTION("""COMPUTED_VALUE"""),"アンソロジー")</f>
        <v>アンソロジー</v>
      </c>
      <c r="G241" s="298" t="str">
        <f>IFERROR(__xludf.DUMMYFUNCTION("""COMPUTED_VALUE"""),"オトナコミック")</f>
        <v>オトナコミック</v>
      </c>
      <c r="H241" s="298" t="str">
        <f>IFERROR(__xludf.DUMMYFUNCTION("""COMPUTED_VALUE"""),"2024/11/25～）クレジットカードでの購入のみ停止")</f>
        <v>2024/11/25～）クレジットカードでの購入のみ停止</v>
      </c>
      <c r="I241" s="283"/>
      <c r="J241" s="283"/>
      <c r="K241" s="283"/>
      <c r="L241" s="283"/>
      <c r="M241" s="283"/>
      <c r="N241" s="283"/>
      <c r="O241" s="283"/>
      <c r="P241" s="283"/>
      <c r="Q241" s="278"/>
      <c r="R241" s="278"/>
      <c r="S241" s="278"/>
      <c r="T241" s="278"/>
      <c r="U241" s="278"/>
      <c r="V241" s="278"/>
      <c r="W241" s="278"/>
      <c r="X241" s="278"/>
      <c r="Y241" s="278"/>
      <c r="Z241" s="278"/>
      <c r="AA241" s="278"/>
      <c r="AB241" s="278"/>
      <c r="AC241" s="278"/>
    </row>
    <row r="242" ht="15.75" customHeight="1">
      <c r="A242" s="290" t="str">
        <f>IFERROR(__xludf.DUMMYFUNCTION("""COMPUTED_VALUE"""),"キルタイムコミュニケーション")</f>
        <v>キルタイムコミュニケーション</v>
      </c>
      <c r="B242" s="291">
        <f>IFERROR(__xludf.DUMMYFUNCTION("""COMPUTED_VALUE"""),45618.0)</f>
        <v>45618</v>
      </c>
      <c r="C242" s="292"/>
      <c r="D242" s="293">
        <f>IFERROR(__xludf.DUMMYFUNCTION("""COMPUTED_VALUE"""),179825.0)</f>
        <v>179825</v>
      </c>
      <c r="E242" s="290" t="str">
        <f>IFERROR(__xludf.DUMMYFUNCTION("""COMPUTED_VALUE"""),"恥辱少女図鑑")</f>
        <v>恥辱少女図鑑</v>
      </c>
      <c r="F242" s="298" t="str">
        <f>IFERROR(__xludf.DUMMYFUNCTION("""COMPUTED_VALUE"""),"松波留美")</f>
        <v>松波留美</v>
      </c>
      <c r="G242" s="298" t="str">
        <f>IFERROR(__xludf.DUMMYFUNCTION("""COMPUTED_VALUE"""),"オトナコミック")</f>
        <v>オトナコミック</v>
      </c>
      <c r="H242" s="298" t="str">
        <f>IFERROR(__xludf.DUMMYFUNCTION("""COMPUTED_VALUE"""),"2024/11/25～）クレジットカードでの購入のみ停止")</f>
        <v>2024/11/25～）クレジットカードでの購入のみ停止</v>
      </c>
      <c r="I242" s="283"/>
      <c r="J242" s="283"/>
      <c r="K242" s="283"/>
      <c r="L242" s="283"/>
      <c r="M242" s="283"/>
      <c r="N242" s="283"/>
      <c r="O242" s="283"/>
      <c r="P242" s="283"/>
      <c r="Q242" s="278"/>
      <c r="R242" s="278"/>
      <c r="S242" s="278"/>
      <c r="T242" s="278"/>
      <c r="U242" s="278"/>
      <c r="V242" s="278"/>
      <c r="W242" s="278"/>
      <c r="X242" s="278"/>
      <c r="Y242" s="278"/>
      <c r="Z242" s="278"/>
      <c r="AA242" s="278"/>
      <c r="AB242" s="278"/>
      <c r="AC242" s="278"/>
    </row>
    <row r="243" ht="15.75" customHeight="1">
      <c r="A243" s="290" t="str">
        <f>IFERROR(__xludf.DUMMYFUNCTION("""COMPUTED_VALUE"""),"キルタイムコミュニケーション")</f>
        <v>キルタイムコミュニケーション</v>
      </c>
      <c r="B243" s="291">
        <f>IFERROR(__xludf.DUMMYFUNCTION("""COMPUTED_VALUE"""),45618.0)</f>
        <v>45618</v>
      </c>
      <c r="C243" s="292"/>
      <c r="D243" s="293">
        <f>IFERROR(__xludf.DUMMYFUNCTION("""COMPUTED_VALUE"""),180710.0)</f>
        <v>180710</v>
      </c>
      <c r="E243" s="290" t="str">
        <f>IFERROR(__xludf.DUMMYFUNCTION("""COMPUTED_VALUE"""),"恥辱仕置き淫録")</f>
        <v>恥辱仕置き淫録</v>
      </c>
      <c r="F243" s="298" t="str">
        <f>IFERROR(__xludf.DUMMYFUNCTION("""COMPUTED_VALUE"""),"なちすけ")</f>
        <v>なちすけ</v>
      </c>
      <c r="G243" s="298" t="str">
        <f>IFERROR(__xludf.DUMMYFUNCTION("""COMPUTED_VALUE"""),"オトナコミック")</f>
        <v>オトナコミック</v>
      </c>
      <c r="H243" s="298" t="str">
        <f>IFERROR(__xludf.DUMMYFUNCTION("""COMPUTED_VALUE"""),"2024/11/25～）クレジットカードでの購入のみ停止")</f>
        <v>2024/11/25～）クレジットカードでの購入のみ停止</v>
      </c>
      <c r="I243" s="283"/>
      <c r="J243" s="283"/>
      <c r="K243" s="283"/>
      <c r="L243" s="283"/>
      <c r="M243" s="283"/>
      <c r="N243" s="283"/>
      <c r="O243" s="283"/>
      <c r="P243" s="283"/>
      <c r="Q243" s="278"/>
      <c r="R243" s="278"/>
      <c r="S243" s="278"/>
      <c r="T243" s="278"/>
      <c r="U243" s="278"/>
      <c r="V243" s="278"/>
      <c r="W243" s="278"/>
      <c r="X243" s="278"/>
      <c r="Y243" s="278"/>
      <c r="Z243" s="278"/>
      <c r="AA243" s="278"/>
      <c r="AB243" s="278"/>
      <c r="AC243" s="278"/>
    </row>
    <row r="244" ht="15.75" customHeight="1">
      <c r="A244" s="290" t="str">
        <f>IFERROR(__xludf.DUMMYFUNCTION("""COMPUTED_VALUE"""),"キルタイムコミュニケーション")</f>
        <v>キルタイムコミュニケーション</v>
      </c>
      <c r="B244" s="291">
        <f>IFERROR(__xludf.DUMMYFUNCTION("""COMPUTED_VALUE"""),45618.0)</f>
        <v>45618</v>
      </c>
      <c r="C244" s="292"/>
      <c r="D244" s="293">
        <f>IFERROR(__xludf.DUMMYFUNCTION("""COMPUTED_VALUE"""),180712.0)</f>
        <v>180712</v>
      </c>
      <c r="E244" s="290" t="str">
        <f>IFERROR(__xludf.DUMMYFUNCTION("""COMPUTED_VALUE"""),"浸触ミステリイサークル")</f>
        <v>浸触ミステリイサークル</v>
      </c>
      <c r="F244" s="298" t="str">
        <f>IFERROR(__xludf.DUMMYFUNCTION("""COMPUTED_VALUE"""),"すてりい")</f>
        <v>すてりい</v>
      </c>
      <c r="G244" s="298" t="str">
        <f>IFERROR(__xludf.DUMMYFUNCTION("""COMPUTED_VALUE"""),"オトナコミック")</f>
        <v>オトナコミック</v>
      </c>
      <c r="H244" s="298" t="str">
        <f>IFERROR(__xludf.DUMMYFUNCTION("""COMPUTED_VALUE"""),"2024/11/25～）クレジットカードでの購入のみ停止")</f>
        <v>2024/11/25～）クレジットカードでの購入のみ停止</v>
      </c>
      <c r="I244" s="283"/>
      <c r="J244" s="283"/>
      <c r="K244" s="283"/>
      <c r="L244" s="283"/>
      <c r="M244" s="283"/>
      <c r="N244" s="283"/>
      <c r="O244" s="283"/>
      <c r="P244" s="283"/>
      <c r="Q244" s="278"/>
      <c r="R244" s="278"/>
      <c r="S244" s="278"/>
      <c r="T244" s="278"/>
      <c r="U244" s="278"/>
      <c r="V244" s="278"/>
      <c r="W244" s="278"/>
      <c r="X244" s="278"/>
      <c r="Y244" s="278"/>
      <c r="Z244" s="278"/>
      <c r="AA244" s="278"/>
      <c r="AB244" s="278"/>
      <c r="AC244" s="278"/>
    </row>
    <row r="245" ht="15.75" customHeight="1">
      <c r="A245" s="290" t="str">
        <f>IFERROR(__xludf.DUMMYFUNCTION("""COMPUTED_VALUE"""),"キルタイムコミュニケーション")</f>
        <v>キルタイムコミュニケーション</v>
      </c>
      <c r="B245" s="291">
        <f>IFERROR(__xludf.DUMMYFUNCTION("""COMPUTED_VALUE"""),45618.0)</f>
        <v>45618</v>
      </c>
      <c r="C245" s="292"/>
      <c r="D245" s="293">
        <f>IFERROR(__xludf.DUMMYFUNCTION("""COMPUTED_VALUE"""),181248.0)</f>
        <v>181248</v>
      </c>
      <c r="E245" s="290" t="str">
        <f>IFERROR(__xludf.DUMMYFUNCTION("""COMPUTED_VALUE"""),"孕み堕つ戦乙女")</f>
        <v>孕み堕つ戦乙女</v>
      </c>
      <c r="F245" s="298" t="str">
        <f>IFERROR(__xludf.DUMMYFUNCTION("""COMPUTED_VALUE"""),"歌麿")</f>
        <v>歌麿</v>
      </c>
      <c r="G245" s="298" t="str">
        <f>IFERROR(__xludf.DUMMYFUNCTION("""COMPUTED_VALUE"""),"オトナコミック")</f>
        <v>オトナコミック</v>
      </c>
      <c r="H245" s="298" t="str">
        <f>IFERROR(__xludf.DUMMYFUNCTION("""COMPUTED_VALUE"""),"2024/11/25～）クレジットカードでの購入のみ停止")</f>
        <v>2024/11/25～）クレジットカードでの購入のみ停止</v>
      </c>
      <c r="I245" s="283"/>
      <c r="J245" s="283"/>
      <c r="K245" s="283"/>
      <c r="L245" s="283"/>
      <c r="M245" s="283"/>
      <c r="N245" s="283"/>
      <c r="O245" s="283"/>
      <c r="P245" s="283"/>
      <c r="Q245" s="278"/>
      <c r="R245" s="278"/>
      <c r="S245" s="278"/>
      <c r="T245" s="278"/>
      <c r="U245" s="278"/>
      <c r="V245" s="278"/>
      <c r="W245" s="278"/>
      <c r="X245" s="278"/>
      <c r="Y245" s="278"/>
      <c r="Z245" s="278"/>
      <c r="AA245" s="278"/>
      <c r="AB245" s="278"/>
      <c r="AC245" s="278"/>
    </row>
    <row r="246" ht="15.75" customHeight="1">
      <c r="A246" s="290" t="str">
        <f>IFERROR(__xludf.DUMMYFUNCTION("""COMPUTED_VALUE"""),"キルタイムコミュニケーション")</f>
        <v>キルタイムコミュニケーション</v>
      </c>
      <c r="B246" s="291">
        <f>IFERROR(__xludf.DUMMYFUNCTION("""COMPUTED_VALUE"""),45618.0)</f>
        <v>45618</v>
      </c>
      <c r="C246" s="292"/>
      <c r="D246" s="293">
        <f>IFERROR(__xludf.DUMMYFUNCTION("""COMPUTED_VALUE"""),185408.0)</f>
        <v>185408</v>
      </c>
      <c r="E246" s="290" t="str">
        <f>IFERROR(__xludf.DUMMYFUNCTION("""COMPUTED_VALUE"""),"発情ケダモノ交尾録 種付けおじさん語録かるた付き限定版")</f>
        <v>発情ケダモノ交尾録 種付けおじさん語録かるた付き限定版</v>
      </c>
      <c r="F246" s="298" t="str">
        <f>IFERROR(__xludf.DUMMYFUNCTION("""COMPUTED_VALUE"""),"chin")</f>
        <v>chin</v>
      </c>
      <c r="G246" s="298" t="str">
        <f>IFERROR(__xludf.DUMMYFUNCTION("""COMPUTED_VALUE"""),"オトナコミック")</f>
        <v>オトナコミック</v>
      </c>
      <c r="H246" s="298" t="str">
        <f>IFERROR(__xludf.DUMMYFUNCTION("""COMPUTED_VALUE"""),"2024/11/25～）クレジットカードでの購入のみ停止")</f>
        <v>2024/11/25～）クレジットカードでの購入のみ停止</v>
      </c>
      <c r="I246" s="283"/>
      <c r="J246" s="283"/>
      <c r="K246" s="283"/>
      <c r="L246" s="283"/>
      <c r="M246" s="283"/>
      <c r="N246" s="283"/>
      <c r="O246" s="283"/>
      <c r="P246" s="283"/>
      <c r="Q246" s="278"/>
      <c r="R246" s="278"/>
      <c r="S246" s="278"/>
      <c r="T246" s="278"/>
      <c r="U246" s="278"/>
      <c r="V246" s="278"/>
      <c r="W246" s="278"/>
      <c r="X246" s="278"/>
      <c r="Y246" s="278"/>
      <c r="Z246" s="278"/>
      <c r="AA246" s="278"/>
      <c r="AB246" s="278"/>
      <c r="AC246" s="278"/>
    </row>
    <row r="247" ht="15.75" customHeight="1">
      <c r="A247" s="290" t="str">
        <f>IFERROR(__xludf.DUMMYFUNCTION("""COMPUTED_VALUE"""),"キルタイムコミュニケーション")</f>
        <v>キルタイムコミュニケーション</v>
      </c>
      <c r="B247" s="291">
        <f>IFERROR(__xludf.DUMMYFUNCTION("""COMPUTED_VALUE"""),45618.0)</f>
        <v>45618</v>
      </c>
      <c r="C247" s="292"/>
      <c r="D247" s="293">
        <f>IFERROR(__xludf.DUMMYFUNCTION("""COMPUTED_VALUE"""),206432.0)</f>
        <v>206432</v>
      </c>
      <c r="E247" s="290" t="str">
        <f>IFERROR(__xludf.DUMMYFUNCTION("""COMPUTED_VALUE"""),"二次元コミックマガジン 魔法少女性奴隷オークションへようこそ!")</f>
        <v>二次元コミックマガジン 魔法少女性奴隷オークションへようこそ!</v>
      </c>
      <c r="F247" s="298" t="str">
        <f>IFERROR(__xludf.DUMMYFUNCTION("""COMPUTED_VALUE"""),"アンソロジー")</f>
        <v>アンソロジー</v>
      </c>
      <c r="G247" s="298" t="str">
        <f>IFERROR(__xludf.DUMMYFUNCTION("""COMPUTED_VALUE"""),"オトナコミック")</f>
        <v>オトナコミック</v>
      </c>
      <c r="H247" s="298" t="str">
        <f>IFERROR(__xludf.DUMMYFUNCTION("""COMPUTED_VALUE"""),"2024/11/25～）クレジットカードでの購入のみ停止")</f>
        <v>2024/11/25～）クレジットカードでの購入のみ停止</v>
      </c>
      <c r="I247" s="283"/>
      <c r="J247" s="283"/>
      <c r="K247" s="283"/>
      <c r="L247" s="283"/>
      <c r="M247" s="283"/>
      <c r="N247" s="283"/>
      <c r="O247" s="283"/>
      <c r="P247" s="283"/>
      <c r="Q247" s="278"/>
      <c r="R247" s="278"/>
      <c r="S247" s="278"/>
      <c r="T247" s="278"/>
      <c r="U247" s="278"/>
      <c r="V247" s="278"/>
      <c r="W247" s="278"/>
      <c r="X247" s="278"/>
      <c r="Y247" s="278"/>
      <c r="Z247" s="278"/>
      <c r="AA247" s="278"/>
      <c r="AB247" s="278"/>
      <c r="AC247" s="278"/>
    </row>
    <row r="248" ht="15.75" customHeight="1">
      <c r="A248" s="290" t="str">
        <f>IFERROR(__xludf.DUMMYFUNCTION("""COMPUTED_VALUE"""),"キルタイムコミュニケーション")</f>
        <v>キルタイムコミュニケーション</v>
      </c>
      <c r="B248" s="291">
        <f>IFERROR(__xludf.DUMMYFUNCTION("""COMPUTED_VALUE"""),45618.0)</f>
        <v>45618</v>
      </c>
      <c r="C248" s="292"/>
      <c r="D248" s="293">
        <f>IFERROR(__xludf.DUMMYFUNCTION("""COMPUTED_VALUE"""),206437.0)</f>
        <v>206437</v>
      </c>
      <c r="E248" s="290" t="str">
        <f>IFERROR(__xludf.DUMMYFUNCTION("""COMPUTED_VALUE"""),"敗残戦姫～miserable valkyrie～")</f>
        <v>敗残戦姫～miserable valkyrie～</v>
      </c>
      <c r="F248" s="298" t="str">
        <f>IFERROR(__xludf.DUMMYFUNCTION("""COMPUTED_VALUE"""),"寒天")</f>
        <v>寒天</v>
      </c>
      <c r="G248" s="298" t="str">
        <f>IFERROR(__xludf.DUMMYFUNCTION("""COMPUTED_VALUE"""),"オトナコミック")</f>
        <v>オトナコミック</v>
      </c>
      <c r="H248" s="298" t="str">
        <f>IFERROR(__xludf.DUMMYFUNCTION("""COMPUTED_VALUE"""),"2024/11/25～）クレジットカードでの購入のみ停止")</f>
        <v>2024/11/25～）クレジットカードでの購入のみ停止</v>
      </c>
      <c r="I248" s="283"/>
      <c r="J248" s="283"/>
      <c r="K248" s="283"/>
      <c r="L248" s="283"/>
      <c r="M248" s="283"/>
      <c r="N248" s="283"/>
      <c r="O248" s="283"/>
      <c r="P248" s="283"/>
      <c r="Q248" s="278"/>
      <c r="R248" s="278"/>
      <c r="S248" s="278"/>
      <c r="T248" s="278"/>
      <c r="U248" s="278"/>
      <c r="V248" s="278"/>
      <c r="W248" s="278"/>
      <c r="X248" s="278"/>
      <c r="Y248" s="278"/>
      <c r="Z248" s="278"/>
      <c r="AA248" s="278"/>
      <c r="AB248" s="278"/>
      <c r="AC248" s="278"/>
    </row>
    <row r="249" ht="15.75" customHeight="1">
      <c r="A249" s="290" t="str">
        <f>IFERROR(__xludf.DUMMYFUNCTION("""COMPUTED_VALUE"""),"キルタイムコミュニケーション")</f>
        <v>キルタイムコミュニケーション</v>
      </c>
      <c r="B249" s="291">
        <f>IFERROR(__xludf.DUMMYFUNCTION("""COMPUTED_VALUE"""),45618.0)</f>
        <v>45618</v>
      </c>
      <c r="C249" s="292"/>
      <c r="D249" s="293">
        <f>IFERROR(__xludf.DUMMYFUNCTION("""COMPUTED_VALUE"""),208661.0)</f>
        <v>208661</v>
      </c>
      <c r="E249" s="290" t="str">
        <f>IFERROR(__xludf.DUMMYFUNCTION("""COMPUTED_VALUE"""),"二次元コミックマガジン ケツマン調教で肛門ポルチオアクメ!")</f>
        <v>二次元コミックマガジン ケツマン調教で肛門ポルチオアクメ!</v>
      </c>
      <c r="F249" s="298" t="str">
        <f>IFERROR(__xludf.DUMMYFUNCTION("""COMPUTED_VALUE"""),"アンソロジー")</f>
        <v>アンソロジー</v>
      </c>
      <c r="G249" s="298" t="str">
        <f>IFERROR(__xludf.DUMMYFUNCTION("""COMPUTED_VALUE"""),"オトナコミック")</f>
        <v>オトナコミック</v>
      </c>
      <c r="H249" s="298" t="str">
        <f>IFERROR(__xludf.DUMMYFUNCTION("""COMPUTED_VALUE"""),"2024/11/25～）クレジットカードでの購入のみ停止")</f>
        <v>2024/11/25～）クレジットカードでの購入のみ停止</v>
      </c>
      <c r="I249" s="283"/>
      <c r="J249" s="283"/>
      <c r="K249" s="283"/>
      <c r="L249" s="283"/>
      <c r="M249" s="283"/>
      <c r="N249" s="283"/>
      <c r="O249" s="283"/>
      <c r="P249" s="283"/>
      <c r="Q249" s="278"/>
      <c r="R249" s="278"/>
      <c r="S249" s="278"/>
      <c r="T249" s="278"/>
      <c r="U249" s="278"/>
      <c r="V249" s="278"/>
      <c r="W249" s="278"/>
      <c r="X249" s="278"/>
      <c r="Y249" s="278"/>
      <c r="Z249" s="278"/>
      <c r="AA249" s="278"/>
      <c r="AB249" s="278"/>
      <c r="AC249" s="278"/>
    </row>
    <row r="250" ht="15.75" customHeight="1">
      <c r="A250" s="290" t="str">
        <f>IFERROR(__xludf.DUMMYFUNCTION("""COMPUTED_VALUE"""),"キルタイムコミュニケーション")</f>
        <v>キルタイムコミュニケーション</v>
      </c>
      <c r="B250" s="291">
        <f>IFERROR(__xludf.DUMMYFUNCTION("""COMPUTED_VALUE"""),45618.0)</f>
        <v>45618</v>
      </c>
      <c r="C250" s="292"/>
      <c r="D250" s="293">
        <f>IFERROR(__xludf.DUMMYFUNCTION("""COMPUTED_VALUE"""),209318.0)</f>
        <v>209318</v>
      </c>
      <c r="E250" s="290" t="str">
        <f>IFERROR(__xludf.DUMMYFUNCTION("""COMPUTED_VALUE"""),"コミックアンリアル ザ・ベスト 催淫コレクション")</f>
        <v>コミックアンリアル ザ・ベスト 催淫コレクション</v>
      </c>
      <c r="F250" s="298" t="str">
        <f>IFERROR(__xludf.DUMMYFUNCTION("""COMPUTED_VALUE"""),"エレクトさわる / らくじん / 色白好 / ぴょん吉 / 春日まゆ / DATE / 一宮夕羽 / chin / 宇行日和")</f>
        <v>エレクトさわる / らくじん / 色白好 / ぴょん吉 / 春日まゆ / DATE / 一宮夕羽 / chin / 宇行日和</v>
      </c>
      <c r="G250" s="298" t="str">
        <f>IFERROR(__xludf.DUMMYFUNCTION("""COMPUTED_VALUE"""),"オトナコミック")</f>
        <v>オトナコミック</v>
      </c>
      <c r="H250" s="298" t="str">
        <f>IFERROR(__xludf.DUMMYFUNCTION("""COMPUTED_VALUE"""),"2024/11/25～）クレジットカードでの購入のみ停止")</f>
        <v>2024/11/25～）クレジットカードでの購入のみ停止</v>
      </c>
      <c r="I250" s="283"/>
      <c r="J250" s="283"/>
      <c r="K250" s="283"/>
      <c r="L250" s="283"/>
      <c r="M250" s="283"/>
      <c r="N250" s="283"/>
      <c r="O250" s="283"/>
      <c r="P250" s="283"/>
      <c r="Q250" s="278"/>
      <c r="R250" s="278"/>
      <c r="S250" s="278"/>
      <c r="T250" s="278"/>
      <c r="U250" s="278"/>
      <c r="V250" s="278"/>
      <c r="W250" s="278"/>
      <c r="X250" s="278"/>
      <c r="Y250" s="278"/>
      <c r="Z250" s="278"/>
      <c r="AA250" s="278"/>
      <c r="AB250" s="278"/>
      <c r="AC250" s="278"/>
    </row>
    <row r="251" ht="15.75" customHeight="1">
      <c r="A251" s="290" t="str">
        <f>IFERROR(__xludf.DUMMYFUNCTION("""COMPUTED_VALUE"""),"キルタイムコミュニケーション")</f>
        <v>キルタイムコミュニケーション</v>
      </c>
      <c r="B251" s="291">
        <f>IFERROR(__xludf.DUMMYFUNCTION("""COMPUTED_VALUE"""),45618.0)</f>
        <v>45618</v>
      </c>
      <c r="C251" s="292"/>
      <c r="D251" s="293">
        <f>IFERROR(__xludf.DUMMYFUNCTION("""COMPUTED_VALUE"""),209326.0)</f>
        <v>209326</v>
      </c>
      <c r="E251" s="290" t="str">
        <f>IFERROR(__xludf.DUMMYFUNCTION("""COMPUTED_VALUE"""),"別冊コミックアンリアル 丸呑み苗床淫獄～怪物の体内で孕みながら快楽に沈む美少女たち～デジタル版")</f>
        <v>別冊コミックアンリアル 丸呑み苗床淫獄～怪物の体内で孕みながら快楽に沈む美少女たち～デジタル版</v>
      </c>
      <c r="F251" s="298" t="str">
        <f>IFERROR(__xludf.DUMMYFUNCTION("""COMPUTED_VALUE"""),"アンソロジー")</f>
        <v>アンソロジー</v>
      </c>
      <c r="G251" s="298" t="str">
        <f>IFERROR(__xludf.DUMMYFUNCTION("""COMPUTED_VALUE"""),"オトナコミック")</f>
        <v>オトナコミック</v>
      </c>
      <c r="H251" s="298" t="str">
        <f>IFERROR(__xludf.DUMMYFUNCTION("""COMPUTED_VALUE"""),"2024/11/25～）クレジットカードでの購入のみ停止")</f>
        <v>2024/11/25～）クレジットカードでの購入のみ停止</v>
      </c>
      <c r="I251" s="283"/>
      <c r="J251" s="283"/>
      <c r="K251" s="283"/>
      <c r="L251" s="283"/>
      <c r="M251" s="283"/>
      <c r="N251" s="283"/>
      <c r="O251" s="283"/>
      <c r="P251" s="283"/>
      <c r="Q251" s="278"/>
      <c r="R251" s="278"/>
      <c r="S251" s="278"/>
      <c r="T251" s="278"/>
      <c r="U251" s="278"/>
      <c r="V251" s="278"/>
      <c r="W251" s="278"/>
      <c r="X251" s="278"/>
      <c r="Y251" s="278"/>
      <c r="Z251" s="278"/>
      <c r="AA251" s="278"/>
      <c r="AB251" s="278"/>
      <c r="AC251" s="278"/>
    </row>
    <row r="252" ht="15.75" customHeight="1">
      <c r="A252" s="290" t="str">
        <f>IFERROR(__xludf.DUMMYFUNCTION("""COMPUTED_VALUE"""),"キルタイムコミュニケーション")</f>
        <v>キルタイムコミュニケーション</v>
      </c>
      <c r="B252" s="291">
        <f>IFERROR(__xludf.DUMMYFUNCTION("""COMPUTED_VALUE"""),45618.0)</f>
        <v>45618</v>
      </c>
      <c r="C252" s="292"/>
      <c r="D252" s="293">
        <f>IFERROR(__xludf.DUMMYFUNCTION("""COMPUTED_VALUE"""),218766.0)</f>
        <v>218766</v>
      </c>
      <c r="E252" s="290" t="str">
        <f>IFERROR(__xludf.DUMMYFUNCTION("""COMPUTED_VALUE"""),"性殖堕女 ～Ascension girl～")</f>
        <v>性殖堕女 ～Ascension girl～</v>
      </c>
      <c r="F252" s="298" t="str">
        <f>IFERROR(__xludf.DUMMYFUNCTION("""COMPUTED_VALUE"""),"ゴンざぶろー")</f>
        <v>ゴンざぶろー</v>
      </c>
      <c r="G252" s="298" t="str">
        <f>IFERROR(__xludf.DUMMYFUNCTION("""COMPUTED_VALUE"""),"オトナコミック")</f>
        <v>オトナコミック</v>
      </c>
      <c r="H252" s="298" t="str">
        <f>IFERROR(__xludf.DUMMYFUNCTION("""COMPUTED_VALUE"""),"2024/11/25～）クレジットカードでの購入のみ停止")</f>
        <v>2024/11/25～）クレジットカードでの購入のみ停止</v>
      </c>
      <c r="I252" s="283"/>
      <c r="J252" s="283"/>
      <c r="K252" s="283"/>
      <c r="L252" s="283"/>
      <c r="M252" s="283"/>
      <c r="N252" s="283"/>
      <c r="O252" s="283"/>
      <c r="P252" s="283"/>
      <c r="Q252" s="278"/>
      <c r="R252" s="278"/>
      <c r="S252" s="278"/>
      <c r="T252" s="278"/>
      <c r="U252" s="278"/>
      <c r="V252" s="278"/>
      <c r="W252" s="278"/>
      <c r="X252" s="278"/>
      <c r="Y252" s="278"/>
      <c r="Z252" s="278"/>
      <c r="AA252" s="278"/>
      <c r="AB252" s="278"/>
      <c r="AC252" s="278"/>
    </row>
    <row r="253" ht="15.75" customHeight="1">
      <c r="A253" s="290" t="str">
        <f>IFERROR(__xludf.DUMMYFUNCTION("""COMPUTED_VALUE"""),"キルタイムコミュニケーション")</f>
        <v>キルタイムコミュニケーション</v>
      </c>
      <c r="B253" s="291">
        <f>IFERROR(__xludf.DUMMYFUNCTION("""COMPUTED_VALUE"""),45618.0)</f>
        <v>45618</v>
      </c>
      <c r="C253" s="292"/>
      <c r="D253" s="293">
        <f>IFERROR(__xludf.DUMMYFUNCTION("""COMPUTED_VALUE"""),218778.0)</f>
        <v>218778</v>
      </c>
      <c r="E253" s="290" t="str">
        <f>IFERROR(__xludf.DUMMYFUNCTION("""COMPUTED_VALUE"""),"フタナリおチ×ポコレクション【電子書籍限定版】")</f>
        <v>フタナリおチ×ポコレクション【電子書籍限定版】</v>
      </c>
      <c r="F253" s="298" t="str">
        <f>IFERROR(__xludf.DUMMYFUNCTION("""COMPUTED_VALUE"""),"伊丹")</f>
        <v>伊丹</v>
      </c>
      <c r="G253" s="298" t="str">
        <f>IFERROR(__xludf.DUMMYFUNCTION("""COMPUTED_VALUE"""),"オトナコミック")</f>
        <v>オトナコミック</v>
      </c>
      <c r="H253" s="298" t="str">
        <f>IFERROR(__xludf.DUMMYFUNCTION("""COMPUTED_VALUE"""),"2024/11/25～）クレジットカードでの購入のみ停止")</f>
        <v>2024/11/25～）クレジットカードでの購入のみ停止</v>
      </c>
      <c r="I253" s="283"/>
      <c r="J253" s="283"/>
      <c r="K253" s="283"/>
      <c r="L253" s="283"/>
      <c r="M253" s="283"/>
      <c r="N253" s="283"/>
      <c r="O253" s="283"/>
      <c r="P253" s="283"/>
      <c r="Q253" s="278"/>
      <c r="R253" s="278"/>
      <c r="S253" s="278"/>
      <c r="T253" s="278"/>
      <c r="U253" s="278"/>
      <c r="V253" s="278"/>
      <c r="W253" s="278"/>
      <c r="X253" s="278"/>
      <c r="Y253" s="278"/>
      <c r="Z253" s="278"/>
      <c r="AA253" s="278"/>
      <c r="AB253" s="278"/>
      <c r="AC253" s="278"/>
    </row>
    <row r="254" ht="15.75" customHeight="1">
      <c r="A254" s="290" t="str">
        <f>IFERROR(__xludf.DUMMYFUNCTION("""COMPUTED_VALUE"""),"キルタイムコミュニケーション")</f>
        <v>キルタイムコミュニケーション</v>
      </c>
      <c r="B254" s="291">
        <f>IFERROR(__xludf.DUMMYFUNCTION("""COMPUTED_VALUE"""),45618.0)</f>
        <v>45618</v>
      </c>
      <c r="C254" s="292"/>
      <c r="D254" s="293">
        <f>IFERROR(__xludf.DUMMYFUNCTION("""COMPUTED_VALUE"""),245163.0)</f>
        <v>245163</v>
      </c>
      <c r="E254" s="290" t="str">
        <f>IFERROR(__xludf.DUMMYFUNCTION("""COMPUTED_VALUE"""),"堕ちた乙女のディストピア")</f>
        <v>堕ちた乙女のディストピア</v>
      </c>
      <c r="F254" s="298" t="str">
        <f>IFERROR(__xludf.DUMMYFUNCTION("""COMPUTED_VALUE"""),"舞猫ルル")</f>
        <v>舞猫ルル</v>
      </c>
      <c r="G254" s="298" t="str">
        <f>IFERROR(__xludf.DUMMYFUNCTION("""COMPUTED_VALUE"""),"オトナコミック")</f>
        <v>オトナコミック</v>
      </c>
      <c r="H254" s="298" t="str">
        <f>IFERROR(__xludf.DUMMYFUNCTION("""COMPUTED_VALUE"""),"2024/11/25～）クレジットカードでの購入のみ停止")</f>
        <v>2024/11/25～）クレジットカードでの購入のみ停止</v>
      </c>
      <c r="I254" s="283"/>
      <c r="J254" s="283"/>
      <c r="K254" s="283"/>
      <c r="L254" s="283"/>
      <c r="M254" s="283"/>
      <c r="N254" s="283"/>
      <c r="O254" s="283"/>
      <c r="P254" s="283"/>
      <c r="Q254" s="278"/>
      <c r="R254" s="278"/>
      <c r="S254" s="278"/>
      <c r="T254" s="278"/>
      <c r="U254" s="278"/>
      <c r="V254" s="278"/>
      <c r="W254" s="278"/>
      <c r="X254" s="278"/>
      <c r="Y254" s="278"/>
      <c r="Z254" s="278"/>
      <c r="AA254" s="278"/>
      <c r="AB254" s="278"/>
      <c r="AC254" s="278"/>
    </row>
    <row r="255" ht="15.75" customHeight="1">
      <c r="A255" s="290" t="str">
        <f>IFERROR(__xludf.DUMMYFUNCTION("""COMPUTED_VALUE"""),"キルタイムコミュニケーション")</f>
        <v>キルタイムコミュニケーション</v>
      </c>
      <c r="B255" s="291">
        <f>IFERROR(__xludf.DUMMYFUNCTION("""COMPUTED_VALUE"""),45618.0)</f>
        <v>45618</v>
      </c>
      <c r="C255" s="292"/>
      <c r="D255" s="293">
        <f>IFERROR(__xludf.DUMMYFUNCTION("""COMPUTED_VALUE"""),250206.0)</f>
        <v>250206</v>
      </c>
      <c r="E255" s="290" t="str">
        <f>IFERROR(__xludf.DUMMYFUNCTION("""COMPUTED_VALUE"""),"蠢姦 ～怪奇ニヨル少女陵辱～")</f>
        <v>蠢姦 ～怪奇ニヨル少女陵辱～</v>
      </c>
      <c r="F255" s="298" t="str">
        <f>IFERROR(__xludf.DUMMYFUNCTION("""COMPUTED_VALUE"""),"千葉哲太郎")</f>
        <v>千葉哲太郎</v>
      </c>
      <c r="G255" s="298" t="str">
        <f>IFERROR(__xludf.DUMMYFUNCTION("""COMPUTED_VALUE"""),"オトナコミック")</f>
        <v>オトナコミック</v>
      </c>
      <c r="H255" s="298" t="str">
        <f>IFERROR(__xludf.DUMMYFUNCTION("""COMPUTED_VALUE"""),"2024/11/25～）クレジットカードでの購入のみ停止")</f>
        <v>2024/11/25～）クレジットカードでの購入のみ停止</v>
      </c>
      <c r="I255" s="283"/>
      <c r="J255" s="283"/>
      <c r="K255" s="283"/>
      <c r="L255" s="283"/>
      <c r="M255" s="283"/>
      <c r="N255" s="283"/>
      <c r="O255" s="283"/>
      <c r="P255" s="283"/>
      <c r="Q255" s="278"/>
      <c r="R255" s="278"/>
      <c r="S255" s="278"/>
      <c r="T255" s="278"/>
      <c r="U255" s="278"/>
      <c r="V255" s="278"/>
      <c r="W255" s="278"/>
      <c r="X255" s="278"/>
      <c r="Y255" s="278"/>
      <c r="Z255" s="278"/>
      <c r="AA255" s="278"/>
      <c r="AB255" s="278"/>
      <c r="AC255" s="278"/>
    </row>
    <row r="256" ht="15.75" customHeight="1">
      <c r="A256" s="290" t="str">
        <f>IFERROR(__xludf.DUMMYFUNCTION("""COMPUTED_VALUE"""),"キルタイムコミュニケーション")</f>
        <v>キルタイムコミュニケーション</v>
      </c>
      <c r="B256" s="291">
        <f>IFERROR(__xludf.DUMMYFUNCTION("""COMPUTED_VALUE"""),45618.0)</f>
        <v>45618</v>
      </c>
      <c r="C256" s="292"/>
      <c r="D256" s="293">
        <f>IFERROR(__xludf.DUMMYFUNCTION("""COMPUTED_VALUE"""),265038.0)</f>
        <v>265038</v>
      </c>
      <c r="E256" s="290" t="str">
        <f>IFERROR(__xludf.DUMMYFUNCTION("""COMPUTED_VALUE"""),"二次元コミックマガジン ふたなり人間牧場 搾精&amp;苗床ヒロイン大量入荷!")</f>
        <v>二次元コミックマガジン ふたなり人間牧場 搾精&amp;苗床ヒロイン大量入荷!</v>
      </c>
      <c r="F256" s="298" t="str">
        <f>IFERROR(__xludf.DUMMYFUNCTION("""COMPUTED_VALUE"""),"アンソロジー")</f>
        <v>アンソロジー</v>
      </c>
      <c r="G256" s="298" t="str">
        <f>IFERROR(__xludf.DUMMYFUNCTION("""COMPUTED_VALUE"""),"オトナコミック")</f>
        <v>オトナコミック</v>
      </c>
      <c r="H256" s="298" t="str">
        <f>IFERROR(__xludf.DUMMYFUNCTION("""COMPUTED_VALUE"""),"2024/11/25～）クレジットカードでの購入のみ停止")</f>
        <v>2024/11/25～）クレジットカードでの購入のみ停止</v>
      </c>
      <c r="I256" s="283"/>
      <c r="J256" s="283"/>
      <c r="K256" s="283"/>
      <c r="L256" s="283"/>
      <c r="M256" s="283"/>
      <c r="N256" s="283"/>
      <c r="O256" s="283"/>
      <c r="P256" s="283"/>
      <c r="Q256" s="278"/>
      <c r="R256" s="278"/>
      <c r="S256" s="278"/>
      <c r="T256" s="278"/>
      <c r="U256" s="278"/>
      <c r="V256" s="278"/>
      <c r="W256" s="278"/>
      <c r="X256" s="278"/>
      <c r="Y256" s="278"/>
      <c r="Z256" s="278"/>
      <c r="AA256" s="278"/>
      <c r="AB256" s="278"/>
      <c r="AC256" s="278"/>
    </row>
    <row r="257" ht="15.75" customHeight="1">
      <c r="A257" s="290" t="str">
        <f>IFERROR(__xludf.DUMMYFUNCTION("""COMPUTED_VALUE"""),"キルタイムコミュニケーション")</f>
        <v>キルタイムコミュニケーション</v>
      </c>
      <c r="B257" s="291">
        <f>IFERROR(__xludf.DUMMYFUNCTION("""COMPUTED_VALUE"""),45618.0)</f>
        <v>45618</v>
      </c>
      <c r="C257" s="292"/>
      <c r="D257" s="293">
        <f>IFERROR(__xludf.DUMMYFUNCTION("""COMPUTED_VALUE"""),265053.0)</f>
        <v>265053</v>
      </c>
      <c r="E257" s="290" t="str">
        <f>IFERROR(__xludf.DUMMYFUNCTION("""COMPUTED_VALUE"""),"サキュバスちゃんと邪悪なふたなり元カノ軍団【電子書籍限定版表紙&amp;カバーイラストラフ集解説付き】")</f>
        <v>サキュバスちゃんと邪悪なふたなり元カノ軍団【電子書籍限定版表紙&amp;カバーイラストラフ集解説付き】</v>
      </c>
      <c r="F257" s="298" t="str">
        <f>IFERROR(__xludf.DUMMYFUNCTION("""COMPUTED_VALUE"""),"あおむし")</f>
        <v>あおむし</v>
      </c>
      <c r="G257" s="298" t="str">
        <f>IFERROR(__xludf.DUMMYFUNCTION("""COMPUTED_VALUE"""),"オトナコミック")</f>
        <v>オトナコミック</v>
      </c>
      <c r="H257" s="298" t="str">
        <f>IFERROR(__xludf.DUMMYFUNCTION("""COMPUTED_VALUE"""),"2024/11/25～）クレジットカードでの購入のみ停止")</f>
        <v>2024/11/25～）クレジットカードでの購入のみ停止</v>
      </c>
      <c r="I257" s="283"/>
      <c r="J257" s="283"/>
      <c r="K257" s="283"/>
      <c r="L257" s="283"/>
      <c r="M257" s="283"/>
      <c r="N257" s="283"/>
      <c r="O257" s="283"/>
      <c r="P257" s="283"/>
      <c r="Q257" s="278"/>
      <c r="R257" s="278"/>
      <c r="S257" s="278"/>
      <c r="T257" s="278"/>
      <c r="U257" s="278"/>
      <c r="V257" s="278"/>
      <c r="W257" s="278"/>
      <c r="X257" s="278"/>
      <c r="Y257" s="278"/>
      <c r="Z257" s="278"/>
      <c r="AA257" s="278"/>
      <c r="AB257" s="278"/>
      <c r="AC257" s="278"/>
    </row>
    <row r="258" ht="15.75" customHeight="1">
      <c r="A258" s="290" t="str">
        <f>IFERROR(__xludf.DUMMYFUNCTION("""COMPUTED_VALUE"""),"キルタイムコミュニケーション")</f>
        <v>キルタイムコミュニケーション</v>
      </c>
      <c r="B258" s="291">
        <f>IFERROR(__xludf.DUMMYFUNCTION("""COMPUTED_VALUE"""),45618.0)</f>
        <v>45618</v>
      </c>
      <c r="C258" s="292"/>
      <c r="D258" s="293">
        <f>IFERROR(__xludf.DUMMYFUNCTION("""COMPUTED_VALUE"""),278632.0)</f>
        <v>278632</v>
      </c>
      <c r="E258" s="290" t="str">
        <f>IFERROR(__xludf.DUMMYFUNCTION("""COMPUTED_VALUE"""),"失墜の乙女たち")</f>
        <v>失墜の乙女たち</v>
      </c>
      <c r="F258" s="298" t="str">
        <f>IFERROR(__xludf.DUMMYFUNCTION("""COMPUTED_VALUE"""),"水瀬揺光")</f>
        <v>水瀬揺光</v>
      </c>
      <c r="G258" s="298" t="str">
        <f>IFERROR(__xludf.DUMMYFUNCTION("""COMPUTED_VALUE"""),"オトナコミック")</f>
        <v>オトナコミック</v>
      </c>
      <c r="H258" s="298" t="str">
        <f>IFERROR(__xludf.DUMMYFUNCTION("""COMPUTED_VALUE"""),"2024/11/25～）クレジットカードでの購入のみ停止")</f>
        <v>2024/11/25～）クレジットカードでの購入のみ停止</v>
      </c>
      <c r="I258" s="283"/>
      <c r="J258" s="283"/>
      <c r="K258" s="283"/>
      <c r="L258" s="283"/>
      <c r="M258" s="283"/>
      <c r="N258" s="283"/>
      <c r="O258" s="283"/>
      <c r="P258" s="283"/>
      <c r="Q258" s="278"/>
      <c r="R258" s="278"/>
      <c r="S258" s="278"/>
      <c r="T258" s="278"/>
      <c r="U258" s="278"/>
      <c r="V258" s="278"/>
      <c r="W258" s="278"/>
      <c r="X258" s="278"/>
      <c r="Y258" s="278"/>
      <c r="Z258" s="278"/>
      <c r="AA258" s="278"/>
      <c r="AB258" s="278"/>
      <c r="AC258" s="278"/>
    </row>
    <row r="259" ht="15.75" customHeight="1">
      <c r="A259" s="290" t="str">
        <f>IFERROR(__xludf.DUMMYFUNCTION("""COMPUTED_VALUE"""),"キルタイムコミュニケーション")</f>
        <v>キルタイムコミュニケーション</v>
      </c>
      <c r="B259" s="291">
        <f>IFERROR(__xludf.DUMMYFUNCTION("""COMPUTED_VALUE"""),45618.0)</f>
        <v>45618</v>
      </c>
      <c r="C259" s="292"/>
      <c r="D259" s="293">
        <f>IFERROR(__xludf.DUMMYFUNCTION("""COMPUTED_VALUE"""),278633.0)</f>
        <v>278633</v>
      </c>
      <c r="E259" s="290" t="str">
        <f>IFERROR(__xludf.DUMMYFUNCTION("""COMPUTED_VALUE"""),"正義堕淫アンモラル")</f>
        <v>正義堕淫アンモラル</v>
      </c>
      <c r="F259" s="298" t="str">
        <f>IFERROR(__xludf.DUMMYFUNCTION("""COMPUTED_VALUE"""),"結城とむ")</f>
        <v>結城とむ</v>
      </c>
      <c r="G259" s="298" t="str">
        <f>IFERROR(__xludf.DUMMYFUNCTION("""COMPUTED_VALUE"""),"オトナコミック")</f>
        <v>オトナコミック</v>
      </c>
      <c r="H259" s="298" t="str">
        <f>IFERROR(__xludf.DUMMYFUNCTION("""COMPUTED_VALUE"""),"2024/11/25～）クレジットカードでの購入のみ停止")</f>
        <v>2024/11/25～）クレジットカードでの購入のみ停止</v>
      </c>
      <c r="I259" s="283"/>
      <c r="J259" s="283"/>
      <c r="K259" s="283"/>
      <c r="L259" s="283"/>
      <c r="M259" s="283"/>
      <c r="N259" s="283"/>
      <c r="O259" s="283"/>
      <c r="P259" s="283"/>
      <c r="Q259" s="278"/>
      <c r="R259" s="278"/>
      <c r="S259" s="278"/>
      <c r="T259" s="278"/>
      <c r="U259" s="278"/>
      <c r="V259" s="278"/>
      <c r="W259" s="278"/>
      <c r="X259" s="278"/>
      <c r="Y259" s="278"/>
      <c r="Z259" s="278"/>
      <c r="AA259" s="278"/>
      <c r="AB259" s="278"/>
      <c r="AC259" s="278"/>
    </row>
    <row r="260" ht="15.75" customHeight="1">
      <c r="A260" s="290" t="str">
        <f>IFERROR(__xludf.DUMMYFUNCTION("""COMPUTED_VALUE"""),"キルタイムコミュニケーション")</f>
        <v>キルタイムコミュニケーション</v>
      </c>
      <c r="B260" s="291">
        <f>IFERROR(__xludf.DUMMYFUNCTION("""COMPUTED_VALUE"""),45618.0)</f>
        <v>45618</v>
      </c>
      <c r="C260" s="292"/>
      <c r="D260" s="293">
        <f>IFERROR(__xludf.DUMMYFUNCTION("""COMPUTED_VALUE"""),291783.0)</f>
        <v>291783</v>
      </c>
      <c r="E260" s="290" t="str">
        <f>IFERROR(__xludf.DUMMYFUNCTION("""COMPUTED_VALUE"""),"別冊コミックアンリアル 感覚遮断～身体の感覚を遮断されて気づかぬ間に強制絶頂～")</f>
        <v>別冊コミックアンリアル 感覚遮断～身体の感覚を遮断されて気づかぬ間に強制絶頂～</v>
      </c>
      <c r="F260" s="298" t="str">
        <f>IFERROR(__xludf.DUMMYFUNCTION("""COMPUTED_VALUE"""),"アンソロジー")</f>
        <v>アンソロジー</v>
      </c>
      <c r="G260" s="298" t="str">
        <f>IFERROR(__xludf.DUMMYFUNCTION("""COMPUTED_VALUE"""),"オトナコミック")</f>
        <v>オトナコミック</v>
      </c>
      <c r="H260" s="298" t="str">
        <f>IFERROR(__xludf.DUMMYFUNCTION("""COMPUTED_VALUE"""),"2024/11/25～）クレジットカードでの購入のみ停止")</f>
        <v>2024/11/25～）クレジットカードでの購入のみ停止</v>
      </c>
      <c r="I260" s="283"/>
      <c r="J260" s="283"/>
      <c r="K260" s="283"/>
      <c r="L260" s="283"/>
      <c r="M260" s="283"/>
      <c r="N260" s="283"/>
      <c r="O260" s="283"/>
      <c r="P260" s="283"/>
      <c r="Q260" s="278"/>
      <c r="R260" s="278"/>
      <c r="S260" s="278"/>
      <c r="T260" s="278"/>
      <c r="U260" s="278"/>
      <c r="V260" s="278"/>
      <c r="W260" s="278"/>
      <c r="X260" s="278"/>
      <c r="Y260" s="278"/>
      <c r="Z260" s="278"/>
      <c r="AA260" s="278"/>
      <c r="AB260" s="278"/>
      <c r="AC260" s="278"/>
    </row>
    <row r="261" ht="15.75" customHeight="1">
      <c r="A261" s="290" t="str">
        <f>IFERROR(__xludf.DUMMYFUNCTION("""COMPUTED_VALUE"""),"クリベロン／リイド社")</f>
        <v>クリベロン／リイド社</v>
      </c>
      <c r="B261" s="291">
        <f>IFERROR(__xludf.DUMMYFUNCTION("""COMPUTED_VALUE"""),45618.0)</f>
        <v>45618</v>
      </c>
      <c r="C261" s="292"/>
      <c r="D261" s="293">
        <f>IFERROR(__xludf.DUMMYFUNCTION("""COMPUTED_VALUE"""),80752.0)</f>
        <v>80752</v>
      </c>
      <c r="E261" s="290" t="str">
        <f>IFERROR(__xludf.DUMMYFUNCTION("""COMPUTED_VALUE"""),"強制痴漢電車")</f>
        <v>強制痴漢電車</v>
      </c>
      <c r="F261" s="298" t="str">
        <f>IFERROR(__xludf.DUMMYFUNCTION("""COMPUTED_VALUE"""),"刳形寿庵")</f>
        <v>刳形寿庵</v>
      </c>
      <c r="G261" s="298" t="str">
        <f>IFERROR(__xludf.DUMMYFUNCTION("""COMPUTED_VALUE"""),"オトナコミック")</f>
        <v>オトナコミック</v>
      </c>
      <c r="H261" s="298" t="str">
        <f>IFERROR(__xludf.DUMMYFUNCTION("""COMPUTED_VALUE"""),"2024/11/25～）クレジットカードでの購入のみ停止")</f>
        <v>2024/11/25～）クレジットカードでの購入のみ停止</v>
      </c>
      <c r="I261" s="283"/>
      <c r="J261" s="283"/>
      <c r="K261" s="283"/>
      <c r="L261" s="283"/>
      <c r="M261" s="283"/>
      <c r="N261" s="283"/>
      <c r="O261" s="283"/>
      <c r="P261" s="283"/>
      <c r="Q261" s="278"/>
      <c r="R261" s="278"/>
      <c r="S261" s="278"/>
      <c r="T261" s="278"/>
      <c r="U261" s="278"/>
      <c r="V261" s="278"/>
      <c r="W261" s="278"/>
      <c r="X261" s="278"/>
      <c r="Y261" s="278"/>
      <c r="Z261" s="278"/>
      <c r="AA261" s="278"/>
      <c r="AB261" s="278"/>
      <c r="AC261" s="278"/>
    </row>
    <row r="262" ht="15.75" customHeight="1">
      <c r="A262" s="290" t="str">
        <f>IFERROR(__xludf.DUMMYFUNCTION("""COMPUTED_VALUE"""),"クリベロン／リイド社")</f>
        <v>クリベロン／リイド社</v>
      </c>
      <c r="B262" s="291">
        <f>IFERROR(__xludf.DUMMYFUNCTION("""COMPUTED_VALUE"""),45618.0)</f>
        <v>45618</v>
      </c>
      <c r="C262" s="292"/>
      <c r="D262" s="293">
        <f>IFERROR(__xludf.DUMMYFUNCTION("""COMPUTED_VALUE"""),187117.0)</f>
        <v>187117</v>
      </c>
      <c r="E262" s="290" t="str">
        <f>IFERROR(__xludf.DUMMYFUNCTION("""COMPUTED_VALUE"""),"VRエロゲに夢中なJKにハメてみた")</f>
        <v>VRエロゲに夢中なJKにハメてみた</v>
      </c>
      <c r="F262" s="298" t="str">
        <f>IFERROR(__xludf.DUMMYFUNCTION("""COMPUTED_VALUE"""),"速野悠二")</f>
        <v>速野悠二</v>
      </c>
      <c r="G262" s="298" t="str">
        <f>IFERROR(__xludf.DUMMYFUNCTION("""COMPUTED_VALUE"""),"オトナコミック")</f>
        <v>オトナコミック</v>
      </c>
      <c r="H262" s="298" t="str">
        <f>IFERROR(__xludf.DUMMYFUNCTION("""COMPUTED_VALUE"""),"2024/11/25～）クレジットカードでの購入のみ停止")</f>
        <v>2024/11/25～）クレジットカードでの購入のみ停止</v>
      </c>
      <c r="I262" s="283"/>
      <c r="J262" s="283"/>
      <c r="K262" s="283"/>
      <c r="L262" s="283"/>
      <c r="M262" s="283"/>
      <c r="N262" s="283"/>
      <c r="O262" s="283"/>
      <c r="P262" s="283"/>
      <c r="Q262" s="278"/>
      <c r="R262" s="278"/>
      <c r="S262" s="278"/>
      <c r="T262" s="278"/>
      <c r="U262" s="278"/>
      <c r="V262" s="278"/>
      <c r="W262" s="278"/>
      <c r="X262" s="278"/>
      <c r="Y262" s="278"/>
      <c r="Z262" s="278"/>
      <c r="AA262" s="278"/>
      <c r="AB262" s="278"/>
      <c r="AC262" s="278"/>
    </row>
    <row r="263" ht="15.75" customHeight="1">
      <c r="A263" s="290" t="str">
        <f>IFERROR(__xludf.DUMMYFUNCTION("""COMPUTED_VALUE"""),"クリベロン／リイド社")</f>
        <v>クリベロン／リイド社</v>
      </c>
      <c r="B263" s="291">
        <f>IFERROR(__xludf.DUMMYFUNCTION("""COMPUTED_VALUE"""),45618.0)</f>
        <v>45618</v>
      </c>
      <c r="C263" s="292"/>
      <c r="D263" s="293">
        <f>IFERROR(__xludf.DUMMYFUNCTION("""COMPUTED_VALUE"""),187124.0)</f>
        <v>187124</v>
      </c>
      <c r="E263" s="290" t="str">
        <f>IFERROR(__xludf.DUMMYFUNCTION("""COMPUTED_VALUE"""),"触手餌食")</f>
        <v>触手餌食</v>
      </c>
      <c r="F263" s="298" t="str">
        <f>IFERROR(__xludf.DUMMYFUNCTION("""COMPUTED_VALUE"""),"土ノ下かえる")</f>
        <v>土ノ下かえる</v>
      </c>
      <c r="G263" s="298" t="str">
        <f>IFERROR(__xludf.DUMMYFUNCTION("""COMPUTED_VALUE"""),"オトナコミック")</f>
        <v>オトナコミック</v>
      </c>
      <c r="H263" s="298" t="str">
        <f>IFERROR(__xludf.DUMMYFUNCTION("""COMPUTED_VALUE"""),"2024/11/25～）クレジットカードでの購入のみ停止")</f>
        <v>2024/11/25～）クレジットカードでの購入のみ停止</v>
      </c>
      <c r="I263" s="283"/>
      <c r="J263" s="283"/>
      <c r="K263" s="283"/>
      <c r="L263" s="283"/>
      <c r="M263" s="283"/>
      <c r="N263" s="283"/>
      <c r="O263" s="283"/>
      <c r="P263" s="283"/>
      <c r="Q263" s="278"/>
      <c r="R263" s="278"/>
      <c r="S263" s="278"/>
      <c r="T263" s="278"/>
      <c r="U263" s="278"/>
      <c r="V263" s="278"/>
      <c r="W263" s="278"/>
      <c r="X263" s="278"/>
      <c r="Y263" s="278"/>
      <c r="Z263" s="278"/>
      <c r="AA263" s="278"/>
      <c r="AB263" s="278"/>
      <c r="AC263" s="278"/>
    </row>
    <row r="264" ht="15.75" customHeight="1">
      <c r="A264" s="290" t="str">
        <f>IFERROR(__xludf.DUMMYFUNCTION("""COMPUTED_VALUE"""),"クリベロン／リイド社")</f>
        <v>クリベロン／リイド社</v>
      </c>
      <c r="B264" s="291">
        <f>IFERROR(__xludf.DUMMYFUNCTION("""COMPUTED_VALUE"""),45618.0)</f>
        <v>45618</v>
      </c>
      <c r="C264" s="292"/>
      <c r="D264" s="293">
        <f>IFERROR(__xludf.DUMMYFUNCTION("""COMPUTED_VALUE"""),190977.0)</f>
        <v>190977</v>
      </c>
      <c r="E264" s="290" t="str">
        <f>IFERROR(__xludf.DUMMYFUNCTION("""COMPUTED_VALUE"""),"侵蝕のデスサイズ")</f>
        <v>侵蝕のデスサイズ</v>
      </c>
      <c r="F264" s="298" t="str">
        <f>IFERROR(__xludf.DUMMYFUNCTION("""COMPUTED_VALUE"""),"香月りお")</f>
        <v>香月りお</v>
      </c>
      <c r="G264" s="298" t="str">
        <f>IFERROR(__xludf.DUMMYFUNCTION("""COMPUTED_VALUE"""),"オトナコミック")</f>
        <v>オトナコミック</v>
      </c>
      <c r="H264" s="298" t="str">
        <f>IFERROR(__xludf.DUMMYFUNCTION("""COMPUTED_VALUE"""),"2024/11/25～）クレジットカードでの購入のみ停止")</f>
        <v>2024/11/25～）クレジットカードでの購入のみ停止</v>
      </c>
      <c r="I264" s="283"/>
      <c r="J264" s="283"/>
      <c r="K264" s="283"/>
      <c r="L264" s="283"/>
      <c r="M264" s="283"/>
      <c r="N264" s="283"/>
      <c r="O264" s="283"/>
      <c r="P264" s="283"/>
      <c r="Q264" s="278"/>
      <c r="R264" s="278"/>
      <c r="S264" s="278"/>
      <c r="T264" s="278"/>
      <c r="U264" s="278"/>
      <c r="V264" s="278"/>
      <c r="W264" s="278"/>
      <c r="X264" s="278"/>
      <c r="Y264" s="278"/>
      <c r="Z264" s="278"/>
      <c r="AA264" s="278"/>
      <c r="AB264" s="278"/>
      <c r="AC264" s="278"/>
    </row>
    <row r="265" ht="15.75" customHeight="1">
      <c r="A265" s="290" t="str">
        <f>IFERROR(__xludf.DUMMYFUNCTION("""COMPUTED_VALUE"""),"クリベロン／リイド社")</f>
        <v>クリベロン／リイド社</v>
      </c>
      <c r="B265" s="291">
        <f>IFERROR(__xludf.DUMMYFUNCTION("""COMPUTED_VALUE"""),45618.0)</f>
        <v>45618</v>
      </c>
      <c r="C265" s="292"/>
      <c r="D265" s="293">
        <f>IFERROR(__xludf.DUMMYFUNCTION("""COMPUTED_VALUE"""),190978.0)</f>
        <v>190978</v>
      </c>
      <c r="E265" s="290" t="str">
        <f>IFERROR(__xludf.DUMMYFUNCTION("""COMPUTED_VALUE"""),"世間知らずな清楚系JK監禁薬物洗脳でドM玩具になる")</f>
        <v>世間知らずな清楚系JK監禁薬物洗脳でドM玩具になる</v>
      </c>
      <c r="F265" s="298" t="str">
        <f>IFERROR(__xludf.DUMMYFUNCTION("""COMPUTED_VALUE"""),"香月りお")</f>
        <v>香月りお</v>
      </c>
      <c r="G265" s="298" t="str">
        <f>IFERROR(__xludf.DUMMYFUNCTION("""COMPUTED_VALUE"""),"オトナコミック")</f>
        <v>オトナコミック</v>
      </c>
      <c r="H265" s="298" t="str">
        <f>IFERROR(__xludf.DUMMYFUNCTION("""COMPUTED_VALUE"""),"2024/11/25～）クレジットカードでの購入のみ停止")</f>
        <v>2024/11/25～）クレジットカードでの購入のみ停止</v>
      </c>
      <c r="I265" s="283"/>
      <c r="J265" s="283"/>
      <c r="K265" s="283"/>
      <c r="L265" s="283"/>
      <c r="M265" s="283"/>
      <c r="N265" s="283"/>
      <c r="O265" s="283"/>
      <c r="P265" s="283"/>
      <c r="Q265" s="278"/>
      <c r="R265" s="278"/>
      <c r="S265" s="278"/>
      <c r="T265" s="278"/>
      <c r="U265" s="278"/>
      <c r="V265" s="278"/>
      <c r="W265" s="278"/>
      <c r="X265" s="278"/>
      <c r="Y265" s="278"/>
      <c r="Z265" s="278"/>
      <c r="AA265" s="278"/>
      <c r="AB265" s="278"/>
      <c r="AC265" s="278"/>
    </row>
    <row r="266" ht="15.75" customHeight="1">
      <c r="A266" s="290" t="str">
        <f>IFERROR(__xludf.DUMMYFUNCTION("""COMPUTED_VALUE"""),"クリベロン／リイド社")</f>
        <v>クリベロン／リイド社</v>
      </c>
      <c r="B266" s="291">
        <f>IFERROR(__xludf.DUMMYFUNCTION("""COMPUTED_VALUE"""),45618.0)</f>
        <v>45618</v>
      </c>
      <c r="C266" s="292"/>
      <c r="D266" s="293">
        <f>IFERROR(__xludf.DUMMYFUNCTION("""COMPUTED_VALUE"""),191745.0)</f>
        <v>191745</v>
      </c>
      <c r="E266" s="290" t="str">
        <f>IFERROR(__xludf.DUMMYFUNCTION("""COMPUTED_VALUE"""),"JK改造計画")</f>
        <v>JK改造計画</v>
      </c>
      <c r="F266" s="298" t="str">
        <f>IFERROR(__xludf.DUMMYFUNCTION("""COMPUTED_VALUE"""),"しのざき嶺")</f>
        <v>しのざき嶺</v>
      </c>
      <c r="G266" s="298" t="str">
        <f>IFERROR(__xludf.DUMMYFUNCTION("""COMPUTED_VALUE"""),"オトナコミック")</f>
        <v>オトナコミック</v>
      </c>
      <c r="H266" s="298" t="str">
        <f>IFERROR(__xludf.DUMMYFUNCTION("""COMPUTED_VALUE"""),"2024/11/25～）クレジットカードでの購入のみ停止")</f>
        <v>2024/11/25～）クレジットカードでの購入のみ停止</v>
      </c>
      <c r="I266" s="283"/>
      <c r="J266" s="283"/>
      <c r="K266" s="283"/>
      <c r="L266" s="283"/>
      <c r="M266" s="283"/>
      <c r="N266" s="283"/>
      <c r="O266" s="283"/>
      <c r="P266" s="283"/>
      <c r="Q266" s="278"/>
      <c r="R266" s="278"/>
      <c r="S266" s="278"/>
      <c r="T266" s="278"/>
      <c r="U266" s="278"/>
      <c r="V266" s="278"/>
      <c r="W266" s="278"/>
      <c r="X266" s="278"/>
      <c r="Y266" s="278"/>
      <c r="Z266" s="278"/>
      <c r="AA266" s="278"/>
      <c r="AB266" s="278"/>
      <c r="AC266" s="278"/>
    </row>
    <row r="267" ht="15.75" customHeight="1">
      <c r="A267" s="290" t="str">
        <f>IFERROR(__xludf.DUMMYFUNCTION("""COMPUTED_VALUE"""),"クリベロン／リイド社")</f>
        <v>クリベロン／リイド社</v>
      </c>
      <c r="B267" s="291">
        <f>IFERROR(__xludf.DUMMYFUNCTION("""COMPUTED_VALUE"""),45618.0)</f>
        <v>45618</v>
      </c>
      <c r="C267" s="292"/>
      <c r="D267" s="293">
        <f>IFERROR(__xludf.DUMMYFUNCTION("""COMPUTED_VALUE"""),193864.0)</f>
        <v>193864</v>
      </c>
      <c r="E267" s="290" t="str">
        <f>IFERROR(__xludf.DUMMYFUNCTION("""COMPUTED_VALUE"""),"JK輪姦孕み堕ち")</f>
        <v>JK輪姦孕み堕ち</v>
      </c>
      <c r="F267" s="298" t="str">
        <f>IFERROR(__xludf.DUMMYFUNCTION("""COMPUTED_VALUE"""),"Zummy")</f>
        <v>Zummy</v>
      </c>
      <c r="G267" s="298" t="str">
        <f>IFERROR(__xludf.DUMMYFUNCTION("""COMPUTED_VALUE"""),"オトナコミック")</f>
        <v>オトナコミック</v>
      </c>
      <c r="H267" s="298" t="str">
        <f>IFERROR(__xludf.DUMMYFUNCTION("""COMPUTED_VALUE"""),"2024/11/25～）クレジットカードでの購入のみ停止")</f>
        <v>2024/11/25～）クレジットカードでの購入のみ停止</v>
      </c>
      <c r="I267" s="283"/>
      <c r="J267" s="283"/>
      <c r="K267" s="283"/>
      <c r="L267" s="283"/>
      <c r="M267" s="283"/>
      <c r="N267" s="283"/>
      <c r="O267" s="283"/>
      <c r="P267" s="283"/>
      <c r="Q267" s="278"/>
      <c r="R267" s="278"/>
      <c r="S267" s="278"/>
      <c r="T267" s="278"/>
      <c r="U267" s="278"/>
      <c r="V267" s="278"/>
      <c r="W267" s="278"/>
      <c r="X267" s="278"/>
      <c r="Y267" s="278"/>
      <c r="Z267" s="278"/>
      <c r="AA267" s="278"/>
      <c r="AB267" s="278"/>
      <c r="AC267" s="278"/>
    </row>
    <row r="268" ht="15.75" customHeight="1">
      <c r="A268" s="290" t="str">
        <f>IFERROR(__xludf.DUMMYFUNCTION("""COMPUTED_VALUE"""),"クリベロン／リイド社")</f>
        <v>クリベロン／リイド社</v>
      </c>
      <c r="B268" s="291">
        <f>IFERROR(__xludf.DUMMYFUNCTION("""COMPUTED_VALUE"""),45618.0)</f>
        <v>45618</v>
      </c>
      <c r="C268" s="292"/>
      <c r="D268" s="293">
        <f>IFERROR(__xludf.DUMMYFUNCTION("""COMPUTED_VALUE"""),305402.0)</f>
        <v>305402</v>
      </c>
      <c r="E268" s="290" t="str">
        <f>IFERROR(__xludf.DUMMYFUNCTION("""COMPUTED_VALUE"""),"すらっとわんだーランド!!")</f>
        <v>すらっとわんだーランド!!</v>
      </c>
      <c r="F268" s="298" t="str">
        <f>IFERROR(__xludf.DUMMYFUNCTION("""COMPUTED_VALUE"""),"成島ゴドー")</f>
        <v>成島ゴドー</v>
      </c>
      <c r="G268" s="298" t="str">
        <f>IFERROR(__xludf.DUMMYFUNCTION("""COMPUTED_VALUE"""),"オトナコミック")</f>
        <v>オトナコミック</v>
      </c>
      <c r="H268" s="298" t="str">
        <f>IFERROR(__xludf.DUMMYFUNCTION("""COMPUTED_VALUE"""),"2024/11/25～）クレジットカードでの購入のみ停止")</f>
        <v>2024/11/25～）クレジットカードでの購入のみ停止</v>
      </c>
      <c r="I268" s="283"/>
      <c r="J268" s="283"/>
      <c r="K268" s="283"/>
      <c r="L268" s="283"/>
      <c r="M268" s="283"/>
      <c r="N268" s="283"/>
      <c r="O268" s="283"/>
      <c r="P268" s="283"/>
      <c r="Q268" s="278"/>
      <c r="R268" s="278"/>
      <c r="S268" s="278"/>
      <c r="T268" s="278"/>
      <c r="U268" s="278"/>
      <c r="V268" s="278"/>
      <c r="W268" s="278"/>
      <c r="X268" s="278"/>
      <c r="Y268" s="278"/>
      <c r="Z268" s="278"/>
      <c r="AA268" s="278"/>
      <c r="AB268" s="278"/>
      <c r="AC268" s="278"/>
    </row>
    <row r="269" ht="15.75" customHeight="1">
      <c r="A269" s="290" t="str">
        <f>IFERROR(__xludf.DUMMYFUNCTION("""COMPUTED_VALUE"""),"クリベロン／リイド社")</f>
        <v>クリベロン／リイド社</v>
      </c>
      <c r="B269" s="333">
        <f>IFERROR(__xludf.DUMMYFUNCTION("""COMPUTED_VALUE"""),45905.0)</f>
        <v>45905</v>
      </c>
      <c r="C269" s="292"/>
      <c r="D269" s="293">
        <f>IFERROR(__xludf.DUMMYFUNCTION("""COMPUTED_VALUE"""),250659.0)</f>
        <v>250659</v>
      </c>
      <c r="E269" s="290" t="str">
        <f>IFERROR(__xludf.DUMMYFUNCTION("""COMPUTED_VALUE"""),"絡みつく視線")</f>
        <v>絡みつく視線</v>
      </c>
      <c r="F269" s="334" t="str">
        <f>IFERROR(__xludf.DUMMYFUNCTION("""COMPUTED_VALUE"""),"ねぐりえ")</f>
        <v>ねぐりえ</v>
      </c>
      <c r="G269" s="334" t="str">
        <f>IFERROR(__xludf.DUMMYFUNCTION("""COMPUTED_VALUE"""),"アダルトマンガ")</f>
        <v>アダルトマンガ</v>
      </c>
      <c r="H269" s="334" t="str">
        <f>IFERROR(__xludf.DUMMYFUNCTION("""COMPUTED_VALUE"""),"小学生に見える男児が性行為しているため")</f>
        <v>小学生に見える男児が性行為しているため</v>
      </c>
      <c r="I269" s="283"/>
      <c r="J269" s="283"/>
      <c r="K269" s="283"/>
      <c r="L269" s="283"/>
      <c r="M269" s="283"/>
      <c r="N269" s="283"/>
      <c r="O269" s="283"/>
      <c r="P269" s="283"/>
      <c r="Q269" s="278"/>
      <c r="R269" s="278"/>
      <c r="S269" s="278"/>
      <c r="T269" s="278"/>
      <c r="U269" s="278"/>
      <c r="V269" s="278"/>
      <c r="W269" s="278"/>
      <c r="X269" s="278"/>
      <c r="Y269" s="278"/>
      <c r="Z269" s="278"/>
      <c r="AA269" s="278"/>
      <c r="AB269" s="278"/>
      <c r="AC269" s="278"/>
    </row>
    <row r="270" ht="15.75" customHeight="1">
      <c r="A270" s="290" t="str">
        <f>IFERROR(__xludf.DUMMYFUNCTION("""COMPUTED_VALUE"""),"グループ・ゼロ")</f>
        <v>グループ・ゼロ</v>
      </c>
      <c r="B270" s="291">
        <f>IFERROR(__xludf.DUMMYFUNCTION("""COMPUTED_VALUE"""),45618.0)</f>
        <v>45618</v>
      </c>
      <c r="C270" s="292"/>
      <c r="D270" s="293">
        <f>IFERROR(__xludf.DUMMYFUNCTION("""COMPUTED_VALUE"""),7601.0)</f>
        <v>7601</v>
      </c>
      <c r="E270" s="290" t="str">
        <f>IFERROR(__xludf.DUMMYFUNCTION("""COMPUTED_VALUE"""),"虹子七変化")</f>
        <v>虹子七変化</v>
      </c>
      <c r="F270" s="298" t="str">
        <f>IFERROR(__xludf.DUMMYFUNCTION("""COMPUTED_VALUE"""),"北野健一")</f>
        <v>北野健一</v>
      </c>
      <c r="G270" s="298" t="str">
        <f>IFERROR(__xludf.DUMMYFUNCTION("""COMPUTED_VALUE"""),"オトナコミック")</f>
        <v>オトナコミック</v>
      </c>
      <c r="H270" s="298" t="str">
        <f>IFERROR(__xludf.DUMMYFUNCTION("""COMPUTED_VALUE"""),"2024/11/25～）クレジットカードでの購入のみ停止")</f>
        <v>2024/11/25～）クレジットカードでの購入のみ停止</v>
      </c>
      <c r="I270" s="283"/>
      <c r="J270" s="283"/>
      <c r="K270" s="283"/>
      <c r="L270" s="283"/>
      <c r="M270" s="283"/>
      <c r="N270" s="283"/>
      <c r="O270" s="283"/>
      <c r="P270" s="283"/>
      <c r="Q270" s="278"/>
      <c r="R270" s="278"/>
      <c r="S270" s="278"/>
      <c r="T270" s="278"/>
      <c r="U270" s="278"/>
      <c r="V270" s="278"/>
      <c r="W270" s="278"/>
      <c r="X270" s="278"/>
      <c r="Y270" s="278"/>
      <c r="Z270" s="278"/>
      <c r="AA270" s="278"/>
      <c r="AB270" s="278"/>
      <c r="AC270" s="278"/>
    </row>
    <row r="271" ht="15.75" customHeight="1">
      <c r="A271" s="290" t="str">
        <f>IFERROR(__xludf.DUMMYFUNCTION("""COMPUTED_VALUE"""),"グループ・ゼロ")</f>
        <v>グループ・ゼロ</v>
      </c>
      <c r="B271" s="291">
        <f>IFERROR(__xludf.DUMMYFUNCTION("""COMPUTED_VALUE"""),45618.0)</f>
        <v>45618</v>
      </c>
      <c r="C271" s="292"/>
      <c r="D271" s="293">
        <f>IFERROR(__xludf.DUMMYFUNCTION("""COMPUTED_VALUE"""),8952.0)</f>
        <v>8952</v>
      </c>
      <c r="E271" s="290" t="str">
        <f>IFERROR(__xludf.DUMMYFUNCTION("""COMPUTED_VALUE"""),"女教師狩り")</f>
        <v>女教師狩り</v>
      </c>
      <c r="F271" s="298" t="str">
        <f>IFERROR(__xludf.DUMMYFUNCTION("""COMPUTED_VALUE"""),"童帝ねろ")</f>
        <v>童帝ねろ</v>
      </c>
      <c r="G271" s="298" t="str">
        <f>IFERROR(__xludf.DUMMYFUNCTION("""COMPUTED_VALUE"""),"オトナコミック")</f>
        <v>オトナコミック</v>
      </c>
      <c r="H271" s="298" t="str">
        <f>IFERROR(__xludf.DUMMYFUNCTION("""COMPUTED_VALUE"""),"2024/11/25～）クレジットカードでの購入のみ停止")</f>
        <v>2024/11/25～）クレジットカードでの購入のみ停止</v>
      </c>
      <c r="I271" s="283"/>
      <c r="J271" s="283"/>
      <c r="K271" s="283"/>
      <c r="L271" s="283"/>
      <c r="M271" s="283"/>
      <c r="N271" s="283"/>
      <c r="O271" s="283"/>
      <c r="P271" s="283"/>
      <c r="Q271" s="278"/>
      <c r="R271" s="278"/>
      <c r="S271" s="278"/>
      <c r="T271" s="278"/>
      <c r="U271" s="278"/>
      <c r="V271" s="278"/>
      <c r="W271" s="278"/>
      <c r="X271" s="278"/>
      <c r="Y271" s="278"/>
      <c r="Z271" s="278"/>
      <c r="AA271" s="278"/>
      <c r="AB271" s="278"/>
      <c r="AC271" s="278"/>
    </row>
    <row r="272" ht="15.75" customHeight="1">
      <c r="A272" s="290" t="str">
        <f>IFERROR(__xludf.DUMMYFUNCTION("""COMPUTED_VALUE"""),"グループ・ゼロ")</f>
        <v>グループ・ゼロ</v>
      </c>
      <c r="B272" s="291">
        <f>IFERROR(__xludf.DUMMYFUNCTION("""COMPUTED_VALUE"""),45618.0)</f>
        <v>45618</v>
      </c>
      <c r="C272" s="292"/>
      <c r="D272" s="293">
        <f>IFERROR(__xludf.DUMMYFUNCTION("""COMPUTED_VALUE"""),53227.0)</f>
        <v>53227</v>
      </c>
      <c r="E272" s="290" t="str">
        <f>IFERROR(__xludf.DUMMYFUNCTION("""COMPUTED_VALUE"""),"生贄の女教師")</f>
        <v>生贄の女教師</v>
      </c>
      <c r="F272" s="298" t="str">
        <f>IFERROR(__xludf.DUMMYFUNCTION("""COMPUTED_VALUE"""),"ともかず零")</f>
        <v>ともかず零</v>
      </c>
      <c r="G272" s="298" t="str">
        <f>IFERROR(__xludf.DUMMYFUNCTION("""COMPUTED_VALUE"""),"オトナコミック")</f>
        <v>オトナコミック</v>
      </c>
      <c r="H272" s="298" t="str">
        <f>IFERROR(__xludf.DUMMYFUNCTION("""COMPUTED_VALUE"""),"2024/11/25～）クレジットカードでの購入のみ停止")</f>
        <v>2024/11/25～）クレジットカードでの購入のみ停止</v>
      </c>
      <c r="I272" s="283"/>
      <c r="J272" s="283"/>
      <c r="K272" s="283"/>
      <c r="L272" s="283"/>
      <c r="M272" s="283"/>
      <c r="N272" s="283"/>
      <c r="O272" s="283"/>
      <c r="P272" s="283"/>
      <c r="Q272" s="278"/>
      <c r="R272" s="278"/>
      <c r="S272" s="278"/>
      <c r="T272" s="278"/>
      <c r="U272" s="278"/>
      <c r="V272" s="278"/>
      <c r="W272" s="278"/>
      <c r="X272" s="278"/>
      <c r="Y272" s="278"/>
      <c r="Z272" s="278"/>
      <c r="AA272" s="278"/>
      <c r="AB272" s="278"/>
      <c r="AC272" s="278"/>
    </row>
    <row r="273" ht="15.75" customHeight="1">
      <c r="A273" s="290" t="str">
        <f>IFERROR(__xludf.DUMMYFUNCTION("""COMPUTED_VALUE"""),"グループ・ゼロ")</f>
        <v>グループ・ゼロ</v>
      </c>
      <c r="B273" s="291">
        <f>IFERROR(__xludf.DUMMYFUNCTION("""COMPUTED_VALUE"""),45618.0)</f>
        <v>45618</v>
      </c>
      <c r="C273" s="292"/>
      <c r="D273" s="293">
        <f>IFERROR(__xludf.DUMMYFUNCTION("""COMPUTED_VALUE"""),53262.0)</f>
        <v>53262</v>
      </c>
      <c r="E273" s="290" t="str">
        <f>IFERROR(__xludf.DUMMYFUNCTION("""COMPUTED_VALUE"""),"淫モラル (高解像度)")</f>
        <v>淫モラル (高解像度)</v>
      </c>
      <c r="F273" s="298" t="str">
        <f>IFERROR(__xludf.DUMMYFUNCTION("""COMPUTED_VALUE"""),"騙野犠牲")</f>
        <v>騙野犠牲</v>
      </c>
      <c r="G273" s="298" t="str">
        <f>IFERROR(__xludf.DUMMYFUNCTION("""COMPUTED_VALUE"""),"オトナコミック")</f>
        <v>オトナコミック</v>
      </c>
      <c r="H273" s="298" t="str">
        <f>IFERROR(__xludf.DUMMYFUNCTION("""COMPUTED_VALUE"""),"2024/11/25～）クレジットカードでの購入のみ停止")</f>
        <v>2024/11/25～）クレジットカードでの購入のみ停止</v>
      </c>
      <c r="I273" s="283"/>
      <c r="J273" s="283"/>
      <c r="K273" s="283"/>
      <c r="L273" s="283"/>
      <c r="M273" s="283"/>
      <c r="N273" s="283"/>
      <c r="O273" s="283"/>
      <c r="P273" s="283"/>
      <c r="Q273" s="278"/>
      <c r="R273" s="278"/>
      <c r="S273" s="278"/>
      <c r="T273" s="278"/>
      <c r="U273" s="278"/>
      <c r="V273" s="278"/>
      <c r="W273" s="278"/>
      <c r="X273" s="278"/>
      <c r="Y273" s="278"/>
      <c r="Z273" s="278"/>
      <c r="AA273" s="278"/>
      <c r="AB273" s="278"/>
      <c r="AC273" s="278"/>
    </row>
    <row r="274" ht="15.75" customHeight="1">
      <c r="A274" s="290" t="str">
        <f>IFERROR(__xludf.DUMMYFUNCTION("""COMPUTED_VALUE"""),"グループ・ゼロ")</f>
        <v>グループ・ゼロ</v>
      </c>
      <c r="B274" s="291">
        <f>IFERROR(__xludf.DUMMYFUNCTION("""COMPUTED_VALUE"""),45618.0)</f>
        <v>45618</v>
      </c>
      <c r="C274" s="292"/>
      <c r="D274" s="293">
        <f>IFERROR(__xludf.DUMMYFUNCTION("""COMPUTED_VALUE"""),53275.0)</f>
        <v>53275</v>
      </c>
      <c r="E274" s="290" t="str">
        <f>IFERROR(__xludf.DUMMYFUNCTION("""COMPUTED_VALUE"""),"初少女(高解像度)")</f>
        <v>初少女(高解像度)</v>
      </c>
      <c r="F274" s="298" t="str">
        <f>IFERROR(__xludf.DUMMYFUNCTION("""COMPUTED_VALUE"""),"おがわ甘藍")</f>
        <v>おがわ甘藍</v>
      </c>
      <c r="G274" s="298" t="str">
        <f>IFERROR(__xludf.DUMMYFUNCTION("""COMPUTED_VALUE"""),"オトナコミック")</f>
        <v>オトナコミック</v>
      </c>
      <c r="H274" s="298" t="str">
        <f>IFERROR(__xludf.DUMMYFUNCTION("""COMPUTED_VALUE"""),"2024/11/25～）クレジットカードでの購入のみ停止")</f>
        <v>2024/11/25～）クレジットカードでの購入のみ停止</v>
      </c>
      <c r="I274" s="283"/>
      <c r="J274" s="283"/>
      <c r="K274" s="283"/>
      <c r="L274" s="283"/>
      <c r="M274" s="283"/>
      <c r="N274" s="283"/>
      <c r="O274" s="283"/>
      <c r="P274" s="283"/>
      <c r="Q274" s="278"/>
      <c r="R274" s="278"/>
      <c r="S274" s="278"/>
      <c r="T274" s="278"/>
      <c r="U274" s="278"/>
      <c r="V274" s="278"/>
      <c r="W274" s="278"/>
      <c r="X274" s="278"/>
      <c r="Y274" s="278"/>
      <c r="Z274" s="278"/>
      <c r="AA274" s="278"/>
      <c r="AB274" s="278"/>
      <c r="AC274" s="278"/>
    </row>
    <row r="275" ht="15.75" customHeight="1">
      <c r="A275" s="290" t="str">
        <f>IFERROR(__xludf.DUMMYFUNCTION("""COMPUTED_VALUE"""),"グループ・ゼロ")</f>
        <v>グループ・ゼロ</v>
      </c>
      <c r="B275" s="291">
        <f>IFERROR(__xludf.DUMMYFUNCTION("""COMPUTED_VALUE"""),45618.0)</f>
        <v>45618</v>
      </c>
      <c r="C275" s="292"/>
      <c r="D275" s="293">
        <f>IFERROR(__xludf.DUMMYFUNCTION("""COMPUTED_VALUE"""),53276.0)</f>
        <v>53276</v>
      </c>
      <c r="E275" s="290" t="str">
        <f>IFERROR(__xludf.DUMMYFUNCTION("""COMPUTED_VALUE"""),"裏淫獣倶楽部")</f>
        <v>裏淫獣倶楽部</v>
      </c>
      <c r="F275" s="298" t="str">
        <f>IFERROR(__xludf.DUMMYFUNCTION("""COMPUTED_VALUE"""),"西瓜波山")</f>
        <v>西瓜波山</v>
      </c>
      <c r="G275" s="298" t="str">
        <f>IFERROR(__xludf.DUMMYFUNCTION("""COMPUTED_VALUE"""),"オトナコミック")</f>
        <v>オトナコミック</v>
      </c>
      <c r="H275" s="298" t="str">
        <f>IFERROR(__xludf.DUMMYFUNCTION("""COMPUTED_VALUE"""),"2024/11/25～）クレジットカードでの購入のみ停止")</f>
        <v>2024/11/25～）クレジットカードでの購入のみ停止</v>
      </c>
      <c r="I275" s="283"/>
      <c r="J275" s="283"/>
      <c r="K275" s="283"/>
      <c r="L275" s="283"/>
      <c r="M275" s="283"/>
      <c r="N275" s="283"/>
      <c r="O275" s="283"/>
      <c r="P275" s="283"/>
      <c r="Q275" s="278"/>
      <c r="R275" s="278"/>
      <c r="S275" s="278"/>
      <c r="T275" s="278"/>
      <c r="U275" s="278"/>
      <c r="V275" s="278"/>
      <c r="W275" s="278"/>
      <c r="X275" s="278"/>
      <c r="Y275" s="278"/>
      <c r="Z275" s="278"/>
      <c r="AA275" s="278"/>
      <c r="AB275" s="278"/>
      <c r="AC275" s="278"/>
    </row>
    <row r="276" ht="15.75" customHeight="1">
      <c r="A276" s="290" t="str">
        <f>IFERROR(__xludf.DUMMYFUNCTION("""COMPUTED_VALUE"""),"グループ・ゼロ")</f>
        <v>グループ・ゼロ</v>
      </c>
      <c r="B276" s="291">
        <f>IFERROR(__xludf.DUMMYFUNCTION("""COMPUTED_VALUE"""),45618.0)</f>
        <v>45618</v>
      </c>
      <c r="C276" s="292"/>
      <c r="D276" s="293">
        <f>IFERROR(__xludf.DUMMYFUNCTION("""COMPUTED_VALUE"""),53320.0)</f>
        <v>53320</v>
      </c>
      <c r="E276" s="290" t="str">
        <f>IFERROR(__xludf.DUMMYFUNCTION("""COMPUTED_VALUE"""),"おしおきしちゃうぞ!!")</f>
        <v>おしおきしちゃうぞ!!</v>
      </c>
      <c r="F276" s="298" t="str">
        <f>IFERROR(__xludf.DUMMYFUNCTION("""COMPUTED_VALUE"""),"るもいじゅん")</f>
        <v>るもいじゅん</v>
      </c>
      <c r="G276" s="298" t="str">
        <f>IFERROR(__xludf.DUMMYFUNCTION("""COMPUTED_VALUE"""),"オトナコミック")</f>
        <v>オトナコミック</v>
      </c>
      <c r="H276" s="298" t="str">
        <f>IFERROR(__xludf.DUMMYFUNCTION("""COMPUTED_VALUE"""),"2024/11/25～）クレジットカードでの購入のみ停止")</f>
        <v>2024/11/25～）クレジットカードでの購入のみ停止</v>
      </c>
      <c r="I276" s="283"/>
      <c r="J276" s="283"/>
      <c r="K276" s="283"/>
      <c r="L276" s="283"/>
      <c r="M276" s="283"/>
      <c r="N276" s="283"/>
      <c r="O276" s="283"/>
      <c r="P276" s="283"/>
      <c r="Q276" s="278"/>
      <c r="R276" s="278"/>
      <c r="S276" s="278"/>
      <c r="T276" s="278"/>
      <c r="U276" s="278"/>
      <c r="V276" s="278"/>
      <c r="W276" s="278"/>
      <c r="X276" s="278"/>
      <c r="Y276" s="278"/>
      <c r="Z276" s="278"/>
      <c r="AA276" s="278"/>
      <c r="AB276" s="278"/>
      <c r="AC276" s="278"/>
    </row>
    <row r="277" ht="15.75" customHeight="1">
      <c r="A277" s="290" t="str">
        <f>IFERROR(__xludf.DUMMYFUNCTION("""COMPUTED_VALUE"""),"グループ・ゼロ")</f>
        <v>グループ・ゼロ</v>
      </c>
      <c r="B277" s="291">
        <f>IFERROR(__xludf.DUMMYFUNCTION("""COMPUTED_VALUE"""),45618.0)</f>
        <v>45618</v>
      </c>
      <c r="C277" s="292"/>
      <c r="D277" s="293">
        <f>IFERROR(__xludf.DUMMYFUNCTION("""COMPUTED_VALUE"""),53382.0)</f>
        <v>53382</v>
      </c>
      <c r="E277" s="290" t="str">
        <f>IFERROR(__xludf.DUMMYFUNCTION("""COMPUTED_VALUE"""),"下半身授業(フルカラー)")</f>
        <v>下半身授業(フルカラー)</v>
      </c>
      <c r="F277" s="298" t="str">
        <f>IFERROR(__xludf.DUMMYFUNCTION("""COMPUTED_VALUE"""),"尾山泰永")</f>
        <v>尾山泰永</v>
      </c>
      <c r="G277" s="298" t="str">
        <f>IFERROR(__xludf.DUMMYFUNCTION("""COMPUTED_VALUE"""),"オトナコミック")</f>
        <v>オトナコミック</v>
      </c>
      <c r="H277" s="298" t="str">
        <f>IFERROR(__xludf.DUMMYFUNCTION("""COMPUTED_VALUE"""),"2024/11/25～）クレジットカードでの購入のみ停止")</f>
        <v>2024/11/25～）クレジットカードでの購入のみ停止</v>
      </c>
      <c r="I277" s="283"/>
      <c r="J277" s="283"/>
      <c r="K277" s="283"/>
      <c r="L277" s="283"/>
      <c r="M277" s="283"/>
      <c r="N277" s="283"/>
      <c r="O277" s="283"/>
      <c r="P277" s="283"/>
      <c r="Q277" s="278"/>
      <c r="R277" s="278"/>
      <c r="S277" s="278"/>
      <c r="T277" s="278"/>
      <c r="U277" s="278"/>
      <c r="V277" s="278"/>
      <c r="W277" s="278"/>
      <c r="X277" s="278"/>
      <c r="Y277" s="278"/>
      <c r="Z277" s="278"/>
      <c r="AA277" s="278"/>
      <c r="AB277" s="278"/>
      <c r="AC277" s="278"/>
    </row>
    <row r="278" ht="15.75" customHeight="1">
      <c r="A278" s="290" t="str">
        <f>IFERROR(__xludf.DUMMYFUNCTION("""COMPUTED_VALUE"""),"グループ・ゼロ")</f>
        <v>グループ・ゼロ</v>
      </c>
      <c r="B278" s="291">
        <f>IFERROR(__xludf.DUMMYFUNCTION("""COMPUTED_VALUE"""),45618.0)</f>
        <v>45618</v>
      </c>
      <c r="C278" s="292"/>
      <c r="D278" s="293">
        <f>IFERROR(__xludf.DUMMYFUNCTION("""COMPUTED_VALUE"""),53389.0)</f>
        <v>53389</v>
      </c>
      <c r="E278" s="290" t="str">
        <f>IFERROR(__xludf.DUMMYFUNCTION("""COMPUTED_VALUE"""),"かわいい悪魔 (高解像度)(フルカラー)")</f>
        <v>かわいい悪魔 (高解像度)(フルカラー)</v>
      </c>
      <c r="F278" s="298" t="str">
        <f>IFERROR(__xludf.DUMMYFUNCTION("""COMPUTED_VALUE"""),"ひんでんブルグ")</f>
        <v>ひんでんブルグ</v>
      </c>
      <c r="G278" s="298" t="str">
        <f>IFERROR(__xludf.DUMMYFUNCTION("""COMPUTED_VALUE"""),"オトナコミック")</f>
        <v>オトナコミック</v>
      </c>
      <c r="H278" s="298" t="str">
        <f>IFERROR(__xludf.DUMMYFUNCTION("""COMPUTED_VALUE"""),"2024/11/25～）クレジットカードでの購入のみ停止")</f>
        <v>2024/11/25～）クレジットカードでの購入のみ停止</v>
      </c>
      <c r="I278" s="283"/>
      <c r="J278" s="283"/>
      <c r="K278" s="283"/>
      <c r="L278" s="283"/>
      <c r="M278" s="283"/>
      <c r="N278" s="283"/>
      <c r="O278" s="283"/>
      <c r="P278" s="283"/>
      <c r="Q278" s="278"/>
      <c r="R278" s="278"/>
      <c r="S278" s="278"/>
      <c r="T278" s="278"/>
      <c r="U278" s="278"/>
      <c r="V278" s="278"/>
      <c r="W278" s="278"/>
      <c r="X278" s="278"/>
      <c r="Y278" s="278"/>
      <c r="Z278" s="278"/>
      <c r="AA278" s="278"/>
      <c r="AB278" s="278"/>
      <c r="AC278" s="278"/>
    </row>
    <row r="279" ht="15.75" customHeight="1">
      <c r="A279" s="290" t="str">
        <f>IFERROR(__xludf.DUMMYFUNCTION("""COMPUTED_VALUE"""),"グループ・ゼロ")</f>
        <v>グループ・ゼロ</v>
      </c>
      <c r="B279" s="291">
        <f>IFERROR(__xludf.DUMMYFUNCTION("""COMPUTED_VALUE"""),45618.0)</f>
        <v>45618</v>
      </c>
      <c r="C279" s="292"/>
      <c r="D279" s="293">
        <f>IFERROR(__xludf.DUMMYFUNCTION("""COMPUTED_VALUE"""),53399.0)</f>
        <v>53399</v>
      </c>
      <c r="E279" s="290" t="str">
        <f>IFERROR(__xludf.DUMMYFUNCTION("""COMPUTED_VALUE"""),"感じて女子校生(フルカラー)")</f>
        <v>感じて女子校生(フルカラー)</v>
      </c>
      <c r="F279" s="298" t="str">
        <f>IFERROR(__xludf.DUMMYFUNCTION("""COMPUTED_VALUE"""),"逢魔")</f>
        <v>逢魔</v>
      </c>
      <c r="G279" s="298" t="str">
        <f>IFERROR(__xludf.DUMMYFUNCTION("""COMPUTED_VALUE"""),"オトナコミック")</f>
        <v>オトナコミック</v>
      </c>
      <c r="H279" s="298" t="str">
        <f>IFERROR(__xludf.DUMMYFUNCTION("""COMPUTED_VALUE"""),"2024/11/25～）クレジットカードでの購入のみ停止")</f>
        <v>2024/11/25～）クレジットカードでの購入のみ停止</v>
      </c>
      <c r="I279" s="283"/>
      <c r="J279" s="283"/>
      <c r="K279" s="283"/>
      <c r="L279" s="283"/>
      <c r="M279" s="283"/>
      <c r="N279" s="283"/>
      <c r="O279" s="283"/>
      <c r="P279" s="283"/>
      <c r="Q279" s="278"/>
      <c r="R279" s="278"/>
      <c r="S279" s="278"/>
      <c r="T279" s="278"/>
      <c r="U279" s="278"/>
      <c r="V279" s="278"/>
      <c r="W279" s="278"/>
      <c r="X279" s="278"/>
      <c r="Y279" s="278"/>
      <c r="Z279" s="278"/>
      <c r="AA279" s="278"/>
      <c r="AB279" s="278"/>
      <c r="AC279" s="278"/>
    </row>
    <row r="280" ht="15.75" customHeight="1">
      <c r="A280" s="290" t="str">
        <f>IFERROR(__xludf.DUMMYFUNCTION("""COMPUTED_VALUE"""),"グループ・ゼロ")</f>
        <v>グループ・ゼロ</v>
      </c>
      <c r="B280" s="291">
        <f>IFERROR(__xludf.DUMMYFUNCTION("""COMPUTED_VALUE"""),45618.0)</f>
        <v>45618</v>
      </c>
      <c r="C280" s="292"/>
      <c r="D280" s="293">
        <f>IFERROR(__xludf.DUMMYFUNCTION("""COMPUTED_VALUE"""),53411.0)</f>
        <v>53411</v>
      </c>
      <c r="E280" s="290" t="str">
        <f>IFERROR(__xludf.DUMMYFUNCTION("""COMPUTED_VALUE"""),"鬼畜奴隷 (高解像度)")</f>
        <v>鬼畜奴隷 (高解像度)</v>
      </c>
      <c r="F280" s="298" t="str">
        <f>IFERROR(__xludf.DUMMYFUNCTION("""COMPUTED_VALUE"""),"咲夜しおん")</f>
        <v>咲夜しおん</v>
      </c>
      <c r="G280" s="298" t="str">
        <f>IFERROR(__xludf.DUMMYFUNCTION("""COMPUTED_VALUE"""),"オトナコミック")</f>
        <v>オトナコミック</v>
      </c>
      <c r="H280" s="298" t="str">
        <f>IFERROR(__xludf.DUMMYFUNCTION("""COMPUTED_VALUE"""),"2024/11/25～）クレジットカードでの購入のみ停止")</f>
        <v>2024/11/25～）クレジットカードでの購入のみ停止</v>
      </c>
      <c r="I280" s="283"/>
      <c r="J280" s="283"/>
      <c r="K280" s="283"/>
      <c r="L280" s="283"/>
      <c r="M280" s="283"/>
      <c r="N280" s="283"/>
      <c r="O280" s="283"/>
      <c r="P280" s="283"/>
      <c r="Q280" s="278"/>
      <c r="R280" s="278"/>
      <c r="S280" s="278"/>
      <c r="T280" s="278"/>
      <c r="U280" s="278"/>
      <c r="V280" s="278"/>
      <c r="W280" s="278"/>
      <c r="X280" s="278"/>
      <c r="Y280" s="278"/>
      <c r="Z280" s="278"/>
      <c r="AA280" s="278"/>
      <c r="AB280" s="278"/>
      <c r="AC280" s="278"/>
    </row>
    <row r="281" ht="15.75" customHeight="1">
      <c r="A281" s="290" t="str">
        <f>IFERROR(__xludf.DUMMYFUNCTION("""COMPUTED_VALUE"""),"グループ・ゼロ")</f>
        <v>グループ・ゼロ</v>
      </c>
      <c r="B281" s="291">
        <f>IFERROR(__xludf.DUMMYFUNCTION("""COMPUTED_VALUE"""),45618.0)</f>
        <v>45618</v>
      </c>
      <c r="C281" s="292"/>
      <c r="D281" s="293">
        <f>IFERROR(__xludf.DUMMYFUNCTION("""COMPUTED_VALUE"""),53430.0)</f>
        <v>53430</v>
      </c>
      <c r="E281" s="290" t="str">
        <f>IFERROR(__xludf.DUMMYFUNCTION("""COMPUTED_VALUE"""),"強制猥褻犯罪(高解像度)")</f>
        <v>強制猥褻犯罪(高解像度)</v>
      </c>
      <c r="F281" s="298" t="str">
        <f>IFERROR(__xludf.DUMMYFUNCTION("""COMPUTED_VALUE"""),"西瓜波山")</f>
        <v>西瓜波山</v>
      </c>
      <c r="G281" s="298" t="str">
        <f>IFERROR(__xludf.DUMMYFUNCTION("""COMPUTED_VALUE"""),"オトナコミック")</f>
        <v>オトナコミック</v>
      </c>
      <c r="H281" s="298" t="str">
        <f>IFERROR(__xludf.DUMMYFUNCTION("""COMPUTED_VALUE"""),"2024/11/25～）クレジットカードでの購入のみ停止")</f>
        <v>2024/11/25～）クレジットカードでの購入のみ停止</v>
      </c>
      <c r="I281" s="283"/>
      <c r="J281" s="283"/>
      <c r="K281" s="283"/>
      <c r="L281" s="283"/>
      <c r="M281" s="283"/>
      <c r="N281" s="283"/>
      <c r="O281" s="283"/>
      <c r="P281" s="283"/>
      <c r="Q281" s="278"/>
      <c r="R281" s="278"/>
      <c r="S281" s="278"/>
      <c r="T281" s="278"/>
      <c r="U281" s="278"/>
      <c r="V281" s="278"/>
      <c r="W281" s="278"/>
      <c r="X281" s="278"/>
      <c r="Y281" s="278"/>
      <c r="Z281" s="278"/>
      <c r="AA281" s="278"/>
      <c r="AB281" s="278"/>
      <c r="AC281" s="278"/>
    </row>
    <row r="282" ht="15.75" customHeight="1">
      <c r="A282" s="290" t="str">
        <f>IFERROR(__xludf.DUMMYFUNCTION("""COMPUTED_VALUE"""),"グループ・ゼロ")</f>
        <v>グループ・ゼロ</v>
      </c>
      <c r="B282" s="291">
        <f>IFERROR(__xludf.DUMMYFUNCTION("""COMPUTED_VALUE"""),45618.0)</f>
        <v>45618</v>
      </c>
      <c r="C282" s="292"/>
      <c r="D282" s="293">
        <f>IFERROR(__xludf.DUMMYFUNCTION("""COMPUTED_VALUE"""),53468.0)</f>
        <v>53468</v>
      </c>
      <c r="E282" s="290" t="str">
        <f>IFERROR(__xludf.DUMMYFUNCTION("""COMPUTED_VALUE"""),"クライマックス･コレクション (高解像度)")</f>
        <v>クライマックス･コレクション (高解像度)</v>
      </c>
      <c r="F282" s="298" t="str">
        <f>IFERROR(__xludf.DUMMYFUNCTION("""COMPUTED_VALUE"""),"れん･しゅぽると")</f>
        <v>れん･しゅぽると</v>
      </c>
      <c r="G282" s="298" t="str">
        <f>IFERROR(__xludf.DUMMYFUNCTION("""COMPUTED_VALUE"""),"オトナコミック")</f>
        <v>オトナコミック</v>
      </c>
      <c r="H282" s="298" t="str">
        <f>IFERROR(__xludf.DUMMYFUNCTION("""COMPUTED_VALUE"""),"2024/11/25～）クレジットカードでの購入のみ停止")</f>
        <v>2024/11/25～）クレジットカードでの購入のみ停止</v>
      </c>
      <c r="I282" s="283"/>
      <c r="J282" s="283"/>
      <c r="K282" s="283"/>
      <c r="L282" s="283"/>
      <c r="M282" s="283"/>
      <c r="N282" s="283"/>
      <c r="O282" s="283"/>
      <c r="P282" s="283"/>
      <c r="Q282" s="278"/>
      <c r="R282" s="278"/>
      <c r="S282" s="278"/>
      <c r="T282" s="278"/>
      <c r="U282" s="278"/>
      <c r="V282" s="278"/>
      <c r="W282" s="278"/>
      <c r="X282" s="278"/>
      <c r="Y282" s="278"/>
      <c r="Z282" s="278"/>
      <c r="AA282" s="278"/>
      <c r="AB282" s="278"/>
      <c r="AC282" s="278"/>
    </row>
    <row r="283" ht="15.75" customHeight="1">
      <c r="A283" s="290" t="str">
        <f>IFERROR(__xludf.DUMMYFUNCTION("""COMPUTED_VALUE"""),"グループ・ゼロ")</f>
        <v>グループ・ゼロ</v>
      </c>
      <c r="B283" s="291">
        <f>IFERROR(__xludf.DUMMYFUNCTION("""COMPUTED_VALUE"""),45618.0)</f>
        <v>45618</v>
      </c>
      <c r="C283" s="292"/>
      <c r="D283" s="293">
        <f>IFERROR(__xludf.DUMMYFUNCTION("""COMPUTED_VALUE"""),53527.0)</f>
        <v>53527</v>
      </c>
      <c r="E283" s="290" t="str">
        <f>IFERROR(__xludf.DUMMYFUNCTION("""COMPUTED_VALUE"""),"三条友美全集")</f>
        <v>三条友美全集</v>
      </c>
      <c r="F283" s="298" t="str">
        <f>IFERROR(__xludf.DUMMYFUNCTION("""COMPUTED_VALUE"""),"三条友美")</f>
        <v>三条友美</v>
      </c>
      <c r="G283" s="298" t="str">
        <f>IFERROR(__xludf.DUMMYFUNCTION("""COMPUTED_VALUE"""),"オトナコミック")</f>
        <v>オトナコミック</v>
      </c>
      <c r="H283" s="298" t="str">
        <f>IFERROR(__xludf.DUMMYFUNCTION("""COMPUTED_VALUE"""),"2024/11/25～）クレジットカードでの購入のみ停止")</f>
        <v>2024/11/25～）クレジットカードでの購入のみ停止</v>
      </c>
      <c r="I283" s="283"/>
      <c r="J283" s="283"/>
      <c r="K283" s="283"/>
      <c r="L283" s="283"/>
      <c r="M283" s="283"/>
      <c r="N283" s="283"/>
      <c r="O283" s="283"/>
      <c r="P283" s="283"/>
      <c r="Q283" s="278"/>
      <c r="R283" s="278"/>
      <c r="S283" s="278"/>
      <c r="T283" s="278"/>
      <c r="U283" s="278"/>
      <c r="V283" s="278"/>
      <c r="W283" s="278"/>
      <c r="X283" s="278"/>
      <c r="Y283" s="278"/>
      <c r="Z283" s="278"/>
      <c r="AA283" s="278"/>
      <c r="AB283" s="278"/>
      <c r="AC283" s="278"/>
    </row>
    <row r="284" ht="15.75" customHeight="1">
      <c r="A284" s="290" t="str">
        <f>IFERROR(__xludf.DUMMYFUNCTION("""COMPUTED_VALUE"""),"グループ・ゼロ")</f>
        <v>グループ・ゼロ</v>
      </c>
      <c r="B284" s="291">
        <f>IFERROR(__xludf.DUMMYFUNCTION("""COMPUTED_VALUE"""),45618.0)</f>
        <v>45618</v>
      </c>
      <c r="C284" s="292"/>
      <c r="D284" s="293">
        <f>IFERROR(__xludf.DUMMYFUNCTION("""COMPUTED_VALUE"""),53547.0)</f>
        <v>53547</v>
      </c>
      <c r="E284" s="290" t="str">
        <f>IFERROR(__xludf.DUMMYFUNCTION("""COMPUTED_VALUE"""),"借金肉奴隷")</f>
        <v>借金肉奴隷</v>
      </c>
      <c r="F284" s="298" t="str">
        <f>IFERROR(__xludf.DUMMYFUNCTION("""COMPUTED_VALUE"""),"尾山泰永")</f>
        <v>尾山泰永</v>
      </c>
      <c r="G284" s="298" t="str">
        <f>IFERROR(__xludf.DUMMYFUNCTION("""COMPUTED_VALUE"""),"オトナコミック")</f>
        <v>オトナコミック</v>
      </c>
      <c r="H284" s="298" t="str">
        <f>IFERROR(__xludf.DUMMYFUNCTION("""COMPUTED_VALUE"""),"2024/11/25～）クレジットカードでの購入のみ停止")</f>
        <v>2024/11/25～）クレジットカードでの購入のみ停止</v>
      </c>
      <c r="I284" s="283"/>
      <c r="J284" s="283"/>
      <c r="K284" s="283"/>
      <c r="L284" s="283"/>
      <c r="M284" s="283"/>
      <c r="N284" s="283"/>
      <c r="O284" s="283"/>
      <c r="P284" s="283"/>
      <c r="Q284" s="278"/>
      <c r="R284" s="278"/>
      <c r="S284" s="278"/>
      <c r="T284" s="278"/>
      <c r="U284" s="278"/>
      <c r="V284" s="278"/>
      <c r="W284" s="278"/>
      <c r="X284" s="278"/>
      <c r="Y284" s="278"/>
      <c r="Z284" s="278"/>
      <c r="AA284" s="278"/>
      <c r="AB284" s="278"/>
      <c r="AC284" s="278"/>
    </row>
    <row r="285" ht="15.75" customHeight="1">
      <c r="A285" s="290" t="str">
        <f>IFERROR(__xludf.DUMMYFUNCTION("""COMPUTED_VALUE"""),"グループ・ゼロ")</f>
        <v>グループ・ゼロ</v>
      </c>
      <c r="B285" s="291">
        <f>IFERROR(__xludf.DUMMYFUNCTION("""COMPUTED_VALUE"""),45618.0)</f>
        <v>45618</v>
      </c>
      <c r="C285" s="292"/>
      <c r="D285" s="293">
        <f>IFERROR(__xludf.DUMMYFUNCTION("""COMPUTED_VALUE"""),53600.0)</f>
        <v>53600</v>
      </c>
      <c r="E285" s="290" t="str">
        <f>IFERROR(__xludf.DUMMYFUNCTION("""COMPUTED_VALUE"""),"女子校生輪姦(フルカラー)")</f>
        <v>女子校生輪姦(フルカラー)</v>
      </c>
      <c r="F285" s="298" t="str">
        <f>IFERROR(__xludf.DUMMYFUNCTION("""COMPUTED_VALUE"""),"尾山泰永")</f>
        <v>尾山泰永</v>
      </c>
      <c r="G285" s="298" t="str">
        <f>IFERROR(__xludf.DUMMYFUNCTION("""COMPUTED_VALUE"""),"オトナコミック")</f>
        <v>オトナコミック</v>
      </c>
      <c r="H285" s="298" t="str">
        <f>IFERROR(__xludf.DUMMYFUNCTION("""COMPUTED_VALUE"""),"2024/11/25～）クレジットカードでの購入のみ停止")</f>
        <v>2024/11/25～）クレジットカードでの購入のみ停止</v>
      </c>
      <c r="I285" s="283"/>
      <c r="J285" s="283"/>
      <c r="K285" s="283"/>
      <c r="L285" s="283"/>
      <c r="M285" s="283"/>
      <c r="N285" s="283"/>
      <c r="O285" s="283"/>
      <c r="P285" s="283"/>
      <c r="Q285" s="278"/>
      <c r="R285" s="278"/>
      <c r="S285" s="278"/>
      <c r="T285" s="278"/>
      <c r="U285" s="278"/>
      <c r="V285" s="278"/>
      <c r="W285" s="278"/>
      <c r="X285" s="278"/>
      <c r="Y285" s="278"/>
      <c r="Z285" s="278"/>
      <c r="AA285" s="278"/>
      <c r="AB285" s="278"/>
      <c r="AC285" s="278"/>
    </row>
    <row r="286" ht="15.75" customHeight="1">
      <c r="A286" s="290" t="str">
        <f>IFERROR(__xludf.DUMMYFUNCTION("""COMPUTED_VALUE"""),"グループ・ゼロ")</f>
        <v>グループ・ゼロ</v>
      </c>
      <c r="B286" s="291">
        <f>IFERROR(__xludf.DUMMYFUNCTION("""COMPUTED_VALUE"""),45618.0)</f>
        <v>45618</v>
      </c>
      <c r="C286" s="292"/>
      <c r="D286" s="293">
        <f>IFERROR(__xludf.DUMMYFUNCTION("""COMPUTED_VALUE"""),53606.0)</f>
        <v>53606</v>
      </c>
      <c r="E286" s="290" t="str">
        <f>IFERROR(__xludf.DUMMYFUNCTION("""COMPUTED_VALUE"""),"処女卒業 (高解像度)(フルカラー)")</f>
        <v>処女卒業 (高解像度)(フルカラー)</v>
      </c>
      <c r="F286" s="298" t="str">
        <f>IFERROR(__xludf.DUMMYFUNCTION("""COMPUTED_VALUE"""),"へのへの")</f>
        <v>へのへの</v>
      </c>
      <c r="G286" s="298" t="str">
        <f>IFERROR(__xludf.DUMMYFUNCTION("""COMPUTED_VALUE"""),"オトナコミック")</f>
        <v>オトナコミック</v>
      </c>
      <c r="H286" s="298" t="str">
        <f>IFERROR(__xludf.DUMMYFUNCTION("""COMPUTED_VALUE"""),"2024/11/25～）クレジットカードでの購入のみ停止")</f>
        <v>2024/11/25～）クレジットカードでの購入のみ停止</v>
      </c>
      <c r="I286" s="283"/>
      <c r="J286" s="283"/>
      <c r="K286" s="283"/>
      <c r="L286" s="283"/>
      <c r="M286" s="283"/>
      <c r="N286" s="283"/>
      <c r="O286" s="283"/>
      <c r="P286" s="283"/>
      <c r="Q286" s="278"/>
      <c r="R286" s="278"/>
      <c r="S286" s="278"/>
      <c r="T286" s="278"/>
      <c r="U286" s="278"/>
      <c r="V286" s="278"/>
      <c r="W286" s="278"/>
      <c r="X286" s="278"/>
      <c r="Y286" s="278"/>
      <c r="Z286" s="278"/>
      <c r="AA286" s="278"/>
      <c r="AB286" s="278"/>
      <c r="AC286" s="278"/>
    </row>
    <row r="287" ht="15.75" customHeight="1">
      <c r="A287" s="290" t="str">
        <f>IFERROR(__xludf.DUMMYFUNCTION("""COMPUTED_VALUE"""),"グループ・ゼロ")</f>
        <v>グループ・ゼロ</v>
      </c>
      <c r="B287" s="291">
        <f>IFERROR(__xludf.DUMMYFUNCTION("""COMPUTED_VALUE"""),45618.0)</f>
        <v>45618</v>
      </c>
      <c r="C287" s="292"/>
      <c r="D287" s="293">
        <f>IFERROR(__xludf.DUMMYFUNCTION("""COMPUTED_VALUE"""),53608.0)</f>
        <v>53608</v>
      </c>
      <c r="E287" s="290" t="str">
        <f>IFERROR(__xludf.DUMMYFUNCTION("""COMPUTED_VALUE"""),"処女凌辱")</f>
        <v>処女凌辱</v>
      </c>
      <c r="F287" s="298" t="str">
        <f>IFERROR(__xludf.DUMMYFUNCTION("""COMPUTED_VALUE"""),"近石まさし")</f>
        <v>近石まさし</v>
      </c>
      <c r="G287" s="298" t="str">
        <f>IFERROR(__xludf.DUMMYFUNCTION("""COMPUTED_VALUE"""),"オトナコミック")</f>
        <v>オトナコミック</v>
      </c>
      <c r="H287" s="298" t="str">
        <f>IFERROR(__xludf.DUMMYFUNCTION("""COMPUTED_VALUE"""),"2024/11/25～）クレジットカードでの購入のみ停止")</f>
        <v>2024/11/25～）クレジットカードでの購入のみ停止</v>
      </c>
      <c r="I287" s="283"/>
      <c r="J287" s="283"/>
      <c r="K287" s="283"/>
      <c r="L287" s="283"/>
      <c r="M287" s="283"/>
      <c r="N287" s="283"/>
      <c r="O287" s="283"/>
      <c r="P287" s="283"/>
      <c r="Q287" s="278"/>
      <c r="R287" s="278"/>
      <c r="S287" s="278"/>
      <c r="T287" s="278"/>
      <c r="U287" s="278"/>
      <c r="V287" s="278"/>
      <c r="W287" s="278"/>
      <c r="X287" s="278"/>
      <c r="Y287" s="278"/>
      <c r="Z287" s="278"/>
      <c r="AA287" s="278"/>
      <c r="AB287" s="278"/>
      <c r="AC287" s="278"/>
    </row>
    <row r="288" ht="15.75" customHeight="1">
      <c r="A288" s="290" t="str">
        <f>IFERROR(__xludf.DUMMYFUNCTION("""COMPUTED_VALUE"""),"グループ・ゼロ")</f>
        <v>グループ・ゼロ</v>
      </c>
      <c r="B288" s="291">
        <f>IFERROR(__xludf.DUMMYFUNCTION("""COMPUTED_VALUE"""),45618.0)</f>
        <v>45618</v>
      </c>
      <c r="C288" s="292"/>
      <c r="D288" s="293">
        <f>IFERROR(__xludf.DUMMYFUNCTION("""COMPUTED_VALUE"""),53631.0)</f>
        <v>53631</v>
      </c>
      <c r="E288" s="290" t="str">
        <f>IFERROR(__xludf.DUMMYFUNCTION("""COMPUTED_VALUE"""),"ストリングス")</f>
        <v>ストリングス</v>
      </c>
      <c r="F288" s="298" t="str">
        <f>IFERROR(__xludf.DUMMYFUNCTION("""COMPUTED_VALUE"""),"ちば･じろう")</f>
        <v>ちば･じろう</v>
      </c>
      <c r="G288" s="298" t="str">
        <f>IFERROR(__xludf.DUMMYFUNCTION("""COMPUTED_VALUE"""),"オトナコミック")</f>
        <v>オトナコミック</v>
      </c>
      <c r="H288" s="298" t="str">
        <f>IFERROR(__xludf.DUMMYFUNCTION("""COMPUTED_VALUE"""),"2024/11/25～）クレジットカードでの購入のみ停止")</f>
        <v>2024/11/25～）クレジットカードでの購入のみ停止</v>
      </c>
      <c r="I288" s="283"/>
      <c r="J288" s="283"/>
      <c r="K288" s="283"/>
      <c r="L288" s="283"/>
      <c r="M288" s="283"/>
      <c r="N288" s="283"/>
      <c r="O288" s="283"/>
      <c r="P288" s="283"/>
      <c r="Q288" s="278"/>
      <c r="R288" s="278"/>
      <c r="S288" s="278"/>
      <c r="T288" s="278"/>
      <c r="U288" s="278"/>
      <c r="V288" s="278"/>
      <c r="W288" s="278"/>
      <c r="X288" s="278"/>
      <c r="Y288" s="278"/>
      <c r="Z288" s="278"/>
      <c r="AA288" s="278"/>
      <c r="AB288" s="278"/>
      <c r="AC288" s="278"/>
    </row>
    <row r="289" ht="15.75" customHeight="1">
      <c r="A289" s="290" t="str">
        <f>IFERROR(__xludf.DUMMYFUNCTION("""COMPUTED_VALUE"""),"グループ・ゼロ")</f>
        <v>グループ・ゼロ</v>
      </c>
      <c r="B289" s="291">
        <f>IFERROR(__xludf.DUMMYFUNCTION("""COMPUTED_VALUE"""),45618.0)</f>
        <v>45618</v>
      </c>
      <c r="C289" s="292"/>
      <c r="D289" s="293">
        <f>IFERROR(__xludf.DUMMYFUNCTION("""COMPUTED_VALUE"""),53642.0)</f>
        <v>53642</v>
      </c>
      <c r="E289" s="290" t="str">
        <f>IFERROR(__xludf.DUMMYFUNCTION("""COMPUTED_VALUE"""),"性なる蜜壺")</f>
        <v>性なる蜜壺</v>
      </c>
      <c r="F289" s="298" t="str">
        <f>IFERROR(__xludf.DUMMYFUNCTION("""COMPUTED_VALUE"""),"甘夏あまね")</f>
        <v>甘夏あまね</v>
      </c>
      <c r="G289" s="298" t="str">
        <f>IFERROR(__xludf.DUMMYFUNCTION("""COMPUTED_VALUE"""),"オトナコミック")</f>
        <v>オトナコミック</v>
      </c>
      <c r="H289" s="298" t="str">
        <f>IFERROR(__xludf.DUMMYFUNCTION("""COMPUTED_VALUE"""),"2024/11/25～）クレジットカードでの購入のみ停止")</f>
        <v>2024/11/25～）クレジットカードでの購入のみ停止</v>
      </c>
      <c r="I289" s="283"/>
      <c r="J289" s="283"/>
      <c r="K289" s="283"/>
      <c r="L289" s="283"/>
      <c r="M289" s="283"/>
      <c r="N289" s="283"/>
      <c r="O289" s="283"/>
      <c r="P289" s="283"/>
      <c r="Q289" s="278"/>
      <c r="R289" s="278"/>
      <c r="S289" s="278"/>
      <c r="T289" s="278"/>
      <c r="U289" s="278"/>
      <c r="V289" s="278"/>
      <c r="W289" s="278"/>
      <c r="X289" s="278"/>
      <c r="Y289" s="278"/>
      <c r="Z289" s="278"/>
      <c r="AA289" s="278"/>
      <c r="AB289" s="278"/>
      <c r="AC289" s="278"/>
    </row>
    <row r="290" ht="15.75" customHeight="1">
      <c r="A290" s="290" t="str">
        <f>IFERROR(__xludf.DUMMYFUNCTION("""COMPUTED_VALUE"""),"グループ・ゼロ")</f>
        <v>グループ・ゼロ</v>
      </c>
      <c r="B290" s="291">
        <f>IFERROR(__xludf.DUMMYFUNCTION("""COMPUTED_VALUE"""),45618.0)</f>
        <v>45618</v>
      </c>
      <c r="C290" s="292"/>
      <c r="D290" s="293">
        <f>IFERROR(__xludf.DUMMYFUNCTION("""COMPUTED_VALUE"""),53665.0)</f>
        <v>53665</v>
      </c>
      <c r="E290" s="290" t="str">
        <f>IFERROR(__xludf.DUMMYFUNCTION("""COMPUTED_VALUE"""),"総攻撃TAC(1) 妖淫学園 (高解像度)(フルカラー)")</f>
        <v>総攻撃TAC(1) 妖淫学園 (高解像度)(フルカラー)</v>
      </c>
      <c r="F290" s="298" t="str">
        <f>IFERROR(__xludf.DUMMYFUNCTION("""COMPUTED_VALUE"""),"ひんでんブルグ")</f>
        <v>ひんでんブルグ</v>
      </c>
      <c r="G290" s="298" t="str">
        <f>IFERROR(__xludf.DUMMYFUNCTION("""COMPUTED_VALUE"""),"オトナコミック")</f>
        <v>オトナコミック</v>
      </c>
      <c r="H290" s="298" t="str">
        <f>IFERROR(__xludf.DUMMYFUNCTION("""COMPUTED_VALUE"""),"2024/11/25～）クレジットカードでの購入のみ停止")</f>
        <v>2024/11/25～）クレジットカードでの購入のみ停止</v>
      </c>
      <c r="I290" s="283"/>
      <c r="J290" s="283"/>
      <c r="K290" s="283"/>
      <c r="L290" s="283"/>
      <c r="M290" s="283"/>
      <c r="N290" s="283"/>
      <c r="O290" s="283"/>
      <c r="P290" s="283"/>
      <c r="Q290" s="278"/>
      <c r="R290" s="278"/>
      <c r="S290" s="278"/>
      <c r="T290" s="278"/>
      <c r="U290" s="278"/>
      <c r="V290" s="278"/>
      <c r="W290" s="278"/>
      <c r="X290" s="278"/>
      <c r="Y290" s="278"/>
      <c r="Z290" s="278"/>
      <c r="AA290" s="278"/>
      <c r="AB290" s="278"/>
      <c r="AC290" s="278"/>
    </row>
    <row r="291" ht="15.75" customHeight="1">
      <c r="A291" s="290" t="str">
        <f>IFERROR(__xludf.DUMMYFUNCTION("""COMPUTED_VALUE"""),"グループ・ゼロ")</f>
        <v>グループ・ゼロ</v>
      </c>
      <c r="B291" s="291">
        <f>IFERROR(__xludf.DUMMYFUNCTION("""COMPUTED_VALUE"""),45618.0)</f>
        <v>45618</v>
      </c>
      <c r="C291" s="292"/>
      <c r="D291" s="293">
        <f>IFERROR(__xludf.DUMMYFUNCTION("""COMPUTED_VALUE"""),53688.0)</f>
        <v>53688</v>
      </c>
      <c r="E291" s="290" t="str">
        <f>IFERROR(__xludf.DUMMYFUNCTION("""COMPUTED_VALUE"""),"痴漢師")</f>
        <v>痴漢師</v>
      </c>
      <c r="F291" s="298" t="str">
        <f>IFERROR(__xludf.DUMMYFUNCTION("""COMPUTED_VALUE"""),"三葉りを")</f>
        <v>三葉りを</v>
      </c>
      <c r="G291" s="298" t="str">
        <f>IFERROR(__xludf.DUMMYFUNCTION("""COMPUTED_VALUE"""),"オトナコミック")</f>
        <v>オトナコミック</v>
      </c>
      <c r="H291" s="298" t="str">
        <f>IFERROR(__xludf.DUMMYFUNCTION("""COMPUTED_VALUE"""),"2024/11/25～）クレジットカードでの購入のみ停止")</f>
        <v>2024/11/25～）クレジットカードでの購入のみ停止</v>
      </c>
      <c r="I291" s="283"/>
      <c r="J291" s="283"/>
      <c r="K291" s="283"/>
      <c r="L291" s="283"/>
      <c r="M291" s="283"/>
      <c r="N291" s="283"/>
      <c r="O291" s="283"/>
      <c r="P291" s="283"/>
      <c r="Q291" s="278"/>
      <c r="R291" s="278"/>
      <c r="S291" s="278"/>
      <c r="T291" s="278"/>
      <c r="U291" s="278"/>
      <c r="V291" s="278"/>
      <c r="W291" s="278"/>
      <c r="X291" s="278"/>
      <c r="Y291" s="278"/>
      <c r="Z291" s="278"/>
      <c r="AA291" s="278"/>
      <c r="AB291" s="278"/>
      <c r="AC291" s="278"/>
    </row>
    <row r="292" ht="15.75" customHeight="1">
      <c r="A292" s="290" t="str">
        <f>IFERROR(__xludf.DUMMYFUNCTION("""COMPUTED_VALUE"""),"グループ・ゼロ")</f>
        <v>グループ・ゼロ</v>
      </c>
      <c r="B292" s="291">
        <f>IFERROR(__xludf.DUMMYFUNCTION("""COMPUTED_VALUE"""),45618.0)</f>
        <v>45618</v>
      </c>
      <c r="C292" s="292"/>
      <c r="D292" s="293">
        <f>IFERROR(__xludf.DUMMYFUNCTION("""COMPUTED_VALUE"""),53689.0)</f>
        <v>53689</v>
      </c>
      <c r="E292" s="290" t="str">
        <f>IFERROR(__xludf.DUMMYFUNCTION("""COMPUTED_VALUE"""),"痴漢特急 (高解像度)")</f>
        <v>痴漢特急 (高解像度)</v>
      </c>
      <c r="F292" s="298" t="str">
        <f>IFERROR(__xludf.DUMMYFUNCTION("""COMPUTED_VALUE"""),"桃きつね")</f>
        <v>桃きつね</v>
      </c>
      <c r="G292" s="298" t="str">
        <f>IFERROR(__xludf.DUMMYFUNCTION("""COMPUTED_VALUE"""),"オトナコミック")</f>
        <v>オトナコミック</v>
      </c>
      <c r="H292" s="298" t="str">
        <f>IFERROR(__xludf.DUMMYFUNCTION("""COMPUTED_VALUE"""),"2024/11/25～）クレジットカードでの購入のみ停止")</f>
        <v>2024/11/25～）クレジットカードでの購入のみ停止</v>
      </c>
      <c r="I292" s="283"/>
      <c r="J292" s="283"/>
      <c r="K292" s="283"/>
      <c r="L292" s="283"/>
      <c r="M292" s="283"/>
      <c r="N292" s="283"/>
      <c r="O292" s="283"/>
      <c r="P292" s="283"/>
      <c r="Q292" s="278"/>
      <c r="R292" s="278"/>
      <c r="S292" s="278"/>
      <c r="T292" s="278"/>
      <c r="U292" s="278"/>
      <c r="V292" s="278"/>
      <c r="W292" s="278"/>
      <c r="X292" s="278"/>
      <c r="Y292" s="278"/>
      <c r="Z292" s="278"/>
      <c r="AA292" s="278"/>
      <c r="AB292" s="278"/>
      <c r="AC292" s="278"/>
    </row>
    <row r="293" ht="15.75" customHeight="1">
      <c r="A293" s="290" t="str">
        <f>IFERROR(__xludf.DUMMYFUNCTION("""COMPUTED_VALUE"""),"グループ・ゼロ")</f>
        <v>グループ・ゼロ</v>
      </c>
      <c r="B293" s="291">
        <f>IFERROR(__xludf.DUMMYFUNCTION("""COMPUTED_VALUE"""),45618.0)</f>
        <v>45618</v>
      </c>
      <c r="C293" s="292"/>
      <c r="D293" s="293">
        <f>IFERROR(__xludf.DUMMYFUNCTION("""COMPUTED_VALUE"""),53691.0)</f>
        <v>53691</v>
      </c>
      <c r="E293" s="290" t="str">
        <f>IFERROR(__xludf.DUMMYFUNCTION("""COMPUTED_VALUE"""),"痴漢遊戯(高解像度)")</f>
        <v>痴漢遊戯(高解像度)</v>
      </c>
      <c r="F293" s="298" t="str">
        <f>IFERROR(__xludf.DUMMYFUNCTION("""COMPUTED_VALUE"""),"てっちゃん")</f>
        <v>てっちゃん</v>
      </c>
      <c r="G293" s="298" t="str">
        <f>IFERROR(__xludf.DUMMYFUNCTION("""COMPUTED_VALUE"""),"オトナコミック")</f>
        <v>オトナコミック</v>
      </c>
      <c r="H293" s="298" t="str">
        <f>IFERROR(__xludf.DUMMYFUNCTION("""COMPUTED_VALUE"""),"2024/11/25～）クレジットカードでの購入のみ停止")</f>
        <v>2024/11/25～）クレジットカードでの購入のみ停止</v>
      </c>
      <c r="I293" s="283"/>
      <c r="J293" s="283"/>
      <c r="K293" s="283"/>
      <c r="L293" s="283"/>
      <c r="M293" s="283"/>
      <c r="N293" s="283"/>
      <c r="O293" s="283"/>
      <c r="P293" s="283"/>
      <c r="Q293" s="278"/>
      <c r="R293" s="278"/>
      <c r="S293" s="278"/>
      <c r="T293" s="278"/>
      <c r="U293" s="278"/>
      <c r="V293" s="278"/>
      <c r="W293" s="278"/>
      <c r="X293" s="278"/>
      <c r="Y293" s="278"/>
      <c r="Z293" s="278"/>
      <c r="AA293" s="278"/>
      <c r="AB293" s="278"/>
      <c r="AC293" s="278"/>
    </row>
    <row r="294" ht="15.75" customHeight="1">
      <c r="A294" s="290" t="str">
        <f>IFERROR(__xludf.DUMMYFUNCTION("""COMPUTED_VALUE"""),"グループ・ゼロ")</f>
        <v>グループ・ゼロ</v>
      </c>
      <c r="B294" s="291">
        <f>IFERROR(__xludf.DUMMYFUNCTION("""COMPUTED_VALUE"""),45618.0)</f>
        <v>45618</v>
      </c>
      <c r="C294" s="292"/>
      <c r="D294" s="293">
        <f>IFERROR(__xludf.DUMMYFUNCTION("""COMPUTED_VALUE"""),53697.0)</f>
        <v>53697</v>
      </c>
      <c r="E294" s="290" t="str">
        <f>IFERROR(__xludf.DUMMYFUNCTION("""COMPUTED_VALUE"""),"恥辱まみれ (高解像度)（フルカラー）")</f>
        <v>恥辱まみれ (高解像度)（フルカラー）</v>
      </c>
      <c r="F294" s="298" t="str">
        <f>IFERROR(__xludf.DUMMYFUNCTION("""COMPUTED_VALUE"""),"KIKI")</f>
        <v>KIKI</v>
      </c>
      <c r="G294" s="298" t="str">
        <f>IFERROR(__xludf.DUMMYFUNCTION("""COMPUTED_VALUE"""),"オトナコミック")</f>
        <v>オトナコミック</v>
      </c>
      <c r="H294" s="298" t="str">
        <f>IFERROR(__xludf.DUMMYFUNCTION("""COMPUTED_VALUE"""),"2024/11/25～）クレジットカードでの購入のみ停止")</f>
        <v>2024/11/25～）クレジットカードでの購入のみ停止</v>
      </c>
      <c r="I294" s="283"/>
      <c r="J294" s="283"/>
      <c r="K294" s="283"/>
      <c r="L294" s="283"/>
      <c r="M294" s="283"/>
      <c r="N294" s="283"/>
      <c r="O294" s="283"/>
      <c r="P294" s="283"/>
      <c r="Q294" s="278"/>
      <c r="R294" s="278"/>
      <c r="S294" s="278"/>
      <c r="T294" s="278"/>
      <c r="U294" s="278"/>
      <c r="V294" s="278"/>
      <c r="W294" s="278"/>
      <c r="X294" s="278"/>
      <c r="Y294" s="278"/>
      <c r="Z294" s="278"/>
      <c r="AA294" s="278"/>
      <c r="AB294" s="278"/>
      <c r="AC294" s="278"/>
    </row>
    <row r="295" ht="15.75" customHeight="1">
      <c r="A295" s="290" t="str">
        <f>IFERROR(__xludf.DUMMYFUNCTION("""COMPUTED_VALUE"""),"グループ・ゼロ")</f>
        <v>グループ・ゼロ</v>
      </c>
      <c r="B295" s="291">
        <f>IFERROR(__xludf.DUMMYFUNCTION("""COMPUTED_VALUE"""),45618.0)</f>
        <v>45618</v>
      </c>
      <c r="C295" s="292"/>
      <c r="D295" s="293">
        <f>IFERROR(__xludf.DUMMYFUNCTION("""COMPUTED_VALUE"""),53790.0)</f>
        <v>53790</v>
      </c>
      <c r="E295" s="290" t="str">
        <f>IFERROR(__xludf.DUMMYFUNCTION("""COMPUTED_VALUE"""),"ノーパン学園性交科")</f>
        <v>ノーパン学園性交科</v>
      </c>
      <c r="F295" s="298" t="str">
        <f>IFERROR(__xludf.DUMMYFUNCTION("""COMPUTED_VALUE"""),"KIKI")</f>
        <v>KIKI</v>
      </c>
      <c r="G295" s="298" t="str">
        <f>IFERROR(__xludf.DUMMYFUNCTION("""COMPUTED_VALUE"""),"オトナコミック")</f>
        <v>オトナコミック</v>
      </c>
      <c r="H295" s="298" t="str">
        <f>IFERROR(__xludf.DUMMYFUNCTION("""COMPUTED_VALUE"""),"2024/11/25～）クレジットカードでの購入のみ停止")</f>
        <v>2024/11/25～）クレジットカードでの購入のみ停止</v>
      </c>
      <c r="I295" s="283"/>
      <c r="J295" s="283"/>
      <c r="K295" s="283"/>
      <c r="L295" s="283"/>
      <c r="M295" s="283"/>
      <c r="N295" s="283"/>
      <c r="O295" s="283"/>
      <c r="P295" s="283"/>
      <c r="Q295" s="278"/>
      <c r="R295" s="278"/>
      <c r="S295" s="278"/>
      <c r="T295" s="278"/>
      <c r="U295" s="278"/>
      <c r="V295" s="278"/>
      <c r="W295" s="278"/>
      <c r="X295" s="278"/>
      <c r="Y295" s="278"/>
      <c r="Z295" s="278"/>
      <c r="AA295" s="278"/>
      <c r="AB295" s="278"/>
      <c r="AC295" s="278"/>
    </row>
    <row r="296" ht="15.75" customHeight="1">
      <c r="A296" s="290" t="str">
        <f>IFERROR(__xludf.DUMMYFUNCTION("""COMPUTED_VALUE"""),"グループ・ゼロ")</f>
        <v>グループ・ゼロ</v>
      </c>
      <c r="B296" s="291">
        <f>IFERROR(__xludf.DUMMYFUNCTION("""COMPUTED_VALUE"""),45618.0)</f>
        <v>45618</v>
      </c>
      <c r="C296" s="292"/>
      <c r="D296" s="293">
        <f>IFERROR(__xludf.DUMMYFUNCTION("""COMPUTED_VALUE"""),53801.0)</f>
        <v>53801</v>
      </c>
      <c r="E296" s="290" t="str">
        <f>IFERROR(__xludf.DUMMYFUNCTION("""COMPUTED_VALUE"""),"背徳の処女 (高解像度)")</f>
        <v>背徳の処女 (高解像度)</v>
      </c>
      <c r="F296" s="298" t="str">
        <f>IFERROR(__xludf.DUMMYFUNCTION("""COMPUTED_VALUE"""),"橘敦司")</f>
        <v>橘敦司</v>
      </c>
      <c r="G296" s="298" t="str">
        <f>IFERROR(__xludf.DUMMYFUNCTION("""COMPUTED_VALUE"""),"オトナコミック")</f>
        <v>オトナコミック</v>
      </c>
      <c r="H296" s="298" t="str">
        <f>IFERROR(__xludf.DUMMYFUNCTION("""COMPUTED_VALUE"""),"2024/11/25～）クレジットカードでの購入のみ停止")</f>
        <v>2024/11/25～）クレジットカードでの購入のみ停止</v>
      </c>
      <c r="I296" s="283"/>
      <c r="J296" s="283"/>
      <c r="K296" s="283"/>
      <c r="L296" s="283"/>
      <c r="M296" s="283"/>
      <c r="N296" s="283"/>
      <c r="O296" s="283"/>
      <c r="P296" s="283"/>
      <c r="Q296" s="278"/>
      <c r="R296" s="278"/>
      <c r="S296" s="278"/>
      <c r="T296" s="278"/>
      <c r="U296" s="278"/>
      <c r="V296" s="278"/>
      <c r="W296" s="278"/>
      <c r="X296" s="278"/>
      <c r="Y296" s="278"/>
      <c r="Z296" s="278"/>
      <c r="AA296" s="278"/>
      <c r="AB296" s="278"/>
      <c r="AC296" s="278"/>
    </row>
    <row r="297" ht="15.75" customHeight="1">
      <c r="A297" s="290" t="str">
        <f>IFERROR(__xludf.DUMMYFUNCTION("""COMPUTED_VALUE"""),"グループ・ゼロ")</f>
        <v>グループ・ゼロ</v>
      </c>
      <c r="B297" s="291">
        <f>IFERROR(__xludf.DUMMYFUNCTION("""COMPUTED_VALUE"""),45618.0)</f>
        <v>45618</v>
      </c>
      <c r="C297" s="292"/>
      <c r="D297" s="293">
        <f>IFERROR(__xludf.DUMMYFUNCTION("""COMPUTED_VALUE"""),53809.0)</f>
        <v>53809</v>
      </c>
      <c r="E297" s="290" t="str">
        <f>IFERROR(__xludf.DUMMYFUNCTION("""COMPUTED_VALUE"""),"爆乳少女の連続レイプ")</f>
        <v>爆乳少女の連続レイプ</v>
      </c>
      <c r="F297" s="298" t="str">
        <f>IFERROR(__xludf.DUMMYFUNCTION("""COMPUTED_VALUE"""),"わたなべわたる")</f>
        <v>わたなべわたる</v>
      </c>
      <c r="G297" s="298" t="str">
        <f>IFERROR(__xludf.DUMMYFUNCTION("""COMPUTED_VALUE"""),"オトナコミック")</f>
        <v>オトナコミック</v>
      </c>
      <c r="H297" s="298" t="str">
        <f>IFERROR(__xludf.DUMMYFUNCTION("""COMPUTED_VALUE"""),"2024/11/25～）クレジットカードでの購入のみ停止")</f>
        <v>2024/11/25～）クレジットカードでの購入のみ停止</v>
      </c>
      <c r="I297" s="283"/>
      <c r="J297" s="283"/>
      <c r="K297" s="283"/>
      <c r="L297" s="283"/>
      <c r="M297" s="283"/>
      <c r="N297" s="283"/>
      <c r="O297" s="283"/>
      <c r="P297" s="283"/>
      <c r="Q297" s="278"/>
      <c r="R297" s="278"/>
      <c r="S297" s="278"/>
      <c r="T297" s="278"/>
      <c r="U297" s="278"/>
      <c r="V297" s="278"/>
      <c r="W297" s="278"/>
      <c r="X297" s="278"/>
      <c r="Y297" s="278"/>
      <c r="Z297" s="278"/>
      <c r="AA297" s="278"/>
      <c r="AB297" s="278"/>
      <c r="AC297" s="278"/>
    </row>
    <row r="298" ht="15.75" customHeight="1">
      <c r="A298" s="290" t="str">
        <f>IFERROR(__xludf.DUMMYFUNCTION("""COMPUTED_VALUE"""),"グループ・ゼロ")</f>
        <v>グループ・ゼロ</v>
      </c>
      <c r="B298" s="291">
        <f>IFERROR(__xludf.DUMMYFUNCTION("""COMPUTED_VALUE"""),45618.0)</f>
        <v>45618</v>
      </c>
      <c r="C298" s="292"/>
      <c r="D298" s="293">
        <f>IFERROR(__xludf.DUMMYFUNCTION("""COMPUTED_VALUE"""),53824.0)</f>
        <v>53824</v>
      </c>
      <c r="E298" s="290" t="str">
        <f>IFERROR(__xludf.DUMMYFUNCTION("""COMPUTED_VALUE"""),"華! 愛舐女学院")</f>
        <v>華! 愛舐女学院</v>
      </c>
      <c r="F298" s="298" t="str">
        <f>IFERROR(__xludf.DUMMYFUNCTION("""COMPUTED_VALUE"""),"黒河澪")</f>
        <v>黒河澪</v>
      </c>
      <c r="G298" s="298" t="str">
        <f>IFERROR(__xludf.DUMMYFUNCTION("""COMPUTED_VALUE"""),"オトナコミック")</f>
        <v>オトナコミック</v>
      </c>
      <c r="H298" s="298" t="str">
        <f>IFERROR(__xludf.DUMMYFUNCTION("""COMPUTED_VALUE"""),"2024/11/25～）クレジットカードでの購入のみ停止")</f>
        <v>2024/11/25～）クレジットカードでの購入のみ停止</v>
      </c>
      <c r="I298" s="283"/>
      <c r="J298" s="283"/>
      <c r="K298" s="283"/>
      <c r="L298" s="283"/>
      <c r="M298" s="283"/>
      <c r="N298" s="283"/>
      <c r="O298" s="283"/>
      <c r="P298" s="283"/>
      <c r="Q298" s="278"/>
      <c r="R298" s="278"/>
      <c r="S298" s="278"/>
      <c r="T298" s="278"/>
      <c r="U298" s="278"/>
      <c r="V298" s="278"/>
      <c r="W298" s="278"/>
      <c r="X298" s="278"/>
      <c r="Y298" s="278"/>
      <c r="Z298" s="278"/>
      <c r="AA298" s="278"/>
      <c r="AB298" s="278"/>
      <c r="AC298" s="278"/>
    </row>
    <row r="299" ht="15.75" customHeight="1">
      <c r="A299" s="290" t="str">
        <f>IFERROR(__xludf.DUMMYFUNCTION("""COMPUTED_VALUE"""),"グループ・ゼロ")</f>
        <v>グループ・ゼロ</v>
      </c>
      <c r="B299" s="291">
        <f>IFERROR(__xludf.DUMMYFUNCTION("""COMPUTED_VALUE"""),45618.0)</f>
        <v>45618</v>
      </c>
      <c r="C299" s="292"/>
      <c r="D299" s="293">
        <f>IFERROR(__xludf.DUMMYFUNCTION("""COMPUTED_VALUE"""),53849.0)</f>
        <v>53849</v>
      </c>
      <c r="E299" s="290" t="str">
        <f>IFERROR(__xludf.DUMMYFUNCTION("""COMPUTED_VALUE"""),"美少女中毒(高解像度)")</f>
        <v>美少女中毒(高解像度)</v>
      </c>
      <c r="F299" s="298" t="str">
        <f>IFERROR(__xludf.DUMMYFUNCTION("""COMPUTED_VALUE"""),"さだこーじ")</f>
        <v>さだこーじ</v>
      </c>
      <c r="G299" s="298" t="str">
        <f>IFERROR(__xludf.DUMMYFUNCTION("""COMPUTED_VALUE"""),"オトナコミック")</f>
        <v>オトナコミック</v>
      </c>
      <c r="H299" s="298" t="str">
        <f>IFERROR(__xludf.DUMMYFUNCTION("""COMPUTED_VALUE"""),"2024/11/25～）クレジットカードでの購入のみ停止")</f>
        <v>2024/11/25～）クレジットカードでの購入のみ停止</v>
      </c>
      <c r="I299" s="283"/>
      <c r="J299" s="283"/>
      <c r="K299" s="283"/>
      <c r="L299" s="283"/>
      <c r="M299" s="283"/>
      <c r="N299" s="283"/>
      <c r="O299" s="283"/>
      <c r="P299" s="283"/>
      <c r="Q299" s="278"/>
      <c r="R299" s="278"/>
      <c r="S299" s="278"/>
      <c r="T299" s="278"/>
      <c r="U299" s="278"/>
      <c r="V299" s="278"/>
      <c r="W299" s="278"/>
      <c r="X299" s="278"/>
      <c r="Y299" s="278"/>
      <c r="Z299" s="278"/>
      <c r="AA299" s="278"/>
      <c r="AB299" s="278"/>
      <c r="AC299" s="278"/>
    </row>
    <row r="300" ht="15.75" customHeight="1">
      <c r="A300" s="290" t="str">
        <f>IFERROR(__xludf.DUMMYFUNCTION("""COMPUTED_VALUE"""),"グループ・ゼロ")</f>
        <v>グループ・ゼロ</v>
      </c>
      <c r="B300" s="291">
        <f>IFERROR(__xludf.DUMMYFUNCTION("""COMPUTED_VALUE"""),45618.0)</f>
        <v>45618</v>
      </c>
      <c r="C300" s="292"/>
      <c r="D300" s="293">
        <f>IFERROR(__xludf.DUMMYFUNCTION("""COMPUTED_VALUE"""),53868.0)</f>
        <v>53868</v>
      </c>
      <c r="E300" s="290" t="str">
        <f>IFERROR(__xludf.DUMMYFUNCTION("""COMPUTED_VALUE"""),"美乳姉妹屈辱の生贄生活")</f>
        <v>美乳姉妹屈辱の生贄生活</v>
      </c>
      <c r="F300" s="298" t="str">
        <f>IFERROR(__xludf.DUMMYFUNCTION("""COMPUTED_VALUE"""),"スノーベリ")</f>
        <v>スノーベリ</v>
      </c>
      <c r="G300" s="298" t="str">
        <f>IFERROR(__xludf.DUMMYFUNCTION("""COMPUTED_VALUE"""),"オトナコミック")</f>
        <v>オトナコミック</v>
      </c>
      <c r="H300" s="298" t="str">
        <f>IFERROR(__xludf.DUMMYFUNCTION("""COMPUTED_VALUE"""),"2024/11/25～）クレジットカードでの購入のみ停止")</f>
        <v>2024/11/25～）クレジットカードでの購入のみ停止</v>
      </c>
      <c r="I300" s="283"/>
      <c r="J300" s="283"/>
      <c r="K300" s="283"/>
      <c r="L300" s="283"/>
      <c r="M300" s="283"/>
      <c r="N300" s="283"/>
      <c r="O300" s="283"/>
      <c r="P300" s="283"/>
      <c r="Q300" s="278"/>
      <c r="R300" s="278"/>
      <c r="S300" s="278"/>
      <c r="T300" s="278"/>
      <c r="U300" s="278"/>
      <c r="V300" s="278"/>
      <c r="W300" s="278"/>
      <c r="X300" s="278"/>
      <c r="Y300" s="278"/>
      <c r="Z300" s="278"/>
      <c r="AA300" s="278"/>
      <c r="AB300" s="278"/>
      <c r="AC300" s="278"/>
    </row>
    <row r="301" ht="15.75" customHeight="1">
      <c r="A301" s="290" t="str">
        <f>IFERROR(__xludf.DUMMYFUNCTION("""COMPUTED_VALUE"""),"グループ・ゼロ")</f>
        <v>グループ・ゼロ</v>
      </c>
      <c r="B301" s="291">
        <f>IFERROR(__xludf.DUMMYFUNCTION("""COMPUTED_VALUE"""),45618.0)</f>
        <v>45618</v>
      </c>
      <c r="C301" s="292"/>
      <c r="D301" s="293">
        <f>IFERROR(__xludf.DUMMYFUNCTION("""COMPUTED_VALUE"""),53881.0)</f>
        <v>53881</v>
      </c>
      <c r="E301" s="290" t="str">
        <f>IFERROR(__xludf.DUMMYFUNCTION("""COMPUTED_VALUE"""),"ピンクの天使A")</f>
        <v>ピンクの天使A</v>
      </c>
      <c r="F301" s="298" t="str">
        <f>IFERROR(__xludf.DUMMYFUNCTION("""COMPUTED_VALUE"""),"北野健一")</f>
        <v>北野健一</v>
      </c>
      <c r="G301" s="298" t="str">
        <f>IFERROR(__xludf.DUMMYFUNCTION("""COMPUTED_VALUE"""),"オトナコミック")</f>
        <v>オトナコミック</v>
      </c>
      <c r="H301" s="298" t="str">
        <f>IFERROR(__xludf.DUMMYFUNCTION("""COMPUTED_VALUE"""),"2024/11/25～）クレジットカードでの購入のみ停止")</f>
        <v>2024/11/25～）クレジットカードでの購入のみ停止</v>
      </c>
      <c r="I301" s="283"/>
      <c r="J301" s="283"/>
      <c r="K301" s="283"/>
      <c r="L301" s="283"/>
      <c r="M301" s="283"/>
      <c r="N301" s="283"/>
      <c r="O301" s="283"/>
      <c r="P301" s="283"/>
      <c r="Q301" s="278"/>
      <c r="R301" s="278"/>
      <c r="S301" s="278"/>
      <c r="T301" s="278"/>
      <c r="U301" s="278"/>
      <c r="V301" s="278"/>
      <c r="W301" s="278"/>
      <c r="X301" s="278"/>
      <c r="Y301" s="278"/>
      <c r="Z301" s="278"/>
      <c r="AA301" s="278"/>
      <c r="AB301" s="278"/>
      <c r="AC301" s="278"/>
    </row>
    <row r="302" ht="15.75" customHeight="1">
      <c r="A302" s="290" t="str">
        <f>IFERROR(__xludf.DUMMYFUNCTION("""COMPUTED_VALUE"""),"グループ・ゼロ")</f>
        <v>グループ・ゼロ</v>
      </c>
      <c r="B302" s="291">
        <f>IFERROR(__xludf.DUMMYFUNCTION("""COMPUTED_VALUE"""),45618.0)</f>
        <v>45618</v>
      </c>
      <c r="C302" s="292"/>
      <c r="D302" s="293">
        <f>IFERROR(__xludf.DUMMYFUNCTION("""COMPUTED_VALUE"""),53911.0)</f>
        <v>53911</v>
      </c>
      <c r="E302" s="290" t="str">
        <f>IFERROR(__xludf.DUMMYFUNCTION("""COMPUTED_VALUE"""),"母子姦淫 (高解像度)(フルカラー)")</f>
        <v>母子姦淫 (高解像度)(フルカラー)</v>
      </c>
      <c r="F302" s="298" t="str">
        <f>IFERROR(__xludf.DUMMYFUNCTION("""COMPUTED_VALUE"""),"KIKI")</f>
        <v>KIKI</v>
      </c>
      <c r="G302" s="298" t="str">
        <f>IFERROR(__xludf.DUMMYFUNCTION("""COMPUTED_VALUE"""),"オトナコミック")</f>
        <v>オトナコミック</v>
      </c>
      <c r="H302" s="298" t="str">
        <f>IFERROR(__xludf.DUMMYFUNCTION("""COMPUTED_VALUE"""),"2024/11/25～）クレジットカードでの購入のみ停止")</f>
        <v>2024/11/25～）クレジットカードでの購入のみ停止</v>
      </c>
      <c r="I302" s="283"/>
      <c r="J302" s="283"/>
      <c r="K302" s="283"/>
      <c r="L302" s="283"/>
      <c r="M302" s="283"/>
      <c r="N302" s="283"/>
      <c r="O302" s="283"/>
      <c r="P302" s="283"/>
      <c r="Q302" s="278"/>
      <c r="R302" s="278"/>
      <c r="S302" s="278"/>
      <c r="T302" s="278"/>
      <c r="U302" s="278"/>
      <c r="V302" s="278"/>
      <c r="W302" s="278"/>
      <c r="X302" s="278"/>
      <c r="Y302" s="278"/>
      <c r="Z302" s="278"/>
      <c r="AA302" s="278"/>
      <c r="AB302" s="278"/>
      <c r="AC302" s="278"/>
    </row>
    <row r="303" ht="15.75" customHeight="1">
      <c r="A303" s="290" t="str">
        <f>IFERROR(__xludf.DUMMYFUNCTION("""COMPUTED_VALUE"""),"グループ・ゼロ")</f>
        <v>グループ・ゼロ</v>
      </c>
      <c r="B303" s="291">
        <f>IFERROR(__xludf.DUMMYFUNCTION("""COMPUTED_VALUE"""),45618.0)</f>
        <v>45618</v>
      </c>
      <c r="C303" s="292"/>
      <c r="D303" s="293">
        <f>IFERROR(__xludf.DUMMYFUNCTION("""COMPUTED_VALUE"""),54006.0)</f>
        <v>54006</v>
      </c>
      <c r="E303" s="290" t="str">
        <f>IFERROR(__xludf.DUMMYFUNCTION("""COMPUTED_VALUE"""),"誘惑(高解像度)")</f>
        <v>誘惑(高解像度)</v>
      </c>
      <c r="F303" s="298" t="str">
        <f>IFERROR(__xludf.DUMMYFUNCTION("""COMPUTED_VALUE"""),"夢猫")</f>
        <v>夢猫</v>
      </c>
      <c r="G303" s="298" t="str">
        <f>IFERROR(__xludf.DUMMYFUNCTION("""COMPUTED_VALUE"""),"オトナコミック")</f>
        <v>オトナコミック</v>
      </c>
      <c r="H303" s="298" t="str">
        <f>IFERROR(__xludf.DUMMYFUNCTION("""COMPUTED_VALUE"""),"2024/11/25～）クレジットカードでの購入のみ停止")</f>
        <v>2024/11/25～）クレジットカードでの購入のみ停止</v>
      </c>
      <c r="I303" s="283"/>
      <c r="J303" s="283"/>
      <c r="K303" s="283"/>
      <c r="L303" s="283"/>
      <c r="M303" s="283"/>
      <c r="N303" s="283"/>
      <c r="O303" s="283"/>
      <c r="P303" s="283"/>
      <c r="Q303" s="278"/>
      <c r="R303" s="278"/>
      <c r="S303" s="278"/>
      <c r="T303" s="278"/>
      <c r="U303" s="278"/>
      <c r="V303" s="278"/>
      <c r="W303" s="278"/>
      <c r="X303" s="278"/>
      <c r="Y303" s="278"/>
      <c r="Z303" s="278"/>
      <c r="AA303" s="278"/>
      <c r="AB303" s="278"/>
      <c r="AC303" s="278"/>
    </row>
    <row r="304" ht="15.75" customHeight="1">
      <c r="A304" s="290" t="str">
        <f>IFERROR(__xludf.DUMMYFUNCTION("""COMPUTED_VALUE"""),"グループ・ゼロ")</f>
        <v>グループ・ゼロ</v>
      </c>
      <c r="B304" s="291">
        <f>IFERROR(__xludf.DUMMYFUNCTION("""COMPUTED_VALUE"""),45618.0)</f>
        <v>45618</v>
      </c>
      <c r="C304" s="292"/>
      <c r="D304" s="293">
        <f>IFERROR(__xludf.DUMMYFUNCTION("""COMPUTED_VALUE"""),54028.0)</f>
        <v>54028</v>
      </c>
      <c r="E304" s="290" t="str">
        <f>IFERROR(__xludf.DUMMYFUNCTION("""COMPUTED_VALUE"""),"爛熟美人")</f>
        <v>爛熟美人</v>
      </c>
      <c r="F304" s="298" t="str">
        <f>IFERROR(__xludf.DUMMYFUNCTION("""COMPUTED_VALUE"""),"ケン月影")</f>
        <v>ケン月影</v>
      </c>
      <c r="G304" s="298" t="str">
        <f>IFERROR(__xludf.DUMMYFUNCTION("""COMPUTED_VALUE"""),"オトナコミック")</f>
        <v>オトナコミック</v>
      </c>
      <c r="H304" s="298" t="str">
        <f>IFERROR(__xludf.DUMMYFUNCTION("""COMPUTED_VALUE"""),"2024/11/25～）クレジットカードでの購入のみ停止")</f>
        <v>2024/11/25～）クレジットカードでの購入のみ停止</v>
      </c>
      <c r="I304" s="283"/>
      <c r="J304" s="283"/>
      <c r="K304" s="283"/>
      <c r="L304" s="283"/>
      <c r="M304" s="283"/>
      <c r="N304" s="283"/>
      <c r="O304" s="283"/>
      <c r="P304" s="283"/>
      <c r="Q304" s="278"/>
      <c r="R304" s="278"/>
      <c r="S304" s="278"/>
      <c r="T304" s="278"/>
      <c r="U304" s="278"/>
      <c r="V304" s="278"/>
      <c r="W304" s="278"/>
      <c r="X304" s="278"/>
      <c r="Y304" s="278"/>
      <c r="Z304" s="278"/>
      <c r="AA304" s="278"/>
      <c r="AB304" s="278"/>
      <c r="AC304" s="278"/>
    </row>
    <row r="305" ht="15.75" customHeight="1">
      <c r="A305" s="290" t="str">
        <f>IFERROR(__xludf.DUMMYFUNCTION("""COMPUTED_VALUE"""),"グループ・ゼロ")</f>
        <v>グループ・ゼロ</v>
      </c>
      <c r="B305" s="291">
        <f>IFERROR(__xludf.DUMMYFUNCTION("""COMPUTED_VALUE"""),45618.0)</f>
        <v>45618</v>
      </c>
      <c r="C305" s="292"/>
      <c r="D305" s="293">
        <f>IFERROR(__xludf.DUMMYFUNCTION("""COMPUTED_VALUE"""),54036.0)</f>
        <v>54036</v>
      </c>
      <c r="E305" s="290" t="str">
        <f>IFERROR(__xludf.DUMMYFUNCTION("""COMPUTED_VALUE"""),"猟色凌辱 (高解像度)")</f>
        <v>猟色凌辱 (高解像度)</v>
      </c>
      <c r="F305" s="298" t="str">
        <f>IFERROR(__xludf.DUMMYFUNCTION("""COMPUTED_VALUE"""),"SHIZUKA")</f>
        <v>SHIZUKA</v>
      </c>
      <c r="G305" s="298" t="str">
        <f>IFERROR(__xludf.DUMMYFUNCTION("""COMPUTED_VALUE"""),"オトナコミック")</f>
        <v>オトナコミック</v>
      </c>
      <c r="H305" s="298" t="str">
        <f>IFERROR(__xludf.DUMMYFUNCTION("""COMPUTED_VALUE"""),"2024/11/25～）クレジットカードでの購入のみ停止")</f>
        <v>2024/11/25～）クレジットカードでの購入のみ停止</v>
      </c>
      <c r="I305" s="283"/>
      <c r="J305" s="283"/>
      <c r="K305" s="283"/>
      <c r="L305" s="283"/>
      <c r="M305" s="283"/>
      <c r="N305" s="283"/>
      <c r="O305" s="283"/>
      <c r="P305" s="283"/>
      <c r="Q305" s="278"/>
      <c r="R305" s="278"/>
      <c r="S305" s="278"/>
      <c r="T305" s="278"/>
      <c r="U305" s="278"/>
      <c r="V305" s="278"/>
      <c r="W305" s="278"/>
      <c r="X305" s="278"/>
      <c r="Y305" s="278"/>
      <c r="Z305" s="278"/>
      <c r="AA305" s="278"/>
      <c r="AB305" s="278"/>
      <c r="AC305" s="278"/>
    </row>
    <row r="306" ht="15.75" customHeight="1">
      <c r="A306" s="290" t="str">
        <f>IFERROR(__xludf.DUMMYFUNCTION("""COMPUTED_VALUE"""),"グループ・ゼロ")</f>
        <v>グループ・ゼロ</v>
      </c>
      <c r="B306" s="291">
        <f>IFERROR(__xludf.DUMMYFUNCTION("""COMPUTED_VALUE"""),45618.0)</f>
        <v>45618</v>
      </c>
      <c r="C306" s="292"/>
      <c r="D306" s="293">
        <f>IFERROR(__xludf.DUMMYFUNCTION("""COMPUTED_VALUE"""),54052.0)</f>
        <v>54052</v>
      </c>
      <c r="E306" s="290" t="str">
        <f>IFERROR(__xludf.DUMMYFUNCTION("""COMPUTED_VALUE"""),"レイプの姦詰")</f>
        <v>レイプの姦詰</v>
      </c>
      <c r="F306" s="298" t="str">
        <f>IFERROR(__xludf.DUMMYFUNCTION("""COMPUTED_VALUE"""),"海原港")</f>
        <v>海原港</v>
      </c>
      <c r="G306" s="298" t="str">
        <f>IFERROR(__xludf.DUMMYFUNCTION("""COMPUTED_VALUE"""),"オトナコミック")</f>
        <v>オトナコミック</v>
      </c>
      <c r="H306" s="298" t="str">
        <f>IFERROR(__xludf.DUMMYFUNCTION("""COMPUTED_VALUE"""),"2024/11/25～）クレジットカードでの購入のみ停止")</f>
        <v>2024/11/25～）クレジットカードでの購入のみ停止</v>
      </c>
      <c r="I306" s="283"/>
      <c r="J306" s="283"/>
      <c r="K306" s="283"/>
      <c r="L306" s="283"/>
      <c r="M306" s="283"/>
      <c r="N306" s="283"/>
      <c r="O306" s="283"/>
      <c r="P306" s="283"/>
      <c r="Q306" s="278"/>
      <c r="R306" s="278"/>
      <c r="S306" s="278"/>
      <c r="T306" s="278"/>
      <c r="U306" s="278"/>
      <c r="V306" s="278"/>
      <c r="W306" s="278"/>
      <c r="X306" s="278"/>
      <c r="Y306" s="278"/>
      <c r="Z306" s="278"/>
      <c r="AA306" s="278"/>
      <c r="AB306" s="278"/>
      <c r="AC306" s="278"/>
    </row>
    <row r="307" ht="15.75" customHeight="1">
      <c r="A307" s="290" t="str">
        <f>IFERROR(__xludf.DUMMYFUNCTION("""COMPUTED_VALUE"""),"グループ・ゼロ")</f>
        <v>グループ・ゼロ</v>
      </c>
      <c r="B307" s="291">
        <f>IFERROR(__xludf.DUMMYFUNCTION("""COMPUTED_VALUE"""),45618.0)</f>
        <v>45618</v>
      </c>
      <c r="C307" s="292"/>
      <c r="D307" s="293">
        <f>IFERROR(__xludf.DUMMYFUNCTION("""COMPUTED_VALUE"""),54054.0)</f>
        <v>54054</v>
      </c>
      <c r="E307" s="290" t="str">
        <f>IFERROR(__xludf.DUMMYFUNCTION("""COMPUTED_VALUE"""),"恋愛依存症")</f>
        <v>恋愛依存症</v>
      </c>
      <c r="F307" s="298" t="str">
        <f>IFERROR(__xludf.DUMMYFUNCTION("""COMPUTED_VALUE"""),"いとうえい")</f>
        <v>いとうえい</v>
      </c>
      <c r="G307" s="298" t="str">
        <f>IFERROR(__xludf.DUMMYFUNCTION("""COMPUTED_VALUE"""),"オトナコミック")</f>
        <v>オトナコミック</v>
      </c>
      <c r="H307" s="298" t="str">
        <f>IFERROR(__xludf.DUMMYFUNCTION("""COMPUTED_VALUE"""),"2024/11/25～）クレジットカードでの購入のみ停止")</f>
        <v>2024/11/25～）クレジットカードでの購入のみ停止</v>
      </c>
      <c r="I307" s="283"/>
      <c r="J307" s="283"/>
      <c r="K307" s="283"/>
      <c r="L307" s="283"/>
      <c r="M307" s="283"/>
      <c r="N307" s="283"/>
      <c r="O307" s="283"/>
      <c r="P307" s="283"/>
      <c r="Q307" s="278"/>
      <c r="R307" s="278"/>
      <c r="S307" s="278"/>
      <c r="T307" s="278"/>
      <c r="U307" s="278"/>
      <c r="V307" s="278"/>
      <c r="W307" s="278"/>
      <c r="X307" s="278"/>
      <c r="Y307" s="278"/>
      <c r="Z307" s="278"/>
      <c r="AA307" s="278"/>
      <c r="AB307" s="278"/>
      <c r="AC307" s="278"/>
    </row>
    <row r="308" ht="15.75" customHeight="1">
      <c r="A308" s="290" t="str">
        <f>IFERROR(__xludf.DUMMYFUNCTION("""COMPUTED_VALUE"""),"グループ・ゼロ")</f>
        <v>グループ・ゼロ</v>
      </c>
      <c r="B308" s="291">
        <f>IFERROR(__xludf.DUMMYFUNCTION("""COMPUTED_VALUE"""),45618.0)</f>
        <v>45618</v>
      </c>
      <c r="C308" s="292"/>
      <c r="D308" s="293">
        <f>IFERROR(__xludf.DUMMYFUNCTION("""COMPUTED_VALUE"""),54079.0)</f>
        <v>54079</v>
      </c>
      <c r="E308" s="290" t="str">
        <f>IFERROR(__xludf.DUMMYFUNCTION("""COMPUTED_VALUE"""),"強姦映画館")</f>
        <v>強姦映画館</v>
      </c>
      <c r="F308" s="298" t="str">
        <f>IFERROR(__xludf.DUMMYFUNCTION("""COMPUTED_VALUE"""),"尾山泰永")</f>
        <v>尾山泰永</v>
      </c>
      <c r="G308" s="298" t="str">
        <f>IFERROR(__xludf.DUMMYFUNCTION("""COMPUTED_VALUE"""),"オトナコミック")</f>
        <v>オトナコミック</v>
      </c>
      <c r="H308" s="298" t="str">
        <f>IFERROR(__xludf.DUMMYFUNCTION("""COMPUTED_VALUE"""),"2024/11/25～）クレジットカードでの購入のみ停止")</f>
        <v>2024/11/25～）クレジットカードでの購入のみ停止</v>
      </c>
      <c r="I308" s="283"/>
      <c r="J308" s="283"/>
      <c r="K308" s="283"/>
      <c r="L308" s="283"/>
      <c r="M308" s="283"/>
      <c r="N308" s="283"/>
      <c r="O308" s="283"/>
      <c r="P308" s="283"/>
      <c r="Q308" s="278"/>
      <c r="R308" s="278"/>
      <c r="S308" s="278"/>
      <c r="T308" s="278"/>
      <c r="U308" s="278"/>
      <c r="V308" s="278"/>
      <c r="W308" s="278"/>
      <c r="X308" s="278"/>
      <c r="Y308" s="278"/>
      <c r="Z308" s="278"/>
      <c r="AA308" s="278"/>
      <c r="AB308" s="278"/>
      <c r="AC308" s="278"/>
    </row>
    <row r="309" ht="15.75" customHeight="1">
      <c r="A309" s="290" t="str">
        <f>IFERROR(__xludf.DUMMYFUNCTION("""COMPUTED_VALUE"""),"グループ・ゼロ")</f>
        <v>グループ・ゼロ</v>
      </c>
      <c r="B309" s="291">
        <f>IFERROR(__xludf.DUMMYFUNCTION("""COMPUTED_VALUE"""),45618.0)</f>
        <v>45618</v>
      </c>
      <c r="C309" s="292"/>
      <c r="D309" s="293">
        <f>IFERROR(__xludf.DUMMYFUNCTION("""COMPUTED_VALUE"""),78011.0)</f>
        <v>78011</v>
      </c>
      <c r="E309" s="290" t="str">
        <f>IFERROR(__xludf.DUMMYFUNCTION("""COMPUTED_VALUE"""),"かわいい悪魔 (高解像度)")</f>
        <v>かわいい悪魔 (高解像度)</v>
      </c>
      <c r="F309" s="298" t="str">
        <f>IFERROR(__xludf.DUMMYFUNCTION("""COMPUTED_VALUE"""),"ひんでんブルグ")</f>
        <v>ひんでんブルグ</v>
      </c>
      <c r="G309" s="298" t="str">
        <f>IFERROR(__xludf.DUMMYFUNCTION("""COMPUTED_VALUE"""),"オトナコミック")</f>
        <v>オトナコミック</v>
      </c>
      <c r="H309" s="298" t="str">
        <f>IFERROR(__xludf.DUMMYFUNCTION("""COMPUTED_VALUE"""),"2024/11/25～）クレジットカードでの購入のみ停止")</f>
        <v>2024/11/25～）クレジットカードでの購入のみ停止</v>
      </c>
      <c r="I309" s="283"/>
      <c r="J309" s="283"/>
      <c r="K309" s="283"/>
      <c r="L309" s="283"/>
      <c r="M309" s="283"/>
      <c r="N309" s="283"/>
      <c r="O309" s="283"/>
      <c r="P309" s="283"/>
      <c r="Q309" s="278"/>
      <c r="R309" s="278"/>
      <c r="S309" s="278"/>
      <c r="T309" s="278"/>
      <c r="U309" s="278"/>
      <c r="V309" s="278"/>
      <c r="W309" s="278"/>
      <c r="X309" s="278"/>
      <c r="Y309" s="278"/>
      <c r="Z309" s="278"/>
      <c r="AA309" s="278"/>
      <c r="AB309" s="278"/>
      <c r="AC309" s="278"/>
    </row>
    <row r="310" ht="15.75" customHeight="1">
      <c r="A310" s="290" t="str">
        <f>IFERROR(__xludf.DUMMYFUNCTION("""COMPUTED_VALUE"""),"グループ・ゼロ")</f>
        <v>グループ・ゼロ</v>
      </c>
      <c r="B310" s="291">
        <f>IFERROR(__xludf.DUMMYFUNCTION("""COMPUTED_VALUE"""),45618.0)</f>
        <v>45618</v>
      </c>
      <c r="C310" s="292"/>
      <c r="D310" s="293">
        <f>IFERROR(__xludf.DUMMYFUNCTION("""COMPUTED_VALUE"""),78019.0)</f>
        <v>78019</v>
      </c>
      <c r="E310" s="290" t="str">
        <f>IFERROR(__xludf.DUMMYFUNCTION("""COMPUTED_VALUE"""),"総攻撃TAC(1) 妖淫学園 (高解像度)")</f>
        <v>総攻撃TAC(1) 妖淫学園 (高解像度)</v>
      </c>
      <c r="F310" s="298" t="str">
        <f>IFERROR(__xludf.DUMMYFUNCTION("""COMPUTED_VALUE"""),"ひんでんブルグ")</f>
        <v>ひんでんブルグ</v>
      </c>
      <c r="G310" s="298" t="str">
        <f>IFERROR(__xludf.DUMMYFUNCTION("""COMPUTED_VALUE"""),"オトナコミック")</f>
        <v>オトナコミック</v>
      </c>
      <c r="H310" s="298" t="str">
        <f>IFERROR(__xludf.DUMMYFUNCTION("""COMPUTED_VALUE"""),"2024/11/25～）クレジットカードでの購入のみ停止")</f>
        <v>2024/11/25～）クレジットカードでの購入のみ停止</v>
      </c>
      <c r="I310" s="283"/>
      <c r="J310" s="283"/>
      <c r="K310" s="283"/>
      <c r="L310" s="283"/>
      <c r="M310" s="283"/>
      <c r="N310" s="283"/>
      <c r="O310" s="283"/>
      <c r="P310" s="283"/>
      <c r="Q310" s="278"/>
      <c r="R310" s="278"/>
      <c r="S310" s="278"/>
      <c r="T310" s="278"/>
      <c r="U310" s="278"/>
      <c r="V310" s="278"/>
      <c r="W310" s="278"/>
      <c r="X310" s="278"/>
      <c r="Y310" s="278"/>
      <c r="Z310" s="278"/>
      <c r="AA310" s="278"/>
      <c r="AB310" s="278"/>
      <c r="AC310" s="278"/>
    </row>
    <row r="311" ht="15.75" customHeight="1">
      <c r="A311" s="290" t="str">
        <f>IFERROR(__xludf.DUMMYFUNCTION("""COMPUTED_VALUE"""),"グループ・ゼロ")</f>
        <v>グループ・ゼロ</v>
      </c>
      <c r="B311" s="291">
        <f>IFERROR(__xludf.DUMMYFUNCTION("""COMPUTED_VALUE"""),45618.0)</f>
        <v>45618</v>
      </c>
      <c r="C311" s="292"/>
      <c r="D311" s="293">
        <f>IFERROR(__xludf.DUMMYFUNCTION("""COMPUTED_VALUE"""),78310.0)</f>
        <v>78310</v>
      </c>
      <c r="E311" s="290" t="str">
        <f>IFERROR(__xludf.DUMMYFUNCTION("""COMPUTED_VALUE"""),"恥辱まみれ (高解像度)")</f>
        <v>恥辱まみれ (高解像度)</v>
      </c>
      <c r="F311" s="298" t="str">
        <f>IFERROR(__xludf.DUMMYFUNCTION("""COMPUTED_VALUE"""),"KIKI")</f>
        <v>KIKI</v>
      </c>
      <c r="G311" s="298" t="str">
        <f>IFERROR(__xludf.DUMMYFUNCTION("""COMPUTED_VALUE"""),"オトナコミック")</f>
        <v>オトナコミック</v>
      </c>
      <c r="H311" s="298" t="str">
        <f>IFERROR(__xludf.DUMMYFUNCTION("""COMPUTED_VALUE"""),"2024/11/25～）クレジットカードでの購入のみ停止")</f>
        <v>2024/11/25～）クレジットカードでの購入のみ停止</v>
      </c>
      <c r="I311" s="283"/>
      <c r="J311" s="283"/>
      <c r="K311" s="283"/>
      <c r="L311" s="283"/>
      <c r="M311" s="283"/>
      <c r="N311" s="283"/>
      <c r="O311" s="283"/>
      <c r="P311" s="283"/>
      <c r="Q311" s="278"/>
      <c r="R311" s="278"/>
      <c r="S311" s="278"/>
      <c r="T311" s="278"/>
      <c r="U311" s="278"/>
      <c r="V311" s="278"/>
      <c r="W311" s="278"/>
      <c r="X311" s="278"/>
      <c r="Y311" s="278"/>
      <c r="Z311" s="278"/>
      <c r="AA311" s="278"/>
      <c r="AB311" s="278"/>
      <c r="AC311" s="278"/>
    </row>
    <row r="312" ht="15.75" customHeight="1">
      <c r="A312" s="290" t="str">
        <f>IFERROR(__xludf.DUMMYFUNCTION("""COMPUTED_VALUE"""),"グループ・ゼロ")</f>
        <v>グループ・ゼロ</v>
      </c>
      <c r="B312" s="291">
        <f>IFERROR(__xludf.DUMMYFUNCTION("""COMPUTED_VALUE"""),45618.0)</f>
        <v>45618</v>
      </c>
      <c r="C312" s="292"/>
      <c r="D312" s="293">
        <f>IFERROR(__xludf.DUMMYFUNCTION("""COMPUTED_VALUE"""),78576.0)</f>
        <v>78576</v>
      </c>
      <c r="E312" s="290" t="str">
        <f>IFERROR(__xludf.DUMMYFUNCTION("""COMPUTED_VALUE"""),"痴漢遊戯(高解像度)（フルカラー）")</f>
        <v>痴漢遊戯(高解像度)（フルカラー）</v>
      </c>
      <c r="F312" s="298" t="str">
        <f>IFERROR(__xludf.DUMMYFUNCTION("""COMPUTED_VALUE"""),"てっちゃん")</f>
        <v>てっちゃん</v>
      </c>
      <c r="G312" s="298" t="str">
        <f>IFERROR(__xludf.DUMMYFUNCTION("""COMPUTED_VALUE"""),"オトナコミック")</f>
        <v>オトナコミック</v>
      </c>
      <c r="H312" s="298" t="str">
        <f>IFERROR(__xludf.DUMMYFUNCTION("""COMPUTED_VALUE"""),"2024/11/25～）クレジットカードでの購入のみ停止")</f>
        <v>2024/11/25～）クレジットカードでの購入のみ停止</v>
      </c>
      <c r="I312" s="283"/>
      <c r="J312" s="283"/>
      <c r="K312" s="283"/>
      <c r="L312" s="283"/>
      <c r="M312" s="283"/>
      <c r="N312" s="283"/>
      <c r="O312" s="283"/>
      <c r="P312" s="283"/>
      <c r="Q312" s="278"/>
      <c r="R312" s="278"/>
      <c r="S312" s="278"/>
      <c r="T312" s="278"/>
      <c r="U312" s="278"/>
      <c r="V312" s="278"/>
      <c r="W312" s="278"/>
      <c r="X312" s="278"/>
      <c r="Y312" s="278"/>
      <c r="Z312" s="278"/>
      <c r="AA312" s="278"/>
      <c r="AB312" s="278"/>
      <c r="AC312" s="278"/>
    </row>
    <row r="313" ht="15.75" customHeight="1">
      <c r="A313" s="290" t="str">
        <f>IFERROR(__xludf.DUMMYFUNCTION("""COMPUTED_VALUE"""),"グループ・ゼロ")</f>
        <v>グループ・ゼロ</v>
      </c>
      <c r="B313" s="291">
        <f>IFERROR(__xludf.DUMMYFUNCTION("""COMPUTED_VALUE"""),45618.0)</f>
        <v>45618</v>
      </c>
      <c r="C313" s="292"/>
      <c r="D313" s="293">
        <f>IFERROR(__xludf.DUMMYFUNCTION("""COMPUTED_VALUE"""),110263.0)</f>
        <v>110263</v>
      </c>
      <c r="E313" s="290" t="str">
        <f>IFERROR(__xludf.DUMMYFUNCTION("""COMPUTED_VALUE"""),"淫乳100％ -白濁陵辱系-")</f>
        <v>淫乳100％ -白濁陵辱系-</v>
      </c>
      <c r="F313" s="298" t="str">
        <f>IFERROR(__xludf.DUMMYFUNCTION("""COMPUTED_VALUE"""),"松川郁")</f>
        <v>松川郁</v>
      </c>
      <c r="G313" s="298" t="str">
        <f>IFERROR(__xludf.DUMMYFUNCTION("""COMPUTED_VALUE"""),"オトナコミック")</f>
        <v>オトナコミック</v>
      </c>
      <c r="H313" s="298" t="str">
        <f>IFERROR(__xludf.DUMMYFUNCTION("""COMPUTED_VALUE"""),"2024/11/25～）クレジットカードでの購入のみ停止")</f>
        <v>2024/11/25～）クレジットカードでの購入のみ停止</v>
      </c>
      <c r="I313" s="283"/>
      <c r="J313" s="283"/>
      <c r="K313" s="283"/>
      <c r="L313" s="283"/>
      <c r="M313" s="283"/>
      <c r="N313" s="283"/>
      <c r="O313" s="283"/>
      <c r="P313" s="283"/>
      <c r="Q313" s="278"/>
      <c r="R313" s="278"/>
      <c r="S313" s="278"/>
      <c r="T313" s="278"/>
      <c r="U313" s="278"/>
      <c r="V313" s="278"/>
      <c r="W313" s="278"/>
      <c r="X313" s="278"/>
      <c r="Y313" s="278"/>
      <c r="Z313" s="278"/>
      <c r="AA313" s="278"/>
      <c r="AB313" s="278"/>
      <c r="AC313" s="278"/>
    </row>
    <row r="314" ht="15.75" customHeight="1">
      <c r="A314" s="290" t="str">
        <f>IFERROR(__xludf.DUMMYFUNCTION("""COMPUTED_VALUE"""),"グループ・ゼロ")</f>
        <v>グループ・ゼロ</v>
      </c>
      <c r="B314" s="291">
        <f>IFERROR(__xludf.DUMMYFUNCTION("""COMPUTED_VALUE"""),45618.0)</f>
        <v>45618</v>
      </c>
      <c r="C314" s="292"/>
      <c r="D314" s="293">
        <f>IFERROR(__xludf.DUMMYFUNCTION("""COMPUTED_VALUE"""),111482.0)</f>
        <v>111482</v>
      </c>
      <c r="E314" s="290" t="str">
        <f>IFERROR(__xludf.DUMMYFUNCTION("""COMPUTED_VALUE"""),"恋に濡れて")</f>
        <v>恋に濡れて</v>
      </c>
      <c r="F314" s="298" t="str">
        <f>IFERROR(__xludf.DUMMYFUNCTION("""COMPUTED_VALUE"""),"沢田竜治")</f>
        <v>沢田竜治</v>
      </c>
      <c r="G314" s="298" t="str">
        <f>IFERROR(__xludf.DUMMYFUNCTION("""COMPUTED_VALUE"""),"オトナコミック")</f>
        <v>オトナコミック</v>
      </c>
      <c r="H314" s="298" t="str">
        <f>IFERROR(__xludf.DUMMYFUNCTION("""COMPUTED_VALUE"""),"2024/11/25～）クレジットカードでの購入のみ停止")</f>
        <v>2024/11/25～）クレジットカードでの購入のみ停止</v>
      </c>
      <c r="I314" s="283"/>
      <c r="J314" s="283"/>
      <c r="K314" s="283"/>
      <c r="L314" s="283"/>
      <c r="M314" s="283"/>
      <c r="N314" s="283"/>
      <c r="O314" s="283"/>
      <c r="P314" s="283"/>
      <c r="Q314" s="278"/>
      <c r="R314" s="278"/>
      <c r="S314" s="278"/>
      <c r="T314" s="278"/>
      <c r="U314" s="278"/>
      <c r="V314" s="278"/>
      <c r="W314" s="278"/>
      <c r="X314" s="278"/>
      <c r="Y314" s="278"/>
      <c r="Z314" s="278"/>
      <c r="AA314" s="278"/>
      <c r="AB314" s="278"/>
      <c r="AC314" s="278"/>
    </row>
    <row r="315" ht="15.75" customHeight="1">
      <c r="A315" s="290" t="str">
        <f>IFERROR(__xludf.DUMMYFUNCTION("""COMPUTED_VALUE"""),"グループ・ゼロ")</f>
        <v>グループ・ゼロ</v>
      </c>
      <c r="B315" s="291">
        <f>IFERROR(__xludf.DUMMYFUNCTION("""COMPUTED_VALUE"""),45618.0)</f>
        <v>45618</v>
      </c>
      <c r="C315" s="292"/>
      <c r="D315" s="293">
        <f>IFERROR(__xludf.DUMMYFUNCTION("""COMPUTED_VALUE"""),187100.0)</f>
        <v>187100</v>
      </c>
      <c r="E315" s="290" t="str">
        <f>IFERROR(__xludf.DUMMYFUNCTION("""COMPUTED_VALUE"""),"女教師怜子の凌辱地獄")</f>
        <v>女教師怜子の凌辱地獄</v>
      </c>
      <c r="F315" s="298" t="str">
        <f>IFERROR(__xludf.DUMMYFUNCTION("""COMPUTED_VALUE"""),"角雨和八")</f>
        <v>角雨和八</v>
      </c>
      <c r="G315" s="298" t="str">
        <f>IFERROR(__xludf.DUMMYFUNCTION("""COMPUTED_VALUE"""),"オトナコミック")</f>
        <v>オトナコミック</v>
      </c>
      <c r="H315" s="298" t="str">
        <f>IFERROR(__xludf.DUMMYFUNCTION("""COMPUTED_VALUE"""),"2024/11/25～）クレジットカードでの購入のみ停止")</f>
        <v>2024/11/25～）クレジットカードでの購入のみ停止</v>
      </c>
      <c r="I315" s="283"/>
      <c r="J315" s="283"/>
      <c r="K315" s="283"/>
      <c r="L315" s="283"/>
      <c r="M315" s="283"/>
      <c r="N315" s="283"/>
      <c r="O315" s="283"/>
      <c r="P315" s="283"/>
      <c r="Q315" s="278"/>
      <c r="R315" s="278"/>
      <c r="S315" s="278"/>
      <c r="T315" s="278"/>
      <c r="U315" s="278"/>
      <c r="V315" s="278"/>
      <c r="W315" s="278"/>
      <c r="X315" s="278"/>
      <c r="Y315" s="278"/>
      <c r="Z315" s="278"/>
      <c r="AA315" s="278"/>
      <c r="AB315" s="278"/>
      <c r="AC315" s="278"/>
    </row>
    <row r="316" ht="15.75" customHeight="1">
      <c r="A316" s="290" t="str">
        <f>IFERROR(__xludf.DUMMYFUNCTION("""COMPUTED_VALUE"""),"グループ・ゼロ")</f>
        <v>グループ・ゼロ</v>
      </c>
      <c r="B316" s="291">
        <f>IFERROR(__xludf.DUMMYFUNCTION("""COMPUTED_VALUE"""),45618.0)</f>
        <v>45618</v>
      </c>
      <c r="C316" s="292"/>
      <c r="D316" s="293">
        <f>IFERROR(__xludf.DUMMYFUNCTION("""COMPUTED_VALUE"""),237236.0)</f>
        <v>237236</v>
      </c>
      <c r="E316" s="290" t="str">
        <f>IFERROR(__xludf.DUMMYFUNCTION("""COMPUTED_VALUE"""),"オトナになりたい")</f>
        <v>オトナになりたい</v>
      </c>
      <c r="F316" s="298" t="str">
        <f>IFERROR(__xludf.DUMMYFUNCTION("""COMPUTED_VALUE"""),"ひんでんブルグ")</f>
        <v>ひんでんブルグ</v>
      </c>
      <c r="G316" s="298" t="str">
        <f>IFERROR(__xludf.DUMMYFUNCTION("""COMPUTED_VALUE"""),"オトナコミック")</f>
        <v>オトナコミック</v>
      </c>
      <c r="H316" s="298" t="str">
        <f>IFERROR(__xludf.DUMMYFUNCTION("""COMPUTED_VALUE"""),"2024/11/25～）クレジットカードでの購入のみ停止")</f>
        <v>2024/11/25～）クレジットカードでの購入のみ停止</v>
      </c>
      <c r="I316" s="283"/>
      <c r="J316" s="283"/>
      <c r="K316" s="283"/>
      <c r="L316" s="283"/>
      <c r="M316" s="283"/>
      <c r="N316" s="283"/>
      <c r="O316" s="283"/>
      <c r="P316" s="283"/>
      <c r="Q316" s="278"/>
      <c r="R316" s="278"/>
      <c r="S316" s="278"/>
      <c r="T316" s="278"/>
      <c r="U316" s="278"/>
      <c r="V316" s="278"/>
      <c r="W316" s="278"/>
      <c r="X316" s="278"/>
      <c r="Y316" s="278"/>
      <c r="Z316" s="278"/>
      <c r="AA316" s="278"/>
      <c r="AB316" s="278"/>
      <c r="AC316" s="278"/>
    </row>
    <row r="317" ht="15.75" customHeight="1">
      <c r="A317" s="290" t="str">
        <f>IFERROR(__xludf.DUMMYFUNCTION("""COMPUTED_VALUE"""),"グループ・ゼロ")</f>
        <v>グループ・ゼロ</v>
      </c>
      <c r="B317" s="291">
        <f>IFERROR(__xludf.DUMMYFUNCTION("""COMPUTED_VALUE"""),45618.0)</f>
        <v>45618</v>
      </c>
      <c r="C317" s="292"/>
      <c r="D317" s="293">
        <f>IFERROR(__xludf.DUMMYFUNCTION("""COMPUTED_VALUE"""),241142.0)</f>
        <v>241142</v>
      </c>
      <c r="E317" s="290" t="str">
        <f>IFERROR(__xludf.DUMMYFUNCTION("""COMPUTED_VALUE"""),"大好き美奈子先生!")</f>
        <v>大好き美奈子先生!</v>
      </c>
      <c r="F317" s="298" t="str">
        <f>IFERROR(__xludf.DUMMYFUNCTION("""COMPUTED_VALUE"""),"わたなべわたる")</f>
        <v>わたなべわたる</v>
      </c>
      <c r="G317" s="298" t="str">
        <f>IFERROR(__xludf.DUMMYFUNCTION("""COMPUTED_VALUE"""),"オトナコミック")</f>
        <v>オトナコミック</v>
      </c>
      <c r="H317" s="298" t="str">
        <f>IFERROR(__xludf.DUMMYFUNCTION("""COMPUTED_VALUE"""),"2024/11/25～）クレジットカードでの購入のみ停止")</f>
        <v>2024/11/25～）クレジットカードでの購入のみ停止</v>
      </c>
      <c r="I317" s="283"/>
      <c r="J317" s="283"/>
      <c r="K317" s="283"/>
      <c r="L317" s="283"/>
      <c r="M317" s="283"/>
      <c r="N317" s="283"/>
      <c r="O317" s="283"/>
      <c r="P317" s="283"/>
      <c r="Q317" s="278"/>
      <c r="R317" s="278"/>
      <c r="S317" s="278"/>
      <c r="T317" s="278"/>
      <c r="U317" s="278"/>
      <c r="V317" s="278"/>
      <c r="W317" s="278"/>
      <c r="X317" s="278"/>
      <c r="Y317" s="278"/>
      <c r="Z317" s="278"/>
      <c r="AA317" s="278"/>
      <c r="AB317" s="278"/>
      <c r="AC317" s="278"/>
    </row>
    <row r="318" ht="15.75" customHeight="1">
      <c r="A318" s="290" t="str">
        <f>IFERROR(__xludf.DUMMYFUNCTION("""COMPUTED_VALUE"""),"クロエ出版/大洋図書")</f>
        <v>クロエ出版/大洋図書</v>
      </c>
      <c r="B318" s="291">
        <f>IFERROR(__xludf.DUMMYFUNCTION("""COMPUTED_VALUE"""),45618.0)</f>
        <v>45618</v>
      </c>
      <c r="C318" s="292"/>
      <c r="D318" s="293">
        <f>IFERROR(__xludf.DUMMYFUNCTION("""COMPUTED_VALUE"""),135340.0)</f>
        <v>135340</v>
      </c>
      <c r="E318" s="290" t="str">
        <f>IFERROR(__xludf.DUMMYFUNCTION("""COMPUTED_VALUE"""),"よい娘の捕絶頂（イク）園")</f>
        <v>よい娘の捕絶頂（イク）園</v>
      </c>
      <c r="F318" s="298" t="str">
        <f>IFERROR(__xludf.DUMMYFUNCTION("""COMPUTED_VALUE"""),"ごや")</f>
        <v>ごや</v>
      </c>
      <c r="G318" s="298" t="str">
        <f>IFERROR(__xludf.DUMMYFUNCTION("""COMPUTED_VALUE"""),"オトナコミック")</f>
        <v>オトナコミック</v>
      </c>
      <c r="H318" s="298" t="str">
        <f>IFERROR(__xludf.DUMMYFUNCTION("""COMPUTED_VALUE"""),"2024/11/25～）クレジットカードでの購入のみ停止")</f>
        <v>2024/11/25～）クレジットカードでの購入のみ停止</v>
      </c>
      <c r="I318" s="283"/>
      <c r="J318" s="283"/>
      <c r="K318" s="283"/>
      <c r="L318" s="283"/>
      <c r="M318" s="283"/>
      <c r="N318" s="283"/>
      <c r="O318" s="283"/>
      <c r="P318" s="283"/>
      <c r="Q318" s="278"/>
      <c r="R318" s="278"/>
      <c r="S318" s="278"/>
      <c r="T318" s="278"/>
      <c r="U318" s="278"/>
      <c r="V318" s="278"/>
      <c r="W318" s="278"/>
      <c r="X318" s="278"/>
      <c r="Y318" s="278"/>
      <c r="Z318" s="278"/>
      <c r="AA318" s="278"/>
      <c r="AB318" s="278"/>
      <c r="AC318" s="278"/>
    </row>
    <row r="319" ht="15.75" customHeight="1">
      <c r="A319" s="290" t="str">
        <f>IFERROR(__xludf.DUMMYFUNCTION("""COMPUTED_VALUE"""),"クロエ出版/大洋図書")</f>
        <v>クロエ出版/大洋図書</v>
      </c>
      <c r="B319" s="291">
        <f>IFERROR(__xludf.DUMMYFUNCTION("""COMPUTED_VALUE"""),45618.0)</f>
        <v>45618</v>
      </c>
      <c r="C319" s="292"/>
      <c r="D319" s="293">
        <f>IFERROR(__xludf.DUMMYFUNCTION("""COMPUTED_VALUE"""),177644.0)</f>
        <v>177644</v>
      </c>
      <c r="E319" s="290" t="str">
        <f>IFERROR(__xludf.DUMMYFUNCTION("""COMPUTED_VALUE"""),"卍姦獄～産まれてきてごめんなさい")</f>
        <v>卍姦獄～産まれてきてごめんなさい</v>
      </c>
      <c r="F319" s="298" t="str">
        <f>IFERROR(__xludf.DUMMYFUNCTION("""COMPUTED_VALUE"""),"hal")</f>
        <v>hal</v>
      </c>
      <c r="G319" s="298" t="str">
        <f>IFERROR(__xludf.DUMMYFUNCTION("""COMPUTED_VALUE"""),"オトナコミック")</f>
        <v>オトナコミック</v>
      </c>
      <c r="H319" s="298" t="str">
        <f>IFERROR(__xludf.DUMMYFUNCTION("""COMPUTED_VALUE"""),"2024/11/25～）クレジットカードでの購入のみ停止")</f>
        <v>2024/11/25～）クレジットカードでの購入のみ停止</v>
      </c>
      <c r="I319" s="283"/>
      <c r="J319" s="283"/>
      <c r="K319" s="283"/>
      <c r="L319" s="283"/>
      <c r="M319" s="283"/>
      <c r="N319" s="283"/>
      <c r="O319" s="283"/>
      <c r="P319" s="283"/>
      <c r="Q319" s="278"/>
      <c r="R319" s="278"/>
      <c r="S319" s="278"/>
      <c r="T319" s="278"/>
      <c r="U319" s="278"/>
      <c r="V319" s="278"/>
      <c r="W319" s="278"/>
      <c r="X319" s="278"/>
      <c r="Y319" s="278"/>
      <c r="Z319" s="278"/>
      <c r="AA319" s="278"/>
      <c r="AB319" s="278"/>
      <c r="AC319" s="278"/>
    </row>
    <row r="320" ht="15.75" customHeight="1">
      <c r="A320" s="290" t="str">
        <f>IFERROR(__xludf.DUMMYFUNCTION("""COMPUTED_VALUE"""),"クロエ出版/大洋図書")</f>
        <v>クロエ出版/大洋図書</v>
      </c>
      <c r="B320" s="291">
        <f>IFERROR(__xludf.DUMMYFUNCTION("""COMPUTED_VALUE"""),45618.0)</f>
        <v>45618</v>
      </c>
      <c r="C320" s="292"/>
      <c r="D320" s="293">
        <f>IFERROR(__xludf.DUMMYFUNCTION("""COMPUTED_VALUE"""),207997.0)</f>
        <v>207997</v>
      </c>
      <c r="E320" s="290" t="str">
        <f>IFERROR(__xludf.DUMMYFUNCTION("""COMPUTED_VALUE"""),"牝教師、堕ちる")</f>
        <v>牝教師、堕ちる</v>
      </c>
      <c r="F320" s="298" t="str">
        <f>IFERROR(__xludf.DUMMYFUNCTION("""COMPUTED_VALUE"""),"午夜刀次郎")</f>
        <v>午夜刀次郎</v>
      </c>
      <c r="G320" s="298" t="str">
        <f>IFERROR(__xludf.DUMMYFUNCTION("""COMPUTED_VALUE"""),"オトナコミック")</f>
        <v>オトナコミック</v>
      </c>
      <c r="H320" s="298" t="str">
        <f>IFERROR(__xludf.DUMMYFUNCTION("""COMPUTED_VALUE"""),"2024/11/25～）クレジットカードでの購入のみ停止")</f>
        <v>2024/11/25～）クレジットカードでの購入のみ停止</v>
      </c>
      <c r="I320" s="283"/>
      <c r="J320" s="283"/>
      <c r="K320" s="283"/>
      <c r="L320" s="283"/>
      <c r="M320" s="283"/>
      <c r="N320" s="283"/>
      <c r="O320" s="283"/>
      <c r="P320" s="283"/>
      <c r="Q320" s="278"/>
      <c r="R320" s="278"/>
      <c r="S320" s="278"/>
      <c r="T320" s="278"/>
      <c r="U320" s="278"/>
      <c r="V320" s="278"/>
      <c r="W320" s="278"/>
      <c r="X320" s="278"/>
      <c r="Y320" s="278"/>
      <c r="Z320" s="278"/>
      <c r="AA320" s="278"/>
      <c r="AB320" s="278"/>
      <c r="AC320" s="278"/>
    </row>
    <row r="321" ht="15.75" customHeight="1">
      <c r="A321" s="290" t="str">
        <f>IFERROR(__xludf.DUMMYFUNCTION("""COMPUTED_VALUE"""),"クロエ出版/大洋図書")</f>
        <v>クロエ出版/大洋図書</v>
      </c>
      <c r="B321" s="291">
        <f>IFERROR(__xludf.DUMMYFUNCTION("""COMPUTED_VALUE"""),45618.0)</f>
        <v>45618</v>
      </c>
      <c r="C321" s="292"/>
      <c r="D321" s="293">
        <f>IFERROR(__xludf.DUMMYFUNCTION("""COMPUTED_VALUE"""),218506.0)</f>
        <v>218506</v>
      </c>
      <c r="E321" s="290" t="str">
        <f>IFERROR(__xludf.DUMMYFUNCTION("""COMPUTED_VALUE"""),"多淫性女系一家【電子版特典付き】")</f>
        <v>多淫性女系一家【電子版特典付き】</v>
      </c>
      <c r="F321" s="298" t="str">
        <f>IFERROR(__xludf.DUMMYFUNCTION("""COMPUTED_VALUE"""),"泥っせる")</f>
        <v>泥っせる</v>
      </c>
      <c r="G321" s="298" t="str">
        <f>IFERROR(__xludf.DUMMYFUNCTION("""COMPUTED_VALUE"""),"オトナコミック")</f>
        <v>オトナコミック</v>
      </c>
      <c r="H321" s="298" t="str">
        <f>IFERROR(__xludf.DUMMYFUNCTION("""COMPUTED_VALUE"""),"2024/11/25～）クレジットカードでの購入のみ停止")</f>
        <v>2024/11/25～）クレジットカードでの購入のみ停止</v>
      </c>
      <c r="I321" s="283"/>
      <c r="J321" s="283"/>
      <c r="K321" s="283"/>
      <c r="L321" s="283"/>
      <c r="M321" s="283"/>
      <c r="N321" s="283"/>
      <c r="O321" s="283"/>
      <c r="P321" s="283"/>
      <c r="Q321" s="278"/>
      <c r="R321" s="278"/>
      <c r="S321" s="278"/>
      <c r="T321" s="278"/>
      <c r="U321" s="278"/>
      <c r="V321" s="278"/>
      <c r="W321" s="278"/>
      <c r="X321" s="278"/>
      <c r="Y321" s="278"/>
      <c r="Z321" s="278"/>
      <c r="AA321" s="278"/>
      <c r="AB321" s="278"/>
      <c r="AC321" s="278"/>
    </row>
    <row r="322" ht="15.75" customHeight="1">
      <c r="A322" s="290" t="str">
        <f>IFERROR(__xludf.DUMMYFUNCTION("""COMPUTED_VALUE"""),"クロエ出版/大洋図書")</f>
        <v>クロエ出版/大洋図書</v>
      </c>
      <c r="B322" s="291">
        <f>IFERROR(__xludf.DUMMYFUNCTION("""COMPUTED_VALUE"""),45618.0)</f>
        <v>45618</v>
      </c>
      <c r="C322" s="292"/>
      <c r="D322" s="293">
        <f>IFERROR(__xludf.DUMMYFUNCTION("""COMPUTED_VALUE"""),231123.0)</f>
        <v>231123</v>
      </c>
      <c r="E322" s="290" t="str">
        <f>IFERROR(__xludf.DUMMYFUNCTION("""COMPUTED_VALUE"""),"パコパコしすぎてバカになる【電子版特典付き】")</f>
        <v>パコパコしすぎてバカになる【電子版特典付き】</v>
      </c>
      <c r="F322" s="298" t="str">
        <f>IFERROR(__xludf.DUMMYFUNCTION("""COMPUTED_VALUE"""),"骨太男爵")</f>
        <v>骨太男爵</v>
      </c>
      <c r="G322" s="298" t="str">
        <f>IFERROR(__xludf.DUMMYFUNCTION("""COMPUTED_VALUE"""),"オトナコミック")</f>
        <v>オトナコミック</v>
      </c>
      <c r="H322" s="298" t="str">
        <f>IFERROR(__xludf.DUMMYFUNCTION("""COMPUTED_VALUE"""),"2024/11/25～）クレジットカードでの購入のみ停止")</f>
        <v>2024/11/25～）クレジットカードでの購入のみ停止</v>
      </c>
      <c r="I322" s="283"/>
      <c r="J322" s="283"/>
      <c r="K322" s="283"/>
      <c r="L322" s="283"/>
      <c r="M322" s="283"/>
      <c r="N322" s="283"/>
      <c r="O322" s="283"/>
      <c r="P322" s="283"/>
      <c r="Q322" s="278"/>
      <c r="R322" s="278"/>
      <c r="S322" s="278"/>
      <c r="T322" s="278"/>
      <c r="U322" s="278"/>
      <c r="V322" s="278"/>
      <c r="W322" s="278"/>
      <c r="X322" s="278"/>
      <c r="Y322" s="278"/>
      <c r="Z322" s="278"/>
      <c r="AA322" s="278"/>
      <c r="AB322" s="278"/>
      <c r="AC322" s="278"/>
    </row>
    <row r="323" ht="15.75" customHeight="1">
      <c r="A323" s="290" t="str">
        <f>IFERROR(__xludf.DUMMYFUNCTION("""COMPUTED_VALUE"""),"クロエ出版/大洋図書")</f>
        <v>クロエ出版/大洋図書</v>
      </c>
      <c r="B323" s="291">
        <f>IFERROR(__xludf.DUMMYFUNCTION("""COMPUTED_VALUE"""),45618.0)</f>
        <v>45618</v>
      </c>
      <c r="C323" s="292"/>
      <c r="D323" s="293">
        <f>IFERROR(__xludf.DUMMYFUNCTION("""COMPUTED_VALUE"""),245644.0)</f>
        <v>245644</v>
      </c>
      <c r="E323" s="290" t="str">
        <f>IFERROR(__xludf.DUMMYFUNCTION("""COMPUTED_VALUE"""),"メス穴世紀末～私達の強制おめでた襲学旅行～【電子版特典付き】")</f>
        <v>メス穴世紀末～私達の強制おめでた襲学旅行～【電子版特典付き】</v>
      </c>
      <c r="F323" s="298" t="str">
        <f>IFERROR(__xludf.DUMMYFUNCTION("""COMPUTED_VALUE"""),"hal")</f>
        <v>hal</v>
      </c>
      <c r="G323" s="298" t="str">
        <f>IFERROR(__xludf.DUMMYFUNCTION("""COMPUTED_VALUE"""),"オトナコミック")</f>
        <v>オトナコミック</v>
      </c>
      <c r="H323" s="298" t="str">
        <f>IFERROR(__xludf.DUMMYFUNCTION("""COMPUTED_VALUE"""),"2024/11/25～）クレジットカードでの購入のみ停止")</f>
        <v>2024/11/25～）クレジットカードでの購入のみ停止</v>
      </c>
      <c r="I323" s="283"/>
      <c r="J323" s="283"/>
      <c r="K323" s="283"/>
      <c r="L323" s="283"/>
      <c r="M323" s="283"/>
      <c r="N323" s="283"/>
      <c r="O323" s="283"/>
      <c r="P323" s="283"/>
      <c r="Q323" s="278"/>
      <c r="R323" s="278"/>
      <c r="S323" s="278"/>
      <c r="T323" s="278"/>
      <c r="U323" s="278"/>
      <c r="V323" s="278"/>
      <c r="W323" s="278"/>
      <c r="X323" s="278"/>
      <c r="Y323" s="278"/>
      <c r="Z323" s="278"/>
      <c r="AA323" s="278"/>
      <c r="AB323" s="278"/>
      <c r="AC323" s="278"/>
    </row>
    <row r="324" ht="15.75" customHeight="1">
      <c r="A324" s="290" t="str">
        <f>IFERROR(__xludf.DUMMYFUNCTION("""COMPUTED_VALUE"""),"クロエ出版/大洋図書")</f>
        <v>クロエ出版/大洋図書</v>
      </c>
      <c r="B324" s="291">
        <f>IFERROR(__xludf.DUMMYFUNCTION("""COMPUTED_VALUE"""),45618.0)</f>
        <v>45618</v>
      </c>
      <c r="C324" s="292"/>
      <c r="D324" s="293">
        <f>IFERROR(__xludf.DUMMYFUNCTION("""COMPUTED_VALUE"""),281659.0)</f>
        <v>281659</v>
      </c>
      <c r="E324" s="290" t="str">
        <f>IFERROR(__xludf.DUMMYFUNCTION("""COMPUTED_VALUE"""),"二葉の秘密、桜良の好奇心、鈴乃の堕落【電子版特典付き】")</f>
        <v>二葉の秘密、桜良の好奇心、鈴乃の堕落【電子版特典付き】</v>
      </c>
      <c r="F324" s="298" t="str">
        <f>IFERROR(__xludf.DUMMYFUNCTION("""COMPUTED_VALUE"""),"わしさん")</f>
        <v>わしさん</v>
      </c>
      <c r="G324" s="298" t="str">
        <f>IFERROR(__xludf.DUMMYFUNCTION("""COMPUTED_VALUE"""),"オトナコミック")</f>
        <v>オトナコミック</v>
      </c>
      <c r="H324" s="298" t="str">
        <f>IFERROR(__xludf.DUMMYFUNCTION("""COMPUTED_VALUE"""),"2024/11/25～）クレジットカードでの購入のみ停止")</f>
        <v>2024/11/25～）クレジットカードでの購入のみ停止</v>
      </c>
      <c r="I324" s="283"/>
      <c r="J324" s="283"/>
      <c r="K324" s="283"/>
      <c r="L324" s="283"/>
      <c r="M324" s="283"/>
      <c r="N324" s="283"/>
      <c r="O324" s="283"/>
      <c r="P324" s="283"/>
      <c r="Q324" s="278"/>
      <c r="R324" s="278"/>
      <c r="S324" s="278"/>
      <c r="T324" s="278"/>
      <c r="U324" s="278"/>
      <c r="V324" s="278"/>
      <c r="W324" s="278"/>
      <c r="X324" s="278"/>
      <c r="Y324" s="278"/>
      <c r="Z324" s="278"/>
      <c r="AA324" s="278"/>
      <c r="AB324" s="278"/>
      <c r="AC324" s="278"/>
    </row>
    <row r="325" ht="15.75" customHeight="1">
      <c r="A325" s="290" t="str">
        <f>IFERROR(__xludf.DUMMYFUNCTION("""COMPUTED_VALUE"""),"ゲネシス")</f>
        <v>ゲネシス</v>
      </c>
      <c r="B325" s="291">
        <f>IFERROR(__xludf.DUMMYFUNCTION("""COMPUTED_VALUE"""),45618.0)</f>
        <v>45618</v>
      </c>
      <c r="C325" s="292"/>
      <c r="D325" s="293">
        <f>IFERROR(__xludf.DUMMYFUNCTION("""COMPUTED_VALUE"""),241192.0)</f>
        <v>241192</v>
      </c>
      <c r="E325" s="290" t="str">
        <f>IFERROR(__xludf.DUMMYFUNCTION("""COMPUTED_VALUE"""),"オタクにやさしい黒ギャルなんかいなかったので孕ませて母乳サーバーにしました＜単行本版＞＜デジタル修正版＞")</f>
        <v>オタクにやさしい黒ギャルなんかいなかったので孕ませて母乳サーバーにしました＜単行本版＞＜デジタル修正版＞</v>
      </c>
      <c r="F325" s="298" t="str">
        <f>IFERROR(__xludf.DUMMYFUNCTION("""COMPUTED_VALUE"""),"巻貝一ヶ")</f>
        <v>巻貝一ヶ</v>
      </c>
      <c r="G325" s="298" t="str">
        <f>IFERROR(__xludf.DUMMYFUNCTION("""COMPUTED_VALUE"""),"オトナコミック")</f>
        <v>オトナコミック</v>
      </c>
      <c r="H325" s="298" t="str">
        <f>IFERROR(__xludf.DUMMYFUNCTION("""COMPUTED_VALUE"""),"2024/11/25～）クレジットカードでの購入のみ停止")</f>
        <v>2024/11/25～）クレジットカードでの購入のみ停止</v>
      </c>
      <c r="I325" s="283"/>
      <c r="J325" s="283"/>
      <c r="K325" s="283"/>
      <c r="L325" s="283"/>
      <c r="M325" s="283"/>
      <c r="N325" s="283"/>
      <c r="O325" s="283"/>
      <c r="P325" s="283"/>
      <c r="Q325" s="278"/>
      <c r="R325" s="278"/>
      <c r="S325" s="278"/>
      <c r="T325" s="278"/>
      <c r="U325" s="278"/>
      <c r="V325" s="278"/>
      <c r="W325" s="278"/>
      <c r="X325" s="278"/>
      <c r="Y325" s="278"/>
      <c r="Z325" s="278"/>
      <c r="AA325" s="278"/>
      <c r="AB325" s="278"/>
      <c r="AC325" s="278"/>
    </row>
    <row r="326" ht="15.75" customHeight="1">
      <c r="A326" s="290" t="str">
        <f>IFERROR(__xludf.DUMMYFUNCTION("""COMPUTED_VALUE"""),"ゲネシス")</f>
        <v>ゲネシス</v>
      </c>
      <c r="B326" s="291">
        <f>IFERROR(__xludf.DUMMYFUNCTION("""COMPUTED_VALUE"""),45618.0)</f>
        <v>45618</v>
      </c>
      <c r="C326" s="292"/>
      <c r="D326" s="293">
        <f>IFERROR(__xludf.DUMMYFUNCTION("""COMPUTED_VALUE"""),243783.0)</f>
        <v>243783</v>
      </c>
      <c r="E326" s="290" t="str">
        <f>IFERROR(__xludf.DUMMYFUNCTION("""COMPUTED_VALUE"""),"愛のカタチ＜デジタル修正版＞")</f>
        <v>愛のカタチ＜デジタル修正版＞</v>
      </c>
      <c r="F326" s="298" t="str">
        <f>IFERROR(__xludf.DUMMYFUNCTION("""COMPUTED_VALUE"""),"百済内創")</f>
        <v>百済内創</v>
      </c>
      <c r="G326" s="298" t="str">
        <f>IFERROR(__xludf.DUMMYFUNCTION("""COMPUTED_VALUE"""),"オトナコミック")</f>
        <v>オトナコミック</v>
      </c>
      <c r="H326" s="298" t="str">
        <f>IFERROR(__xludf.DUMMYFUNCTION("""COMPUTED_VALUE"""),"2024/11/25～）クレジットカードでの購入のみ停止")</f>
        <v>2024/11/25～）クレジットカードでの購入のみ停止</v>
      </c>
      <c r="I326" s="283"/>
      <c r="J326" s="283"/>
      <c r="K326" s="283"/>
      <c r="L326" s="283"/>
      <c r="M326" s="283"/>
      <c r="N326" s="283"/>
      <c r="O326" s="283"/>
      <c r="P326" s="283"/>
      <c r="Q326" s="278"/>
      <c r="R326" s="278"/>
      <c r="S326" s="278"/>
      <c r="T326" s="278"/>
      <c r="U326" s="278"/>
      <c r="V326" s="278"/>
      <c r="W326" s="278"/>
      <c r="X326" s="278"/>
      <c r="Y326" s="278"/>
      <c r="Z326" s="278"/>
      <c r="AA326" s="278"/>
      <c r="AB326" s="278"/>
      <c r="AC326" s="278"/>
    </row>
    <row r="327" ht="15.75" customHeight="1">
      <c r="A327" s="290" t="str">
        <f>IFERROR(__xludf.DUMMYFUNCTION("""COMPUTED_VALUE"""),"コアマガジン")</f>
        <v>コアマガジン</v>
      </c>
      <c r="B327" s="291">
        <f>IFERROR(__xludf.DUMMYFUNCTION("""COMPUTED_VALUE"""),45618.0)</f>
        <v>45618</v>
      </c>
      <c r="C327" s="292"/>
      <c r="D327" s="293">
        <f>IFERROR(__xludf.DUMMYFUNCTION("""COMPUTED_VALUE"""),58072.0)</f>
        <v>58072</v>
      </c>
      <c r="E327" s="290" t="str">
        <f>IFERROR(__xludf.DUMMYFUNCTION("""COMPUTED_VALUE"""),"轟け!!悶絶スクリーマー")</f>
        <v>轟け!!悶絶スクリーマー</v>
      </c>
      <c r="F327" s="298" t="str">
        <f>IFERROR(__xludf.DUMMYFUNCTION("""COMPUTED_VALUE"""),"ジョン･K･ぺー太")</f>
        <v>ジョン･K･ぺー太</v>
      </c>
      <c r="G327" s="298" t="str">
        <f>IFERROR(__xludf.DUMMYFUNCTION("""COMPUTED_VALUE"""),"オトナコミック")</f>
        <v>オトナコミック</v>
      </c>
      <c r="H327" s="298" t="str">
        <f>IFERROR(__xludf.DUMMYFUNCTION("""COMPUTED_VALUE"""),"2024/11/25～）クレジットカードでの購入のみ停止")</f>
        <v>2024/11/25～）クレジットカードでの購入のみ停止</v>
      </c>
      <c r="I327" s="283"/>
      <c r="J327" s="283"/>
      <c r="K327" s="283"/>
      <c r="L327" s="283"/>
      <c r="M327" s="283"/>
      <c r="N327" s="283"/>
      <c r="O327" s="283"/>
      <c r="P327" s="283"/>
      <c r="Q327" s="278"/>
      <c r="R327" s="278"/>
      <c r="S327" s="278"/>
      <c r="T327" s="278"/>
      <c r="U327" s="278"/>
      <c r="V327" s="278"/>
      <c r="W327" s="278"/>
      <c r="X327" s="278"/>
      <c r="Y327" s="278"/>
      <c r="Z327" s="278"/>
      <c r="AA327" s="278"/>
      <c r="AB327" s="278"/>
      <c r="AC327" s="278"/>
    </row>
    <row r="328" ht="15.75" customHeight="1">
      <c r="A328" s="290" t="str">
        <f>IFERROR(__xludf.DUMMYFUNCTION("""COMPUTED_VALUE"""),"コアマガジン")</f>
        <v>コアマガジン</v>
      </c>
      <c r="B328" s="291">
        <f>IFERROR(__xludf.DUMMYFUNCTION("""COMPUTED_VALUE"""),45618.0)</f>
        <v>45618</v>
      </c>
      <c r="C328" s="292"/>
      <c r="D328" s="293">
        <f>IFERROR(__xludf.DUMMYFUNCTION("""COMPUTED_VALUE"""),58080.0)</f>
        <v>58080</v>
      </c>
      <c r="E328" s="290" t="str">
        <f>IFERROR(__xludf.DUMMYFUNCTION("""COMPUTED_VALUE"""),"蜜色幼辱館")</f>
        <v>蜜色幼辱館</v>
      </c>
      <c r="F328" s="298" t="str">
        <f>IFERROR(__xludf.DUMMYFUNCTION("""COMPUTED_VALUE"""),"智沢渚優")</f>
        <v>智沢渚優</v>
      </c>
      <c r="G328" s="298" t="str">
        <f>IFERROR(__xludf.DUMMYFUNCTION("""COMPUTED_VALUE"""),"オトナコミック")</f>
        <v>オトナコミック</v>
      </c>
      <c r="H328" s="298" t="str">
        <f>IFERROR(__xludf.DUMMYFUNCTION("""COMPUTED_VALUE"""),"2024/11/25～）クレジットカードでの購入のみ停止")</f>
        <v>2024/11/25～）クレジットカードでの購入のみ停止</v>
      </c>
      <c r="I328" s="283"/>
      <c r="J328" s="283"/>
      <c r="K328" s="283"/>
      <c r="L328" s="283"/>
      <c r="M328" s="283"/>
      <c r="N328" s="283"/>
      <c r="O328" s="283"/>
      <c r="P328" s="283"/>
      <c r="Q328" s="278"/>
      <c r="R328" s="278"/>
      <c r="S328" s="278"/>
      <c r="T328" s="278"/>
      <c r="U328" s="278"/>
      <c r="V328" s="278"/>
      <c r="W328" s="278"/>
      <c r="X328" s="278"/>
      <c r="Y328" s="278"/>
      <c r="Z328" s="278"/>
      <c r="AA328" s="278"/>
      <c r="AB328" s="278"/>
      <c r="AC328" s="278"/>
    </row>
    <row r="329" ht="15.75" customHeight="1">
      <c r="A329" s="290" t="str">
        <f>IFERROR(__xludf.DUMMYFUNCTION("""COMPUTED_VALUE"""),"コアマガジン")</f>
        <v>コアマガジン</v>
      </c>
      <c r="B329" s="291">
        <f>IFERROR(__xludf.DUMMYFUNCTION("""COMPUTED_VALUE"""),45618.0)</f>
        <v>45618</v>
      </c>
      <c r="C329" s="292"/>
      <c r="D329" s="293">
        <f>IFERROR(__xludf.DUMMYFUNCTION("""COMPUTED_VALUE"""),62898.0)</f>
        <v>62898</v>
      </c>
      <c r="E329" s="290" t="str">
        <f>IFERROR(__xludf.DUMMYFUNCTION("""COMPUTED_VALUE"""),"聖女学園～ソルヴィエールの伝説～")</f>
        <v>聖女学園～ソルヴィエールの伝説～</v>
      </c>
      <c r="F329" s="298" t="str">
        <f>IFERROR(__xludf.DUMMYFUNCTION("""COMPUTED_VALUE"""),"ゆきやなぎ")</f>
        <v>ゆきやなぎ</v>
      </c>
      <c r="G329" s="298" t="str">
        <f>IFERROR(__xludf.DUMMYFUNCTION("""COMPUTED_VALUE"""),"オトナコミック")</f>
        <v>オトナコミック</v>
      </c>
      <c r="H329" s="298" t="str">
        <f>IFERROR(__xludf.DUMMYFUNCTION("""COMPUTED_VALUE"""),"2024/11/25～）クレジットカードでの購入のみ停止")</f>
        <v>2024/11/25～）クレジットカードでの購入のみ停止</v>
      </c>
      <c r="I329" s="283"/>
      <c r="J329" s="283"/>
      <c r="K329" s="283"/>
      <c r="L329" s="283"/>
      <c r="M329" s="283"/>
      <c r="N329" s="283"/>
      <c r="O329" s="283"/>
      <c r="P329" s="283"/>
      <c r="Q329" s="278"/>
      <c r="R329" s="278"/>
      <c r="S329" s="278"/>
      <c r="T329" s="278"/>
      <c r="U329" s="278"/>
      <c r="V329" s="278"/>
      <c r="W329" s="278"/>
      <c r="X329" s="278"/>
      <c r="Y329" s="278"/>
      <c r="Z329" s="278"/>
      <c r="AA329" s="278"/>
      <c r="AB329" s="278"/>
      <c r="AC329" s="278"/>
    </row>
    <row r="330" ht="15.75" customHeight="1">
      <c r="A330" s="290" t="str">
        <f>IFERROR(__xludf.DUMMYFUNCTION("""COMPUTED_VALUE"""),"コアマガジン")</f>
        <v>コアマガジン</v>
      </c>
      <c r="B330" s="291">
        <f>IFERROR(__xludf.DUMMYFUNCTION("""COMPUTED_VALUE"""),45618.0)</f>
        <v>45618</v>
      </c>
      <c r="C330" s="292"/>
      <c r="D330" s="293">
        <f>IFERROR(__xludf.DUMMYFUNCTION("""COMPUTED_VALUE"""),75899.0)</f>
        <v>75899</v>
      </c>
      <c r="E330" s="290" t="str">
        <f>IFERROR(__xludf.DUMMYFUNCTION("""COMPUTED_VALUE"""),"Mとしてみて")</f>
        <v>Mとしてみて</v>
      </c>
      <c r="F330" s="298" t="str">
        <f>IFERROR(__xludf.DUMMYFUNCTION("""COMPUTED_VALUE"""),"なおむ")</f>
        <v>なおむ</v>
      </c>
      <c r="G330" s="298" t="str">
        <f>IFERROR(__xludf.DUMMYFUNCTION("""COMPUTED_VALUE"""),"オトナコミック")</f>
        <v>オトナコミック</v>
      </c>
      <c r="H330" s="298" t="str">
        <f>IFERROR(__xludf.DUMMYFUNCTION("""COMPUTED_VALUE"""),"2024/11/25～）クレジットカードでの購入のみ停止")</f>
        <v>2024/11/25～）クレジットカードでの購入のみ停止</v>
      </c>
      <c r="I330" s="283"/>
      <c r="J330" s="283"/>
      <c r="K330" s="283"/>
      <c r="L330" s="283"/>
      <c r="M330" s="283"/>
      <c r="N330" s="283"/>
      <c r="O330" s="283"/>
      <c r="P330" s="283"/>
      <c r="Q330" s="278"/>
      <c r="R330" s="278"/>
      <c r="S330" s="278"/>
      <c r="T330" s="278"/>
      <c r="U330" s="278"/>
      <c r="V330" s="278"/>
      <c r="W330" s="278"/>
      <c r="X330" s="278"/>
      <c r="Y330" s="278"/>
      <c r="Z330" s="278"/>
      <c r="AA330" s="278"/>
      <c r="AB330" s="278"/>
      <c r="AC330" s="278"/>
    </row>
    <row r="331" ht="15.75" customHeight="1">
      <c r="A331" s="290" t="str">
        <f>IFERROR(__xludf.DUMMYFUNCTION("""COMPUTED_VALUE"""),"コアマガジン")</f>
        <v>コアマガジン</v>
      </c>
      <c r="B331" s="291">
        <f>IFERROR(__xludf.DUMMYFUNCTION("""COMPUTED_VALUE"""),45618.0)</f>
        <v>45618</v>
      </c>
      <c r="C331" s="292"/>
      <c r="D331" s="293">
        <f>IFERROR(__xludf.DUMMYFUNCTION("""COMPUTED_VALUE"""),92930.0)</f>
        <v>92930</v>
      </c>
      <c r="E331" s="290" t="str">
        <f>IFERROR(__xludf.DUMMYFUNCTION("""COMPUTED_VALUE"""),"終夜セクソロジー")</f>
        <v>終夜セクソロジー</v>
      </c>
      <c r="F331" s="298" t="str">
        <f>IFERROR(__xludf.DUMMYFUNCTION("""COMPUTED_VALUE"""),"井雲くす")</f>
        <v>井雲くす</v>
      </c>
      <c r="G331" s="298" t="str">
        <f>IFERROR(__xludf.DUMMYFUNCTION("""COMPUTED_VALUE"""),"オトナコミック")</f>
        <v>オトナコミック</v>
      </c>
      <c r="H331" s="298" t="str">
        <f>IFERROR(__xludf.DUMMYFUNCTION("""COMPUTED_VALUE"""),"2024/11/25～）クレジットカードでの購入のみ停止")</f>
        <v>2024/11/25～）クレジットカードでの購入のみ停止</v>
      </c>
      <c r="I331" s="283"/>
      <c r="J331" s="283"/>
      <c r="K331" s="283"/>
      <c r="L331" s="283"/>
      <c r="M331" s="283"/>
      <c r="N331" s="283"/>
      <c r="O331" s="283"/>
      <c r="P331" s="283"/>
      <c r="Q331" s="278"/>
      <c r="R331" s="278"/>
      <c r="S331" s="278"/>
      <c r="T331" s="278"/>
      <c r="U331" s="278"/>
      <c r="V331" s="278"/>
      <c r="W331" s="278"/>
      <c r="X331" s="278"/>
      <c r="Y331" s="278"/>
      <c r="Z331" s="278"/>
      <c r="AA331" s="278"/>
      <c r="AB331" s="278"/>
      <c r="AC331" s="278"/>
    </row>
    <row r="332" ht="15.75" customHeight="1">
      <c r="A332" s="290" t="str">
        <f>IFERROR(__xludf.DUMMYFUNCTION("""COMPUTED_VALUE"""),"コアマガジン")</f>
        <v>コアマガジン</v>
      </c>
      <c r="B332" s="291">
        <f>IFERROR(__xludf.DUMMYFUNCTION("""COMPUTED_VALUE"""),45618.0)</f>
        <v>45618</v>
      </c>
      <c r="C332" s="292"/>
      <c r="D332" s="293">
        <f>IFERROR(__xludf.DUMMYFUNCTION("""COMPUTED_VALUE"""),92932.0)</f>
        <v>92932</v>
      </c>
      <c r="E332" s="290" t="str">
        <f>IFERROR(__xludf.DUMMYFUNCTION("""COMPUTED_VALUE"""),"ぱらいそ☆が～る")</f>
        <v>ぱらいそ☆が～る</v>
      </c>
      <c r="F332" s="298" t="str">
        <f>IFERROR(__xludf.DUMMYFUNCTION("""COMPUTED_VALUE"""),"鬼邪太郎")</f>
        <v>鬼邪太郎</v>
      </c>
      <c r="G332" s="298" t="str">
        <f>IFERROR(__xludf.DUMMYFUNCTION("""COMPUTED_VALUE"""),"オトナコミック")</f>
        <v>オトナコミック</v>
      </c>
      <c r="H332" s="298" t="str">
        <f>IFERROR(__xludf.DUMMYFUNCTION("""COMPUTED_VALUE"""),"2024/11/25～）クレジットカードでの購入のみ停止")</f>
        <v>2024/11/25～）クレジットカードでの購入のみ停止</v>
      </c>
      <c r="I332" s="283"/>
      <c r="J332" s="283"/>
      <c r="K332" s="283"/>
      <c r="L332" s="283"/>
      <c r="M332" s="283"/>
      <c r="N332" s="283"/>
      <c r="O332" s="283"/>
      <c r="P332" s="283"/>
      <c r="Q332" s="278"/>
      <c r="R332" s="278"/>
      <c r="S332" s="278"/>
      <c r="T332" s="278"/>
      <c r="U332" s="278"/>
      <c r="V332" s="278"/>
      <c r="W332" s="278"/>
      <c r="X332" s="278"/>
      <c r="Y332" s="278"/>
      <c r="Z332" s="278"/>
      <c r="AA332" s="278"/>
      <c r="AB332" s="278"/>
      <c r="AC332" s="278"/>
    </row>
    <row r="333" ht="15.75" customHeight="1">
      <c r="A333" s="290" t="str">
        <f>IFERROR(__xludf.DUMMYFUNCTION("""COMPUTED_VALUE"""),"コアマガジン")</f>
        <v>コアマガジン</v>
      </c>
      <c r="B333" s="291">
        <f>IFERROR(__xludf.DUMMYFUNCTION("""COMPUTED_VALUE"""),45618.0)</f>
        <v>45618</v>
      </c>
      <c r="C333" s="292"/>
      <c r="D333" s="293">
        <f>IFERROR(__xludf.DUMMYFUNCTION("""COMPUTED_VALUE"""),107584.0)</f>
        <v>107584</v>
      </c>
      <c r="E333" s="290" t="str">
        <f>IFERROR(__xludf.DUMMYFUNCTION("""COMPUTED_VALUE"""),"絶対凌辱")</f>
        <v>絶対凌辱</v>
      </c>
      <c r="F333" s="298" t="str">
        <f>IFERROR(__xludf.DUMMYFUNCTION("""COMPUTED_VALUE"""),"さいこ")</f>
        <v>さいこ</v>
      </c>
      <c r="G333" s="298" t="str">
        <f>IFERROR(__xludf.DUMMYFUNCTION("""COMPUTED_VALUE"""),"オトナコミック")</f>
        <v>オトナコミック</v>
      </c>
      <c r="H333" s="298" t="str">
        <f>IFERROR(__xludf.DUMMYFUNCTION("""COMPUTED_VALUE"""),"2024/11/25～）クレジットカードでの購入のみ停止")</f>
        <v>2024/11/25～）クレジットカードでの購入のみ停止</v>
      </c>
      <c r="I333" s="283"/>
      <c r="J333" s="283"/>
      <c r="K333" s="283"/>
      <c r="L333" s="283"/>
      <c r="M333" s="283"/>
      <c r="N333" s="283"/>
      <c r="O333" s="283"/>
      <c r="P333" s="283"/>
      <c r="Q333" s="278"/>
      <c r="R333" s="278"/>
      <c r="S333" s="278"/>
      <c r="T333" s="278"/>
      <c r="U333" s="278"/>
      <c r="V333" s="278"/>
      <c r="W333" s="278"/>
      <c r="X333" s="278"/>
      <c r="Y333" s="278"/>
      <c r="Z333" s="278"/>
      <c r="AA333" s="278"/>
      <c r="AB333" s="278"/>
      <c r="AC333" s="278"/>
    </row>
    <row r="334" ht="15.75" customHeight="1">
      <c r="A334" s="290" t="str">
        <f>IFERROR(__xludf.DUMMYFUNCTION("""COMPUTED_VALUE"""),"コアマガジン")</f>
        <v>コアマガジン</v>
      </c>
      <c r="B334" s="291">
        <f>IFERROR(__xludf.DUMMYFUNCTION("""COMPUTED_VALUE"""),45618.0)</f>
        <v>45618</v>
      </c>
      <c r="C334" s="292"/>
      <c r="D334" s="293">
        <f>IFERROR(__xludf.DUMMYFUNCTION("""COMPUTED_VALUE"""),115111.0)</f>
        <v>115111</v>
      </c>
      <c r="E334" s="290" t="str">
        <f>IFERROR(__xludf.DUMMYFUNCTION("""COMPUTED_VALUE"""),"双子や双子の双重奏 ツイツイextended")</f>
        <v>双子や双子の双重奏 ツイツイextended</v>
      </c>
      <c r="F334" s="298" t="str">
        <f>IFERROR(__xludf.DUMMYFUNCTION("""COMPUTED_VALUE"""),"SASAYUKi")</f>
        <v>SASAYUKi</v>
      </c>
      <c r="G334" s="298" t="str">
        <f>IFERROR(__xludf.DUMMYFUNCTION("""COMPUTED_VALUE"""),"オトナコミック")</f>
        <v>オトナコミック</v>
      </c>
      <c r="H334" s="298" t="str">
        <f>IFERROR(__xludf.DUMMYFUNCTION("""COMPUTED_VALUE"""),"2024/11/25～）クレジットカードでの購入のみ停止")</f>
        <v>2024/11/25～）クレジットカードでの購入のみ停止</v>
      </c>
      <c r="I334" s="283"/>
      <c r="J334" s="283"/>
      <c r="K334" s="283"/>
      <c r="L334" s="283"/>
      <c r="M334" s="283"/>
      <c r="N334" s="283"/>
      <c r="O334" s="283"/>
      <c r="P334" s="283"/>
      <c r="Q334" s="278"/>
      <c r="R334" s="278"/>
      <c r="S334" s="278"/>
      <c r="T334" s="278"/>
      <c r="U334" s="278"/>
      <c r="V334" s="278"/>
      <c r="W334" s="278"/>
      <c r="X334" s="278"/>
      <c r="Y334" s="278"/>
      <c r="Z334" s="278"/>
      <c r="AA334" s="278"/>
      <c r="AB334" s="278"/>
      <c r="AC334" s="278"/>
    </row>
    <row r="335" ht="15.75" customHeight="1">
      <c r="A335" s="290" t="str">
        <f>IFERROR(__xludf.DUMMYFUNCTION("""COMPUTED_VALUE"""),"コアマガジン")</f>
        <v>コアマガジン</v>
      </c>
      <c r="B335" s="291">
        <f>IFERROR(__xludf.DUMMYFUNCTION("""COMPUTED_VALUE"""),45618.0)</f>
        <v>45618</v>
      </c>
      <c r="C335" s="292"/>
      <c r="D335" s="293">
        <f>IFERROR(__xludf.DUMMYFUNCTION("""COMPUTED_VALUE"""),121299.0)</f>
        <v>121299</v>
      </c>
      <c r="E335" s="290" t="str">
        <f>IFERROR(__xludf.DUMMYFUNCTION("""COMPUTED_VALUE"""),"毎日、犯りたいカラダ")</f>
        <v>毎日、犯りたいカラダ</v>
      </c>
      <c r="F335" s="298" t="str">
        <f>IFERROR(__xludf.DUMMYFUNCTION("""COMPUTED_VALUE"""),"十はやみ")</f>
        <v>十はやみ</v>
      </c>
      <c r="G335" s="298" t="str">
        <f>IFERROR(__xludf.DUMMYFUNCTION("""COMPUTED_VALUE"""),"オトナコミック")</f>
        <v>オトナコミック</v>
      </c>
      <c r="H335" s="298" t="str">
        <f>IFERROR(__xludf.DUMMYFUNCTION("""COMPUTED_VALUE"""),"2024/11/25～）クレジットカードでの購入のみ停止")</f>
        <v>2024/11/25～）クレジットカードでの購入のみ停止</v>
      </c>
      <c r="I335" s="283"/>
      <c r="J335" s="283"/>
      <c r="K335" s="283"/>
      <c r="L335" s="283"/>
      <c r="M335" s="283"/>
      <c r="N335" s="283"/>
      <c r="O335" s="283"/>
      <c r="P335" s="283"/>
      <c r="Q335" s="278"/>
      <c r="R335" s="278"/>
      <c r="S335" s="278"/>
      <c r="T335" s="278"/>
      <c r="U335" s="278"/>
      <c r="V335" s="278"/>
      <c r="W335" s="278"/>
      <c r="X335" s="278"/>
      <c r="Y335" s="278"/>
      <c r="Z335" s="278"/>
      <c r="AA335" s="278"/>
      <c r="AB335" s="278"/>
      <c r="AC335" s="278"/>
    </row>
    <row r="336" ht="15.75" customHeight="1">
      <c r="A336" s="290" t="str">
        <f>IFERROR(__xludf.DUMMYFUNCTION("""COMPUTED_VALUE"""),"コアマガジン")</f>
        <v>コアマガジン</v>
      </c>
      <c r="B336" s="291">
        <f>IFERROR(__xludf.DUMMYFUNCTION("""COMPUTED_VALUE"""),45618.0)</f>
        <v>45618</v>
      </c>
      <c r="C336" s="292"/>
      <c r="D336" s="293">
        <f>IFERROR(__xludf.DUMMYFUNCTION("""COMPUTED_VALUE"""),122478.0)</f>
        <v>122478</v>
      </c>
      <c r="E336" s="290" t="str">
        <f>IFERROR(__xludf.DUMMYFUNCTION("""COMPUTED_VALUE"""),"web漫画ばんがいち")</f>
        <v>web漫画ばんがいち</v>
      </c>
      <c r="F336" s="298" t="str">
        <f>IFERROR(__xludf.DUMMYFUNCTION("""COMPUTED_VALUE"""),"web漫画ばんがいち編集部")</f>
        <v>web漫画ばんがいち編集部</v>
      </c>
      <c r="G336" s="298" t="str">
        <f>IFERROR(__xludf.DUMMYFUNCTION("""COMPUTED_VALUE"""),"コミック誌")</f>
        <v>コミック誌</v>
      </c>
      <c r="H336" s="298" t="str">
        <f>IFERROR(__xludf.DUMMYFUNCTION("""COMPUTED_VALUE"""),"2024/11/25～）クレジットカードでの購入のみ停止")</f>
        <v>2024/11/25～）クレジットカードでの購入のみ停止</v>
      </c>
      <c r="I336" s="283"/>
      <c r="J336" s="283"/>
      <c r="K336" s="283"/>
      <c r="L336" s="283"/>
      <c r="M336" s="283"/>
      <c r="N336" s="283"/>
      <c r="O336" s="283"/>
      <c r="P336" s="283"/>
      <c r="Q336" s="278"/>
      <c r="R336" s="278"/>
      <c r="S336" s="278"/>
      <c r="T336" s="278"/>
      <c r="U336" s="278"/>
      <c r="V336" s="278"/>
      <c r="W336" s="278"/>
      <c r="X336" s="278"/>
      <c r="Y336" s="278"/>
      <c r="Z336" s="278"/>
      <c r="AA336" s="278"/>
      <c r="AB336" s="278"/>
      <c r="AC336" s="278"/>
    </row>
    <row r="337" ht="15.75" customHeight="1">
      <c r="A337" s="290" t="str">
        <f>IFERROR(__xludf.DUMMYFUNCTION("""COMPUTED_VALUE"""),"コアマガジン")</f>
        <v>コアマガジン</v>
      </c>
      <c r="B337" s="291">
        <f>IFERROR(__xludf.DUMMYFUNCTION("""COMPUTED_VALUE"""),45618.0)</f>
        <v>45618</v>
      </c>
      <c r="C337" s="292"/>
      <c r="D337" s="293">
        <f>IFERROR(__xludf.DUMMYFUNCTION("""COMPUTED_VALUE"""),123918.0)</f>
        <v>123918</v>
      </c>
      <c r="E337" s="290" t="str">
        <f>IFERROR(__xludf.DUMMYFUNCTION("""COMPUTED_VALUE"""),"ビューティフル乙女のいる日常")</f>
        <v>ビューティフル乙女のいる日常</v>
      </c>
      <c r="F337" s="298" t="str">
        <f>IFERROR(__xludf.DUMMYFUNCTION("""COMPUTED_VALUE"""),"羽仁倉雲 / イコール / しーらかんす / DISTANCE / 久水あるた / 鰻丸 / Rico / 天太郎 / アスヒロ / ごばん / みさおか / 秋月ひろずみ / みずゆき / にくしょ / 胡桃子 / いちはや / 綾枷ちよこ / アズマサワヨシ / 宇場義行")</f>
        <v>羽仁倉雲 / イコール / しーらかんす / DISTANCE / 久水あるた / 鰻丸 / Rico / 天太郎 / アスヒロ / ごばん / みさおか / 秋月ひろずみ / みずゆき / にくしょ / 胡桃子 / いちはや / 綾枷ちよこ / アズマサワヨシ / 宇場義行</v>
      </c>
      <c r="G337" s="298" t="str">
        <f>IFERROR(__xludf.DUMMYFUNCTION("""COMPUTED_VALUE"""),"オトナコミック")</f>
        <v>オトナコミック</v>
      </c>
      <c r="H337" s="298" t="str">
        <f>IFERROR(__xludf.DUMMYFUNCTION("""COMPUTED_VALUE"""),"2024/11/25～）クレジットカードでの購入のみ停止")</f>
        <v>2024/11/25～）クレジットカードでの購入のみ停止</v>
      </c>
      <c r="I337" s="283"/>
      <c r="J337" s="283"/>
      <c r="K337" s="283"/>
      <c r="L337" s="283"/>
      <c r="M337" s="283"/>
      <c r="N337" s="283"/>
      <c r="O337" s="283"/>
      <c r="P337" s="283"/>
      <c r="Q337" s="278"/>
      <c r="R337" s="278"/>
      <c r="S337" s="278"/>
      <c r="T337" s="278"/>
      <c r="U337" s="278"/>
      <c r="V337" s="278"/>
      <c r="W337" s="278"/>
      <c r="X337" s="278"/>
      <c r="Y337" s="278"/>
      <c r="Z337" s="278"/>
      <c r="AA337" s="278"/>
      <c r="AB337" s="278"/>
      <c r="AC337" s="278"/>
    </row>
    <row r="338" ht="15.75" customHeight="1">
      <c r="A338" s="290" t="str">
        <f>IFERROR(__xludf.DUMMYFUNCTION("""COMPUTED_VALUE"""),"コアマガジン")</f>
        <v>コアマガジン</v>
      </c>
      <c r="B338" s="291">
        <f>IFERROR(__xludf.DUMMYFUNCTION("""COMPUTED_VALUE"""),45618.0)</f>
        <v>45618</v>
      </c>
      <c r="C338" s="292"/>
      <c r="D338" s="293">
        <f>IFERROR(__xludf.DUMMYFUNCTION("""COMPUTED_VALUE"""),124898.0)</f>
        <v>124898</v>
      </c>
      <c r="E338" s="290" t="str">
        <f>IFERROR(__xludf.DUMMYFUNCTION("""COMPUTED_VALUE"""),"PINKERTON")</f>
        <v>PINKERTON</v>
      </c>
      <c r="F338" s="298" t="str">
        <f>IFERROR(__xludf.DUMMYFUNCTION("""COMPUTED_VALUE"""),"モノリノ")</f>
        <v>モノリノ</v>
      </c>
      <c r="G338" s="298" t="str">
        <f>IFERROR(__xludf.DUMMYFUNCTION("""COMPUTED_VALUE"""),"オトナコミック")</f>
        <v>オトナコミック</v>
      </c>
      <c r="H338" s="298" t="str">
        <f>IFERROR(__xludf.DUMMYFUNCTION("""COMPUTED_VALUE"""),"2024/11/25～）クレジットカードでの購入のみ停止")</f>
        <v>2024/11/25～）クレジットカードでの購入のみ停止</v>
      </c>
      <c r="I338" s="283"/>
      <c r="J338" s="283"/>
      <c r="K338" s="283"/>
      <c r="L338" s="283"/>
      <c r="M338" s="283"/>
      <c r="N338" s="283"/>
      <c r="O338" s="283"/>
      <c r="P338" s="283"/>
      <c r="Q338" s="278"/>
      <c r="R338" s="278"/>
      <c r="S338" s="278"/>
      <c r="T338" s="278"/>
      <c r="U338" s="278"/>
      <c r="V338" s="278"/>
      <c r="W338" s="278"/>
      <c r="X338" s="278"/>
      <c r="Y338" s="278"/>
      <c r="Z338" s="278"/>
      <c r="AA338" s="278"/>
      <c r="AB338" s="278"/>
      <c r="AC338" s="278"/>
    </row>
    <row r="339" ht="15.75" customHeight="1">
      <c r="A339" s="290" t="str">
        <f>IFERROR(__xludf.DUMMYFUNCTION("""COMPUTED_VALUE"""),"コアマガジン")</f>
        <v>コアマガジン</v>
      </c>
      <c r="B339" s="291">
        <f>IFERROR(__xludf.DUMMYFUNCTION("""COMPUTED_VALUE"""),45618.0)</f>
        <v>45618</v>
      </c>
      <c r="C339" s="292"/>
      <c r="D339" s="293">
        <f>IFERROR(__xludf.DUMMYFUNCTION("""COMPUTED_VALUE"""),136327.0)</f>
        <v>136327</v>
      </c>
      <c r="E339" s="290" t="str">
        <f>IFERROR(__xludf.DUMMYFUNCTION("""COMPUTED_VALUE"""),"清楚な彼女が肉食女子って本当ですか？")</f>
        <v>清楚な彼女が肉食女子って本当ですか？</v>
      </c>
      <c r="F339" s="298" t="str">
        <f>IFERROR(__xludf.DUMMYFUNCTION("""COMPUTED_VALUE"""),"みこくのほまれ / 音乃夏 / ゆきやなぎ / イコール / 森崎くるみ / しーらかんす / 高句タビー / 歌麿 / 尾崎未来 / 千葉哲太郎 / Rico / 鈴玉レンリ / 青木幹治 / 榎本ハイツ / Triage Tag / 高崎たけまる / 秋月たかひろ / 叶竜児 / アシオ / 小宮裕太 / れいあきら")</f>
        <v>みこくのほまれ / 音乃夏 / ゆきやなぎ / イコール / 森崎くるみ / しーらかんす / 高句タビー / 歌麿 / 尾崎未来 / 千葉哲太郎 / Rico / 鈴玉レンリ / 青木幹治 / 榎本ハイツ / Triage Tag / 高崎たけまる / 秋月たかひろ / 叶竜児 / アシオ / 小宮裕太 / れいあきら</v>
      </c>
      <c r="G339" s="298" t="str">
        <f>IFERROR(__xludf.DUMMYFUNCTION("""COMPUTED_VALUE"""),"オトナコミック")</f>
        <v>オトナコミック</v>
      </c>
      <c r="H339" s="298" t="str">
        <f>IFERROR(__xludf.DUMMYFUNCTION("""COMPUTED_VALUE"""),"2024/11/25～）クレジットカードでの購入のみ停止")</f>
        <v>2024/11/25～）クレジットカードでの購入のみ停止</v>
      </c>
      <c r="I339" s="283"/>
      <c r="J339" s="283"/>
      <c r="K339" s="283"/>
      <c r="L339" s="283"/>
      <c r="M339" s="283"/>
      <c r="N339" s="283"/>
      <c r="O339" s="283"/>
      <c r="P339" s="283"/>
      <c r="Q339" s="278"/>
      <c r="R339" s="278"/>
      <c r="S339" s="278"/>
      <c r="T339" s="278"/>
      <c r="U339" s="278"/>
      <c r="V339" s="278"/>
      <c r="W339" s="278"/>
      <c r="X339" s="278"/>
      <c r="Y339" s="278"/>
      <c r="Z339" s="278"/>
      <c r="AA339" s="278"/>
      <c r="AB339" s="278"/>
      <c r="AC339" s="278"/>
    </row>
    <row r="340" ht="15.75" customHeight="1">
      <c r="A340" s="290" t="str">
        <f>IFERROR(__xludf.DUMMYFUNCTION("""COMPUTED_VALUE"""),"コアマガジン")</f>
        <v>コアマガジン</v>
      </c>
      <c r="B340" s="291">
        <f>IFERROR(__xludf.DUMMYFUNCTION("""COMPUTED_VALUE"""),45618.0)</f>
        <v>45618</v>
      </c>
      <c r="C340" s="292"/>
      <c r="D340" s="293">
        <f>IFERROR(__xludf.DUMMYFUNCTION("""COMPUTED_VALUE"""),137513.0)</f>
        <v>137513</v>
      </c>
      <c r="E340" s="290" t="str">
        <f>IFERROR(__xludf.DUMMYFUNCTION("""COMPUTED_VALUE"""),"膣出し専用カノジョ")</f>
        <v>膣出し専用カノジョ</v>
      </c>
      <c r="F340" s="298" t="str">
        <f>IFERROR(__xludf.DUMMYFUNCTION("""COMPUTED_VALUE"""),"高句タビー")</f>
        <v>高句タビー</v>
      </c>
      <c r="G340" s="298" t="str">
        <f>IFERROR(__xludf.DUMMYFUNCTION("""COMPUTED_VALUE"""),"オトナコミック")</f>
        <v>オトナコミック</v>
      </c>
      <c r="H340" s="298" t="str">
        <f>IFERROR(__xludf.DUMMYFUNCTION("""COMPUTED_VALUE"""),"2024/11/25～）クレジットカードでの購入のみ停止")</f>
        <v>2024/11/25～）クレジットカードでの購入のみ停止</v>
      </c>
      <c r="I340" s="283"/>
      <c r="J340" s="283"/>
      <c r="K340" s="283"/>
      <c r="L340" s="283"/>
      <c r="M340" s="283"/>
      <c r="N340" s="283"/>
      <c r="O340" s="283"/>
      <c r="P340" s="283"/>
      <c r="Q340" s="278"/>
      <c r="R340" s="278"/>
      <c r="S340" s="278"/>
      <c r="T340" s="278"/>
      <c r="U340" s="278"/>
      <c r="V340" s="278"/>
      <c r="W340" s="278"/>
      <c r="X340" s="278"/>
      <c r="Y340" s="278"/>
      <c r="Z340" s="278"/>
      <c r="AA340" s="278"/>
      <c r="AB340" s="278"/>
      <c r="AC340" s="278"/>
    </row>
    <row r="341" ht="15.75" customHeight="1">
      <c r="A341" s="290" t="str">
        <f>IFERROR(__xludf.DUMMYFUNCTION("""COMPUTED_VALUE"""),"コアマガジン")</f>
        <v>コアマガジン</v>
      </c>
      <c r="B341" s="291">
        <f>IFERROR(__xludf.DUMMYFUNCTION("""COMPUTED_VALUE"""),45618.0)</f>
        <v>45618</v>
      </c>
      <c r="C341" s="292"/>
      <c r="D341" s="293">
        <f>IFERROR(__xludf.DUMMYFUNCTION("""COMPUTED_VALUE"""),142098.0)</f>
        <v>142098</v>
      </c>
      <c r="E341" s="290" t="str">
        <f>IFERROR(__xludf.DUMMYFUNCTION("""COMPUTED_VALUE"""),"エムエムマテリアルズ")</f>
        <v>エムエムマテリアルズ</v>
      </c>
      <c r="F341" s="298" t="str">
        <f>IFERROR(__xludf.DUMMYFUNCTION("""COMPUTED_VALUE"""),"高崎たけまる")</f>
        <v>高崎たけまる</v>
      </c>
      <c r="G341" s="298" t="str">
        <f>IFERROR(__xludf.DUMMYFUNCTION("""COMPUTED_VALUE"""),"オトナコミック")</f>
        <v>オトナコミック</v>
      </c>
      <c r="H341" s="298" t="str">
        <f>IFERROR(__xludf.DUMMYFUNCTION("""COMPUTED_VALUE"""),"2024/11/25～）クレジットカードでの購入のみ停止")</f>
        <v>2024/11/25～）クレジットカードでの購入のみ停止</v>
      </c>
      <c r="I341" s="283"/>
      <c r="J341" s="283"/>
      <c r="K341" s="283"/>
      <c r="L341" s="283"/>
      <c r="M341" s="283"/>
      <c r="N341" s="283"/>
      <c r="O341" s="283"/>
      <c r="P341" s="283"/>
      <c r="Q341" s="278"/>
      <c r="R341" s="278"/>
      <c r="S341" s="278"/>
      <c r="T341" s="278"/>
      <c r="U341" s="278"/>
      <c r="V341" s="278"/>
      <c r="W341" s="278"/>
      <c r="X341" s="278"/>
      <c r="Y341" s="278"/>
      <c r="Z341" s="278"/>
      <c r="AA341" s="278"/>
      <c r="AB341" s="278"/>
      <c r="AC341" s="278"/>
    </row>
    <row r="342" ht="15.75" customHeight="1">
      <c r="A342" s="290" t="str">
        <f>IFERROR(__xludf.DUMMYFUNCTION("""COMPUTED_VALUE"""),"コアマガジン")</f>
        <v>コアマガジン</v>
      </c>
      <c r="B342" s="291">
        <f>IFERROR(__xludf.DUMMYFUNCTION("""COMPUTED_VALUE"""),45618.0)</f>
        <v>45618</v>
      </c>
      <c r="C342" s="292"/>
      <c r="D342" s="293">
        <f>IFERROR(__xludf.DUMMYFUNCTION("""COMPUTED_VALUE"""),155667.0)</f>
        <v>155667</v>
      </c>
      <c r="E342" s="290" t="str">
        <f>IFERROR(__xludf.DUMMYFUNCTION("""COMPUTED_VALUE"""),"白濁少女RETURNS")</f>
        <v>白濁少女RETURNS</v>
      </c>
      <c r="F342" s="298" t="str">
        <f>IFERROR(__xludf.DUMMYFUNCTION("""COMPUTED_VALUE"""),"九龍城砦")</f>
        <v>九龍城砦</v>
      </c>
      <c r="G342" s="298" t="str">
        <f>IFERROR(__xludf.DUMMYFUNCTION("""COMPUTED_VALUE"""),"オトナコミック")</f>
        <v>オトナコミック</v>
      </c>
      <c r="H342" s="298" t="str">
        <f>IFERROR(__xludf.DUMMYFUNCTION("""COMPUTED_VALUE"""),"2024/11/25～）クレジットカードでの購入のみ停止")</f>
        <v>2024/11/25～）クレジットカードでの購入のみ停止</v>
      </c>
      <c r="I342" s="283"/>
      <c r="J342" s="283"/>
      <c r="K342" s="283"/>
      <c r="L342" s="283"/>
      <c r="M342" s="283"/>
      <c r="N342" s="283"/>
      <c r="O342" s="283"/>
      <c r="P342" s="283"/>
      <c r="Q342" s="278"/>
      <c r="R342" s="278"/>
      <c r="S342" s="278"/>
      <c r="T342" s="278"/>
      <c r="U342" s="278"/>
      <c r="V342" s="278"/>
      <c r="W342" s="278"/>
      <c r="X342" s="278"/>
      <c r="Y342" s="278"/>
      <c r="Z342" s="278"/>
      <c r="AA342" s="278"/>
      <c r="AB342" s="278"/>
      <c r="AC342" s="278"/>
    </row>
    <row r="343" ht="15.75" customHeight="1">
      <c r="A343" s="290" t="str">
        <f>IFERROR(__xludf.DUMMYFUNCTION("""COMPUTED_VALUE"""),"コアマガジン")</f>
        <v>コアマガジン</v>
      </c>
      <c r="B343" s="291">
        <f>IFERROR(__xludf.DUMMYFUNCTION("""COMPUTED_VALUE"""),45618.0)</f>
        <v>45618</v>
      </c>
      <c r="C343" s="292"/>
      <c r="D343" s="293">
        <f>IFERROR(__xludf.DUMMYFUNCTION("""COMPUTED_VALUE"""),179576.0)</f>
        <v>179576</v>
      </c>
      <c r="E343" s="290" t="str">
        <f>IFERROR(__xludf.DUMMYFUNCTION("""COMPUTED_VALUE"""),"たくさんのいっかい")</f>
        <v>たくさんのいっかい</v>
      </c>
      <c r="F343" s="298" t="str">
        <f>IFERROR(__xludf.DUMMYFUNCTION("""COMPUTED_VALUE"""),"久我繭莉（たいばんステーキ）")</f>
        <v>久我繭莉（たいばんステーキ）</v>
      </c>
      <c r="G343" s="298" t="str">
        <f>IFERROR(__xludf.DUMMYFUNCTION("""COMPUTED_VALUE"""),"オトナコミック")</f>
        <v>オトナコミック</v>
      </c>
      <c r="H343" s="298" t="str">
        <f>IFERROR(__xludf.DUMMYFUNCTION("""COMPUTED_VALUE"""),"2024/11/25～）クレジットカードでの購入のみ停止")</f>
        <v>2024/11/25～）クレジットカードでの購入のみ停止</v>
      </c>
      <c r="I343" s="283"/>
      <c r="J343" s="283"/>
      <c r="K343" s="283"/>
      <c r="L343" s="283"/>
      <c r="M343" s="283"/>
      <c r="N343" s="283"/>
      <c r="O343" s="283"/>
      <c r="P343" s="283"/>
      <c r="Q343" s="278"/>
      <c r="R343" s="278"/>
      <c r="S343" s="278"/>
      <c r="T343" s="278"/>
      <c r="U343" s="278"/>
      <c r="V343" s="278"/>
      <c r="W343" s="278"/>
      <c r="X343" s="278"/>
      <c r="Y343" s="278"/>
      <c r="Z343" s="278"/>
      <c r="AA343" s="278"/>
      <c r="AB343" s="278"/>
      <c r="AC343" s="278"/>
    </row>
    <row r="344" ht="15.75" customHeight="1">
      <c r="A344" s="290" t="str">
        <f>IFERROR(__xludf.DUMMYFUNCTION("""COMPUTED_VALUE"""),"コアマガジン")</f>
        <v>コアマガジン</v>
      </c>
      <c r="B344" s="291">
        <f>IFERROR(__xludf.DUMMYFUNCTION("""COMPUTED_VALUE"""),45618.0)</f>
        <v>45618</v>
      </c>
      <c r="C344" s="292"/>
      <c r="D344" s="293">
        <f>IFERROR(__xludf.DUMMYFUNCTION("""COMPUTED_VALUE"""),191175.0)</f>
        <v>191175</v>
      </c>
      <c r="E344" s="290" t="str">
        <f>IFERROR(__xludf.DUMMYFUNCTION("""COMPUTED_VALUE"""),"魅惑のカノジョとXXX!")</f>
        <v>魅惑のカノジョとXXX!</v>
      </c>
      <c r="F344" s="298" t="str">
        <f>IFERROR(__xludf.DUMMYFUNCTION("""COMPUTED_VALUE"""),"ひよひよ / 船堀斉晃 / ゆきやなぎ / イコール / 森崎くるみ / しーらかんす / 内々けやき / 歌麿 / 尾崎未来 / 江戸屋ぽち / Rico / 鈴玉レンリ / 青木幹治 / 榎本ハイツ / アガタ / 叶竜児 / Q / 九龍城砦")</f>
        <v>ひよひよ / 船堀斉晃 / ゆきやなぎ / イコール / 森崎くるみ / しーらかんす / 内々けやき / 歌麿 / 尾崎未来 / 江戸屋ぽち / Rico / 鈴玉レンリ / 青木幹治 / 榎本ハイツ / アガタ / 叶竜児 / Q / 九龍城砦</v>
      </c>
      <c r="G344" s="298" t="str">
        <f>IFERROR(__xludf.DUMMYFUNCTION("""COMPUTED_VALUE"""),"オトナコミック")</f>
        <v>オトナコミック</v>
      </c>
      <c r="H344" s="298" t="str">
        <f>IFERROR(__xludf.DUMMYFUNCTION("""COMPUTED_VALUE"""),"2024/11/25～）クレジットカードでの購入のみ停止")</f>
        <v>2024/11/25～）クレジットカードでの購入のみ停止</v>
      </c>
      <c r="I344" s="283"/>
      <c r="J344" s="283"/>
      <c r="K344" s="283"/>
      <c r="L344" s="283"/>
      <c r="M344" s="283"/>
      <c r="N344" s="283"/>
      <c r="O344" s="283"/>
      <c r="P344" s="283"/>
      <c r="Q344" s="278"/>
      <c r="R344" s="278"/>
      <c r="S344" s="278"/>
      <c r="T344" s="278"/>
      <c r="U344" s="278"/>
      <c r="V344" s="278"/>
      <c r="W344" s="278"/>
      <c r="X344" s="278"/>
      <c r="Y344" s="278"/>
      <c r="Z344" s="278"/>
      <c r="AA344" s="278"/>
      <c r="AB344" s="278"/>
      <c r="AC344" s="278"/>
    </row>
    <row r="345" ht="15.75" customHeight="1">
      <c r="A345" s="290" t="str">
        <f>IFERROR(__xludf.DUMMYFUNCTION("""COMPUTED_VALUE"""),"コアマガジン")</f>
        <v>コアマガジン</v>
      </c>
      <c r="B345" s="291">
        <f>IFERROR(__xludf.DUMMYFUNCTION("""COMPUTED_VALUE"""),45618.0)</f>
        <v>45618</v>
      </c>
      <c r="C345" s="292"/>
      <c r="D345" s="293">
        <f>IFERROR(__xludf.DUMMYFUNCTION("""COMPUTED_VALUE"""),212262.0)</f>
        <v>212262</v>
      </c>
      <c r="E345" s="290" t="str">
        <f>IFERROR(__xludf.DUMMYFUNCTION("""COMPUTED_VALUE"""),"セクハラ学園～抵抗できない私たち～")</f>
        <v>セクハラ学園～抵抗できない私たち～</v>
      </c>
      <c r="F345" s="298" t="str">
        <f>IFERROR(__xludf.DUMMYFUNCTION("""COMPUTED_VALUE"""),"船堀斉晃 / 音乃夏 / 深田拓士 / しーらかんす / あやかわりく / Dr.P / 巴天舞 / ありのひろし / 秋月たかひろ / なおむ / 四条定史 / あかうめ / 包 / 恋河ミノル / むのめりくん / 九龍城砦 / ばくや")</f>
        <v>船堀斉晃 / 音乃夏 / 深田拓士 / しーらかんす / あやかわりく / Dr.P / 巴天舞 / ありのひろし / 秋月たかひろ / なおむ / 四条定史 / あかうめ / 包 / 恋河ミノル / むのめりくん / 九龍城砦 / ばくや</v>
      </c>
      <c r="G345" s="298" t="str">
        <f>IFERROR(__xludf.DUMMYFUNCTION("""COMPUTED_VALUE"""),"オトナコミック")</f>
        <v>オトナコミック</v>
      </c>
      <c r="H345" s="298" t="str">
        <f>IFERROR(__xludf.DUMMYFUNCTION("""COMPUTED_VALUE"""),"2024/11/25～）クレジットカードでの購入のみ停止")</f>
        <v>2024/11/25～）クレジットカードでの購入のみ停止</v>
      </c>
      <c r="I345" s="283"/>
      <c r="J345" s="283"/>
      <c r="K345" s="283"/>
      <c r="L345" s="283"/>
      <c r="M345" s="283"/>
      <c r="N345" s="283"/>
      <c r="O345" s="283"/>
      <c r="P345" s="283"/>
      <c r="Q345" s="278"/>
      <c r="R345" s="278"/>
      <c r="S345" s="278"/>
      <c r="T345" s="278"/>
      <c r="U345" s="278"/>
      <c r="V345" s="278"/>
      <c r="W345" s="278"/>
      <c r="X345" s="278"/>
      <c r="Y345" s="278"/>
      <c r="Z345" s="278"/>
      <c r="AA345" s="278"/>
      <c r="AB345" s="278"/>
      <c r="AC345" s="278"/>
    </row>
    <row r="346" ht="15.75" customHeight="1">
      <c r="A346" s="290" t="str">
        <f>IFERROR(__xludf.DUMMYFUNCTION("""COMPUTED_VALUE"""),"コアマガジン")</f>
        <v>コアマガジン</v>
      </c>
      <c r="B346" s="291">
        <f>IFERROR(__xludf.DUMMYFUNCTION("""COMPUTED_VALUE"""),45618.0)</f>
        <v>45618</v>
      </c>
      <c r="C346" s="292"/>
      <c r="D346" s="293">
        <f>IFERROR(__xludf.DUMMYFUNCTION("""COMPUTED_VALUE"""),223544.0)</f>
        <v>223544</v>
      </c>
      <c r="E346" s="290" t="str">
        <f>IFERROR(__xludf.DUMMYFUNCTION("""COMPUTED_VALUE"""),"僕の最強にエロいおねえさん")</f>
        <v>僕の最強にエロいおねえさん</v>
      </c>
      <c r="F346" s="298" t="str">
        <f>IFERROR(__xludf.DUMMYFUNCTION("""COMPUTED_VALUE"""),"上杉響士郎")</f>
        <v>上杉響士郎</v>
      </c>
      <c r="G346" s="298" t="str">
        <f>IFERROR(__xludf.DUMMYFUNCTION("""COMPUTED_VALUE"""),"オトナコミック")</f>
        <v>オトナコミック</v>
      </c>
      <c r="H346" s="298" t="str">
        <f>IFERROR(__xludf.DUMMYFUNCTION("""COMPUTED_VALUE"""),"2024/11/25～）クレジットカードでの購入のみ停止")</f>
        <v>2024/11/25～）クレジットカードでの購入のみ停止</v>
      </c>
      <c r="I346" s="283"/>
      <c r="J346" s="283"/>
      <c r="K346" s="283"/>
      <c r="L346" s="283"/>
      <c r="M346" s="283"/>
      <c r="N346" s="283"/>
      <c r="O346" s="283"/>
      <c r="P346" s="283"/>
      <c r="Q346" s="278"/>
      <c r="R346" s="278"/>
      <c r="S346" s="278"/>
      <c r="T346" s="278"/>
      <c r="U346" s="278"/>
      <c r="V346" s="278"/>
      <c r="W346" s="278"/>
      <c r="X346" s="278"/>
      <c r="Y346" s="278"/>
      <c r="Z346" s="278"/>
      <c r="AA346" s="278"/>
      <c r="AB346" s="278"/>
      <c r="AC346" s="278"/>
    </row>
    <row r="347" ht="15.75" customHeight="1">
      <c r="A347" s="290" t="str">
        <f>IFERROR(__xludf.DUMMYFUNCTION("""COMPUTED_VALUE"""),"コアマガジン")</f>
        <v>コアマガジン</v>
      </c>
      <c r="B347" s="291">
        <f>IFERROR(__xludf.DUMMYFUNCTION("""COMPUTED_VALUE"""),45618.0)</f>
        <v>45618</v>
      </c>
      <c r="C347" s="292"/>
      <c r="D347" s="293">
        <f>IFERROR(__xludf.DUMMYFUNCTION("""COMPUTED_VALUE"""),236466.0)</f>
        <v>236466</v>
      </c>
      <c r="E347" s="290" t="str">
        <f>IFERROR(__xludf.DUMMYFUNCTION("""COMPUTED_VALUE"""),"オタクに優しいギャルとか、巨乳の幼なじみとか。")</f>
        <v>オタクに優しいギャルとか、巨乳の幼なじみとか。</v>
      </c>
      <c r="F347" s="298" t="str">
        <f>IFERROR(__xludf.DUMMYFUNCTION("""COMPUTED_VALUE"""),"ふみひこ")</f>
        <v>ふみひこ</v>
      </c>
      <c r="G347" s="298" t="str">
        <f>IFERROR(__xludf.DUMMYFUNCTION("""COMPUTED_VALUE"""),"オトナコミック")</f>
        <v>オトナコミック</v>
      </c>
      <c r="H347" s="298" t="str">
        <f>IFERROR(__xludf.DUMMYFUNCTION("""COMPUTED_VALUE"""),"2024/11/25～）クレジットカードでの購入のみ停止")</f>
        <v>2024/11/25～）クレジットカードでの購入のみ停止</v>
      </c>
      <c r="I347" s="283"/>
      <c r="J347" s="283"/>
      <c r="K347" s="283"/>
      <c r="L347" s="283"/>
      <c r="M347" s="283"/>
      <c r="N347" s="283"/>
      <c r="O347" s="283"/>
      <c r="P347" s="283"/>
      <c r="Q347" s="278"/>
      <c r="R347" s="278"/>
      <c r="S347" s="278"/>
      <c r="T347" s="278"/>
      <c r="U347" s="278"/>
      <c r="V347" s="278"/>
      <c r="W347" s="278"/>
      <c r="X347" s="278"/>
      <c r="Y347" s="278"/>
      <c r="Z347" s="278"/>
      <c r="AA347" s="278"/>
      <c r="AB347" s="278"/>
      <c r="AC347" s="278"/>
    </row>
    <row r="348" ht="15.75" customHeight="1">
      <c r="A348" s="290" t="str">
        <f>IFERROR(__xludf.DUMMYFUNCTION("""COMPUTED_VALUE"""),"コアマガジン")</f>
        <v>コアマガジン</v>
      </c>
      <c r="B348" s="291">
        <f>IFERROR(__xludf.DUMMYFUNCTION("""COMPUTED_VALUE"""),45618.0)</f>
        <v>45618</v>
      </c>
      <c r="C348" s="292"/>
      <c r="D348" s="293">
        <f>IFERROR(__xludf.DUMMYFUNCTION("""COMPUTED_VALUE"""),276441.0)</f>
        <v>276441</v>
      </c>
      <c r="E348" s="290" t="str">
        <f>IFERROR(__xludf.DUMMYFUNCTION("""COMPUTED_VALUE"""),"PINKERTON【フルカラー版】")</f>
        <v>PINKERTON【フルカラー版】</v>
      </c>
      <c r="F348" s="298" t="str">
        <f>IFERROR(__xludf.DUMMYFUNCTION("""COMPUTED_VALUE"""),"モノリノ")</f>
        <v>モノリノ</v>
      </c>
      <c r="G348" s="298" t="str">
        <f>IFERROR(__xludf.DUMMYFUNCTION("""COMPUTED_VALUE"""),"オトナコミック")</f>
        <v>オトナコミック</v>
      </c>
      <c r="H348" s="298" t="str">
        <f>IFERROR(__xludf.DUMMYFUNCTION("""COMPUTED_VALUE"""),"2024/11/25～）クレジットカードでの購入のみ停止")</f>
        <v>2024/11/25～）クレジットカードでの購入のみ停止</v>
      </c>
      <c r="I348" s="283"/>
      <c r="J348" s="283"/>
      <c r="K348" s="283"/>
      <c r="L348" s="283"/>
      <c r="M348" s="283"/>
      <c r="N348" s="283"/>
      <c r="O348" s="283"/>
      <c r="P348" s="283"/>
      <c r="Q348" s="278"/>
      <c r="R348" s="278"/>
      <c r="S348" s="278"/>
      <c r="T348" s="278"/>
      <c r="U348" s="278"/>
      <c r="V348" s="278"/>
      <c r="W348" s="278"/>
      <c r="X348" s="278"/>
      <c r="Y348" s="278"/>
      <c r="Z348" s="278"/>
      <c r="AA348" s="278"/>
      <c r="AB348" s="278"/>
      <c r="AC348" s="278"/>
    </row>
    <row r="349" ht="15.75" customHeight="1">
      <c r="A349" s="290" t="str">
        <f>IFERROR(__xludf.DUMMYFUNCTION("""COMPUTED_VALUE"""),"ゴマブックス")</f>
        <v>ゴマブックス</v>
      </c>
      <c r="B349" s="291">
        <f>IFERROR(__xludf.DUMMYFUNCTION("""COMPUTED_VALUE"""),45618.0)</f>
        <v>45618</v>
      </c>
      <c r="C349" s="292"/>
      <c r="D349" s="293">
        <f>IFERROR(__xludf.DUMMYFUNCTION("""COMPUTED_VALUE"""),121101.0)</f>
        <v>121101</v>
      </c>
      <c r="E349" s="290" t="str">
        <f>IFERROR(__xludf.DUMMYFUNCTION("""COMPUTED_VALUE"""),"THEレイプマンDX")</f>
        <v>THEレイプマンDX</v>
      </c>
      <c r="F349" s="298" t="str">
        <f>IFERROR(__xludf.DUMMYFUNCTION("""COMPUTED_VALUE"""),"みやわき心太郎 / 愛崎けい子")</f>
        <v>みやわき心太郎 / 愛崎けい子</v>
      </c>
      <c r="G349" s="298" t="str">
        <f>IFERROR(__xludf.DUMMYFUNCTION("""COMPUTED_VALUE"""),"オトナコミック")</f>
        <v>オトナコミック</v>
      </c>
      <c r="H349" s="298" t="str">
        <f>IFERROR(__xludf.DUMMYFUNCTION("""COMPUTED_VALUE"""),"2024/11/25～）クレジットカードでの購入のみ停止")</f>
        <v>2024/11/25～）クレジットカードでの購入のみ停止</v>
      </c>
      <c r="I349" s="283"/>
      <c r="J349" s="283"/>
      <c r="K349" s="283"/>
      <c r="L349" s="283"/>
      <c r="M349" s="283"/>
      <c r="N349" s="283"/>
      <c r="O349" s="283"/>
      <c r="P349" s="283"/>
      <c r="Q349" s="278"/>
      <c r="R349" s="278"/>
      <c r="S349" s="278"/>
      <c r="T349" s="278"/>
      <c r="U349" s="278"/>
      <c r="V349" s="278"/>
      <c r="W349" s="278"/>
      <c r="X349" s="278"/>
      <c r="Y349" s="278"/>
      <c r="Z349" s="278"/>
      <c r="AA349" s="278"/>
      <c r="AB349" s="278"/>
      <c r="AC349" s="278"/>
    </row>
    <row r="350" ht="15.75" customHeight="1">
      <c r="A350" s="290" t="str">
        <f>IFERROR(__xludf.DUMMYFUNCTION("""COMPUTED_VALUE"""),"ゴマブックス")</f>
        <v>ゴマブックス</v>
      </c>
      <c r="B350" s="291">
        <f>IFERROR(__xludf.DUMMYFUNCTION("""COMPUTED_VALUE"""),45618.0)</f>
        <v>45618</v>
      </c>
      <c r="C350" s="292"/>
      <c r="D350" s="293">
        <f>IFERROR(__xludf.DUMMYFUNCTION("""COMPUTED_VALUE"""),126978.0)</f>
        <v>126978</v>
      </c>
      <c r="E350" s="290" t="str">
        <f>IFERROR(__xludf.DUMMYFUNCTION("""COMPUTED_VALUE"""),"欲望の罠")</f>
        <v>欲望の罠</v>
      </c>
      <c r="F350" s="298" t="str">
        <f>IFERROR(__xludf.DUMMYFUNCTION("""COMPUTED_VALUE"""),"前田俊夫")</f>
        <v>前田俊夫</v>
      </c>
      <c r="G350" s="298" t="str">
        <f>IFERROR(__xludf.DUMMYFUNCTION("""COMPUTED_VALUE"""),"オトナコミック")</f>
        <v>オトナコミック</v>
      </c>
      <c r="H350" s="298" t="str">
        <f>IFERROR(__xludf.DUMMYFUNCTION("""COMPUTED_VALUE"""),"2024/11/25～）クレジットカードでの購入のみ停止")</f>
        <v>2024/11/25～）クレジットカードでの購入のみ停止</v>
      </c>
      <c r="I350" s="283"/>
      <c r="J350" s="283"/>
      <c r="K350" s="283"/>
      <c r="L350" s="283"/>
      <c r="M350" s="283"/>
      <c r="N350" s="283"/>
      <c r="O350" s="283"/>
      <c r="P350" s="283"/>
      <c r="Q350" s="278"/>
      <c r="R350" s="278"/>
      <c r="S350" s="278"/>
      <c r="T350" s="278"/>
      <c r="U350" s="278"/>
      <c r="V350" s="278"/>
      <c r="W350" s="278"/>
      <c r="X350" s="278"/>
      <c r="Y350" s="278"/>
      <c r="Z350" s="278"/>
      <c r="AA350" s="278"/>
      <c r="AB350" s="278"/>
      <c r="AC350" s="278"/>
    </row>
    <row r="351" ht="15.75" customHeight="1">
      <c r="A351" s="290" t="str">
        <f>IFERROR(__xludf.DUMMYFUNCTION("""COMPUTED_VALUE"""),"ゴマブックス")</f>
        <v>ゴマブックス</v>
      </c>
      <c r="B351" s="291">
        <f>IFERROR(__xludf.DUMMYFUNCTION("""COMPUTED_VALUE"""),45618.0)</f>
        <v>45618</v>
      </c>
      <c r="C351" s="292"/>
      <c r="D351" s="293">
        <f>IFERROR(__xludf.DUMMYFUNCTION("""COMPUTED_VALUE"""),134638.0)</f>
        <v>134638</v>
      </c>
      <c r="E351" s="290" t="str">
        <f>IFERROR(__xludf.DUMMYFUNCTION("""COMPUTED_VALUE"""),"制服美少女・屈辱の仕置き")</f>
        <v>制服美少女・屈辱の仕置き</v>
      </c>
      <c r="F351" s="298" t="str">
        <f>IFERROR(__xludf.DUMMYFUNCTION("""COMPUTED_VALUE"""),"三条友美")</f>
        <v>三条友美</v>
      </c>
      <c r="G351" s="298" t="str">
        <f>IFERROR(__xludf.DUMMYFUNCTION("""COMPUTED_VALUE"""),"オトナコミック")</f>
        <v>オトナコミック</v>
      </c>
      <c r="H351" s="298" t="str">
        <f>IFERROR(__xludf.DUMMYFUNCTION("""COMPUTED_VALUE"""),"2024/11/25～）クレジットカードでの購入のみ停止")</f>
        <v>2024/11/25～）クレジットカードでの購入のみ停止</v>
      </c>
      <c r="I351" s="283"/>
      <c r="J351" s="283"/>
      <c r="K351" s="283"/>
      <c r="L351" s="283"/>
      <c r="M351" s="283"/>
      <c r="N351" s="283"/>
      <c r="O351" s="283"/>
      <c r="P351" s="283"/>
      <c r="Q351" s="278"/>
      <c r="R351" s="278"/>
      <c r="S351" s="278"/>
      <c r="T351" s="278"/>
      <c r="U351" s="278"/>
      <c r="V351" s="278"/>
      <c r="W351" s="278"/>
      <c r="X351" s="278"/>
      <c r="Y351" s="278"/>
      <c r="Z351" s="278"/>
      <c r="AA351" s="278"/>
      <c r="AB351" s="278"/>
      <c r="AC351" s="278"/>
    </row>
    <row r="352" ht="15.75" customHeight="1">
      <c r="A352" s="290" t="str">
        <f>IFERROR(__xludf.DUMMYFUNCTION("""COMPUTED_VALUE"""),"ゴマブックス")</f>
        <v>ゴマブックス</v>
      </c>
      <c r="B352" s="291">
        <f>IFERROR(__xludf.DUMMYFUNCTION("""COMPUTED_VALUE"""),45618.0)</f>
        <v>45618</v>
      </c>
      <c r="C352" s="292"/>
      <c r="D352" s="293">
        <f>IFERROR(__xludf.DUMMYFUNCTION("""COMPUTED_VALUE"""),172495.0)</f>
        <v>172495</v>
      </c>
      <c r="E352" s="290" t="str">
        <f>IFERROR(__xludf.DUMMYFUNCTION("""COMPUTED_VALUE"""),"彼女の陰謀2 分冊版")</f>
        <v>彼女の陰謀2 分冊版</v>
      </c>
      <c r="F352" s="298" t="str">
        <f>IFERROR(__xludf.DUMMYFUNCTION("""COMPUTED_VALUE"""),"遊人")</f>
        <v>遊人</v>
      </c>
      <c r="G352" s="298" t="str">
        <f>IFERROR(__xludf.DUMMYFUNCTION("""COMPUTED_VALUE"""),"オトナコミック")</f>
        <v>オトナコミック</v>
      </c>
      <c r="H352" s="298" t="str">
        <f>IFERROR(__xludf.DUMMYFUNCTION("""COMPUTED_VALUE"""),"2024/11/25～）クレジットカードでの購入のみ停止")</f>
        <v>2024/11/25～）クレジットカードでの購入のみ停止</v>
      </c>
      <c r="I352" s="283"/>
      <c r="J352" s="283"/>
      <c r="K352" s="283"/>
      <c r="L352" s="283"/>
      <c r="M352" s="283"/>
      <c r="N352" s="283"/>
      <c r="O352" s="283"/>
      <c r="P352" s="283"/>
      <c r="Q352" s="278"/>
      <c r="R352" s="278"/>
      <c r="S352" s="278"/>
      <c r="T352" s="278"/>
      <c r="U352" s="278"/>
      <c r="V352" s="278"/>
      <c r="W352" s="278"/>
      <c r="X352" s="278"/>
      <c r="Y352" s="278"/>
      <c r="Z352" s="278"/>
      <c r="AA352" s="278"/>
      <c r="AB352" s="278"/>
      <c r="AC352" s="278"/>
    </row>
    <row r="353" ht="15.75" customHeight="1">
      <c r="A353" s="290" t="str">
        <f>IFERROR(__xludf.DUMMYFUNCTION("""COMPUTED_VALUE"""),"ゴマブックス")</f>
        <v>ゴマブックス</v>
      </c>
      <c r="B353" s="291">
        <f>IFERROR(__xludf.DUMMYFUNCTION("""COMPUTED_VALUE"""),45618.0)</f>
        <v>45618</v>
      </c>
      <c r="C353" s="292"/>
      <c r="D353" s="293">
        <f>IFERROR(__xludf.DUMMYFUNCTION("""COMPUTED_VALUE"""),178123.0)</f>
        <v>178123</v>
      </c>
      <c r="E353" s="290" t="str">
        <f>IFERROR(__xludf.DUMMYFUNCTION("""COMPUTED_VALUE"""),"メール・フレンド（単話）")</f>
        <v>メール・フレンド（単話）</v>
      </c>
      <c r="F353" s="298" t="str">
        <f>IFERROR(__xludf.DUMMYFUNCTION("""COMPUTED_VALUE"""),"水ようかん")</f>
        <v>水ようかん</v>
      </c>
      <c r="G353" s="298" t="str">
        <f>IFERROR(__xludf.DUMMYFUNCTION("""COMPUTED_VALUE"""),"オトナコミック")</f>
        <v>オトナコミック</v>
      </c>
      <c r="H353" s="298" t="str">
        <f>IFERROR(__xludf.DUMMYFUNCTION("""COMPUTED_VALUE"""),"2024/11/25～）クレジットカードでの購入のみ停止")</f>
        <v>2024/11/25～）クレジットカードでの購入のみ停止</v>
      </c>
      <c r="I353" s="283"/>
      <c r="J353" s="283"/>
      <c r="K353" s="283"/>
      <c r="L353" s="283"/>
      <c r="M353" s="283"/>
      <c r="N353" s="283"/>
      <c r="O353" s="283"/>
      <c r="P353" s="283"/>
      <c r="Q353" s="278"/>
      <c r="R353" s="278"/>
      <c r="S353" s="278"/>
      <c r="T353" s="278"/>
      <c r="U353" s="278"/>
      <c r="V353" s="278"/>
      <c r="W353" s="278"/>
      <c r="X353" s="278"/>
      <c r="Y353" s="278"/>
      <c r="Z353" s="278"/>
      <c r="AA353" s="278"/>
      <c r="AB353" s="278"/>
      <c r="AC353" s="278"/>
    </row>
    <row r="354" ht="15.75" customHeight="1">
      <c r="A354" s="290" t="str">
        <f>IFERROR(__xludf.DUMMYFUNCTION("""COMPUTED_VALUE"""),"ゴマブックス")</f>
        <v>ゴマブックス</v>
      </c>
      <c r="B354" s="291">
        <f>IFERROR(__xludf.DUMMYFUNCTION("""COMPUTED_VALUE"""),45618.0)</f>
        <v>45618</v>
      </c>
      <c r="C354" s="292"/>
      <c r="D354" s="293">
        <f>IFERROR(__xludf.DUMMYFUNCTION("""COMPUTED_VALUE"""),230791.0)</f>
        <v>230791</v>
      </c>
      <c r="E354" s="290" t="str">
        <f>IFERROR(__xludf.DUMMYFUNCTION("""COMPUTED_VALUE"""),"三条友美全集 （完全版）")</f>
        <v>三条友美全集 （完全版）</v>
      </c>
      <c r="F354" s="298" t="str">
        <f>IFERROR(__xludf.DUMMYFUNCTION("""COMPUTED_VALUE"""),"三条友美")</f>
        <v>三条友美</v>
      </c>
      <c r="G354" s="298" t="str">
        <f>IFERROR(__xludf.DUMMYFUNCTION("""COMPUTED_VALUE"""),"オトナコミック")</f>
        <v>オトナコミック</v>
      </c>
      <c r="H354" s="298" t="str">
        <f>IFERROR(__xludf.DUMMYFUNCTION("""COMPUTED_VALUE"""),"2024/11/25～）クレジットカードでの購入のみ停止")</f>
        <v>2024/11/25～）クレジットカードでの購入のみ停止</v>
      </c>
      <c r="I354" s="283"/>
      <c r="J354" s="283"/>
      <c r="K354" s="283"/>
      <c r="L354" s="283"/>
      <c r="M354" s="283"/>
      <c r="N354" s="283"/>
      <c r="O354" s="283"/>
      <c r="P354" s="283"/>
      <c r="Q354" s="278"/>
      <c r="R354" s="278"/>
      <c r="S354" s="278"/>
      <c r="T354" s="278"/>
      <c r="U354" s="278"/>
      <c r="V354" s="278"/>
      <c r="W354" s="278"/>
      <c r="X354" s="278"/>
      <c r="Y354" s="278"/>
      <c r="Z354" s="278"/>
      <c r="AA354" s="278"/>
      <c r="AB354" s="278"/>
      <c r="AC354" s="278"/>
    </row>
    <row r="355" ht="15.75" customHeight="1">
      <c r="A355" s="290" t="str">
        <f>IFERROR(__xludf.DUMMYFUNCTION("""COMPUTED_VALUE"""),"コミックハウス")</f>
        <v>コミックハウス</v>
      </c>
      <c r="B355" s="291">
        <f>IFERROR(__xludf.DUMMYFUNCTION("""COMPUTED_VALUE"""),45618.0)</f>
        <v>45618</v>
      </c>
      <c r="C355" s="292"/>
      <c r="D355" s="293">
        <f>IFERROR(__xludf.DUMMYFUNCTION("""COMPUTED_VALUE"""),152261.0)</f>
        <v>152261</v>
      </c>
      <c r="E355" s="290" t="str">
        <f>IFERROR(__xludf.DUMMYFUNCTION("""COMPUTED_VALUE"""),"校内売春")</f>
        <v>校内売春</v>
      </c>
      <c r="F355" s="298" t="str">
        <f>IFERROR(__xludf.DUMMYFUNCTION("""COMPUTED_VALUE"""),"inono")</f>
        <v>inono</v>
      </c>
      <c r="G355" s="298" t="str">
        <f>IFERROR(__xludf.DUMMYFUNCTION("""COMPUTED_VALUE"""),"オトナコミック")</f>
        <v>オトナコミック</v>
      </c>
      <c r="H355" s="298" t="str">
        <f>IFERROR(__xludf.DUMMYFUNCTION("""COMPUTED_VALUE"""),"2024/11/25～）クレジットカードでの購入のみ停止")</f>
        <v>2024/11/25～）クレジットカードでの購入のみ停止</v>
      </c>
      <c r="I355" s="283"/>
      <c r="J355" s="283"/>
      <c r="K355" s="283"/>
      <c r="L355" s="283"/>
      <c r="M355" s="283"/>
      <c r="N355" s="283"/>
      <c r="O355" s="283"/>
      <c r="P355" s="283"/>
      <c r="Q355" s="278"/>
      <c r="R355" s="278"/>
      <c r="S355" s="278"/>
      <c r="T355" s="278"/>
      <c r="U355" s="278"/>
      <c r="V355" s="278"/>
      <c r="W355" s="278"/>
      <c r="X355" s="278"/>
      <c r="Y355" s="278"/>
      <c r="Z355" s="278"/>
      <c r="AA355" s="278"/>
      <c r="AB355" s="278"/>
      <c r="AC355" s="278"/>
    </row>
    <row r="356" ht="15.75" customHeight="1">
      <c r="A356" s="290" t="str">
        <f>IFERROR(__xludf.DUMMYFUNCTION("""COMPUTED_VALUE"""),"コミックハウス")</f>
        <v>コミックハウス</v>
      </c>
      <c r="B356" s="291">
        <f>IFERROR(__xludf.DUMMYFUNCTION("""COMPUTED_VALUE"""),45618.0)</f>
        <v>45618</v>
      </c>
      <c r="C356" s="292"/>
      <c r="D356" s="293">
        <f>IFERROR(__xludf.DUMMYFUNCTION("""COMPUTED_VALUE"""),163363.0)</f>
        <v>163363</v>
      </c>
      <c r="E356" s="290" t="str">
        <f>IFERROR(__xludf.DUMMYFUNCTION("""COMPUTED_VALUE"""),"僕とイトコのお姉さんと")</f>
        <v>僕とイトコのお姉さんと</v>
      </c>
      <c r="F356" s="298" t="str">
        <f>IFERROR(__xludf.DUMMYFUNCTION("""COMPUTED_VALUE"""),"木静謙二")</f>
        <v>木静謙二</v>
      </c>
      <c r="G356" s="298" t="str">
        <f>IFERROR(__xludf.DUMMYFUNCTION("""COMPUTED_VALUE"""),"コミック誌")</f>
        <v>コミック誌</v>
      </c>
      <c r="H356" s="298" t="str">
        <f>IFERROR(__xludf.DUMMYFUNCTION("""COMPUTED_VALUE"""),"2024/11/25～）クレジットカードでの購入のみ停止")</f>
        <v>2024/11/25～）クレジットカードでの購入のみ停止</v>
      </c>
      <c r="I356" s="283"/>
      <c r="J356" s="283"/>
      <c r="K356" s="283"/>
      <c r="L356" s="283"/>
      <c r="M356" s="283"/>
      <c r="N356" s="283"/>
      <c r="O356" s="283"/>
      <c r="P356" s="283"/>
      <c r="Q356" s="278"/>
      <c r="R356" s="278"/>
      <c r="S356" s="278"/>
      <c r="T356" s="278"/>
      <c r="U356" s="278"/>
      <c r="V356" s="278"/>
      <c r="W356" s="278"/>
      <c r="X356" s="278"/>
      <c r="Y356" s="278"/>
      <c r="Z356" s="278"/>
      <c r="AA356" s="278"/>
      <c r="AB356" s="278"/>
      <c r="AC356" s="278"/>
    </row>
    <row r="357" ht="15.75" customHeight="1">
      <c r="A357" s="290" t="str">
        <f>IFERROR(__xludf.DUMMYFUNCTION("""COMPUTED_VALUE"""),"サイコロブックス")</f>
        <v>サイコロブックス</v>
      </c>
      <c r="B357" s="291">
        <f>IFERROR(__xludf.DUMMYFUNCTION("""COMPUTED_VALUE"""),45618.0)</f>
        <v>45618</v>
      </c>
      <c r="C357" s="292"/>
      <c r="D357" s="293">
        <f>IFERROR(__xludf.DUMMYFUNCTION("""COMPUTED_VALUE"""),236390.0)</f>
        <v>236390</v>
      </c>
      <c r="E357" s="290" t="str">
        <f>IFERROR(__xludf.DUMMYFUNCTION("""COMPUTED_VALUE"""),"真衣ちゃんしか勝たん【単話】")</f>
        <v>真衣ちゃんしか勝たん【単話】</v>
      </c>
      <c r="F357" s="298" t="str">
        <f>IFERROR(__xludf.DUMMYFUNCTION("""COMPUTED_VALUE"""),"空巣")</f>
        <v>空巣</v>
      </c>
      <c r="G357" s="298" t="str">
        <f>IFERROR(__xludf.DUMMYFUNCTION("""COMPUTED_VALUE"""),"オトナコミック")</f>
        <v>オトナコミック</v>
      </c>
      <c r="H357" s="298" t="str">
        <f>IFERROR(__xludf.DUMMYFUNCTION("""COMPUTED_VALUE"""),"2024/11/25～）クレジットカードでの購入のみ停止")</f>
        <v>2024/11/25～）クレジットカードでの購入のみ停止</v>
      </c>
      <c r="I357" s="283"/>
      <c r="J357" s="283"/>
      <c r="K357" s="283"/>
      <c r="L357" s="283"/>
      <c r="M357" s="283"/>
      <c r="N357" s="283"/>
      <c r="O357" s="283"/>
      <c r="P357" s="283"/>
      <c r="Q357" s="278"/>
      <c r="R357" s="278"/>
      <c r="S357" s="278"/>
      <c r="T357" s="278"/>
      <c r="U357" s="278"/>
      <c r="V357" s="278"/>
      <c r="W357" s="278"/>
      <c r="X357" s="278"/>
      <c r="Y357" s="278"/>
      <c r="Z357" s="278"/>
      <c r="AA357" s="278"/>
      <c r="AB357" s="278"/>
      <c r="AC357" s="278"/>
    </row>
    <row r="358" ht="15.75" customHeight="1">
      <c r="A358" s="290" t="str">
        <f>IFERROR(__xludf.DUMMYFUNCTION("""COMPUTED_VALUE"""),"サイコロブックス")</f>
        <v>サイコロブックス</v>
      </c>
      <c r="B358" s="291">
        <f>IFERROR(__xludf.DUMMYFUNCTION("""COMPUTED_VALUE"""),45618.0)</f>
        <v>45618</v>
      </c>
      <c r="C358" s="292"/>
      <c r="D358" s="293">
        <f>IFERROR(__xludf.DUMMYFUNCTION("""COMPUTED_VALUE"""),240272.0)</f>
        <v>240272</v>
      </c>
      <c r="E358" s="290" t="str">
        <f>IFERROR(__xludf.DUMMYFUNCTION("""COMPUTED_VALUE"""),"MONEY TRAP【単話】")</f>
        <v>MONEY TRAP【単話】</v>
      </c>
      <c r="F358" s="298" t="str">
        <f>IFERROR(__xludf.DUMMYFUNCTION("""COMPUTED_VALUE"""),"終焉")</f>
        <v>終焉</v>
      </c>
      <c r="G358" s="298" t="str">
        <f>IFERROR(__xludf.DUMMYFUNCTION("""COMPUTED_VALUE"""),"オトナコミック")</f>
        <v>オトナコミック</v>
      </c>
      <c r="H358" s="298" t="str">
        <f>IFERROR(__xludf.DUMMYFUNCTION("""COMPUTED_VALUE"""),"2024/11/25～）クレジットカードでの購入のみ停止")</f>
        <v>2024/11/25～）クレジットカードでの購入のみ停止</v>
      </c>
      <c r="I358" s="283"/>
      <c r="J358" s="283"/>
      <c r="K358" s="283"/>
      <c r="L358" s="283"/>
      <c r="M358" s="283"/>
      <c r="N358" s="283"/>
      <c r="O358" s="283"/>
      <c r="P358" s="283"/>
      <c r="Q358" s="278"/>
      <c r="R358" s="278"/>
      <c r="S358" s="278"/>
      <c r="T358" s="278"/>
      <c r="U358" s="278"/>
      <c r="V358" s="278"/>
      <c r="W358" s="278"/>
      <c r="X358" s="278"/>
      <c r="Y358" s="278"/>
      <c r="Z358" s="278"/>
      <c r="AA358" s="278"/>
      <c r="AB358" s="278"/>
      <c r="AC358" s="278"/>
    </row>
    <row r="359" ht="15.75" customHeight="1">
      <c r="A359" s="290" t="str">
        <f>IFERROR(__xludf.DUMMYFUNCTION("""COMPUTED_VALUE"""),"サイコロブックス")</f>
        <v>サイコロブックス</v>
      </c>
      <c r="B359" s="291">
        <f>IFERROR(__xludf.DUMMYFUNCTION("""COMPUTED_VALUE"""),45618.0)</f>
        <v>45618</v>
      </c>
      <c r="C359" s="292"/>
      <c r="D359" s="293">
        <f>IFERROR(__xludf.DUMMYFUNCTION("""COMPUTED_VALUE"""),248450.0)</f>
        <v>248450</v>
      </c>
      <c r="E359" s="290" t="str">
        <f>IFERROR(__xludf.DUMMYFUNCTION("""COMPUTED_VALUE"""),"先生指導【単話】")</f>
        <v>先生指導【単話】</v>
      </c>
      <c r="F359" s="298" t="str">
        <f>IFERROR(__xludf.DUMMYFUNCTION("""COMPUTED_VALUE"""),"ひみの")</f>
        <v>ひみの</v>
      </c>
      <c r="G359" s="298" t="str">
        <f>IFERROR(__xludf.DUMMYFUNCTION("""COMPUTED_VALUE"""),"オトナコミック")</f>
        <v>オトナコミック</v>
      </c>
      <c r="H359" s="298" t="str">
        <f>IFERROR(__xludf.DUMMYFUNCTION("""COMPUTED_VALUE"""),"2024/11/25～）クレジットカードでの購入のみ停止")</f>
        <v>2024/11/25～）クレジットカードでの購入のみ停止</v>
      </c>
      <c r="I359" s="283"/>
      <c r="J359" s="283"/>
      <c r="K359" s="283"/>
      <c r="L359" s="283"/>
      <c r="M359" s="283"/>
      <c r="N359" s="283"/>
      <c r="O359" s="283"/>
      <c r="P359" s="283"/>
      <c r="Q359" s="278"/>
      <c r="R359" s="278"/>
      <c r="S359" s="278"/>
      <c r="T359" s="278"/>
      <c r="U359" s="278"/>
      <c r="V359" s="278"/>
      <c r="W359" s="278"/>
      <c r="X359" s="278"/>
      <c r="Y359" s="278"/>
      <c r="Z359" s="278"/>
      <c r="AA359" s="278"/>
      <c r="AB359" s="278"/>
      <c r="AC359" s="278"/>
    </row>
    <row r="360" ht="15.75" customHeight="1">
      <c r="A360" s="290" t="str">
        <f>IFERROR(__xludf.DUMMYFUNCTION("""COMPUTED_VALUE"""),"ジーウォーク")</f>
        <v>ジーウォーク</v>
      </c>
      <c r="B360" s="291">
        <f>IFERROR(__xludf.DUMMYFUNCTION("""COMPUTED_VALUE"""),45618.0)</f>
        <v>45618</v>
      </c>
      <c r="C360" s="292"/>
      <c r="D360" s="293">
        <f>IFERROR(__xludf.DUMMYFUNCTION("""COMPUTED_VALUE"""),100049.0)</f>
        <v>100049</v>
      </c>
      <c r="E360" s="290" t="str">
        <f>IFERROR(__xludf.DUMMYFUNCTION("""COMPUTED_VALUE"""),"背徳家族")</f>
        <v>背徳家族</v>
      </c>
      <c r="F360" s="298" t="str">
        <f>IFERROR(__xludf.DUMMYFUNCTION("""COMPUTED_VALUE"""),"萬蔵")</f>
        <v>萬蔵</v>
      </c>
      <c r="G360" s="298" t="str">
        <f>IFERROR(__xludf.DUMMYFUNCTION("""COMPUTED_VALUE"""),"オトナコミック")</f>
        <v>オトナコミック</v>
      </c>
      <c r="H360" s="298" t="str">
        <f>IFERROR(__xludf.DUMMYFUNCTION("""COMPUTED_VALUE"""),"2024/11/25～）クレジットカードでの購入のみ停止")</f>
        <v>2024/11/25～）クレジットカードでの購入のみ停止</v>
      </c>
      <c r="I360" s="283"/>
      <c r="J360" s="283"/>
      <c r="K360" s="283"/>
      <c r="L360" s="283"/>
      <c r="M360" s="283"/>
      <c r="N360" s="283"/>
      <c r="O360" s="283"/>
      <c r="P360" s="283"/>
      <c r="Q360" s="278"/>
      <c r="R360" s="278"/>
      <c r="S360" s="278"/>
      <c r="T360" s="278"/>
      <c r="U360" s="278"/>
      <c r="V360" s="278"/>
      <c r="W360" s="278"/>
      <c r="X360" s="278"/>
      <c r="Y360" s="278"/>
      <c r="Z360" s="278"/>
      <c r="AA360" s="278"/>
      <c r="AB360" s="278"/>
      <c r="AC360" s="278"/>
    </row>
    <row r="361" ht="15.75" customHeight="1">
      <c r="A361" s="290" t="str">
        <f>IFERROR(__xludf.DUMMYFUNCTION("""COMPUTED_VALUE"""),"ジーウォーク")</f>
        <v>ジーウォーク</v>
      </c>
      <c r="B361" s="291">
        <f>IFERROR(__xludf.DUMMYFUNCTION("""COMPUTED_VALUE"""),45618.0)</f>
        <v>45618</v>
      </c>
      <c r="C361" s="292"/>
      <c r="D361" s="293">
        <f>IFERROR(__xludf.DUMMYFUNCTION("""COMPUTED_VALUE"""),109120.0)</f>
        <v>109120</v>
      </c>
      <c r="E361" s="290" t="str">
        <f>IFERROR(__xludf.DUMMYFUNCTION("""COMPUTED_VALUE"""),"催淫彼女～どうしてこんなにHになるの？～")</f>
        <v>催淫彼女～どうしてこんなにHになるの？～</v>
      </c>
      <c r="F361" s="298" t="str">
        <f>IFERROR(__xludf.DUMMYFUNCTION("""COMPUTED_VALUE"""),"ノレソレ")</f>
        <v>ノレソレ</v>
      </c>
      <c r="G361" s="298" t="str">
        <f>IFERROR(__xludf.DUMMYFUNCTION("""COMPUTED_VALUE"""),"オトナコミック")</f>
        <v>オトナコミック</v>
      </c>
      <c r="H361" s="298" t="str">
        <f>IFERROR(__xludf.DUMMYFUNCTION("""COMPUTED_VALUE"""),"2024/11/25～）クレジットカードでの購入のみ停止")</f>
        <v>2024/11/25～）クレジットカードでの購入のみ停止</v>
      </c>
      <c r="I361" s="283"/>
      <c r="J361" s="283"/>
      <c r="K361" s="283"/>
      <c r="L361" s="283"/>
      <c r="M361" s="283"/>
      <c r="N361" s="283"/>
      <c r="O361" s="283"/>
      <c r="P361" s="283"/>
      <c r="Q361" s="278"/>
      <c r="R361" s="278"/>
      <c r="S361" s="278"/>
      <c r="T361" s="278"/>
      <c r="U361" s="278"/>
      <c r="V361" s="278"/>
      <c r="W361" s="278"/>
      <c r="X361" s="278"/>
      <c r="Y361" s="278"/>
      <c r="Z361" s="278"/>
      <c r="AA361" s="278"/>
      <c r="AB361" s="278"/>
      <c r="AC361" s="278"/>
    </row>
    <row r="362" ht="15.75" customHeight="1">
      <c r="A362" s="290" t="str">
        <f>IFERROR(__xludf.DUMMYFUNCTION("""COMPUTED_VALUE"""),"ジーウォーク")</f>
        <v>ジーウォーク</v>
      </c>
      <c r="B362" s="291">
        <f>IFERROR(__xludf.DUMMYFUNCTION("""COMPUTED_VALUE"""),45618.0)</f>
        <v>45618</v>
      </c>
      <c r="C362" s="292"/>
      <c r="D362" s="293">
        <f>IFERROR(__xludf.DUMMYFUNCTION("""COMPUTED_VALUE"""),182063.0)</f>
        <v>182063</v>
      </c>
      <c r="E362" s="290" t="str">
        <f>IFERROR(__xludf.DUMMYFUNCTION("""COMPUTED_VALUE"""),"穢されたサルビア")</f>
        <v>穢されたサルビア</v>
      </c>
      <c r="F362" s="298" t="str">
        <f>IFERROR(__xludf.DUMMYFUNCTION("""COMPUTED_VALUE"""),"貴道 / リブート編集部")</f>
        <v>貴道 / リブート編集部</v>
      </c>
      <c r="G362" s="298" t="str">
        <f>IFERROR(__xludf.DUMMYFUNCTION("""COMPUTED_VALUE"""),"オトナコミック")</f>
        <v>オトナコミック</v>
      </c>
      <c r="H362" s="298" t="str">
        <f>IFERROR(__xludf.DUMMYFUNCTION("""COMPUTED_VALUE"""),"2024/11/25～）クレジットカードでの購入のみ停止")</f>
        <v>2024/11/25～）クレジットカードでの購入のみ停止</v>
      </c>
      <c r="I362" s="283"/>
      <c r="J362" s="283"/>
      <c r="K362" s="283"/>
      <c r="L362" s="283"/>
      <c r="M362" s="283"/>
      <c r="N362" s="283"/>
      <c r="O362" s="283"/>
      <c r="P362" s="283"/>
      <c r="Q362" s="278"/>
      <c r="R362" s="278"/>
      <c r="S362" s="278"/>
      <c r="T362" s="278"/>
      <c r="U362" s="278"/>
      <c r="V362" s="278"/>
      <c r="W362" s="278"/>
      <c r="X362" s="278"/>
      <c r="Y362" s="278"/>
      <c r="Z362" s="278"/>
      <c r="AA362" s="278"/>
      <c r="AB362" s="278"/>
      <c r="AC362" s="278"/>
    </row>
    <row r="363" ht="15.75" customHeight="1">
      <c r="A363" s="290" t="str">
        <f>IFERROR(__xludf.DUMMYFUNCTION("""COMPUTED_VALUE"""),"ジーウォーク")</f>
        <v>ジーウォーク</v>
      </c>
      <c r="B363" s="291">
        <f>IFERROR(__xludf.DUMMYFUNCTION("""COMPUTED_VALUE"""),45618.0)</f>
        <v>45618</v>
      </c>
      <c r="C363" s="292"/>
      <c r="D363" s="293">
        <f>IFERROR(__xludf.DUMMYFUNCTION("""COMPUTED_VALUE"""),190039.0)</f>
        <v>190039</v>
      </c>
      <c r="E363" s="290" t="str">
        <f>IFERROR(__xludf.DUMMYFUNCTION("""COMPUTED_VALUE"""),"【電子合本版】催淫いいなりデカ乳ペット")</f>
        <v>【電子合本版】催淫いいなりデカ乳ペット</v>
      </c>
      <c r="F363" s="298" t="str">
        <f>IFERROR(__xludf.DUMMYFUNCTION("""COMPUTED_VALUE"""),"テラダ・ジャッカス")</f>
        <v>テラダ・ジャッカス</v>
      </c>
      <c r="G363" s="298" t="str">
        <f>IFERROR(__xludf.DUMMYFUNCTION("""COMPUTED_VALUE"""),"オトナコミック")</f>
        <v>オトナコミック</v>
      </c>
      <c r="H363" s="298" t="str">
        <f>IFERROR(__xludf.DUMMYFUNCTION("""COMPUTED_VALUE"""),"2024/11/25～）クレジットカードでの購入のみ停止")</f>
        <v>2024/11/25～）クレジットカードでの購入のみ停止</v>
      </c>
      <c r="I363" s="283"/>
      <c r="J363" s="283"/>
      <c r="K363" s="283"/>
      <c r="L363" s="283"/>
      <c r="M363" s="283"/>
      <c r="N363" s="283"/>
      <c r="O363" s="283"/>
      <c r="P363" s="283"/>
      <c r="Q363" s="278"/>
      <c r="R363" s="278"/>
      <c r="S363" s="278"/>
      <c r="T363" s="278"/>
      <c r="U363" s="278"/>
      <c r="V363" s="278"/>
      <c r="W363" s="278"/>
      <c r="X363" s="278"/>
      <c r="Y363" s="278"/>
      <c r="Z363" s="278"/>
      <c r="AA363" s="278"/>
      <c r="AB363" s="278"/>
      <c r="AC363" s="278"/>
    </row>
    <row r="364" ht="15.75" customHeight="1">
      <c r="A364" s="290" t="str">
        <f>IFERROR(__xludf.DUMMYFUNCTION("""COMPUTED_VALUE"""),"ジーウォーク")</f>
        <v>ジーウォーク</v>
      </c>
      <c r="B364" s="291">
        <f>IFERROR(__xludf.DUMMYFUNCTION("""COMPUTED_VALUE"""),45618.0)</f>
        <v>45618</v>
      </c>
      <c r="C364" s="292"/>
      <c r="D364" s="293">
        <f>IFERROR(__xludf.DUMMYFUNCTION("""COMPUTED_VALUE"""),202501.0)</f>
        <v>202501</v>
      </c>
      <c r="E364" s="290" t="str">
        <f>IFERROR(__xludf.DUMMYFUNCTION("""COMPUTED_VALUE"""),"桜と蘭の散るころ【Sハード】")</f>
        <v>桜と蘭の散るころ【Sハード】</v>
      </c>
      <c r="F364" s="298" t="str">
        <f>IFERROR(__xludf.DUMMYFUNCTION("""COMPUTED_VALUE"""),"神保ひとで")</f>
        <v>神保ひとで</v>
      </c>
      <c r="G364" s="298" t="str">
        <f>IFERROR(__xludf.DUMMYFUNCTION("""COMPUTED_VALUE"""),"オトナコミック")</f>
        <v>オトナコミック</v>
      </c>
      <c r="H364" s="298" t="str">
        <f>IFERROR(__xludf.DUMMYFUNCTION("""COMPUTED_VALUE"""),"2024/11/25～）クレジットカードでの購入のみ停止")</f>
        <v>2024/11/25～）クレジットカードでの購入のみ停止</v>
      </c>
      <c r="I364" s="283"/>
      <c r="J364" s="283"/>
      <c r="K364" s="283"/>
      <c r="L364" s="283"/>
      <c r="M364" s="283"/>
      <c r="N364" s="283"/>
      <c r="O364" s="283"/>
      <c r="P364" s="283"/>
      <c r="Q364" s="278"/>
      <c r="R364" s="278"/>
      <c r="S364" s="278"/>
      <c r="T364" s="278"/>
      <c r="U364" s="278"/>
      <c r="V364" s="278"/>
      <c r="W364" s="278"/>
      <c r="X364" s="278"/>
      <c r="Y364" s="278"/>
      <c r="Z364" s="278"/>
      <c r="AA364" s="278"/>
      <c r="AB364" s="278"/>
      <c r="AC364" s="278"/>
    </row>
    <row r="365" ht="15.75" customHeight="1">
      <c r="A365" s="290" t="str">
        <f>IFERROR(__xludf.DUMMYFUNCTION("""COMPUTED_VALUE"""),"ジーウォーク")</f>
        <v>ジーウォーク</v>
      </c>
      <c r="B365" s="291">
        <f>IFERROR(__xludf.DUMMYFUNCTION("""COMPUTED_VALUE"""),45618.0)</f>
        <v>45618</v>
      </c>
      <c r="C365" s="292"/>
      <c r="D365" s="293">
        <f>IFERROR(__xludf.DUMMYFUNCTION("""COMPUTED_VALUE"""),202577.0)</f>
        <v>202577</v>
      </c>
      <c r="E365" s="290" t="str">
        <f>IFERROR(__xludf.DUMMYFUNCTION("""COMPUTED_VALUE"""),"陵辱のロンド【Sハード】")</f>
        <v>陵辱のロンド【Sハード】</v>
      </c>
      <c r="F365" s="298" t="str">
        <f>IFERROR(__xludf.DUMMYFUNCTION("""COMPUTED_VALUE"""),"夜馬勝絵")</f>
        <v>夜馬勝絵</v>
      </c>
      <c r="G365" s="298" t="str">
        <f>IFERROR(__xludf.DUMMYFUNCTION("""COMPUTED_VALUE"""),"オトナコミック")</f>
        <v>オトナコミック</v>
      </c>
      <c r="H365" s="298" t="str">
        <f>IFERROR(__xludf.DUMMYFUNCTION("""COMPUTED_VALUE"""),"2024/11/25～）クレジットカードでの購入のみ停止")</f>
        <v>2024/11/25～）クレジットカードでの購入のみ停止</v>
      </c>
      <c r="I365" s="283"/>
      <c r="J365" s="283"/>
      <c r="K365" s="283"/>
      <c r="L365" s="283"/>
      <c r="M365" s="283"/>
      <c r="N365" s="283"/>
      <c r="O365" s="283"/>
      <c r="P365" s="283"/>
      <c r="Q365" s="278"/>
      <c r="R365" s="278"/>
      <c r="S365" s="278"/>
      <c r="T365" s="278"/>
      <c r="U365" s="278"/>
      <c r="V365" s="278"/>
      <c r="W365" s="278"/>
      <c r="X365" s="278"/>
      <c r="Y365" s="278"/>
      <c r="Z365" s="278"/>
      <c r="AA365" s="278"/>
      <c r="AB365" s="278"/>
      <c r="AC365" s="278"/>
    </row>
    <row r="366" ht="15.75" customHeight="1">
      <c r="A366" s="290" t="str">
        <f>IFERROR(__xludf.DUMMYFUNCTION("""COMPUTED_VALUE"""),"ジーウォーク")</f>
        <v>ジーウォーク</v>
      </c>
      <c r="B366" s="291">
        <f>IFERROR(__xludf.DUMMYFUNCTION("""COMPUTED_VALUE"""),45618.0)</f>
        <v>45618</v>
      </c>
      <c r="C366" s="292"/>
      <c r="D366" s="293">
        <f>IFERROR(__xludf.DUMMYFUNCTION("""COMPUTED_VALUE"""),202582.0)</f>
        <v>202582</v>
      </c>
      <c r="E366" s="290" t="str">
        <f>IFERROR(__xludf.DUMMYFUNCTION("""COMPUTED_VALUE"""),"巨乳寝取られスパイラル【Sハード】")</f>
        <v>巨乳寝取られスパイラル【Sハード】</v>
      </c>
      <c r="F366" s="298" t="str">
        <f>IFERROR(__xludf.DUMMYFUNCTION("""COMPUTED_VALUE"""),"よこたかずゆき")</f>
        <v>よこたかずゆき</v>
      </c>
      <c r="G366" s="298" t="str">
        <f>IFERROR(__xludf.DUMMYFUNCTION("""COMPUTED_VALUE"""),"オトナコミック")</f>
        <v>オトナコミック</v>
      </c>
      <c r="H366" s="298" t="str">
        <f>IFERROR(__xludf.DUMMYFUNCTION("""COMPUTED_VALUE"""),"2024/11/25～）クレジットカードでの購入のみ停止")</f>
        <v>2024/11/25～）クレジットカードでの購入のみ停止</v>
      </c>
      <c r="I366" s="283"/>
      <c r="J366" s="283"/>
      <c r="K366" s="283"/>
      <c r="L366" s="283"/>
      <c r="M366" s="283"/>
      <c r="N366" s="283"/>
      <c r="O366" s="283"/>
      <c r="P366" s="283"/>
      <c r="Q366" s="278"/>
      <c r="R366" s="278"/>
      <c r="S366" s="278"/>
      <c r="T366" s="278"/>
      <c r="U366" s="278"/>
      <c r="V366" s="278"/>
      <c r="W366" s="278"/>
      <c r="X366" s="278"/>
      <c r="Y366" s="278"/>
      <c r="Z366" s="278"/>
      <c r="AA366" s="278"/>
      <c r="AB366" s="278"/>
      <c r="AC366" s="278"/>
    </row>
    <row r="367" ht="15.75" customHeight="1">
      <c r="A367" s="290" t="str">
        <f>IFERROR(__xludf.DUMMYFUNCTION("""COMPUTED_VALUE"""),"ジーウォーク")</f>
        <v>ジーウォーク</v>
      </c>
      <c r="B367" s="291">
        <f>IFERROR(__xludf.DUMMYFUNCTION("""COMPUTED_VALUE"""),45618.0)</f>
        <v>45618</v>
      </c>
      <c r="C367" s="292"/>
      <c r="D367" s="293">
        <f>IFERROR(__xludf.DUMMYFUNCTION("""COMPUTED_VALUE"""),202594.0)</f>
        <v>202594</v>
      </c>
      <c r="E367" s="290" t="str">
        <f>IFERROR(__xludf.DUMMYFUNCTION("""COMPUTED_VALUE"""),"巨乳優等生～ドMの淫乱雌豚に大変身！～")</f>
        <v>巨乳優等生～ドMの淫乱雌豚に大変身！～</v>
      </c>
      <c r="F367" s="298" t="str">
        <f>IFERROR(__xludf.DUMMYFUNCTION("""COMPUTED_VALUE"""),"リリスラウダ")</f>
        <v>リリスラウダ</v>
      </c>
      <c r="G367" s="298" t="str">
        <f>IFERROR(__xludf.DUMMYFUNCTION("""COMPUTED_VALUE"""),"オトナコミック")</f>
        <v>オトナコミック</v>
      </c>
      <c r="H367" s="298" t="str">
        <f>IFERROR(__xludf.DUMMYFUNCTION("""COMPUTED_VALUE"""),"2024/11/25～）クレジットカードでの購入のみ停止")</f>
        <v>2024/11/25～）クレジットカードでの購入のみ停止</v>
      </c>
      <c r="I367" s="283"/>
      <c r="J367" s="283"/>
      <c r="K367" s="283"/>
      <c r="L367" s="283"/>
      <c r="M367" s="283"/>
      <c r="N367" s="283"/>
      <c r="O367" s="283"/>
      <c r="P367" s="283"/>
      <c r="Q367" s="278"/>
      <c r="R367" s="278"/>
      <c r="S367" s="278"/>
      <c r="T367" s="278"/>
      <c r="U367" s="278"/>
      <c r="V367" s="278"/>
      <c r="W367" s="278"/>
      <c r="X367" s="278"/>
      <c r="Y367" s="278"/>
      <c r="Z367" s="278"/>
      <c r="AA367" s="278"/>
      <c r="AB367" s="278"/>
      <c r="AC367" s="278"/>
    </row>
    <row r="368" ht="15.75" customHeight="1">
      <c r="A368" s="290" t="str">
        <f>IFERROR(__xludf.DUMMYFUNCTION("""COMPUTED_VALUE"""),"ジーウォーク")</f>
        <v>ジーウォーク</v>
      </c>
      <c r="B368" s="291">
        <f>IFERROR(__xludf.DUMMYFUNCTION("""COMPUTED_VALUE"""),45618.0)</f>
        <v>45618</v>
      </c>
      <c r="C368" s="292"/>
      <c r="D368" s="293">
        <f>IFERROR(__xludf.DUMMYFUNCTION("""COMPUTED_VALUE"""),202641.0)</f>
        <v>202641</v>
      </c>
      <c r="E368" s="290" t="str">
        <f>IFERROR(__xludf.DUMMYFUNCTION("""COMPUTED_VALUE"""),"【単行本版】監獄調教島")</f>
        <v>【単行本版】監獄調教島</v>
      </c>
      <c r="F368" s="298" t="str">
        <f>IFERROR(__xludf.DUMMYFUNCTION("""COMPUTED_VALUE"""),"たねなしくりぼ")</f>
        <v>たねなしくりぼ</v>
      </c>
      <c r="G368" s="298" t="str">
        <f>IFERROR(__xludf.DUMMYFUNCTION("""COMPUTED_VALUE"""),"オトナコミック")</f>
        <v>オトナコミック</v>
      </c>
      <c r="H368" s="298" t="str">
        <f>IFERROR(__xludf.DUMMYFUNCTION("""COMPUTED_VALUE"""),"2024/11/25～）クレジットカードでの購入のみ停止")</f>
        <v>2024/11/25～）クレジットカードでの購入のみ停止</v>
      </c>
      <c r="I368" s="283"/>
      <c r="J368" s="283"/>
      <c r="K368" s="283"/>
      <c r="L368" s="283"/>
      <c r="M368" s="283"/>
      <c r="N368" s="283"/>
      <c r="O368" s="283"/>
      <c r="P368" s="283"/>
      <c r="Q368" s="278"/>
      <c r="R368" s="278"/>
      <c r="S368" s="278"/>
      <c r="T368" s="278"/>
      <c r="U368" s="278"/>
      <c r="V368" s="278"/>
      <c r="W368" s="278"/>
      <c r="X368" s="278"/>
      <c r="Y368" s="278"/>
      <c r="Z368" s="278"/>
      <c r="AA368" s="278"/>
      <c r="AB368" s="278"/>
      <c r="AC368" s="278"/>
    </row>
    <row r="369" ht="15.75" customHeight="1">
      <c r="A369" s="290" t="str">
        <f>IFERROR(__xludf.DUMMYFUNCTION("""COMPUTED_VALUE"""),"ジーウォーク")</f>
        <v>ジーウォーク</v>
      </c>
      <c r="B369" s="291">
        <f>IFERROR(__xludf.DUMMYFUNCTION("""COMPUTED_VALUE"""),45618.0)</f>
        <v>45618</v>
      </c>
      <c r="C369" s="292"/>
      <c r="D369" s="293">
        <f>IFERROR(__xludf.DUMMYFUNCTION("""COMPUTED_VALUE"""),215029.0)</f>
        <v>215029</v>
      </c>
      <c r="E369" s="290" t="str">
        <f>IFERROR(__xludf.DUMMYFUNCTION("""COMPUTED_VALUE"""),"堕ちた涙")</f>
        <v>堕ちた涙</v>
      </c>
      <c r="F369" s="298" t="str">
        <f>IFERROR(__xludf.DUMMYFUNCTION("""COMPUTED_VALUE"""),"貴道 / リブート編集部")</f>
        <v>貴道 / リブート編集部</v>
      </c>
      <c r="G369" s="298" t="str">
        <f>IFERROR(__xludf.DUMMYFUNCTION("""COMPUTED_VALUE"""),"オトナコミック")</f>
        <v>オトナコミック</v>
      </c>
      <c r="H369" s="298" t="str">
        <f>IFERROR(__xludf.DUMMYFUNCTION("""COMPUTED_VALUE"""),"2024/11/25～）クレジットカードでの購入のみ停止")</f>
        <v>2024/11/25～）クレジットカードでの購入のみ停止</v>
      </c>
      <c r="I369" s="283"/>
      <c r="J369" s="283"/>
      <c r="K369" s="283"/>
      <c r="L369" s="283"/>
      <c r="M369" s="283"/>
      <c r="N369" s="283"/>
      <c r="O369" s="283"/>
      <c r="P369" s="283"/>
      <c r="Q369" s="278"/>
      <c r="R369" s="278"/>
      <c r="S369" s="278"/>
      <c r="T369" s="278"/>
      <c r="U369" s="278"/>
      <c r="V369" s="278"/>
      <c r="W369" s="278"/>
      <c r="X369" s="278"/>
      <c r="Y369" s="278"/>
      <c r="Z369" s="278"/>
      <c r="AA369" s="278"/>
      <c r="AB369" s="278"/>
      <c r="AC369" s="278"/>
    </row>
    <row r="370" ht="15.75" customHeight="1">
      <c r="A370" s="290" t="str">
        <f>IFERROR(__xludf.DUMMYFUNCTION("""COMPUTED_VALUE"""),"ジーウォーク")</f>
        <v>ジーウォーク</v>
      </c>
      <c r="B370" s="291">
        <f>IFERROR(__xludf.DUMMYFUNCTION("""COMPUTED_VALUE"""),45618.0)</f>
        <v>45618</v>
      </c>
      <c r="C370" s="292"/>
      <c r="D370" s="293">
        <f>IFERROR(__xludf.DUMMYFUNCTION("""COMPUTED_VALUE"""),260971.0)</f>
        <v>260971</v>
      </c>
      <c r="E370" s="290" t="str">
        <f>IFERROR(__xludf.DUMMYFUNCTION("""COMPUTED_VALUE"""),"無垢なる花が牝吹くとき")</f>
        <v>無垢なる花が牝吹くとき</v>
      </c>
      <c r="F370" s="298" t="str">
        <f>IFERROR(__xludf.DUMMYFUNCTION("""COMPUTED_VALUE"""),"遠野すいか / リブート編集部")</f>
        <v>遠野すいか / リブート編集部</v>
      </c>
      <c r="G370" s="298" t="str">
        <f>IFERROR(__xludf.DUMMYFUNCTION("""COMPUTED_VALUE"""),"オトナコミック")</f>
        <v>オトナコミック</v>
      </c>
      <c r="H370" s="298" t="str">
        <f>IFERROR(__xludf.DUMMYFUNCTION("""COMPUTED_VALUE"""),"2024/11/25～）クレジットカードでの購入のみ停止")</f>
        <v>2024/11/25～）クレジットカードでの購入のみ停止</v>
      </c>
      <c r="I370" s="283"/>
      <c r="J370" s="283"/>
      <c r="K370" s="283"/>
      <c r="L370" s="283"/>
      <c r="M370" s="283"/>
      <c r="N370" s="283"/>
      <c r="O370" s="283"/>
      <c r="P370" s="283"/>
      <c r="Q370" s="278"/>
      <c r="R370" s="278"/>
      <c r="S370" s="278"/>
      <c r="T370" s="278"/>
      <c r="U370" s="278"/>
      <c r="V370" s="278"/>
      <c r="W370" s="278"/>
      <c r="X370" s="278"/>
      <c r="Y370" s="278"/>
      <c r="Z370" s="278"/>
      <c r="AA370" s="278"/>
      <c r="AB370" s="278"/>
      <c r="AC370" s="278"/>
    </row>
    <row r="371" ht="15.75" customHeight="1">
      <c r="A371" s="290" t="str">
        <f>IFERROR(__xludf.DUMMYFUNCTION("""COMPUTED_VALUE"""),"ジーウォーク")</f>
        <v>ジーウォーク</v>
      </c>
      <c r="B371" s="291">
        <f>IFERROR(__xludf.DUMMYFUNCTION("""COMPUTED_VALUE"""),45618.0)</f>
        <v>45618</v>
      </c>
      <c r="C371" s="292"/>
      <c r="D371" s="293">
        <f>IFERROR(__xludf.DUMMYFUNCTION("""COMPUTED_VALUE"""),291913.0)</f>
        <v>291913</v>
      </c>
      <c r="E371" s="290" t="str">
        <f>IFERROR(__xludf.DUMMYFUNCTION("""COMPUTED_VALUE"""),"美術室で犯った人だろ")</f>
        <v>美術室で犯った人だろ</v>
      </c>
      <c r="F371" s="298" t="str">
        <f>IFERROR(__xludf.DUMMYFUNCTION("""COMPUTED_VALUE"""),"リブート編集部 / ZIRAN")</f>
        <v>リブート編集部 / ZIRAN</v>
      </c>
      <c r="G371" s="298" t="str">
        <f>IFERROR(__xludf.DUMMYFUNCTION("""COMPUTED_VALUE"""),"オトナコミック")</f>
        <v>オトナコミック</v>
      </c>
      <c r="H371" s="298" t="str">
        <f>IFERROR(__xludf.DUMMYFUNCTION("""COMPUTED_VALUE"""),"2024/11/25～）クレジットカードでの購入のみ停止")</f>
        <v>2024/11/25～）クレジットカードでの購入のみ停止</v>
      </c>
      <c r="I371" s="283"/>
      <c r="J371" s="283"/>
      <c r="K371" s="283"/>
      <c r="L371" s="283"/>
      <c r="M371" s="283"/>
      <c r="N371" s="283"/>
      <c r="O371" s="283"/>
      <c r="P371" s="283"/>
      <c r="Q371" s="278"/>
      <c r="R371" s="278"/>
      <c r="S371" s="278"/>
      <c r="T371" s="278"/>
      <c r="U371" s="278"/>
      <c r="V371" s="278"/>
      <c r="W371" s="278"/>
      <c r="X371" s="278"/>
      <c r="Y371" s="278"/>
      <c r="Z371" s="278"/>
      <c r="AA371" s="278"/>
      <c r="AB371" s="278"/>
      <c r="AC371" s="278"/>
    </row>
    <row r="372" ht="15.75" customHeight="1">
      <c r="A372" s="290" t="str">
        <f>IFERROR(__xludf.DUMMYFUNCTION("""COMPUTED_VALUE"""),"ジーオーティー")</f>
        <v>ジーオーティー</v>
      </c>
      <c r="B372" s="291">
        <f>IFERROR(__xludf.DUMMYFUNCTION("""COMPUTED_VALUE"""),45618.0)</f>
        <v>45618</v>
      </c>
      <c r="C372" s="292"/>
      <c r="D372" s="293">
        <f>IFERROR(__xludf.DUMMYFUNCTION("""COMPUTED_VALUE"""),109596.0)</f>
        <v>109596</v>
      </c>
      <c r="E372" s="290" t="str">
        <f>IFERROR(__xludf.DUMMYFUNCTION("""COMPUTED_VALUE"""),"comicアンスリウム")</f>
        <v>comicアンスリウム</v>
      </c>
      <c r="F372" s="298" t="str">
        <f>IFERROR(__xludf.DUMMYFUNCTION("""COMPUTED_VALUE"""),"comicアンスリウム編集部")</f>
        <v>comicアンスリウム編集部</v>
      </c>
      <c r="G372" s="298" t="str">
        <f>IFERROR(__xludf.DUMMYFUNCTION("""COMPUTED_VALUE"""),"コミック誌")</f>
        <v>コミック誌</v>
      </c>
      <c r="H372" s="298" t="str">
        <f>IFERROR(__xludf.DUMMYFUNCTION("""COMPUTED_VALUE"""),"2024/11/25～）クレジットカードでの購入のみ停止")</f>
        <v>2024/11/25～）クレジットカードでの購入のみ停止</v>
      </c>
      <c r="I372" s="283"/>
      <c r="J372" s="283"/>
      <c r="K372" s="283"/>
      <c r="L372" s="283"/>
      <c r="M372" s="283"/>
      <c r="N372" s="283"/>
      <c r="O372" s="283"/>
      <c r="P372" s="283"/>
      <c r="Q372" s="278"/>
      <c r="R372" s="278"/>
      <c r="S372" s="278"/>
      <c r="T372" s="278"/>
      <c r="U372" s="278"/>
      <c r="V372" s="278"/>
      <c r="W372" s="278"/>
      <c r="X372" s="278"/>
      <c r="Y372" s="278"/>
      <c r="Z372" s="278"/>
      <c r="AA372" s="278"/>
      <c r="AB372" s="278"/>
      <c r="AC372" s="278"/>
    </row>
    <row r="373" ht="15.75" customHeight="1">
      <c r="A373" s="290" t="str">
        <f>IFERROR(__xludf.DUMMYFUNCTION("""COMPUTED_VALUE"""),"ジーオーティー")</f>
        <v>ジーオーティー</v>
      </c>
      <c r="B373" s="291">
        <f>IFERROR(__xludf.DUMMYFUNCTION("""COMPUTED_VALUE"""),45618.0)</f>
        <v>45618</v>
      </c>
      <c r="C373" s="292"/>
      <c r="D373" s="293">
        <f>IFERROR(__xludf.DUMMYFUNCTION("""COMPUTED_VALUE"""),112753.0)</f>
        <v>112753</v>
      </c>
      <c r="E373" s="290" t="str">
        <f>IFERROR(__xludf.DUMMYFUNCTION("""COMPUTED_VALUE"""),"MILK DIP")</f>
        <v>MILK DIP</v>
      </c>
      <c r="F373" s="298" t="str">
        <f>IFERROR(__xludf.DUMMYFUNCTION("""COMPUTED_VALUE"""),"伊藤エイト")</f>
        <v>伊藤エイト</v>
      </c>
      <c r="G373" s="298" t="str">
        <f>IFERROR(__xludf.DUMMYFUNCTION("""COMPUTED_VALUE"""),"オトナコミック")</f>
        <v>オトナコミック</v>
      </c>
      <c r="H373" s="298" t="str">
        <f>IFERROR(__xludf.DUMMYFUNCTION("""COMPUTED_VALUE"""),"2024/11/25～）クレジットカードでの購入のみ停止")</f>
        <v>2024/11/25～）クレジットカードでの購入のみ停止</v>
      </c>
      <c r="I373" s="283"/>
      <c r="J373" s="283"/>
      <c r="K373" s="283"/>
      <c r="L373" s="283"/>
      <c r="M373" s="283"/>
      <c r="N373" s="283"/>
      <c r="O373" s="283"/>
      <c r="P373" s="283"/>
      <c r="Q373" s="278"/>
      <c r="R373" s="278"/>
      <c r="S373" s="278"/>
      <c r="T373" s="278"/>
      <c r="U373" s="278"/>
      <c r="V373" s="278"/>
      <c r="W373" s="278"/>
      <c r="X373" s="278"/>
      <c r="Y373" s="278"/>
      <c r="Z373" s="278"/>
      <c r="AA373" s="278"/>
      <c r="AB373" s="278"/>
      <c r="AC373" s="278"/>
    </row>
    <row r="374" ht="15.75" customHeight="1">
      <c r="A374" s="290" t="str">
        <f>IFERROR(__xludf.DUMMYFUNCTION("""COMPUTED_VALUE"""),"ジーオーティー")</f>
        <v>ジーオーティー</v>
      </c>
      <c r="B374" s="291">
        <f>IFERROR(__xludf.DUMMYFUNCTION("""COMPUTED_VALUE"""),45618.0)</f>
        <v>45618</v>
      </c>
      <c r="C374" s="292"/>
      <c r="D374" s="293">
        <f>IFERROR(__xludf.DUMMYFUNCTION("""COMPUTED_VALUE"""),116633.0)</f>
        <v>116633</v>
      </c>
      <c r="E374" s="290" t="str">
        <f>IFERROR(__xludf.DUMMYFUNCTION("""COMPUTED_VALUE"""),"ハメトラレ")</f>
        <v>ハメトラレ</v>
      </c>
      <c r="F374" s="298" t="str">
        <f>IFERROR(__xludf.DUMMYFUNCTION("""COMPUTED_VALUE"""),"唄飛鳥")</f>
        <v>唄飛鳥</v>
      </c>
      <c r="G374" s="298" t="str">
        <f>IFERROR(__xludf.DUMMYFUNCTION("""COMPUTED_VALUE"""),"オトナコミック")</f>
        <v>オトナコミック</v>
      </c>
      <c r="H374" s="298" t="str">
        <f>IFERROR(__xludf.DUMMYFUNCTION("""COMPUTED_VALUE"""),"2024/11/25～）クレジットカードでの購入のみ停止")</f>
        <v>2024/11/25～）クレジットカードでの購入のみ停止</v>
      </c>
      <c r="I374" s="283"/>
      <c r="J374" s="283"/>
      <c r="K374" s="283"/>
      <c r="L374" s="283"/>
      <c r="M374" s="283"/>
      <c r="N374" s="283"/>
      <c r="O374" s="283"/>
      <c r="P374" s="283"/>
      <c r="Q374" s="278"/>
      <c r="R374" s="278"/>
      <c r="S374" s="278"/>
      <c r="T374" s="278"/>
      <c r="U374" s="278"/>
      <c r="V374" s="278"/>
      <c r="W374" s="278"/>
      <c r="X374" s="278"/>
      <c r="Y374" s="278"/>
      <c r="Z374" s="278"/>
      <c r="AA374" s="278"/>
      <c r="AB374" s="278"/>
      <c r="AC374" s="278"/>
    </row>
    <row r="375" ht="15.75" customHeight="1">
      <c r="A375" s="290" t="str">
        <f>IFERROR(__xludf.DUMMYFUNCTION("""COMPUTED_VALUE"""),"ジーオーティー")</f>
        <v>ジーオーティー</v>
      </c>
      <c r="B375" s="291">
        <f>IFERROR(__xludf.DUMMYFUNCTION("""COMPUTED_VALUE"""),45618.0)</f>
        <v>45618</v>
      </c>
      <c r="C375" s="292"/>
      <c r="D375" s="293">
        <f>IFERROR(__xludf.DUMMYFUNCTION("""COMPUTED_VALUE"""),116636.0)</f>
        <v>116636</v>
      </c>
      <c r="E375" s="290" t="str">
        <f>IFERROR(__xludf.DUMMYFUNCTION("""COMPUTED_VALUE"""),"女教師京子 ～快楽調教室～")</f>
        <v>女教師京子 ～快楽調教室～</v>
      </c>
      <c r="F375" s="298" t="str">
        <f>IFERROR(__xludf.DUMMYFUNCTION("""COMPUTED_VALUE"""),"中華なると")</f>
        <v>中華なると</v>
      </c>
      <c r="G375" s="298" t="str">
        <f>IFERROR(__xludf.DUMMYFUNCTION("""COMPUTED_VALUE"""),"オトナコミック")</f>
        <v>オトナコミック</v>
      </c>
      <c r="H375" s="298" t="str">
        <f>IFERROR(__xludf.DUMMYFUNCTION("""COMPUTED_VALUE"""),"2024/11/25～）クレジットカードでの購入のみ停止")</f>
        <v>2024/11/25～）クレジットカードでの購入のみ停止</v>
      </c>
      <c r="I375" s="283"/>
      <c r="J375" s="283"/>
      <c r="K375" s="283"/>
      <c r="L375" s="283"/>
      <c r="M375" s="283"/>
      <c r="N375" s="283"/>
      <c r="O375" s="283"/>
      <c r="P375" s="283"/>
      <c r="Q375" s="278"/>
      <c r="R375" s="278"/>
      <c r="S375" s="278"/>
      <c r="T375" s="278"/>
      <c r="U375" s="278"/>
      <c r="V375" s="278"/>
      <c r="W375" s="278"/>
      <c r="X375" s="278"/>
      <c r="Y375" s="278"/>
      <c r="Z375" s="278"/>
      <c r="AA375" s="278"/>
      <c r="AB375" s="278"/>
      <c r="AC375" s="278"/>
    </row>
    <row r="376" ht="15.75" customHeight="1">
      <c r="A376" s="290" t="str">
        <f>IFERROR(__xludf.DUMMYFUNCTION("""COMPUTED_VALUE"""),"ジーオーティー")</f>
        <v>ジーオーティー</v>
      </c>
      <c r="B376" s="291">
        <f>IFERROR(__xludf.DUMMYFUNCTION("""COMPUTED_VALUE"""),45618.0)</f>
        <v>45618</v>
      </c>
      <c r="C376" s="292"/>
      <c r="D376" s="293">
        <f>IFERROR(__xludf.DUMMYFUNCTION("""COMPUTED_VALUE"""),129010.0)</f>
        <v>129010</v>
      </c>
      <c r="E376" s="290" t="str">
        <f>IFERROR(__xludf.DUMMYFUNCTION("""COMPUTED_VALUE"""),"おにれんぼ")</f>
        <v>おにれんぼ</v>
      </c>
      <c r="F376" s="298" t="str">
        <f>IFERROR(__xludf.DUMMYFUNCTION("""COMPUTED_VALUE"""),"さいこ")</f>
        <v>さいこ</v>
      </c>
      <c r="G376" s="298" t="str">
        <f>IFERROR(__xludf.DUMMYFUNCTION("""COMPUTED_VALUE"""),"オトナコミック")</f>
        <v>オトナコミック</v>
      </c>
      <c r="H376" s="298" t="str">
        <f>IFERROR(__xludf.DUMMYFUNCTION("""COMPUTED_VALUE"""),"2024/11/25～）クレジットカードでの購入のみ停止")</f>
        <v>2024/11/25～）クレジットカードでの購入のみ停止</v>
      </c>
      <c r="I376" s="283"/>
      <c r="J376" s="283"/>
      <c r="K376" s="283"/>
      <c r="L376" s="283"/>
      <c r="M376" s="283"/>
      <c r="N376" s="283"/>
      <c r="O376" s="283"/>
      <c r="P376" s="283"/>
      <c r="Q376" s="278"/>
      <c r="R376" s="278"/>
      <c r="S376" s="278"/>
      <c r="T376" s="278"/>
      <c r="U376" s="278"/>
      <c r="V376" s="278"/>
      <c r="W376" s="278"/>
      <c r="X376" s="278"/>
      <c r="Y376" s="278"/>
      <c r="Z376" s="278"/>
      <c r="AA376" s="278"/>
      <c r="AB376" s="278"/>
      <c r="AC376" s="278"/>
    </row>
    <row r="377" ht="15.75" customHeight="1">
      <c r="A377" s="290" t="str">
        <f>IFERROR(__xludf.DUMMYFUNCTION("""COMPUTED_VALUE"""),"ジーオーティー")</f>
        <v>ジーオーティー</v>
      </c>
      <c r="B377" s="291">
        <f>IFERROR(__xludf.DUMMYFUNCTION("""COMPUTED_VALUE"""),45618.0)</f>
        <v>45618</v>
      </c>
      <c r="C377" s="292"/>
      <c r="D377" s="293">
        <f>IFERROR(__xludf.DUMMYFUNCTION("""COMPUTED_VALUE"""),137114.0)</f>
        <v>137114</v>
      </c>
      <c r="E377" s="290" t="str">
        <f>IFERROR(__xludf.DUMMYFUNCTION("""COMPUTED_VALUE"""),"強制種付けギャル図鑑")</f>
        <v>強制種付けギャル図鑑</v>
      </c>
      <c r="F377" s="298" t="str">
        <f>IFERROR(__xludf.DUMMYFUNCTION("""COMPUTED_VALUE"""),"由雅なおは")</f>
        <v>由雅なおは</v>
      </c>
      <c r="G377" s="298" t="str">
        <f>IFERROR(__xludf.DUMMYFUNCTION("""COMPUTED_VALUE"""),"オトナコミック")</f>
        <v>オトナコミック</v>
      </c>
      <c r="H377" s="298" t="str">
        <f>IFERROR(__xludf.DUMMYFUNCTION("""COMPUTED_VALUE"""),"2024/11/25～）クレジットカードでの購入のみ停止")</f>
        <v>2024/11/25～）クレジットカードでの購入のみ停止</v>
      </c>
      <c r="I377" s="283"/>
      <c r="J377" s="283"/>
      <c r="K377" s="283"/>
      <c r="L377" s="283"/>
      <c r="M377" s="283"/>
      <c r="N377" s="283"/>
      <c r="O377" s="283"/>
      <c r="P377" s="283"/>
      <c r="Q377" s="278"/>
      <c r="R377" s="278"/>
      <c r="S377" s="278"/>
      <c r="T377" s="278"/>
      <c r="U377" s="278"/>
      <c r="V377" s="278"/>
      <c r="W377" s="278"/>
      <c r="X377" s="278"/>
      <c r="Y377" s="278"/>
      <c r="Z377" s="278"/>
      <c r="AA377" s="278"/>
      <c r="AB377" s="278"/>
      <c r="AC377" s="278"/>
    </row>
    <row r="378" ht="15.75" customHeight="1">
      <c r="A378" s="290" t="str">
        <f>IFERROR(__xludf.DUMMYFUNCTION("""COMPUTED_VALUE"""),"ジーオーティー")</f>
        <v>ジーオーティー</v>
      </c>
      <c r="B378" s="291">
        <f>IFERROR(__xludf.DUMMYFUNCTION("""COMPUTED_VALUE"""),45618.0)</f>
        <v>45618</v>
      </c>
      <c r="C378" s="292"/>
      <c r="D378" s="293">
        <f>IFERROR(__xludf.DUMMYFUNCTION("""COMPUTED_VALUE"""),138766.0)</f>
        <v>138766</v>
      </c>
      <c r="E378" s="290" t="str">
        <f>IFERROR(__xludf.DUMMYFUNCTION("""COMPUTED_VALUE"""),"女教師礼子～催淫調教室～")</f>
        <v>女教師礼子～催淫調教室～</v>
      </c>
      <c r="F378" s="298" t="str">
        <f>IFERROR(__xludf.DUMMYFUNCTION("""COMPUTED_VALUE"""),"中華なると")</f>
        <v>中華なると</v>
      </c>
      <c r="G378" s="298" t="str">
        <f>IFERROR(__xludf.DUMMYFUNCTION("""COMPUTED_VALUE"""),"オトナコミック")</f>
        <v>オトナコミック</v>
      </c>
      <c r="H378" s="298" t="str">
        <f>IFERROR(__xludf.DUMMYFUNCTION("""COMPUTED_VALUE"""),"2024/11/25～）クレジットカードでの購入のみ停止")</f>
        <v>2024/11/25～）クレジットカードでの購入のみ停止</v>
      </c>
      <c r="I378" s="283"/>
      <c r="J378" s="283"/>
      <c r="K378" s="283"/>
      <c r="L378" s="283"/>
      <c r="M378" s="283"/>
      <c r="N378" s="283"/>
      <c r="O378" s="283"/>
      <c r="P378" s="283"/>
      <c r="Q378" s="278"/>
      <c r="R378" s="278"/>
      <c r="S378" s="278"/>
      <c r="T378" s="278"/>
      <c r="U378" s="278"/>
      <c r="V378" s="278"/>
      <c r="W378" s="278"/>
      <c r="X378" s="278"/>
      <c r="Y378" s="278"/>
      <c r="Z378" s="278"/>
      <c r="AA378" s="278"/>
      <c r="AB378" s="278"/>
      <c r="AC378" s="278"/>
    </row>
    <row r="379" ht="15.75" customHeight="1">
      <c r="A379" s="290" t="str">
        <f>IFERROR(__xludf.DUMMYFUNCTION("""COMPUTED_VALUE"""),"ジーオーティー")</f>
        <v>ジーオーティー</v>
      </c>
      <c r="B379" s="291">
        <f>IFERROR(__xludf.DUMMYFUNCTION("""COMPUTED_VALUE"""),45618.0)</f>
        <v>45618</v>
      </c>
      <c r="C379" s="292"/>
      <c r="D379" s="293">
        <f>IFERROR(__xludf.DUMMYFUNCTION("""COMPUTED_VALUE"""),138770.0)</f>
        <v>138770</v>
      </c>
      <c r="E379" s="290" t="str">
        <f>IFERROR(__xludf.DUMMYFUNCTION("""COMPUTED_VALUE"""),"彼女を奴隷に堕としたら")</f>
        <v>彼女を奴隷に堕としたら</v>
      </c>
      <c r="F379" s="298" t="str">
        <f>IFERROR(__xludf.DUMMYFUNCTION("""COMPUTED_VALUE"""),"あわじひめじ")</f>
        <v>あわじひめじ</v>
      </c>
      <c r="G379" s="298" t="str">
        <f>IFERROR(__xludf.DUMMYFUNCTION("""COMPUTED_VALUE"""),"オトナコミック")</f>
        <v>オトナコミック</v>
      </c>
      <c r="H379" s="298" t="str">
        <f>IFERROR(__xludf.DUMMYFUNCTION("""COMPUTED_VALUE"""),"2024/11/25～）クレジットカードでの購入のみ停止")</f>
        <v>2024/11/25～）クレジットカードでの購入のみ停止</v>
      </c>
      <c r="I379" s="283"/>
      <c r="J379" s="283"/>
      <c r="K379" s="283"/>
      <c r="L379" s="283"/>
      <c r="M379" s="283"/>
      <c r="N379" s="283"/>
      <c r="O379" s="283"/>
      <c r="P379" s="283"/>
      <c r="Q379" s="278"/>
      <c r="R379" s="278"/>
      <c r="S379" s="278"/>
      <c r="T379" s="278"/>
      <c r="U379" s="278"/>
      <c r="V379" s="278"/>
      <c r="W379" s="278"/>
      <c r="X379" s="278"/>
      <c r="Y379" s="278"/>
      <c r="Z379" s="278"/>
      <c r="AA379" s="278"/>
      <c r="AB379" s="278"/>
      <c r="AC379" s="278"/>
    </row>
    <row r="380" ht="15.75" customHeight="1">
      <c r="A380" s="290" t="str">
        <f>IFERROR(__xludf.DUMMYFUNCTION("""COMPUTED_VALUE"""),"ジーオーティー")</f>
        <v>ジーオーティー</v>
      </c>
      <c r="B380" s="291">
        <f>IFERROR(__xludf.DUMMYFUNCTION("""COMPUTED_VALUE"""),45618.0)</f>
        <v>45618</v>
      </c>
      <c r="C380" s="292"/>
      <c r="D380" s="293">
        <f>IFERROR(__xludf.DUMMYFUNCTION("""COMPUTED_VALUE"""),141896.0)</f>
        <v>141896</v>
      </c>
      <c r="E380" s="290" t="str">
        <f>IFERROR(__xludf.DUMMYFUNCTION("""COMPUTED_VALUE"""),"氷河期世代処女おかし隊らちっくす！！")</f>
        <v>氷河期世代処女おかし隊らちっくす！！</v>
      </c>
      <c r="F380" s="298" t="str">
        <f>IFERROR(__xludf.DUMMYFUNCTION("""COMPUTED_VALUE"""),"茶否")</f>
        <v>茶否</v>
      </c>
      <c r="G380" s="298" t="str">
        <f>IFERROR(__xludf.DUMMYFUNCTION("""COMPUTED_VALUE"""),"オトナコミック")</f>
        <v>オトナコミック</v>
      </c>
      <c r="H380" s="298" t="str">
        <f>IFERROR(__xludf.DUMMYFUNCTION("""COMPUTED_VALUE"""),"2024/11/25～）クレジットカードでの購入のみ停止")</f>
        <v>2024/11/25～）クレジットカードでの購入のみ停止</v>
      </c>
      <c r="I380" s="283"/>
      <c r="J380" s="283"/>
      <c r="K380" s="283"/>
      <c r="L380" s="283"/>
      <c r="M380" s="283"/>
      <c r="N380" s="283"/>
      <c r="O380" s="283"/>
      <c r="P380" s="283"/>
      <c r="Q380" s="278"/>
      <c r="R380" s="278"/>
      <c r="S380" s="278"/>
      <c r="T380" s="278"/>
      <c r="U380" s="278"/>
      <c r="V380" s="278"/>
      <c r="W380" s="278"/>
      <c r="X380" s="278"/>
      <c r="Y380" s="278"/>
      <c r="Z380" s="278"/>
      <c r="AA380" s="278"/>
      <c r="AB380" s="278"/>
      <c r="AC380" s="278"/>
    </row>
    <row r="381" ht="15.75" customHeight="1">
      <c r="A381" s="290" t="str">
        <f>IFERROR(__xludf.DUMMYFUNCTION("""COMPUTED_VALUE"""),"ジーオーティー")</f>
        <v>ジーオーティー</v>
      </c>
      <c r="B381" s="291">
        <f>IFERROR(__xludf.DUMMYFUNCTION("""COMPUTED_VALUE"""),45618.0)</f>
        <v>45618</v>
      </c>
      <c r="C381" s="292"/>
      <c r="D381" s="293">
        <f>IFERROR(__xludf.DUMMYFUNCTION("""COMPUTED_VALUE"""),154525.0)</f>
        <v>154525</v>
      </c>
      <c r="E381" s="290" t="str">
        <f>IFERROR(__xludf.DUMMYFUNCTION("""COMPUTED_VALUE"""),"学園の長い午後")</f>
        <v>学園の長い午後</v>
      </c>
      <c r="F381" s="298" t="str">
        <f>IFERROR(__xludf.DUMMYFUNCTION("""COMPUTED_VALUE"""),"あしもと☆よいか")</f>
        <v>あしもと☆よいか</v>
      </c>
      <c r="G381" s="298" t="str">
        <f>IFERROR(__xludf.DUMMYFUNCTION("""COMPUTED_VALUE"""),"オトナコミック")</f>
        <v>オトナコミック</v>
      </c>
      <c r="H381" s="298" t="str">
        <f>IFERROR(__xludf.DUMMYFUNCTION("""COMPUTED_VALUE"""),"2024/11/25～）クレジットカードでの購入のみ停止")</f>
        <v>2024/11/25～）クレジットカードでの購入のみ停止</v>
      </c>
      <c r="I381" s="283"/>
      <c r="J381" s="283"/>
      <c r="K381" s="283"/>
      <c r="L381" s="283"/>
      <c r="M381" s="283"/>
      <c r="N381" s="283"/>
      <c r="O381" s="283"/>
      <c r="P381" s="283"/>
      <c r="Q381" s="278"/>
      <c r="R381" s="278"/>
      <c r="S381" s="278"/>
      <c r="T381" s="278"/>
      <c r="U381" s="278"/>
      <c r="V381" s="278"/>
      <c r="W381" s="278"/>
      <c r="X381" s="278"/>
      <c r="Y381" s="278"/>
      <c r="Z381" s="278"/>
      <c r="AA381" s="278"/>
      <c r="AB381" s="278"/>
      <c r="AC381" s="278"/>
    </row>
    <row r="382" ht="15.75" customHeight="1">
      <c r="A382" s="290" t="str">
        <f>IFERROR(__xludf.DUMMYFUNCTION("""COMPUTED_VALUE"""),"ジーオーティー")</f>
        <v>ジーオーティー</v>
      </c>
      <c r="B382" s="291">
        <f>IFERROR(__xludf.DUMMYFUNCTION("""COMPUTED_VALUE"""),45618.0)</f>
        <v>45618</v>
      </c>
      <c r="C382" s="292"/>
      <c r="D382" s="293">
        <f>IFERROR(__xludf.DUMMYFUNCTION("""COMPUTED_VALUE"""),160498.0)</f>
        <v>160498</v>
      </c>
      <c r="E382" s="290" t="str">
        <f>IFERROR(__xludf.DUMMYFUNCTION("""COMPUTED_VALUE"""),"淫宴玩具姫嬲り")</f>
        <v>淫宴玩具姫嬲り</v>
      </c>
      <c r="F382" s="298" t="str">
        <f>IFERROR(__xludf.DUMMYFUNCTION("""COMPUTED_VALUE"""),"東航")</f>
        <v>東航</v>
      </c>
      <c r="G382" s="298" t="str">
        <f>IFERROR(__xludf.DUMMYFUNCTION("""COMPUTED_VALUE"""),"オトナコミック")</f>
        <v>オトナコミック</v>
      </c>
      <c r="H382" s="298" t="str">
        <f>IFERROR(__xludf.DUMMYFUNCTION("""COMPUTED_VALUE"""),"2024/11/25～）クレジットカードでの購入のみ停止")</f>
        <v>2024/11/25～）クレジットカードでの購入のみ停止</v>
      </c>
      <c r="I382" s="283"/>
      <c r="J382" s="283"/>
      <c r="K382" s="283"/>
      <c r="L382" s="283"/>
      <c r="M382" s="283"/>
      <c r="N382" s="283"/>
      <c r="O382" s="283"/>
      <c r="P382" s="283"/>
      <c r="Q382" s="278"/>
      <c r="R382" s="278"/>
      <c r="S382" s="278"/>
      <c r="T382" s="278"/>
      <c r="U382" s="278"/>
      <c r="V382" s="278"/>
      <c r="W382" s="278"/>
      <c r="X382" s="278"/>
      <c r="Y382" s="278"/>
      <c r="Z382" s="278"/>
      <c r="AA382" s="278"/>
      <c r="AB382" s="278"/>
      <c r="AC382" s="278"/>
    </row>
    <row r="383" ht="15.75" customHeight="1">
      <c r="A383" s="290" t="str">
        <f>IFERROR(__xludf.DUMMYFUNCTION("""COMPUTED_VALUE"""),"ジーオーティー")</f>
        <v>ジーオーティー</v>
      </c>
      <c r="B383" s="291">
        <f>IFERROR(__xludf.DUMMYFUNCTION("""COMPUTED_VALUE"""),45618.0)</f>
        <v>45618</v>
      </c>
      <c r="C383" s="292"/>
      <c r="D383" s="293">
        <f>IFERROR(__xludf.DUMMYFUNCTION("""COMPUTED_VALUE"""),169515.0)</f>
        <v>169515</v>
      </c>
      <c r="E383" s="290" t="str">
        <f>IFERROR(__xludf.DUMMYFUNCTION("""COMPUTED_VALUE"""),"越知田兄妹の13日 傲岸妹の堕とし方")</f>
        <v>越知田兄妹の13日 傲岸妹の堕とし方</v>
      </c>
      <c r="F383" s="298" t="str">
        <f>IFERROR(__xludf.DUMMYFUNCTION("""COMPUTED_VALUE"""),"EBA")</f>
        <v>EBA</v>
      </c>
      <c r="G383" s="298" t="str">
        <f>IFERROR(__xludf.DUMMYFUNCTION("""COMPUTED_VALUE"""),"オトナコミック")</f>
        <v>オトナコミック</v>
      </c>
      <c r="H383" s="298" t="str">
        <f>IFERROR(__xludf.DUMMYFUNCTION("""COMPUTED_VALUE"""),"2024/11/25～）クレジットカードでの購入のみ停止")</f>
        <v>2024/11/25～）クレジットカードでの購入のみ停止</v>
      </c>
      <c r="I383" s="283"/>
      <c r="J383" s="283"/>
      <c r="K383" s="283"/>
      <c r="L383" s="283"/>
      <c r="M383" s="283"/>
      <c r="N383" s="283"/>
      <c r="O383" s="283"/>
      <c r="P383" s="283"/>
      <c r="Q383" s="278"/>
      <c r="R383" s="278"/>
      <c r="S383" s="278"/>
      <c r="T383" s="278"/>
      <c r="U383" s="278"/>
      <c r="V383" s="278"/>
      <c r="W383" s="278"/>
      <c r="X383" s="278"/>
      <c r="Y383" s="278"/>
      <c r="Z383" s="278"/>
      <c r="AA383" s="278"/>
      <c r="AB383" s="278"/>
      <c r="AC383" s="278"/>
    </row>
    <row r="384" ht="15.75" customHeight="1">
      <c r="A384" s="290" t="str">
        <f>IFERROR(__xludf.DUMMYFUNCTION("""COMPUTED_VALUE"""),"ジーオーティー")</f>
        <v>ジーオーティー</v>
      </c>
      <c r="B384" s="291">
        <f>IFERROR(__xludf.DUMMYFUNCTION("""COMPUTED_VALUE"""),45618.0)</f>
        <v>45618</v>
      </c>
      <c r="C384" s="292"/>
      <c r="D384" s="293">
        <f>IFERROR(__xludf.DUMMYFUNCTION("""COMPUTED_VALUE"""),177209.0)</f>
        <v>177209</v>
      </c>
      <c r="E384" s="290" t="str">
        <f>IFERROR(__xludf.DUMMYFUNCTION("""COMPUTED_VALUE"""),"なぐってまわそ")</f>
        <v>なぐってまわそ</v>
      </c>
      <c r="F384" s="298" t="str">
        <f>IFERROR(__xludf.DUMMYFUNCTION("""COMPUTED_VALUE"""),"茶否")</f>
        <v>茶否</v>
      </c>
      <c r="G384" s="298" t="str">
        <f>IFERROR(__xludf.DUMMYFUNCTION("""COMPUTED_VALUE"""),"オトナコミック")</f>
        <v>オトナコミック</v>
      </c>
      <c r="H384" s="298" t="str">
        <f>IFERROR(__xludf.DUMMYFUNCTION("""COMPUTED_VALUE"""),"2024/11/25～）クレジットカードでの購入のみ停止")</f>
        <v>2024/11/25～）クレジットカードでの購入のみ停止</v>
      </c>
      <c r="I384" s="283"/>
      <c r="J384" s="283"/>
      <c r="K384" s="283"/>
      <c r="L384" s="283"/>
      <c r="M384" s="283"/>
      <c r="N384" s="283"/>
      <c r="O384" s="283"/>
      <c r="P384" s="283"/>
      <c r="Q384" s="278"/>
      <c r="R384" s="278"/>
      <c r="S384" s="278"/>
      <c r="T384" s="278"/>
      <c r="U384" s="278"/>
      <c r="V384" s="278"/>
      <c r="W384" s="278"/>
      <c r="X384" s="278"/>
      <c r="Y384" s="278"/>
      <c r="Z384" s="278"/>
      <c r="AA384" s="278"/>
      <c r="AB384" s="278"/>
      <c r="AC384" s="278"/>
    </row>
    <row r="385" ht="15.75" customHeight="1">
      <c r="A385" s="290" t="str">
        <f>IFERROR(__xludf.DUMMYFUNCTION("""COMPUTED_VALUE"""),"ジーオーティー")</f>
        <v>ジーオーティー</v>
      </c>
      <c r="B385" s="291">
        <f>IFERROR(__xludf.DUMMYFUNCTION("""COMPUTED_VALUE"""),45618.0)</f>
        <v>45618</v>
      </c>
      <c r="C385" s="292"/>
      <c r="D385" s="293">
        <f>IFERROR(__xludf.DUMMYFUNCTION("""COMPUTED_VALUE"""),179623.0)</f>
        <v>179623</v>
      </c>
      <c r="E385" s="290" t="str">
        <f>IFERROR(__xludf.DUMMYFUNCTION("""COMPUTED_VALUE"""),"攻め女子至上主義")</f>
        <v>攻め女子至上主義</v>
      </c>
      <c r="F385" s="298" t="str">
        <f>IFERROR(__xludf.DUMMYFUNCTION("""COMPUTED_VALUE"""),"小春七草")</f>
        <v>小春七草</v>
      </c>
      <c r="G385" s="298" t="str">
        <f>IFERROR(__xludf.DUMMYFUNCTION("""COMPUTED_VALUE"""),"オトナコミック")</f>
        <v>オトナコミック</v>
      </c>
      <c r="H385" s="298" t="str">
        <f>IFERROR(__xludf.DUMMYFUNCTION("""COMPUTED_VALUE"""),"2024/11/25～）クレジットカードでの購入のみ停止")</f>
        <v>2024/11/25～）クレジットカードでの購入のみ停止</v>
      </c>
      <c r="I385" s="283"/>
      <c r="J385" s="283"/>
      <c r="K385" s="283"/>
      <c r="L385" s="283"/>
      <c r="M385" s="283"/>
      <c r="N385" s="283"/>
      <c r="O385" s="283"/>
      <c r="P385" s="283"/>
      <c r="Q385" s="278"/>
      <c r="R385" s="278"/>
      <c r="S385" s="278"/>
      <c r="T385" s="278"/>
      <c r="U385" s="278"/>
      <c r="V385" s="278"/>
      <c r="W385" s="278"/>
      <c r="X385" s="278"/>
      <c r="Y385" s="278"/>
      <c r="Z385" s="278"/>
      <c r="AA385" s="278"/>
      <c r="AB385" s="278"/>
      <c r="AC385" s="278"/>
    </row>
    <row r="386" ht="15.75" customHeight="1">
      <c r="A386" s="290" t="str">
        <f>IFERROR(__xludf.DUMMYFUNCTION("""COMPUTED_VALUE"""),"ジーオーティー")</f>
        <v>ジーオーティー</v>
      </c>
      <c r="B386" s="291">
        <f>IFERROR(__xludf.DUMMYFUNCTION("""COMPUTED_VALUE"""),45618.0)</f>
        <v>45618</v>
      </c>
      <c r="C386" s="292"/>
      <c r="D386" s="293">
        <f>IFERROR(__xludf.DUMMYFUNCTION("""COMPUTED_VALUE"""),191073.0)</f>
        <v>191073</v>
      </c>
      <c r="E386" s="290" t="str">
        <f>IFERROR(__xludf.DUMMYFUNCTION("""COMPUTED_VALUE"""),"ハメられてわかるコト。")</f>
        <v>ハメられてわかるコト。</v>
      </c>
      <c r="F386" s="298" t="str">
        <f>IFERROR(__xludf.DUMMYFUNCTION("""COMPUTED_VALUE"""),"染岡ゆすら")</f>
        <v>染岡ゆすら</v>
      </c>
      <c r="G386" s="298" t="str">
        <f>IFERROR(__xludf.DUMMYFUNCTION("""COMPUTED_VALUE"""),"オトナコミック")</f>
        <v>オトナコミック</v>
      </c>
      <c r="H386" s="298" t="str">
        <f>IFERROR(__xludf.DUMMYFUNCTION("""COMPUTED_VALUE"""),"2024/11/25～）クレジットカードでの購入のみ停止")</f>
        <v>2024/11/25～）クレジットカードでの購入のみ停止</v>
      </c>
      <c r="I386" s="283"/>
      <c r="J386" s="283"/>
      <c r="K386" s="283"/>
      <c r="L386" s="283"/>
      <c r="M386" s="283"/>
      <c r="N386" s="283"/>
      <c r="O386" s="283"/>
      <c r="P386" s="283"/>
      <c r="Q386" s="278"/>
      <c r="R386" s="278"/>
      <c r="S386" s="278"/>
      <c r="T386" s="278"/>
      <c r="U386" s="278"/>
      <c r="V386" s="278"/>
      <c r="W386" s="278"/>
      <c r="X386" s="278"/>
      <c r="Y386" s="278"/>
      <c r="Z386" s="278"/>
      <c r="AA386" s="278"/>
      <c r="AB386" s="278"/>
      <c r="AC386" s="278"/>
    </row>
    <row r="387" ht="15.75" customHeight="1">
      <c r="A387" s="290" t="str">
        <f>IFERROR(__xludf.DUMMYFUNCTION("""COMPUTED_VALUE"""),"ジーオーティー")</f>
        <v>ジーオーティー</v>
      </c>
      <c r="B387" s="291">
        <f>IFERROR(__xludf.DUMMYFUNCTION("""COMPUTED_VALUE"""),45618.0)</f>
        <v>45618</v>
      </c>
      <c r="C387" s="292"/>
      <c r="D387" s="293">
        <f>IFERROR(__xludf.DUMMYFUNCTION("""COMPUTED_VALUE"""),194046.0)</f>
        <v>194046</v>
      </c>
      <c r="E387" s="290" t="str">
        <f>IFERROR(__xludf.DUMMYFUNCTION("""COMPUTED_VALUE"""),"強制種付けエクスプレス")</f>
        <v>強制種付けエクスプレス</v>
      </c>
      <c r="F387" s="298" t="str">
        <f>IFERROR(__xludf.DUMMYFUNCTION("""COMPUTED_VALUE"""),"日月ネコ")</f>
        <v>日月ネコ</v>
      </c>
      <c r="G387" s="298" t="str">
        <f>IFERROR(__xludf.DUMMYFUNCTION("""COMPUTED_VALUE"""),"オトナコミック")</f>
        <v>オトナコミック</v>
      </c>
      <c r="H387" s="298" t="str">
        <f>IFERROR(__xludf.DUMMYFUNCTION("""COMPUTED_VALUE"""),"2024/11/25～）クレジットカードでの購入のみ停止")</f>
        <v>2024/11/25～）クレジットカードでの購入のみ停止</v>
      </c>
      <c r="I387" s="283"/>
      <c r="J387" s="283"/>
      <c r="K387" s="283"/>
      <c r="L387" s="283"/>
      <c r="M387" s="283"/>
      <c r="N387" s="283"/>
      <c r="O387" s="283"/>
      <c r="P387" s="283"/>
      <c r="Q387" s="278"/>
      <c r="R387" s="278"/>
      <c r="S387" s="278"/>
      <c r="T387" s="278"/>
      <c r="U387" s="278"/>
      <c r="V387" s="278"/>
      <c r="W387" s="278"/>
      <c r="X387" s="278"/>
      <c r="Y387" s="278"/>
      <c r="Z387" s="278"/>
      <c r="AA387" s="278"/>
      <c r="AB387" s="278"/>
      <c r="AC387" s="278"/>
    </row>
    <row r="388" ht="15.75" customHeight="1">
      <c r="A388" s="290" t="str">
        <f>IFERROR(__xludf.DUMMYFUNCTION("""COMPUTED_VALUE"""),"ジーオーティー")</f>
        <v>ジーオーティー</v>
      </c>
      <c r="B388" s="291">
        <f>IFERROR(__xludf.DUMMYFUNCTION("""COMPUTED_VALUE"""),45618.0)</f>
        <v>45618</v>
      </c>
      <c r="C388" s="292"/>
      <c r="D388" s="293">
        <f>IFERROR(__xludf.DUMMYFUNCTION("""COMPUTED_VALUE"""),202352.0)</f>
        <v>202352</v>
      </c>
      <c r="E388" s="290" t="str">
        <f>IFERROR(__xludf.DUMMYFUNCTION("""COMPUTED_VALUE"""),"暮れ堕ちて")</f>
        <v>暮れ堕ちて</v>
      </c>
      <c r="F388" s="298" t="str">
        <f>IFERROR(__xludf.DUMMYFUNCTION("""COMPUTED_VALUE"""),"ネプカ")</f>
        <v>ネプカ</v>
      </c>
      <c r="G388" s="298" t="str">
        <f>IFERROR(__xludf.DUMMYFUNCTION("""COMPUTED_VALUE"""),"オトナコミック")</f>
        <v>オトナコミック</v>
      </c>
      <c r="H388" s="298" t="str">
        <f>IFERROR(__xludf.DUMMYFUNCTION("""COMPUTED_VALUE"""),"2024/11/25～）クレジットカードでの購入のみ停止")</f>
        <v>2024/11/25～）クレジットカードでの購入のみ停止</v>
      </c>
      <c r="I388" s="283"/>
      <c r="J388" s="283"/>
      <c r="K388" s="283"/>
      <c r="L388" s="283"/>
      <c r="M388" s="283"/>
      <c r="N388" s="283"/>
      <c r="O388" s="283"/>
      <c r="P388" s="283"/>
      <c r="Q388" s="278"/>
      <c r="R388" s="278"/>
      <c r="S388" s="278"/>
      <c r="T388" s="278"/>
      <c r="U388" s="278"/>
      <c r="V388" s="278"/>
      <c r="W388" s="278"/>
      <c r="X388" s="278"/>
      <c r="Y388" s="278"/>
      <c r="Z388" s="278"/>
      <c r="AA388" s="278"/>
      <c r="AB388" s="278"/>
      <c r="AC388" s="278"/>
    </row>
    <row r="389" ht="15.75" customHeight="1">
      <c r="A389" s="290" t="str">
        <f>IFERROR(__xludf.DUMMYFUNCTION("""COMPUTED_VALUE"""),"ジーオーティー")</f>
        <v>ジーオーティー</v>
      </c>
      <c r="B389" s="291">
        <f>IFERROR(__xludf.DUMMYFUNCTION("""COMPUTED_VALUE"""),45618.0)</f>
        <v>45618</v>
      </c>
      <c r="C389" s="292"/>
      <c r="D389" s="293">
        <f>IFERROR(__xludf.DUMMYFUNCTION("""COMPUTED_VALUE"""),203130.0)</f>
        <v>203130</v>
      </c>
      <c r="E389" s="290" t="str">
        <f>IFERROR(__xludf.DUMMYFUNCTION("""COMPUTED_VALUE"""),"黒タイツ様～異形に辱められる私たち～【単行本版】")</f>
        <v>黒タイツ様～異形に辱められる私たち～【単行本版】</v>
      </c>
      <c r="F389" s="298" t="str">
        <f>IFERROR(__xludf.DUMMYFUNCTION("""COMPUTED_VALUE"""),"けものの★")</f>
        <v>けものの★</v>
      </c>
      <c r="G389" s="298" t="str">
        <f>IFERROR(__xludf.DUMMYFUNCTION("""COMPUTED_VALUE"""),"オトナコミック")</f>
        <v>オトナコミック</v>
      </c>
      <c r="H389" s="298" t="str">
        <f>IFERROR(__xludf.DUMMYFUNCTION("""COMPUTED_VALUE"""),"2024/11/25～）クレジットカードでの購入のみ停止")</f>
        <v>2024/11/25～）クレジットカードでの購入のみ停止</v>
      </c>
      <c r="I389" s="283"/>
      <c r="J389" s="283"/>
      <c r="K389" s="283"/>
      <c r="L389" s="283"/>
      <c r="M389" s="283"/>
      <c r="N389" s="283"/>
      <c r="O389" s="283"/>
      <c r="P389" s="283"/>
      <c r="Q389" s="278"/>
      <c r="R389" s="278"/>
      <c r="S389" s="278"/>
      <c r="T389" s="278"/>
      <c r="U389" s="278"/>
      <c r="V389" s="278"/>
      <c r="W389" s="278"/>
      <c r="X389" s="278"/>
      <c r="Y389" s="278"/>
      <c r="Z389" s="278"/>
      <c r="AA389" s="278"/>
      <c r="AB389" s="278"/>
      <c r="AC389" s="278"/>
    </row>
    <row r="390" ht="15.75" customHeight="1">
      <c r="A390" s="290" t="str">
        <f>IFERROR(__xludf.DUMMYFUNCTION("""COMPUTED_VALUE"""),"ジーオーティー")</f>
        <v>ジーオーティー</v>
      </c>
      <c r="B390" s="291">
        <f>IFERROR(__xludf.DUMMYFUNCTION("""COMPUTED_VALUE"""),45618.0)</f>
        <v>45618</v>
      </c>
      <c r="C390" s="292"/>
      <c r="D390" s="293">
        <f>IFERROR(__xludf.DUMMYFUNCTION("""COMPUTED_VALUE"""),209508.0)</f>
        <v>209508</v>
      </c>
      <c r="E390" s="290" t="str">
        <f>IFERROR(__xludf.DUMMYFUNCTION("""COMPUTED_VALUE"""),"犯人 〜おかしびと〜")</f>
        <v>犯人 〜おかしびと〜</v>
      </c>
      <c r="F390" s="298" t="str">
        <f>IFERROR(__xludf.DUMMYFUNCTION("""COMPUTED_VALUE"""),"茶否")</f>
        <v>茶否</v>
      </c>
      <c r="G390" s="298" t="str">
        <f>IFERROR(__xludf.DUMMYFUNCTION("""COMPUTED_VALUE"""),"オトナコミック")</f>
        <v>オトナコミック</v>
      </c>
      <c r="H390" s="298" t="str">
        <f>IFERROR(__xludf.DUMMYFUNCTION("""COMPUTED_VALUE"""),"2024/11/25～）クレジットカードでの購入のみ停止")</f>
        <v>2024/11/25～）クレジットカードでの購入のみ停止</v>
      </c>
      <c r="I390" s="283"/>
      <c r="J390" s="283"/>
      <c r="K390" s="283"/>
      <c r="L390" s="283"/>
      <c r="M390" s="283"/>
      <c r="N390" s="283"/>
      <c r="O390" s="283"/>
      <c r="P390" s="283"/>
      <c r="Q390" s="278"/>
      <c r="R390" s="278"/>
      <c r="S390" s="278"/>
      <c r="T390" s="278"/>
      <c r="U390" s="278"/>
      <c r="V390" s="278"/>
      <c r="W390" s="278"/>
      <c r="X390" s="278"/>
      <c r="Y390" s="278"/>
      <c r="Z390" s="278"/>
      <c r="AA390" s="278"/>
      <c r="AB390" s="278"/>
      <c r="AC390" s="278"/>
    </row>
    <row r="391" ht="15.75" customHeight="1">
      <c r="A391" s="290" t="str">
        <f>IFERROR(__xludf.DUMMYFUNCTION("""COMPUTED_VALUE"""),"ジーオーティー")</f>
        <v>ジーオーティー</v>
      </c>
      <c r="B391" s="291">
        <f>IFERROR(__xludf.DUMMYFUNCTION("""COMPUTED_VALUE"""),45618.0)</f>
        <v>45618</v>
      </c>
      <c r="C391" s="292"/>
      <c r="D391" s="293">
        <f>IFERROR(__xludf.DUMMYFUNCTION("""COMPUTED_VALUE"""),213070.0)</f>
        <v>213070</v>
      </c>
      <c r="E391" s="290" t="str">
        <f>IFERROR(__xludf.DUMMYFUNCTION("""COMPUTED_VALUE"""),"フシダラな距離【デジタル特装版】")</f>
        <v>フシダラな距離【デジタル特装版】</v>
      </c>
      <c r="F391" s="298" t="str">
        <f>IFERROR(__xludf.DUMMYFUNCTION("""COMPUTED_VALUE"""),"ミサキカホ。")</f>
        <v>ミサキカホ。</v>
      </c>
      <c r="G391" s="298" t="str">
        <f>IFERROR(__xludf.DUMMYFUNCTION("""COMPUTED_VALUE"""),"オトナコミック")</f>
        <v>オトナコミック</v>
      </c>
      <c r="H391" s="298" t="str">
        <f>IFERROR(__xludf.DUMMYFUNCTION("""COMPUTED_VALUE"""),"2024/11/25～）クレジットカードでの購入のみ停止")</f>
        <v>2024/11/25～）クレジットカードでの購入のみ停止</v>
      </c>
      <c r="I391" s="283"/>
      <c r="J391" s="283"/>
      <c r="K391" s="283"/>
      <c r="L391" s="283"/>
      <c r="M391" s="283"/>
      <c r="N391" s="283"/>
      <c r="O391" s="283"/>
      <c r="P391" s="283"/>
      <c r="Q391" s="278"/>
      <c r="R391" s="278"/>
      <c r="S391" s="278"/>
      <c r="T391" s="278"/>
      <c r="U391" s="278"/>
      <c r="V391" s="278"/>
      <c r="W391" s="278"/>
      <c r="X391" s="278"/>
      <c r="Y391" s="278"/>
      <c r="Z391" s="278"/>
      <c r="AA391" s="278"/>
      <c r="AB391" s="278"/>
      <c r="AC391" s="278"/>
    </row>
    <row r="392" ht="15.75" customHeight="1">
      <c r="A392" s="290" t="str">
        <f>IFERROR(__xludf.DUMMYFUNCTION("""COMPUTED_VALUE"""),"ジーオーティー")</f>
        <v>ジーオーティー</v>
      </c>
      <c r="B392" s="291">
        <f>IFERROR(__xludf.DUMMYFUNCTION("""COMPUTED_VALUE"""),45618.0)</f>
        <v>45618</v>
      </c>
      <c r="C392" s="292"/>
      <c r="D392" s="293">
        <f>IFERROR(__xludf.DUMMYFUNCTION("""COMPUTED_VALUE"""),214696.0)</f>
        <v>214696</v>
      </c>
      <c r="E392" s="290" t="str">
        <f>IFERROR(__xludf.DUMMYFUNCTION("""COMPUTED_VALUE"""),"堕淫の迷宮")</f>
        <v>堕淫の迷宮</v>
      </c>
      <c r="F392" s="298" t="str">
        <f>IFERROR(__xludf.DUMMYFUNCTION("""COMPUTED_VALUE"""),"ジョニー")</f>
        <v>ジョニー</v>
      </c>
      <c r="G392" s="298" t="str">
        <f>IFERROR(__xludf.DUMMYFUNCTION("""COMPUTED_VALUE"""),"オトナコミック")</f>
        <v>オトナコミック</v>
      </c>
      <c r="H392" s="298" t="str">
        <f>IFERROR(__xludf.DUMMYFUNCTION("""COMPUTED_VALUE"""),"2024/11/25～）クレジットカードでの購入のみ停止")</f>
        <v>2024/11/25～）クレジットカードでの購入のみ停止</v>
      </c>
      <c r="I392" s="283"/>
      <c r="J392" s="283"/>
      <c r="K392" s="283"/>
      <c r="L392" s="283"/>
      <c r="M392" s="283"/>
      <c r="N392" s="283"/>
      <c r="O392" s="283"/>
      <c r="P392" s="283"/>
      <c r="Q392" s="278"/>
      <c r="R392" s="278"/>
      <c r="S392" s="278"/>
      <c r="T392" s="278"/>
      <c r="U392" s="278"/>
      <c r="V392" s="278"/>
      <c r="W392" s="278"/>
      <c r="X392" s="278"/>
      <c r="Y392" s="278"/>
      <c r="Z392" s="278"/>
      <c r="AA392" s="278"/>
      <c r="AB392" s="278"/>
      <c r="AC392" s="278"/>
    </row>
    <row r="393" ht="15.75" customHeight="1">
      <c r="A393" s="290" t="str">
        <f>IFERROR(__xludf.DUMMYFUNCTION("""COMPUTED_VALUE"""),"ジーオーティー")</f>
        <v>ジーオーティー</v>
      </c>
      <c r="B393" s="291">
        <f>IFERROR(__xludf.DUMMYFUNCTION("""COMPUTED_VALUE"""),45618.0)</f>
        <v>45618</v>
      </c>
      <c r="C393" s="292"/>
      <c r="D393" s="293">
        <f>IFERROR(__xludf.DUMMYFUNCTION("""COMPUTED_VALUE"""),219426.0)</f>
        <v>219426</v>
      </c>
      <c r="E393" s="290" t="str">
        <f>IFERROR(__xludf.DUMMYFUNCTION("""COMPUTED_VALUE"""),"雌肉狂辱ノ宴")</f>
        <v>雌肉狂辱ノ宴</v>
      </c>
      <c r="F393" s="298" t="str">
        <f>IFERROR(__xludf.DUMMYFUNCTION("""COMPUTED_VALUE"""),"由雅なおは")</f>
        <v>由雅なおは</v>
      </c>
      <c r="G393" s="298" t="str">
        <f>IFERROR(__xludf.DUMMYFUNCTION("""COMPUTED_VALUE"""),"オトナコミック")</f>
        <v>オトナコミック</v>
      </c>
      <c r="H393" s="298" t="str">
        <f>IFERROR(__xludf.DUMMYFUNCTION("""COMPUTED_VALUE"""),"2024/11/25～）クレジットカードでの購入のみ停止")</f>
        <v>2024/11/25～）クレジットカードでの購入のみ停止</v>
      </c>
      <c r="I393" s="283"/>
      <c r="J393" s="283"/>
      <c r="K393" s="283"/>
      <c r="L393" s="283"/>
      <c r="M393" s="283"/>
      <c r="N393" s="283"/>
      <c r="O393" s="283"/>
      <c r="P393" s="283"/>
      <c r="Q393" s="278"/>
      <c r="R393" s="278"/>
      <c r="S393" s="278"/>
      <c r="T393" s="278"/>
      <c r="U393" s="278"/>
      <c r="V393" s="278"/>
      <c r="W393" s="278"/>
      <c r="X393" s="278"/>
      <c r="Y393" s="278"/>
      <c r="Z393" s="278"/>
      <c r="AA393" s="278"/>
      <c r="AB393" s="278"/>
      <c r="AC393" s="278"/>
    </row>
    <row r="394" ht="15.75" customHeight="1">
      <c r="A394" s="290" t="str">
        <f>IFERROR(__xludf.DUMMYFUNCTION("""COMPUTED_VALUE"""),"ジーオーティー")</f>
        <v>ジーオーティー</v>
      </c>
      <c r="B394" s="291">
        <f>IFERROR(__xludf.DUMMYFUNCTION("""COMPUTED_VALUE"""),45618.0)</f>
        <v>45618</v>
      </c>
      <c r="C394" s="292"/>
      <c r="D394" s="293">
        <f>IFERROR(__xludf.DUMMYFUNCTION("""COMPUTED_VALUE"""),222363.0)</f>
        <v>222363</v>
      </c>
      <c r="E394" s="290" t="str">
        <f>IFERROR(__xludf.DUMMYFUNCTION("""COMPUTED_VALUE"""),"コミ○帰りに異世界転生☆【デジタル特装版】")</f>
        <v>コミ○帰りに異世界転生☆【デジタル特装版】</v>
      </c>
      <c r="F394" s="298" t="str">
        <f>IFERROR(__xludf.DUMMYFUNCTION("""COMPUTED_VALUE"""),"肉そうきゅー。")</f>
        <v>肉そうきゅー。</v>
      </c>
      <c r="G394" s="298" t="str">
        <f>IFERROR(__xludf.DUMMYFUNCTION("""COMPUTED_VALUE"""),"オトナコミック")</f>
        <v>オトナコミック</v>
      </c>
      <c r="H394" s="298" t="str">
        <f>IFERROR(__xludf.DUMMYFUNCTION("""COMPUTED_VALUE"""),"2024/11/25～）クレジットカードでの購入のみ停止")</f>
        <v>2024/11/25～）クレジットカードでの購入のみ停止</v>
      </c>
      <c r="I394" s="283"/>
      <c r="J394" s="283"/>
      <c r="K394" s="283"/>
      <c r="L394" s="283"/>
      <c r="M394" s="283"/>
      <c r="N394" s="283"/>
      <c r="O394" s="283"/>
      <c r="P394" s="283"/>
      <c r="Q394" s="278"/>
      <c r="R394" s="278"/>
      <c r="S394" s="278"/>
      <c r="T394" s="278"/>
      <c r="U394" s="278"/>
      <c r="V394" s="278"/>
      <c r="W394" s="278"/>
      <c r="X394" s="278"/>
      <c r="Y394" s="278"/>
      <c r="Z394" s="278"/>
      <c r="AA394" s="278"/>
      <c r="AB394" s="278"/>
      <c r="AC394" s="278"/>
    </row>
    <row r="395" ht="15.75" customHeight="1">
      <c r="A395" s="290" t="str">
        <f>IFERROR(__xludf.DUMMYFUNCTION("""COMPUTED_VALUE"""),"ジーオーティー")</f>
        <v>ジーオーティー</v>
      </c>
      <c r="B395" s="291">
        <f>IFERROR(__xludf.DUMMYFUNCTION("""COMPUTED_VALUE"""),45618.0)</f>
        <v>45618</v>
      </c>
      <c r="C395" s="292"/>
      <c r="D395" s="293">
        <f>IFERROR(__xludf.DUMMYFUNCTION("""COMPUTED_VALUE"""),232415.0)</f>
        <v>232415</v>
      </c>
      <c r="E395" s="290" t="str">
        <f>IFERROR(__xludf.DUMMYFUNCTION("""COMPUTED_VALUE"""),"黒色グラマラス")</f>
        <v>黒色グラマラス</v>
      </c>
      <c r="F395" s="298" t="str">
        <f>IFERROR(__xludf.DUMMYFUNCTION("""COMPUTED_VALUE"""),"宮社惣恭")</f>
        <v>宮社惣恭</v>
      </c>
      <c r="G395" s="298" t="str">
        <f>IFERROR(__xludf.DUMMYFUNCTION("""COMPUTED_VALUE"""),"オトナコミック")</f>
        <v>オトナコミック</v>
      </c>
      <c r="H395" s="298" t="str">
        <f>IFERROR(__xludf.DUMMYFUNCTION("""COMPUTED_VALUE"""),"2024/11/25～）クレジットカードでの購入のみ停止")</f>
        <v>2024/11/25～）クレジットカードでの購入のみ停止</v>
      </c>
      <c r="I395" s="283"/>
      <c r="J395" s="283"/>
      <c r="K395" s="283"/>
      <c r="L395" s="283"/>
      <c r="M395" s="283"/>
      <c r="N395" s="283"/>
      <c r="O395" s="283"/>
      <c r="P395" s="283"/>
      <c r="Q395" s="278"/>
      <c r="R395" s="278"/>
      <c r="S395" s="278"/>
      <c r="T395" s="278"/>
      <c r="U395" s="278"/>
      <c r="V395" s="278"/>
      <c r="W395" s="278"/>
      <c r="X395" s="278"/>
      <c r="Y395" s="278"/>
      <c r="Z395" s="278"/>
      <c r="AA395" s="278"/>
      <c r="AB395" s="278"/>
      <c r="AC395" s="278"/>
    </row>
    <row r="396" ht="15.75" customHeight="1">
      <c r="A396" s="290" t="str">
        <f>IFERROR(__xludf.DUMMYFUNCTION("""COMPUTED_VALUE"""),"ジーオーティー")</f>
        <v>ジーオーティー</v>
      </c>
      <c r="B396" s="291">
        <f>IFERROR(__xludf.DUMMYFUNCTION("""COMPUTED_VALUE"""),45618.0)</f>
        <v>45618</v>
      </c>
      <c r="C396" s="292"/>
      <c r="D396" s="293">
        <f>IFERROR(__xludf.DUMMYFUNCTION("""COMPUTED_VALUE"""),237911.0)</f>
        <v>237911</v>
      </c>
      <c r="E396" s="290" t="str">
        <f>IFERROR(__xludf.DUMMYFUNCTION("""COMPUTED_VALUE"""),"復讐意識支配暗示で思い通りになる女たち【デジタル特装版】")</f>
        <v>復讐意識支配暗示で思い通りになる女たち【デジタル特装版】</v>
      </c>
      <c r="F396" s="298" t="str">
        <f>IFERROR(__xludf.DUMMYFUNCTION("""COMPUTED_VALUE"""),"しょむ")</f>
        <v>しょむ</v>
      </c>
      <c r="G396" s="298" t="str">
        <f>IFERROR(__xludf.DUMMYFUNCTION("""COMPUTED_VALUE"""),"オトナコミック")</f>
        <v>オトナコミック</v>
      </c>
      <c r="H396" s="298" t="str">
        <f>IFERROR(__xludf.DUMMYFUNCTION("""COMPUTED_VALUE"""),"2024/11/25～）クレジットカードでの購入のみ停止")</f>
        <v>2024/11/25～）クレジットカードでの購入のみ停止</v>
      </c>
      <c r="I396" s="283"/>
      <c r="J396" s="283"/>
      <c r="K396" s="283"/>
      <c r="L396" s="283"/>
      <c r="M396" s="283"/>
      <c r="N396" s="283"/>
      <c r="O396" s="283"/>
      <c r="P396" s="283"/>
      <c r="Q396" s="278"/>
      <c r="R396" s="278"/>
      <c r="S396" s="278"/>
      <c r="T396" s="278"/>
      <c r="U396" s="278"/>
      <c r="V396" s="278"/>
      <c r="W396" s="278"/>
      <c r="X396" s="278"/>
      <c r="Y396" s="278"/>
      <c r="Z396" s="278"/>
      <c r="AA396" s="278"/>
      <c r="AB396" s="278"/>
      <c r="AC396" s="278"/>
    </row>
    <row r="397" ht="15.75" customHeight="1">
      <c r="A397" s="290" t="str">
        <f>IFERROR(__xludf.DUMMYFUNCTION("""COMPUTED_VALUE"""),"ジーオーティー")</f>
        <v>ジーオーティー</v>
      </c>
      <c r="B397" s="291">
        <f>IFERROR(__xludf.DUMMYFUNCTION("""COMPUTED_VALUE"""),45618.0)</f>
        <v>45618</v>
      </c>
      <c r="C397" s="292"/>
      <c r="D397" s="293">
        <f>IFERROR(__xludf.DUMMYFUNCTION("""COMPUTED_VALUE"""),240025.0)</f>
        <v>240025</v>
      </c>
      <c r="E397" s="290" t="str">
        <f>IFERROR(__xludf.DUMMYFUNCTION("""COMPUTED_VALUE"""),"姦染列島 ～クリーチャーに蹂躙される世界で僕らは～【デジタル特装版】")</f>
        <v>姦染列島 ～クリーチャーに蹂躙される世界で僕らは～【デジタル特装版】</v>
      </c>
      <c r="F397" s="298" t="str">
        <f>IFERROR(__xludf.DUMMYFUNCTION("""COMPUTED_VALUE"""),"由雅なおは")</f>
        <v>由雅なおは</v>
      </c>
      <c r="G397" s="298" t="str">
        <f>IFERROR(__xludf.DUMMYFUNCTION("""COMPUTED_VALUE"""),"オトナコミック")</f>
        <v>オトナコミック</v>
      </c>
      <c r="H397" s="298" t="str">
        <f>IFERROR(__xludf.DUMMYFUNCTION("""COMPUTED_VALUE"""),"2024/11/25～）クレジットカードでの購入のみ停止")</f>
        <v>2024/11/25～）クレジットカードでの購入のみ停止</v>
      </c>
      <c r="I397" s="283"/>
      <c r="J397" s="283"/>
      <c r="K397" s="283"/>
      <c r="L397" s="283"/>
      <c r="M397" s="283"/>
      <c r="N397" s="283"/>
      <c r="O397" s="283"/>
      <c r="P397" s="283"/>
      <c r="Q397" s="278"/>
      <c r="R397" s="278"/>
      <c r="S397" s="278"/>
      <c r="T397" s="278"/>
      <c r="U397" s="278"/>
      <c r="V397" s="278"/>
      <c r="W397" s="278"/>
      <c r="X397" s="278"/>
      <c r="Y397" s="278"/>
      <c r="Z397" s="278"/>
      <c r="AA397" s="278"/>
      <c r="AB397" s="278"/>
      <c r="AC397" s="278"/>
    </row>
    <row r="398" ht="15.75" customHeight="1">
      <c r="A398" s="290" t="str">
        <f>IFERROR(__xludf.DUMMYFUNCTION("""COMPUTED_VALUE"""),"ジーオーティー")</f>
        <v>ジーオーティー</v>
      </c>
      <c r="B398" s="291">
        <f>IFERROR(__xludf.DUMMYFUNCTION("""COMPUTED_VALUE"""),45618.0)</f>
        <v>45618</v>
      </c>
      <c r="C398" s="292"/>
      <c r="D398" s="293">
        <f>IFERROR(__xludf.DUMMYFUNCTION("""COMPUTED_VALUE"""),246714.0)</f>
        <v>246714</v>
      </c>
      <c r="E398" s="290" t="str">
        <f>IFERROR(__xludf.DUMMYFUNCTION("""COMPUTED_VALUE"""),"服従交尾")</f>
        <v>服従交尾</v>
      </c>
      <c r="F398" s="298" t="str">
        <f>IFERROR(__xludf.DUMMYFUNCTION("""COMPUTED_VALUE"""),"流嘉")</f>
        <v>流嘉</v>
      </c>
      <c r="G398" s="298" t="str">
        <f>IFERROR(__xludf.DUMMYFUNCTION("""COMPUTED_VALUE"""),"オトナコミック")</f>
        <v>オトナコミック</v>
      </c>
      <c r="H398" s="298" t="str">
        <f>IFERROR(__xludf.DUMMYFUNCTION("""COMPUTED_VALUE"""),"2024/11/25～）クレジットカードでの購入のみ停止")</f>
        <v>2024/11/25～）クレジットカードでの購入のみ停止</v>
      </c>
      <c r="I398" s="283"/>
      <c r="J398" s="283"/>
      <c r="K398" s="283"/>
      <c r="L398" s="283"/>
      <c r="M398" s="283"/>
      <c r="N398" s="283"/>
      <c r="O398" s="283"/>
      <c r="P398" s="283"/>
      <c r="Q398" s="278"/>
      <c r="R398" s="278"/>
      <c r="S398" s="278"/>
      <c r="T398" s="278"/>
      <c r="U398" s="278"/>
      <c r="V398" s="278"/>
      <c r="W398" s="278"/>
      <c r="X398" s="278"/>
      <c r="Y398" s="278"/>
      <c r="Z398" s="278"/>
      <c r="AA398" s="278"/>
      <c r="AB398" s="278"/>
      <c r="AC398" s="278"/>
    </row>
    <row r="399" ht="15.75" customHeight="1">
      <c r="A399" s="290" t="str">
        <f>IFERROR(__xludf.DUMMYFUNCTION("""COMPUTED_VALUE"""),"ジーオーティー")</f>
        <v>ジーオーティー</v>
      </c>
      <c r="B399" s="291">
        <f>IFERROR(__xludf.DUMMYFUNCTION("""COMPUTED_VALUE"""),45618.0)</f>
        <v>45618</v>
      </c>
      <c r="C399" s="292"/>
      <c r="D399" s="293">
        <f>IFERROR(__xludf.DUMMYFUNCTION("""COMPUTED_VALUE"""),248813.0)</f>
        <v>248813</v>
      </c>
      <c r="E399" s="290" t="str">
        <f>IFERROR(__xludf.DUMMYFUNCTION("""COMPUTED_VALUE"""),"孫娘という名の肉便器")</f>
        <v>孫娘という名の肉便器</v>
      </c>
      <c r="F399" s="298" t="str">
        <f>IFERROR(__xludf.DUMMYFUNCTION("""COMPUTED_VALUE"""),"茶否")</f>
        <v>茶否</v>
      </c>
      <c r="G399" s="298" t="str">
        <f>IFERROR(__xludf.DUMMYFUNCTION("""COMPUTED_VALUE"""),"オトナコミック")</f>
        <v>オトナコミック</v>
      </c>
      <c r="H399" s="298" t="str">
        <f>IFERROR(__xludf.DUMMYFUNCTION("""COMPUTED_VALUE"""),"2024/11/25～）クレジットカードでの購入のみ停止")</f>
        <v>2024/11/25～）クレジットカードでの購入のみ停止</v>
      </c>
      <c r="I399" s="283"/>
      <c r="J399" s="283"/>
      <c r="K399" s="283"/>
      <c r="L399" s="283"/>
      <c r="M399" s="283"/>
      <c r="N399" s="283"/>
      <c r="O399" s="283"/>
      <c r="P399" s="283"/>
      <c r="Q399" s="278"/>
      <c r="R399" s="278"/>
      <c r="S399" s="278"/>
      <c r="T399" s="278"/>
      <c r="U399" s="278"/>
      <c r="V399" s="278"/>
      <c r="W399" s="278"/>
      <c r="X399" s="278"/>
      <c r="Y399" s="278"/>
      <c r="Z399" s="278"/>
      <c r="AA399" s="278"/>
      <c r="AB399" s="278"/>
      <c r="AC399" s="278"/>
    </row>
    <row r="400" ht="15.75" customHeight="1">
      <c r="A400" s="290" t="str">
        <f>IFERROR(__xludf.DUMMYFUNCTION("""COMPUTED_VALUE"""),"ジーオーティー")</f>
        <v>ジーオーティー</v>
      </c>
      <c r="B400" s="291">
        <f>IFERROR(__xludf.DUMMYFUNCTION("""COMPUTED_VALUE"""),45618.0)</f>
        <v>45618</v>
      </c>
      <c r="C400" s="292"/>
      <c r="D400" s="293">
        <f>IFERROR(__xludf.DUMMYFUNCTION("""COMPUTED_VALUE"""),251397.0)</f>
        <v>251397</v>
      </c>
      <c r="E400" s="290" t="str">
        <f>IFERROR(__xludf.DUMMYFUNCTION("""COMPUTED_VALUE"""),"唄飛鳥選集")</f>
        <v>唄飛鳥選集</v>
      </c>
      <c r="F400" s="298" t="str">
        <f>IFERROR(__xludf.DUMMYFUNCTION("""COMPUTED_VALUE"""),"唄飛鳥")</f>
        <v>唄飛鳥</v>
      </c>
      <c r="G400" s="298" t="str">
        <f>IFERROR(__xludf.DUMMYFUNCTION("""COMPUTED_VALUE"""),"オトナコミック")</f>
        <v>オトナコミック</v>
      </c>
      <c r="H400" s="298" t="str">
        <f>IFERROR(__xludf.DUMMYFUNCTION("""COMPUTED_VALUE"""),"2024/11/25～）クレジットカードでの購入のみ停止")</f>
        <v>2024/11/25～）クレジットカードでの購入のみ停止</v>
      </c>
      <c r="I400" s="283"/>
      <c r="J400" s="283"/>
      <c r="K400" s="283"/>
      <c r="L400" s="283"/>
      <c r="M400" s="283"/>
      <c r="N400" s="283"/>
      <c r="O400" s="283"/>
      <c r="P400" s="283"/>
      <c r="Q400" s="278"/>
      <c r="R400" s="278"/>
      <c r="S400" s="278"/>
      <c r="T400" s="278"/>
      <c r="U400" s="278"/>
      <c r="V400" s="278"/>
      <c r="W400" s="278"/>
      <c r="X400" s="278"/>
      <c r="Y400" s="278"/>
      <c r="Z400" s="278"/>
      <c r="AA400" s="278"/>
      <c r="AB400" s="278"/>
      <c r="AC400" s="278"/>
    </row>
    <row r="401" ht="15.75" customHeight="1">
      <c r="A401" s="290" t="str">
        <f>IFERROR(__xludf.DUMMYFUNCTION("""COMPUTED_VALUE"""),"ジーオーティー")</f>
        <v>ジーオーティー</v>
      </c>
      <c r="B401" s="291">
        <f>IFERROR(__xludf.DUMMYFUNCTION("""COMPUTED_VALUE"""),45618.0)</f>
        <v>45618</v>
      </c>
      <c r="C401" s="292"/>
      <c r="D401" s="293">
        <f>IFERROR(__xludf.DUMMYFUNCTION("""COMPUTED_VALUE"""),251398.0)</f>
        <v>251398</v>
      </c>
      <c r="E401" s="290" t="str">
        <f>IFERROR(__xludf.DUMMYFUNCTION("""COMPUTED_VALUE"""),"中華なると選集")</f>
        <v>中華なると選集</v>
      </c>
      <c r="F401" s="298" t="str">
        <f>IFERROR(__xludf.DUMMYFUNCTION("""COMPUTED_VALUE"""),"中華なると")</f>
        <v>中華なると</v>
      </c>
      <c r="G401" s="298" t="str">
        <f>IFERROR(__xludf.DUMMYFUNCTION("""COMPUTED_VALUE"""),"オトナコミック")</f>
        <v>オトナコミック</v>
      </c>
      <c r="H401" s="298" t="str">
        <f>IFERROR(__xludf.DUMMYFUNCTION("""COMPUTED_VALUE"""),"2024/11/25～）クレジットカードでの購入のみ停止")</f>
        <v>2024/11/25～）クレジットカードでの購入のみ停止</v>
      </c>
      <c r="I401" s="283"/>
      <c r="J401" s="283"/>
      <c r="K401" s="283"/>
      <c r="L401" s="283"/>
      <c r="M401" s="283"/>
      <c r="N401" s="283"/>
      <c r="O401" s="283"/>
      <c r="P401" s="283"/>
      <c r="Q401" s="278"/>
      <c r="R401" s="278"/>
      <c r="S401" s="278"/>
      <c r="T401" s="278"/>
      <c r="U401" s="278"/>
      <c r="V401" s="278"/>
      <c r="W401" s="278"/>
      <c r="X401" s="278"/>
      <c r="Y401" s="278"/>
      <c r="Z401" s="278"/>
      <c r="AA401" s="278"/>
      <c r="AB401" s="278"/>
      <c r="AC401" s="278"/>
    </row>
    <row r="402" ht="15.75" customHeight="1">
      <c r="A402" s="290" t="str">
        <f>IFERROR(__xludf.DUMMYFUNCTION("""COMPUTED_VALUE"""),"ジーオーティー")</f>
        <v>ジーオーティー</v>
      </c>
      <c r="B402" s="291">
        <f>IFERROR(__xludf.DUMMYFUNCTION("""COMPUTED_VALUE"""),45618.0)</f>
        <v>45618</v>
      </c>
      <c r="C402" s="292"/>
      <c r="D402" s="293">
        <f>IFERROR(__xludf.DUMMYFUNCTION("""COMPUTED_VALUE"""),260387.0)</f>
        <v>260387</v>
      </c>
      <c r="E402" s="290" t="str">
        <f>IFERROR(__xludf.DUMMYFUNCTION("""COMPUTED_VALUE"""),"金欲学園【合冊版】【デジタル特装版】")</f>
        <v>金欲学園【合冊版】【デジタル特装版】</v>
      </c>
      <c r="F402" s="298" t="str">
        <f>IFERROR(__xludf.DUMMYFUNCTION("""COMPUTED_VALUE"""),"あきは＠")</f>
        <v>あきは＠</v>
      </c>
      <c r="G402" s="298" t="str">
        <f>IFERROR(__xludf.DUMMYFUNCTION("""COMPUTED_VALUE"""),"オトナコミック")</f>
        <v>オトナコミック</v>
      </c>
      <c r="H402" s="298" t="str">
        <f>IFERROR(__xludf.DUMMYFUNCTION("""COMPUTED_VALUE"""),"2024/11/25～）クレジットカードでの購入のみ停止")</f>
        <v>2024/11/25～）クレジットカードでの購入のみ停止</v>
      </c>
      <c r="I402" s="283"/>
      <c r="J402" s="283"/>
      <c r="K402" s="283"/>
      <c r="L402" s="283"/>
      <c r="M402" s="283"/>
      <c r="N402" s="283"/>
      <c r="O402" s="283"/>
      <c r="P402" s="283"/>
      <c r="Q402" s="278"/>
      <c r="R402" s="278"/>
      <c r="S402" s="278"/>
      <c r="T402" s="278"/>
      <c r="U402" s="278"/>
      <c r="V402" s="278"/>
      <c r="W402" s="278"/>
      <c r="X402" s="278"/>
      <c r="Y402" s="278"/>
      <c r="Z402" s="278"/>
      <c r="AA402" s="278"/>
      <c r="AB402" s="278"/>
      <c r="AC402" s="278"/>
    </row>
    <row r="403" ht="15.75" customHeight="1">
      <c r="A403" s="290" t="str">
        <f>IFERROR(__xludf.DUMMYFUNCTION("""COMPUTED_VALUE"""),"ジーオーティー")</f>
        <v>ジーオーティー</v>
      </c>
      <c r="B403" s="291">
        <f>IFERROR(__xludf.DUMMYFUNCTION("""COMPUTED_VALUE"""),45618.0)</f>
        <v>45618</v>
      </c>
      <c r="C403" s="292"/>
      <c r="D403" s="293">
        <f>IFERROR(__xludf.DUMMYFUNCTION("""COMPUTED_VALUE"""),261202.0)</f>
        <v>261202</v>
      </c>
      <c r="E403" s="290" t="str">
        <f>IFERROR(__xludf.DUMMYFUNCTION("""COMPUTED_VALUE"""),"金欲学園【合冊版】")</f>
        <v>金欲学園【合冊版】</v>
      </c>
      <c r="F403" s="298" t="str">
        <f>IFERROR(__xludf.DUMMYFUNCTION("""COMPUTED_VALUE"""),"あきは＠")</f>
        <v>あきは＠</v>
      </c>
      <c r="G403" s="298" t="str">
        <f>IFERROR(__xludf.DUMMYFUNCTION("""COMPUTED_VALUE"""),"オトナコミック")</f>
        <v>オトナコミック</v>
      </c>
      <c r="H403" s="298" t="str">
        <f>IFERROR(__xludf.DUMMYFUNCTION("""COMPUTED_VALUE"""),"2024/11/25～）クレジットカードでの購入のみ停止")</f>
        <v>2024/11/25～）クレジットカードでの購入のみ停止</v>
      </c>
      <c r="I403" s="283"/>
      <c r="J403" s="283"/>
      <c r="K403" s="283"/>
      <c r="L403" s="283"/>
      <c r="M403" s="283"/>
      <c r="N403" s="283"/>
      <c r="O403" s="283"/>
      <c r="P403" s="283"/>
      <c r="Q403" s="278"/>
      <c r="R403" s="278"/>
      <c r="S403" s="278"/>
      <c r="T403" s="278"/>
      <c r="U403" s="278"/>
      <c r="V403" s="278"/>
      <c r="W403" s="278"/>
      <c r="X403" s="278"/>
      <c r="Y403" s="278"/>
      <c r="Z403" s="278"/>
      <c r="AA403" s="278"/>
      <c r="AB403" s="278"/>
      <c r="AC403" s="278"/>
    </row>
    <row r="404" ht="15.75" customHeight="1">
      <c r="A404" s="290" t="str">
        <f>IFERROR(__xludf.DUMMYFUNCTION("""COMPUTED_VALUE"""),"ジーオーティー")</f>
        <v>ジーオーティー</v>
      </c>
      <c r="B404" s="291">
        <f>IFERROR(__xludf.DUMMYFUNCTION("""COMPUTED_VALUE"""),45618.0)</f>
        <v>45618</v>
      </c>
      <c r="C404" s="292"/>
      <c r="D404" s="293">
        <f>IFERROR(__xludf.DUMMYFUNCTION("""COMPUTED_VALUE"""),265299.0)</f>
        <v>265299</v>
      </c>
      <c r="E404" s="290" t="str">
        <f>IFERROR(__xludf.DUMMYFUNCTION("""COMPUTED_VALUE"""),"メス10色【デジタル特装版】")</f>
        <v>メス10色【デジタル特装版】</v>
      </c>
      <c r="F404" s="298" t="str">
        <f>IFERROR(__xludf.DUMMYFUNCTION("""COMPUTED_VALUE"""),"なしぱすた")</f>
        <v>なしぱすた</v>
      </c>
      <c r="G404" s="298" t="str">
        <f>IFERROR(__xludf.DUMMYFUNCTION("""COMPUTED_VALUE"""),"オトナコミック")</f>
        <v>オトナコミック</v>
      </c>
      <c r="H404" s="298" t="str">
        <f>IFERROR(__xludf.DUMMYFUNCTION("""COMPUTED_VALUE"""),"2024/11/25～）クレジットカードでの購入のみ停止")</f>
        <v>2024/11/25～）クレジットカードでの購入のみ停止</v>
      </c>
      <c r="I404" s="283"/>
      <c r="J404" s="283"/>
      <c r="K404" s="283"/>
      <c r="L404" s="283"/>
      <c r="M404" s="283"/>
      <c r="N404" s="283"/>
      <c r="O404" s="283"/>
      <c r="P404" s="283"/>
      <c r="Q404" s="278"/>
      <c r="R404" s="278"/>
      <c r="S404" s="278"/>
      <c r="T404" s="278"/>
      <c r="U404" s="278"/>
      <c r="V404" s="278"/>
      <c r="W404" s="278"/>
      <c r="X404" s="278"/>
      <c r="Y404" s="278"/>
      <c r="Z404" s="278"/>
      <c r="AA404" s="278"/>
      <c r="AB404" s="278"/>
      <c r="AC404" s="278"/>
    </row>
    <row r="405" ht="15.75" customHeight="1">
      <c r="A405" s="290" t="str">
        <f>IFERROR(__xludf.DUMMYFUNCTION("""COMPUTED_VALUE"""),"ジーオーティー")</f>
        <v>ジーオーティー</v>
      </c>
      <c r="B405" s="291">
        <f>IFERROR(__xludf.DUMMYFUNCTION("""COMPUTED_VALUE"""),45618.0)</f>
        <v>45618</v>
      </c>
      <c r="C405" s="292"/>
      <c r="D405" s="293">
        <f>IFERROR(__xludf.DUMMYFUNCTION("""COMPUTED_VALUE"""),267507.0)</f>
        <v>267507</v>
      </c>
      <c r="E405" s="290" t="str">
        <f>IFERROR(__xludf.DUMMYFUNCTION("""COMPUTED_VALUE"""),"傍姦 ーきみが抱かれてるところなんて見たくないー")</f>
        <v>傍姦 ーきみが抱かれてるところなんて見たくないー</v>
      </c>
      <c r="F405" s="298" t="str">
        <f>IFERROR(__xludf.DUMMYFUNCTION("""COMPUTED_VALUE"""),"gamuteにゃ子")</f>
        <v>gamuteにゃ子</v>
      </c>
      <c r="G405" s="298" t="str">
        <f>IFERROR(__xludf.DUMMYFUNCTION("""COMPUTED_VALUE"""),"オトナコミック")</f>
        <v>オトナコミック</v>
      </c>
      <c r="H405" s="298" t="str">
        <f>IFERROR(__xludf.DUMMYFUNCTION("""COMPUTED_VALUE"""),"2024/11/25～）クレジットカードでの購入のみ停止")</f>
        <v>2024/11/25～）クレジットカードでの購入のみ停止</v>
      </c>
      <c r="I405" s="283"/>
      <c r="J405" s="283"/>
      <c r="K405" s="283"/>
      <c r="L405" s="283"/>
      <c r="M405" s="283"/>
      <c r="N405" s="283"/>
      <c r="O405" s="283"/>
      <c r="P405" s="283"/>
      <c r="Q405" s="278"/>
      <c r="R405" s="278"/>
      <c r="S405" s="278"/>
      <c r="T405" s="278"/>
      <c r="U405" s="278"/>
      <c r="V405" s="278"/>
      <c r="W405" s="278"/>
      <c r="X405" s="278"/>
      <c r="Y405" s="278"/>
      <c r="Z405" s="278"/>
      <c r="AA405" s="278"/>
      <c r="AB405" s="278"/>
      <c r="AC405" s="278"/>
    </row>
    <row r="406" ht="15.75" customHeight="1">
      <c r="A406" s="290" t="str">
        <f>IFERROR(__xludf.DUMMYFUNCTION("""COMPUTED_VALUE"""),"ジーオーティー")</f>
        <v>ジーオーティー</v>
      </c>
      <c r="B406" s="291">
        <f>IFERROR(__xludf.DUMMYFUNCTION("""COMPUTED_VALUE"""),45618.0)</f>
        <v>45618</v>
      </c>
      <c r="C406" s="292"/>
      <c r="D406" s="293">
        <f>IFERROR(__xludf.DUMMYFUNCTION("""COMPUTED_VALUE"""),285233.0)</f>
        <v>285233</v>
      </c>
      <c r="E406" s="290" t="str">
        <f>IFERROR(__xludf.DUMMYFUNCTION("""COMPUTED_VALUE"""),"堕ちて乙女は華綻ぶ")</f>
        <v>堕ちて乙女は華綻ぶ</v>
      </c>
      <c r="F406" s="298" t="str">
        <f>IFERROR(__xludf.DUMMYFUNCTION("""COMPUTED_VALUE"""),"よしみず")</f>
        <v>よしみず</v>
      </c>
      <c r="G406" s="298" t="str">
        <f>IFERROR(__xludf.DUMMYFUNCTION("""COMPUTED_VALUE"""),"オトナコミック")</f>
        <v>オトナコミック</v>
      </c>
      <c r="H406" s="298" t="str">
        <f>IFERROR(__xludf.DUMMYFUNCTION("""COMPUTED_VALUE"""),"2024/11/25～）クレジットカードでの購入のみ停止")</f>
        <v>2024/11/25～）クレジットカードでの購入のみ停止</v>
      </c>
      <c r="I406" s="283"/>
      <c r="J406" s="283"/>
      <c r="K406" s="283"/>
      <c r="L406" s="283"/>
      <c r="M406" s="283"/>
      <c r="N406" s="283"/>
      <c r="O406" s="283"/>
      <c r="P406" s="283"/>
      <c r="Q406" s="278"/>
      <c r="R406" s="278"/>
      <c r="S406" s="278"/>
      <c r="T406" s="278"/>
      <c r="U406" s="278"/>
      <c r="V406" s="278"/>
      <c r="W406" s="278"/>
      <c r="X406" s="278"/>
      <c r="Y406" s="278"/>
      <c r="Z406" s="278"/>
      <c r="AA406" s="278"/>
      <c r="AB406" s="278"/>
      <c r="AC406" s="278"/>
    </row>
    <row r="407" ht="15.75" customHeight="1">
      <c r="A407" s="290" t="str">
        <f>IFERROR(__xludf.DUMMYFUNCTION("""COMPUTED_VALUE"""),"ジーオーティー")</f>
        <v>ジーオーティー</v>
      </c>
      <c r="B407" s="291">
        <f>IFERROR(__xludf.DUMMYFUNCTION("""COMPUTED_VALUE"""),45618.0)</f>
        <v>45618</v>
      </c>
      <c r="C407" s="292"/>
      <c r="D407" s="293">
        <f>IFERROR(__xludf.DUMMYFUNCTION("""COMPUTED_VALUE"""),295182.0)</f>
        <v>295182</v>
      </c>
      <c r="E407" s="290" t="str">
        <f>IFERROR(__xludf.DUMMYFUNCTION("""COMPUTED_VALUE"""),"催眠セプテット")</f>
        <v>催眠セプテット</v>
      </c>
      <c r="F407" s="298" t="str">
        <f>IFERROR(__xludf.DUMMYFUNCTION("""COMPUTED_VALUE"""),"こぼ")</f>
        <v>こぼ</v>
      </c>
      <c r="G407" s="298" t="str">
        <f>IFERROR(__xludf.DUMMYFUNCTION("""COMPUTED_VALUE"""),"オトナコミック")</f>
        <v>オトナコミック</v>
      </c>
      <c r="H407" s="298" t="str">
        <f>IFERROR(__xludf.DUMMYFUNCTION("""COMPUTED_VALUE"""),"2024/11/25～）クレジットカードでの購入のみ停止")</f>
        <v>2024/11/25～）クレジットカードでの購入のみ停止</v>
      </c>
      <c r="I407" s="283"/>
      <c r="J407" s="283"/>
      <c r="K407" s="283"/>
      <c r="L407" s="283"/>
      <c r="M407" s="283"/>
      <c r="N407" s="283"/>
      <c r="O407" s="283"/>
      <c r="P407" s="283"/>
      <c r="Q407" s="278"/>
      <c r="R407" s="278"/>
      <c r="S407" s="278"/>
      <c r="T407" s="278"/>
      <c r="U407" s="278"/>
      <c r="V407" s="278"/>
      <c r="W407" s="278"/>
      <c r="X407" s="278"/>
      <c r="Y407" s="278"/>
      <c r="Z407" s="278"/>
      <c r="AA407" s="278"/>
      <c r="AB407" s="278"/>
      <c r="AC407" s="278"/>
    </row>
    <row r="408" ht="15.75" customHeight="1">
      <c r="A408" s="290" t="str">
        <f>IFERROR(__xludf.DUMMYFUNCTION("""COMPUTED_VALUE"""),"ジュネット")</f>
        <v>ジュネット</v>
      </c>
      <c r="B408" s="291">
        <f>IFERROR(__xludf.DUMMYFUNCTION("""COMPUTED_VALUE"""),45618.0)</f>
        <v>45618</v>
      </c>
      <c r="C408" s="292"/>
      <c r="D408" s="293">
        <f>IFERROR(__xludf.DUMMYFUNCTION("""COMPUTED_VALUE"""),71320.0)</f>
        <v>71320</v>
      </c>
      <c r="E408" s="290" t="str">
        <f>IFERROR(__xludf.DUMMYFUNCTION("""COMPUTED_VALUE"""),"淫夜行路")</f>
        <v>淫夜行路</v>
      </c>
      <c r="F408" s="298" t="str">
        <f>IFERROR(__xludf.DUMMYFUNCTION("""COMPUTED_VALUE"""),"天竺浪人")</f>
        <v>天竺浪人</v>
      </c>
      <c r="G408" s="298" t="str">
        <f>IFERROR(__xludf.DUMMYFUNCTION("""COMPUTED_VALUE"""),"オトナコミック")</f>
        <v>オトナコミック</v>
      </c>
      <c r="H408" s="298" t="str">
        <f>IFERROR(__xludf.DUMMYFUNCTION("""COMPUTED_VALUE"""),"2024/11/25～）クレジットカードでの購入のみ停止")</f>
        <v>2024/11/25～）クレジットカードでの購入のみ停止</v>
      </c>
      <c r="I408" s="283"/>
      <c r="J408" s="283"/>
      <c r="K408" s="283"/>
      <c r="L408" s="283"/>
      <c r="M408" s="283"/>
      <c r="N408" s="283"/>
      <c r="O408" s="283"/>
      <c r="P408" s="283"/>
      <c r="Q408" s="278"/>
      <c r="R408" s="278"/>
      <c r="S408" s="278"/>
      <c r="T408" s="278"/>
      <c r="U408" s="278"/>
      <c r="V408" s="278"/>
      <c r="W408" s="278"/>
      <c r="X408" s="278"/>
      <c r="Y408" s="278"/>
      <c r="Z408" s="278"/>
      <c r="AA408" s="278"/>
      <c r="AB408" s="278"/>
      <c r="AC408" s="278"/>
    </row>
    <row r="409" ht="15.75" customHeight="1">
      <c r="A409" s="290" t="str">
        <f>IFERROR(__xludf.DUMMYFUNCTION("""COMPUTED_VALUE"""),"ジュリアンパブリッシング")</f>
        <v>ジュリアンパブリッシング</v>
      </c>
      <c r="B409" s="291">
        <f>IFERROR(__xludf.DUMMYFUNCTION("""COMPUTED_VALUE"""),45618.0)</f>
        <v>45618</v>
      </c>
      <c r="C409" s="292"/>
      <c r="D409" s="293">
        <f>IFERROR(__xludf.DUMMYFUNCTION("""COMPUTED_VALUE"""),171604.0)</f>
        <v>171604</v>
      </c>
      <c r="E409" s="290" t="str">
        <f>IFERROR(__xludf.DUMMYFUNCTION("""COMPUTED_VALUE"""),"めいぷるぽっと")</f>
        <v>めいぷるぽっと</v>
      </c>
      <c r="F409" s="298" t="str">
        <f>IFERROR(__xludf.DUMMYFUNCTION("""COMPUTED_VALUE"""),"瓶人 / コノシロしんこ / ことまろ")</f>
        <v>瓶人 / コノシロしんこ / ことまろ</v>
      </c>
      <c r="G409" s="298" t="str">
        <f>IFERROR(__xludf.DUMMYFUNCTION("""COMPUTED_VALUE"""),"オトナコミック")</f>
        <v>オトナコミック</v>
      </c>
      <c r="H409" s="298" t="str">
        <f>IFERROR(__xludf.DUMMYFUNCTION("""COMPUTED_VALUE"""),"2024/11/25～）クレジットカードでの購入のみ停止")</f>
        <v>2024/11/25～）クレジットカードでの購入のみ停止</v>
      </c>
      <c r="I409" s="283"/>
      <c r="J409" s="283"/>
      <c r="K409" s="283"/>
      <c r="L409" s="283"/>
      <c r="M409" s="283"/>
      <c r="N409" s="283"/>
      <c r="O409" s="283"/>
      <c r="P409" s="283"/>
      <c r="Q409" s="278"/>
      <c r="R409" s="278"/>
      <c r="S409" s="278"/>
      <c r="T409" s="278"/>
      <c r="U409" s="278"/>
      <c r="V409" s="278"/>
      <c r="W409" s="278"/>
      <c r="X409" s="278"/>
      <c r="Y409" s="278"/>
      <c r="Z409" s="278"/>
      <c r="AA409" s="278"/>
      <c r="AB409" s="278"/>
      <c r="AC409" s="278"/>
    </row>
    <row r="410" ht="15.75" customHeight="1">
      <c r="A410" s="290" t="str">
        <f>IFERROR(__xludf.DUMMYFUNCTION("""COMPUTED_VALUE"""),"セ・キララ文庫")</f>
        <v>セ・キララ文庫</v>
      </c>
      <c r="B410" s="291">
        <f>IFERROR(__xludf.DUMMYFUNCTION("""COMPUTED_VALUE"""),45618.0)</f>
        <v>45618</v>
      </c>
      <c r="C410" s="292"/>
      <c r="D410" s="293">
        <f>IFERROR(__xludf.DUMMYFUNCTION("""COMPUTED_VALUE"""),61473.0)</f>
        <v>61473</v>
      </c>
      <c r="E410" s="290" t="str">
        <f>IFERROR(__xludf.DUMMYFUNCTION("""COMPUTED_VALUE"""),"家庭教師（英語）のおクチに発音矯正ピストン!!")</f>
        <v>家庭教師（英語）のおクチに発音矯正ピストン!!</v>
      </c>
      <c r="F410" s="298" t="str">
        <f>IFERROR(__xludf.DUMMYFUNCTION("""COMPUTED_VALUE"""),"ひめはち")</f>
        <v>ひめはち</v>
      </c>
      <c r="G410" s="298" t="str">
        <f>IFERROR(__xludf.DUMMYFUNCTION("""COMPUTED_VALUE"""),"オトナコミック")</f>
        <v>オトナコミック</v>
      </c>
      <c r="H410" s="298" t="str">
        <f>IFERROR(__xludf.DUMMYFUNCTION("""COMPUTED_VALUE"""),"2024/11/25～）クレジットカードでの購入のみ停止")</f>
        <v>2024/11/25～）クレジットカードでの購入のみ停止</v>
      </c>
      <c r="I410" s="283"/>
      <c r="J410" s="283"/>
      <c r="K410" s="283"/>
      <c r="L410" s="283"/>
      <c r="M410" s="283"/>
      <c r="N410" s="283"/>
      <c r="O410" s="283"/>
      <c r="P410" s="283"/>
      <c r="Q410" s="278"/>
      <c r="R410" s="278"/>
      <c r="S410" s="278"/>
      <c r="T410" s="278"/>
      <c r="U410" s="278"/>
      <c r="V410" s="278"/>
      <c r="W410" s="278"/>
      <c r="X410" s="278"/>
      <c r="Y410" s="278"/>
      <c r="Z410" s="278"/>
      <c r="AA410" s="278"/>
      <c r="AB410" s="278"/>
      <c r="AC410" s="278"/>
    </row>
    <row r="411" ht="15.75" customHeight="1">
      <c r="A411" s="290" t="str">
        <f>IFERROR(__xludf.DUMMYFUNCTION("""COMPUTED_VALUE"""),"ティーアイネット／大洋図書")</f>
        <v>ティーアイネット／大洋図書</v>
      </c>
      <c r="B411" s="291">
        <f>IFERROR(__xludf.DUMMYFUNCTION("""COMPUTED_VALUE"""),45618.0)</f>
        <v>45618</v>
      </c>
      <c r="C411" s="292"/>
      <c r="D411" s="293">
        <f>IFERROR(__xludf.DUMMYFUNCTION("""COMPUTED_VALUE"""),195221.0)</f>
        <v>195221</v>
      </c>
      <c r="E411" s="290" t="str">
        <f>IFERROR(__xludf.DUMMYFUNCTION("""COMPUTED_VALUE"""),"蹂躙十色")</f>
        <v>蹂躙十色</v>
      </c>
      <c r="F411" s="298" t="str">
        <f>IFERROR(__xludf.DUMMYFUNCTION("""COMPUTED_VALUE"""),"MUJIN編集部 / のうきゅう")</f>
        <v>MUJIN編集部 / のうきゅう</v>
      </c>
      <c r="G411" s="298" t="str">
        <f>IFERROR(__xludf.DUMMYFUNCTION("""COMPUTED_VALUE"""),"オトナコミック")</f>
        <v>オトナコミック</v>
      </c>
      <c r="H411" s="298" t="str">
        <f>IFERROR(__xludf.DUMMYFUNCTION("""COMPUTED_VALUE"""),"2024/11/25～）クレジットカードでの購入のみ停止")</f>
        <v>2024/11/25～）クレジットカードでの購入のみ停止</v>
      </c>
      <c r="I411" s="283"/>
      <c r="J411" s="283"/>
      <c r="K411" s="283"/>
      <c r="L411" s="283"/>
      <c r="M411" s="283"/>
      <c r="N411" s="283"/>
      <c r="O411" s="283"/>
      <c r="P411" s="283"/>
      <c r="Q411" s="278"/>
      <c r="R411" s="278"/>
      <c r="S411" s="278"/>
      <c r="T411" s="278"/>
      <c r="U411" s="278"/>
      <c r="V411" s="278"/>
      <c r="W411" s="278"/>
      <c r="X411" s="278"/>
      <c r="Y411" s="278"/>
      <c r="Z411" s="278"/>
      <c r="AA411" s="278"/>
      <c r="AB411" s="278"/>
      <c r="AC411" s="278"/>
    </row>
    <row r="412" ht="15.75" customHeight="1">
      <c r="A412" s="290" t="str">
        <f>IFERROR(__xludf.DUMMYFUNCTION("""COMPUTED_VALUE"""),"ティーアイネット／大洋図書")</f>
        <v>ティーアイネット／大洋図書</v>
      </c>
      <c r="B412" s="291">
        <f>IFERROR(__xludf.DUMMYFUNCTION("""COMPUTED_VALUE"""),45618.0)</f>
        <v>45618</v>
      </c>
      <c r="C412" s="292"/>
      <c r="D412" s="293">
        <f>IFERROR(__xludf.DUMMYFUNCTION("""COMPUTED_VALUE"""),239343.0)</f>
        <v>239343</v>
      </c>
      <c r="E412" s="290" t="str">
        <f>IFERROR(__xludf.DUMMYFUNCTION("""COMPUTED_VALUE"""),"便器街")</f>
        <v>便器街</v>
      </c>
      <c r="F412" s="298" t="str">
        <f>IFERROR(__xludf.DUMMYFUNCTION("""COMPUTED_VALUE"""),"まよねーず。 / MUJIN編集部")</f>
        <v>まよねーず。 / MUJIN編集部</v>
      </c>
      <c r="G412" s="298" t="str">
        <f>IFERROR(__xludf.DUMMYFUNCTION("""COMPUTED_VALUE"""),"オトナコミック")</f>
        <v>オトナコミック</v>
      </c>
      <c r="H412" s="298" t="str">
        <f>IFERROR(__xludf.DUMMYFUNCTION("""COMPUTED_VALUE"""),"2024/11/25～）クレジットカードでの購入のみ停止")</f>
        <v>2024/11/25～）クレジットカードでの購入のみ停止</v>
      </c>
      <c r="I412" s="283"/>
      <c r="J412" s="283"/>
      <c r="K412" s="283"/>
      <c r="L412" s="283"/>
      <c r="M412" s="283"/>
      <c r="N412" s="283"/>
      <c r="O412" s="283"/>
      <c r="P412" s="283"/>
      <c r="Q412" s="278"/>
      <c r="R412" s="278"/>
      <c r="S412" s="278"/>
      <c r="T412" s="278"/>
      <c r="U412" s="278"/>
      <c r="V412" s="278"/>
      <c r="W412" s="278"/>
      <c r="X412" s="278"/>
      <c r="Y412" s="278"/>
      <c r="Z412" s="278"/>
      <c r="AA412" s="278"/>
      <c r="AB412" s="278"/>
      <c r="AC412" s="278"/>
    </row>
    <row r="413" ht="15.75" customHeight="1">
      <c r="A413" s="290" t="str">
        <f>IFERROR(__xludf.DUMMYFUNCTION("""COMPUTED_VALUE"""),"デジタルコミック流通ネットワーク")</f>
        <v>デジタルコミック流通ネットワーク</v>
      </c>
      <c r="B413" s="291">
        <f>IFERROR(__xludf.DUMMYFUNCTION("""COMPUTED_VALUE"""),45618.0)</f>
        <v>45618</v>
      </c>
      <c r="C413" s="292"/>
      <c r="D413" s="293">
        <f>IFERROR(__xludf.DUMMYFUNCTION("""COMPUTED_VALUE"""),168161.0)</f>
        <v>168161</v>
      </c>
      <c r="E413" s="290" t="str">
        <f>IFERROR(__xludf.DUMMYFUNCTION("""COMPUTED_VALUE"""),"鬼畜ハーレム")</f>
        <v>鬼畜ハーレム</v>
      </c>
      <c r="F413" s="298" t="str">
        <f>IFERROR(__xludf.DUMMYFUNCTION("""COMPUTED_VALUE"""),"キゲツミヤ")</f>
        <v>キゲツミヤ</v>
      </c>
      <c r="G413" s="298" t="str">
        <f>IFERROR(__xludf.DUMMYFUNCTION("""COMPUTED_VALUE"""),"オトナコミック")</f>
        <v>オトナコミック</v>
      </c>
      <c r="H413" s="298" t="str">
        <f>IFERROR(__xludf.DUMMYFUNCTION("""COMPUTED_VALUE"""),"2024/11/25～）クレジットカードでの購入のみ停止")</f>
        <v>2024/11/25～）クレジットカードでの購入のみ停止</v>
      </c>
      <c r="I413" s="283"/>
      <c r="J413" s="283"/>
      <c r="K413" s="283"/>
      <c r="L413" s="283"/>
      <c r="M413" s="283"/>
      <c r="N413" s="283"/>
      <c r="O413" s="283"/>
      <c r="P413" s="283"/>
      <c r="Q413" s="278"/>
      <c r="R413" s="278"/>
      <c r="S413" s="278"/>
      <c r="T413" s="278"/>
      <c r="U413" s="278"/>
      <c r="V413" s="278"/>
      <c r="W413" s="278"/>
      <c r="X413" s="278"/>
      <c r="Y413" s="278"/>
      <c r="Z413" s="278"/>
      <c r="AA413" s="278"/>
      <c r="AB413" s="278"/>
      <c r="AC413" s="278"/>
    </row>
    <row r="414" ht="15.75" customHeight="1">
      <c r="A414" s="290" t="str">
        <f>IFERROR(__xludf.DUMMYFUNCTION("""COMPUTED_VALUE"""),"デジタルコミック流通ネットワーク")</f>
        <v>デジタルコミック流通ネットワーク</v>
      </c>
      <c r="B414" s="291">
        <f>IFERROR(__xludf.DUMMYFUNCTION("""COMPUTED_VALUE"""),45618.0)</f>
        <v>45618</v>
      </c>
      <c r="C414" s="292"/>
      <c r="D414" s="293">
        <f>IFERROR(__xludf.DUMMYFUNCTION("""COMPUTED_VALUE"""),185761.0)</f>
        <v>185761</v>
      </c>
      <c r="E414" s="290" t="str">
        <f>IFERROR(__xludf.DUMMYFUNCTION("""COMPUTED_VALUE"""),"催淫女学園 催眠アプリで制服女子たちをメス化教育")</f>
        <v>催淫女学園 催眠アプリで制服女子たちをメス化教育</v>
      </c>
      <c r="F414" s="298" t="str">
        <f>IFERROR(__xludf.DUMMYFUNCTION("""COMPUTED_VALUE"""),"鈴木メタル / 安曇なな")</f>
        <v>鈴木メタル / 安曇なな</v>
      </c>
      <c r="G414" s="298" t="str">
        <f>IFERROR(__xludf.DUMMYFUNCTION("""COMPUTED_VALUE"""),"オトナコミック")</f>
        <v>オトナコミック</v>
      </c>
      <c r="H414" s="298" t="str">
        <f>IFERROR(__xludf.DUMMYFUNCTION("""COMPUTED_VALUE"""),"2024/11/25～）クレジットカードでの購入のみ停止")</f>
        <v>2024/11/25～）クレジットカードでの購入のみ停止</v>
      </c>
      <c r="I414" s="283"/>
      <c r="J414" s="283"/>
      <c r="K414" s="283"/>
      <c r="L414" s="283"/>
      <c r="M414" s="283"/>
      <c r="N414" s="283"/>
      <c r="O414" s="283"/>
      <c r="P414" s="283"/>
      <c r="Q414" s="278"/>
      <c r="R414" s="278"/>
      <c r="S414" s="278"/>
      <c r="T414" s="278"/>
      <c r="U414" s="278"/>
      <c r="V414" s="278"/>
      <c r="W414" s="278"/>
      <c r="X414" s="278"/>
      <c r="Y414" s="278"/>
      <c r="Z414" s="278"/>
      <c r="AA414" s="278"/>
      <c r="AB414" s="278"/>
      <c r="AC414" s="278"/>
    </row>
    <row r="415" ht="15.75" customHeight="1">
      <c r="A415" s="290" t="str">
        <f>IFERROR(__xludf.DUMMYFUNCTION("""COMPUTED_VALUE"""),"デジタルコミック流通ネットワーク")</f>
        <v>デジタルコミック流通ネットワーク</v>
      </c>
      <c r="B415" s="291">
        <f>IFERROR(__xludf.DUMMYFUNCTION("""COMPUTED_VALUE"""),45618.0)</f>
        <v>45618</v>
      </c>
      <c r="C415" s="292"/>
      <c r="D415" s="293">
        <f>IFERROR(__xludf.DUMMYFUNCTION("""COMPUTED_VALUE"""),194114.0)</f>
        <v>194114</v>
      </c>
      <c r="E415" s="290" t="str">
        <f>IFERROR(__xludf.DUMMYFUNCTION("""COMPUTED_VALUE"""),"催淫即ハメ先生～催眠腕輪で学園の女子生徒を片っ端からヤりまくるっ～")</f>
        <v>催淫即ハメ先生～催眠腕輪で学園の女子生徒を片っ端からヤりまくるっ～</v>
      </c>
      <c r="F415" s="298" t="str">
        <f>IFERROR(__xludf.DUMMYFUNCTION("""COMPUTED_VALUE"""),"綾乃れな")</f>
        <v>綾乃れな</v>
      </c>
      <c r="G415" s="298" t="str">
        <f>IFERROR(__xludf.DUMMYFUNCTION("""COMPUTED_VALUE"""),"オトナコミック")</f>
        <v>オトナコミック</v>
      </c>
      <c r="H415" s="298" t="str">
        <f>IFERROR(__xludf.DUMMYFUNCTION("""COMPUTED_VALUE"""),"2024/11/25～）クレジットカードでの購入のみ停止")</f>
        <v>2024/11/25～）クレジットカードでの購入のみ停止</v>
      </c>
      <c r="I415" s="283"/>
      <c r="J415" s="283"/>
      <c r="K415" s="283"/>
      <c r="L415" s="283"/>
      <c r="M415" s="283"/>
      <c r="N415" s="283"/>
      <c r="O415" s="283"/>
      <c r="P415" s="283"/>
      <c r="Q415" s="278"/>
      <c r="R415" s="278"/>
      <c r="S415" s="278"/>
      <c r="T415" s="278"/>
      <c r="U415" s="278"/>
      <c r="V415" s="278"/>
      <c r="W415" s="278"/>
      <c r="X415" s="278"/>
      <c r="Y415" s="278"/>
      <c r="Z415" s="278"/>
      <c r="AA415" s="278"/>
      <c r="AB415" s="278"/>
      <c r="AC415" s="278"/>
    </row>
    <row r="416" ht="15.75" customHeight="1">
      <c r="A416" s="290" t="str">
        <f>IFERROR(__xludf.DUMMYFUNCTION("""COMPUTED_VALUE"""),"デジタルコミック流通ネットワーク")</f>
        <v>デジタルコミック流通ネットワーク</v>
      </c>
      <c r="B416" s="291">
        <f>IFERROR(__xludf.DUMMYFUNCTION("""COMPUTED_VALUE"""),45618.0)</f>
        <v>45618</v>
      </c>
      <c r="C416" s="292"/>
      <c r="D416" s="293">
        <f>IFERROR(__xludf.DUMMYFUNCTION("""COMPUTED_VALUE"""),214023.0)</f>
        <v>214023</v>
      </c>
      <c r="E416" s="290" t="str">
        <f>IFERROR(__xludf.DUMMYFUNCTION("""COMPUTED_VALUE"""),"催眠保健室～お気に入りのあの子もこの子も発情させて即ハーレム～")</f>
        <v>催眠保健室～お気に入りのあの子もこの子も発情させて即ハーレム～</v>
      </c>
      <c r="F416" s="298" t="str">
        <f>IFERROR(__xludf.DUMMYFUNCTION("""COMPUTED_VALUE"""),"ふりいど")</f>
        <v>ふりいど</v>
      </c>
      <c r="G416" s="298" t="str">
        <f>IFERROR(__xludf.DUMMYFUNCTION("""COMPUTED_VALUE"""),"オトナコミック")</f>
        <v>オトナコミック</v>
      </c>
      <c r="H416" s="298" t="str">
        <f>IFERROR(__xludf.DUMMYFUNCTION("""COMPUTED_VALUE"""),"2024/11/25～）クレジットカードでの購入のみ停止")</f>
        <v>2024/11/25～）クレジットカードでの購入のみ停止</v>
      </c>
      <c r="I416" s="283"/>
      <c r="J416" s="283"/>
      <c r="K416" s="283"/>
      <c r="L416" s="283"/>
      <c r="M416" s="283"/>
      <c r="N416" s="283"/>
      <c r="O416" s="283"/>
      <c r="P416" s="283"/>
      <c r="Q416" s="278"/>
      <c r="R416" s="278"/>
      <c r="S416" s="278"/>
      <c r="T416" s="278"/>
      <c r="U416" s="278"/>
      <c r="V416" s="278"/>
      <c r="W416" s="278"/>
      <c r="X416" s="278"/>
      <c r="Y416" s="278"/>
      <c r="Z416" s="278"/>
      <c r="AA416" s="278"/>
      <c r="AB416" s="278"/>
      <c r="AC416" s="278"/>
    </row>
    <row r="417" ht="15.75" customHeight="1">
      <c r="A417" s="290" t="str">
        <f>IFERROR(__xludf.DUMMYFUNCTION("""COMPUTED_VALUE"""),"デジタルコミック流通ネットワーク")</f>
        <v>デジタルコミック流通ネットワーク</v>
      </c>
      <c r="B417" s="291">
        <f>IFERROR(__xludf.DUMMYFUNCTION("""COMPUTED_VALUE"""),45618.0)</f>
        <v>45618</v>
      </c>
      <c r="C417" s="292"/>
      <c r="D417" s="293">
        <f>IFERROR(__xludf.DUMMYFUNCTION("""COMPUTED_VALUE"""),282667.0)</f>
        <v>282667</v>
      </c>
      <c r="E417" s="290" t="str">
        <f>IFERROR(__xludf.DUMMYFUNCTION("""COMPUTED_VALUE"""),"催眠で 時間停止で 発情させて ハーレム")</f>
        <v>催眠で 時間停止で 発情させて ハーレム</v>
      </c>
      <c r="F417" s="298" t="str">
        <f>IFERROR(__xludf.DUMMYFUNCTION("""COMPUTED_VALUE"""),"ふりいど")</f>
        <v>ふりいど</v>
      </c>
      <c r="G417" s="298" t="str">
        <f>IFERROR(__xludf.DUMMYFUNCTION("""COMPUTED_VALUE"""),"オトナコミック")</f>
        <v>オトナコミック</v>
      </c>
      <c r="H417" s="298" t="str">
        <f>IFERROR(__xludf.DUMMYFUNCTION("""COMPUTED_VALUE"""),"2024/11/25～）クレジットカードでの購入のみ停止")</f>
        <v>2024/11/25～）クレジットカードでの購入のみ停止</v>
      </c>
      <c r="I417" s="283"/>
      <c r="J417" s="283"/>
      <c r="K417" s="283"/>
      <c r="L417" s="283"/>
      <c r="M417" s="283"/>
      <c r="N417" s="283"/>
      <c r="O417" s="283"/>
      <c r="P417" s="283"/>
      <c r="Q417" s="278"/>
      <c r="R417" s="278"/>
      <c r="S417" s="278"/>
      <c r="T417" s="278"/>
      <c r="U417" s="278"/>
      <c r="V417" s="278"/>
      <c r="W417" s="278"/>
      <c r="X417" s="278"/>
      <c r="Y417" s="278"/>
      <c r="Z417" s="278"/>
      <c r="AA417" s="278"/>
      <c r="AB417" s="278"/>
      <c r="AC417" s="278"/>
    </row>
    <row r="418" ht="15.75" customHeight="1">
      <c r="A418" s="290" t="str">
        <f>IFERROR(__xludf.DUMMYFUNCTION("""COMPUTED_VALUE"""),"どろっぷす！")</f>
        <v>どろっぷす！</v>
      </c>
      <c r="B418" s="291">
        <f>IFERROR(__xludf.DUMMYFUNCTION("""COMPUTED_VALUE"""),45618.0)</f>
        <v>45618</v>
      </c>
      <c r="C418" s="292"/>
      <c r="D418" s="293">
        <f>IFERROR(__xludf.DUMMYFUNCTION("""COMPUTED_VALUE"""),145689.0)</f>
        <v>145689</v>
      </c>
      <c r="E418" s="290" t="str">
        <f>IFERROR(__xludf.DUMMYFUNCTION("""COMPUTED_VALUE"""),"ハメられたJKたち")</f>
        <v>ハメられたJKたち</v>
      </c>
      <c r="F418" s="298" t="str">
        <f>IFERROR(__xludf.DUMMYFUNCTION("""COMPUTED_VALUE"""),"ＢＥＮＥＴＴＹ")</f>
        <v>ＢＥＮＥＴＴＹ</v>
      </c>
      <c r="G418" s="298" t="str">
        <f>IFERROR(__xludf.DUMMYFUNCTION("""COMPUTED_VALUE"""),"オトナコミック")</f>
        <v>オトナコミック</v>
      </c>
      <c r="H418" s="298" t="str">
        <f>IFERROR(__xludf.DUMMYFUNCTION("""COMPUTED_VALUE"""),"2024/11/25～）クレジットカードでの購入のみ停止")</f>
        <v>2024/11/25～）クレジットカードでの購入のみ停止</v>
      </c>
      <c r="I418" s="283"/>
      <c r="J418" s="283"/>
      <c r="K418" s="283"/>
      <c r="L418" s="283"/>
      <c r="M418" s="283"/>
      <c r="N418" s="283"/>
      <c r="O418" s="283"/>
      <c r="P418" s="283"/>
      <c r="Q418" s="278"/>
      <c r="R418" s="278"/>
      <c r="S418" s="278"/>
      <c r="T418" s="278"/>
      <c r="U418" s="278"/>
      <c r="V418" s="278"/>
      <c r="W418" s="278"/>
      <c r="X418" s="278"/>
      <c r="Y418" s="278"/>
      <c r="Z418" s="278"/>
      <c r="AA418" s="278"/>
      <c r="AB418" s="278"/>
      <c r="AC418" s="278"/>
    </row>
    <row r="419" ht="15.75" customHeight="1">
      <c r="A419" s="290" t="str">
        <f>IFERROR(__xludf.DUMMYFUNCTION("""COMPUTED_VALUE"""),"どろっぷす！")</f>
        <v>どろっぷす！</v>
      </c>
      <c r="B419" s="291">
        <f>IFERROR(__xludf.DUMMYFUNCTION("""COMPUTED_VALUE"""),45618.0)</f>
        <v>45618</v>
      </c>
      <c r="C419" s="292"/>
      <c r="D419" s="293">
        <f>IFERROR(__xludf.DUMMYFUNCTION("""COMPUTED_VALUE"""),149182.0)</f>
        <v>149182</v>
      </c>
      <c r="E419" s="290" t="str">
        <f>IFERROR(__xludf.DUMMYFUNCTION("""COMPUTED_VALUE"""),"【フルカラー】強制ハメ！孕ませ島 抵抗できない女子とハーレムSEX！")</f>
        <v>【フルカラー】強制ハメ！孕ませ島 抵抗できない女子とハーレムSEX！</v>
      </c>
      <c r="F419" s="298" t="str">
        <f>IFERROR(__xludf.DUMMYFUNCTION("""COMPUTED_VALUE"""),"ＳＣＲＥＷ")</f>
        <v>ＳＣＲＥＷ</v>
      </c>
      <c r="G419" s="298" t="str">
        <f>IFERROR(__xludf.DUMMYFUNCTION("""COMPUTED_VALUE"""),"オトナコミック")</f>
        <v>オトナコミック</v>
      </c>
      <c r="H419" s="298" t="str">
        <f>IFERROR(__xludf.DUMMYFUNCTION("""COMPUTED_VALUE"""),"2024/11/25～）クレジットカードでの購入のみ停止")</f>
        <v>2024/11/25～）クレジットカードでの購入のみ停止</v>
      </c>
      <c r="I419" s="283"/>
      <c r="J419" s="283"/>
      <c r="K419" s="283"/>
      <c r="L419" s="283"/>
      <c r="M419" s="283"/>
      <c r="N419" s="283"/>
      <c r="O419" s="283"/>
      <c r="P419" s="283"/>
      <c r="Q419" s="278"/>
      <c r="R419" s="278"/>
      <c r="S419" s="278"/>
      <c r="T419" s="278"/>
      <c r="U419" s="278"/>
      <c r="V419" s="278"/>
      <c r="W419" s="278"/>
      <c r="X419" s="278"/>
      <c r="Y419" s="278"/>
      <c r="Z419" s="278"/>
      <c r="AA419" s="278"/>
      <c r="AB419" s="278"/>
      <c r="AC419" s="278"/>
    </row>
    <row r="420" ht="15.75" customHeight="1">
      <c r="A420" s="290" t="str">
        <f>IFERROR(__xludf.DUMMYFUNCTION("""COMPUTED_VALUE"""),"どろっぷす！")</f>
        <v>どろっぷす！</v>
      </c>
      <c r="B420" s="291">
        <f>IFERROR(__xludf.DUMMYFUNCTION("""COMPUTED_VALUE"""),45618.0)</f>
        <v>45618</v>
      </c>
      <c r="C420" s="292"/>
      <c r="D420" s="293">
        <f>IFERROR(__xludf.DUMMYFUNCTION("""COMPUTED_VALUE"""),150406.0)</f>
        <v>150406</v>
      </c>
      <c r="E420" s="290" t="str">
        <f>IFERROR(__xludf.DUMMYFUNCTION("""COMPUTED_VALUE"""),"【フルカラー】ご褒美えっち！ ～水着をズラして好きなだけ～")</f>
        <v>【フルカラー】ご褒美えっち！ ～水着をズラして好きなだけ～</v>
      </c>
      <c r="F420" s="298" t="str">
        <f>IFERROR(__xludf.DUMMYFUNCTION("""COMPUTED_VALUE"""),"ＳＣＲＥＷ")</f>
        <v>ＳＣＲＥＷ</v>
      </c>
      <c r="G420" s="298" t="str">
        <f>IFERROR(__xludf.DUMMYFUNCTION("""COMPUTED_VALUE"""),"オトナコミック")</f>
        <v>オトナコミック</v>
      </c>
      <c r="H420" s="298" t="str">
        <f>IFERROR(__xludf.DUMMYFUNCTION("""COMPUTED_VALUE"""),"2024/11/25～）クレジットカードでの購入のみ停止")</f>
        <v>2024/11/25～）クレジットカードでの購入のみ停止</v>
      </c>
      <c r="I420" s="283"/>
      <c r="J420" s="283"/>
      <c r="K420" s="283"/>
      <c r="L420" s="283"/>
      <c r="M420" s="283"/>
      <c r="N420" s="283"/>
      <c r="O420" s="283"/>
      <c r="P420" s="283"/>
      <c r="Q420" s="278"/>
      <c r="R420" s="278"/>
      <c r="S420" s="278"/>
      <c r="T420" s="278"/>
      <c r="U420" s="278"/>
      <c r="V420" s="278"/>
      <c r="W420" s="278"/>
      <c r="X420" s="278"/>
      <c r="Y420" s="278"/>
      <c r="Z420" s="278"/>
      <c r="AA420" s="278"/>
      <c r="AB420" s="278"/>
      <c r="AC420" s="278"/>
    </row>
    <row r="421" ht="15.75" customHeight="1">
      <c r="A421" s="290" t="str">
        <f>IFERROR(__xludf.DUMMYFUNCTION("""COMPUTED_VALUE"""),"どろっぷす！")</f>
        <v>どろっぷす！</v>
      </c>
      <c r="B421" s="291">
        <f>IFERROR(__xludf.DUMMYFUNCTION("""COMPUTED_VALUE"""),45618.0)</f>
        <v>45618</v>
      </c>
      <c r="C421" s="292"/>
      <c r="D421" s="293">
        <f>IFERROR(__xludf.DUMMYFUNCTION("""COMPUTED_VALUE"""),167328.0)</f>
        <v>167328</v>
      </c>
      <c r="E421" s="290" t="str">
        <f>IFERROR(__xludf.DUMMYFUNCTION("""COMPUTED_VALUE"""),"義娘寝取り ～嫌がるJKに強制挿入～")</f>
        <v>義娘寝取り ～嫌がるJKに強制挿入～</v>
      </c>
      <c r="F421" s="298" t="str">
        <f>IFERROR(__xludf.DUMMYFUNCTION("""COMPUTED_VALUE"""),"ＢＥＮＥＴＴＹ")</f>
        <v>ＢＥＮＥＴＴＹ</v>
      </c>
      <c r="G421" s="298" t="str">
        <f>IFERROR(__xludf.DUMMYFUNCTION("""COMPUTED_VALUE"""),"オトナコミック")</f>
        <v>オトナコミック</v>
      </c>
      <c r="H421" s="298" t="str">
        <f>IFERROR(__xludf.DUMMYFUNCTION("""COMPUTED_VALUE"""),"2024/11/25～）クレジットカードでの購入のみ停止")</f>
        <v>2024/11/25～）クレジットカードでの購入のみ停止</v>
      </c>
      <c r="I421" s="283"/>
      <c r="J421" s="283"/>
      <c r="K421" s="283"/>
      <c r="L421" s="283"/>
      <c r="M421" s="283"/>
      <c r="N421" s="283"/>
      <c r="O421" s="283"/>
      <c r="P421" s="283"/>
      <c r="Q421" s="278"/>
      <c r="R421" s="278"/>
      <c r="S421" s="278"/>
      <c r="T421" s="278"/>
      <c r="U421" s="278"/>
      <c r="V421" s="278"/>
      <c r="W421" s="278"/>
      <c r="X421" s="278"/>
      <c r="Y421" s="278"/>
      <c r="Z421" s="278"/>
      <c r="AA421" s="278"/>
      <c r="AB421" s="278"/>
      <c r="AC421" s="278"/>
    </row>
    <row r="422" ht="15.75" customHeight="1">
      <c r="A422" s="290" t="str">
        <f>IFERROR(__xludf.DUMMYFUNCTION("""COMPUTED_VALUE"""),"どろっぷす！")</f>
        <v>どろっぷす！</v>
      </c>
      <c r="B422" s="291">
        <f>IFERROR(__xludf.DUMMYFUNCTION("""COMPUTED_VALUE"""),45618.0)</f>
        <v>45618</v>
      </c>
      <c r="C422" s="292"/>
      <c r="D422" s="293">
        <f>IFERROR(__xludf.DUMMYFUNCTION("""COMPUTED_VALUE"""),186414.0)</f>
        <v>186414</v>
      </c>
      <c r="E422" s="290" t="str">
        <f>IFERROR(__xludf.DUMMYFUNCTION("""COMPUTED_VALUE"""),"合本版 ハメられたJKたち")</f>
        <v>合本版 ハメられたJKたち</v>
      </c>
      <c r="F422" s="298" t="str">
        <f>IFERROR(__xludf.DUMMYFUNCTION("""COMPUTED_VALUE"""),"ＢＥＮＥＴＴＹ")</f>
        <v>ＢＥＮＥＴＴＹ</v>
      </c>
      <c r="G422" s="298" t="str">
        <f>IFERROR(__xludf.DUMMYFUNCTION("""COMPUTED_VALUE"""),"オトナコミック")</f>
        <v>オトナコミック</v>
      </c>
      <c r="H422" s="298" t="str">
        <f>IFERROR(__xludf.DUMMYFUNCTION("""COMPUTED_VALUE"""),"2024/11/25～）クレジットカードでの購入のみ停止")</f>
        <v>2024/11/25～）クレジットカードでの購入のみ停止</v>
      </c>
      <c r="I422" s="283"/>
      <c r="J422" s="283"/>
      <c r="K422" s="283"/>
      <c r="L422" s="283"/>
      <c r="M422" s="283"/>
      <c r="N422" s="283"/>
      <c r="O422" s="283"/>
      <c r="P422" s="283"/>
      <c r="Q422" s="278"/>
      <c r="R422" s="278"/>
      <c r="S422" s="278"/>
      <c r="T422" s="278"/>
      <c r="U422" s="278"/>
      <c r="V422" s="278"/>
      <c r="W422" s="278"/>
      <c r="X422" s="278"/>
      <c r="Y422" s="278"/>
      <c r="Z422" s="278"/>
      <c r="AA422" s="278"/>
      <c r="AB422" s="278"/>
      <c r="AC422" s="278"/>
    </row>
    <row r="423" ht="15.75" customHeight="1">
      <c r="A423" s="290" t="str">
        <f>IFERROR(__xludf.DUMMYFUNCTION("""COMPUTED_VALUE"""),"どろっぷす！")</f>
        <v>どろっぷす！</v>
      </c>
      <c r="B423" s="291">
        <f>IFERROR(__xludf.DUMMYFUNCTION("""COMPUTED_VALUE"""),45618.0)</f>
        <v>45618</v>
      </c>
      <c r="C423" s="292"/>
      <c r="D423" s="293">
        <f>IFERROR(__xludf.DUMMYFUNCTION("""COMPUTED_VALUE"""),188678.0)</f>
        <v>188678</v>
      </c>
      <c r="E423" s="290" t="str">
        <f>IFERROR(__xludf.DUMMYFUNCTION("""COMPUTED_VALUE"""),"合本版 ご褒美えっち！ ～水着をズラして好きなだけ～")</f>
        <v>合本版 ご褒美えっち！ ～水着をズラして好きなだけ～</v>
      </c>
      <c r="F423" s="298" t="str">
        <f>IFERROR(__xludf.DUMMYFUNCTION("""COMPUTED_VALUE"""),"ＳＣＲＥＷ")</f>
        <v>ＳＣＲＥＷ</v>
      </c>
      <c r="G423" s="298" t="str">
        <f>IFERROR(__xludf.DUMMYFUNCTION("""COMPUTED_VALUE"""),"オトナコミック")</f>
        <v>オトナコミック</v>
      </c>
      <c r="H423" s="298" t="str">
        <f>IFERROR(__xludf.DUMMYFUNCTION("""COMPUTED_VALUE"""),"2024/11/25～）クレジットカードでの購入のみ停止")</f>
        <v>2024/11/25～）クレジットカードでの購入のみ停止</v>
      </c>
      <c r="I423" s="283"/>
      <c r="J423" s="283"/>
      <c r="K423" s="283"/>
      <c r="L423" s="283"/>
      <c r="M423" s="283"/>
      <c r="N423" s="283"/>
      <c r="O423" s="283"/>
      <c r="P423" s="283"/>
      <c r="Q423" s="278"/>
      <c r="R423" s="278"/>
      <c r="S423" s="278"/>
      <c r="T423" s="278"/>
      <c r="U423" s="278"/>
      <c r="V423" s="278"/>
      <c r="W423" s="278"/>
      <c r="X423" s="278"/>
      <c r="Y423" s="278"/>
      <c r="Z423" s="278"/>
      <c r="AA423" s="278"/>
      <c r="AB423" s="278"/>
      <c r="AC423" s="278"/>
    </row>
    <row r="424" ht="15.75" customHeight="1">
      <c r="A424" s="290" t="str">
        <f>IFERROR(__xludf.DUMMYFUNCTION("""COMPUTED_VALUE"""),"どろっぷす！")</f>
        <v>どろっぷす！</v>
      </c>
      <c r="B424" s="291">
        <f>IFERROR(__xludf.DUMMYFUNCTION("""COMPUTED_VALUE"""),45618.0)</f>
        <v>45618</v>
      </c>
      <c r="C424" s="292"/>
      <c r="D424" s="293">
        <f>IFERROR(__xludf.DUMMYFUNCTION("""COMPUTED_VALUE"""),188693.0)</f>
        <v>188693</v>
      </c>
      <c r="E424" s="290" t="str">
        <f>IFERROR(__xludf.DUMMYFUNCTION("""COMPUTED_VALUE"""),"合本版 義娘寝取り ～嫌がるJKに強制挿入～")</f>
        <v>合本版 義娘寝取り ～嫌がるJKに強制挿入～</v>
      </c>
      <c r="F424" s="298" t="str">
        <f>IFERROR(__xludf.DUMMYFUNCTION("""COMPUTED_VALUE"""),"ＢＥＮＥＴＴＹ")</f>
        <v>ＢＥＮＥＴＴＹ</v>
      </c>
      <c r="G424" s="298" t="str">
        <f>IFERROR(__xludf.DUMMYFUNCTION("""COMPUTED_VALUE"""),"オトナコミック")</f>
        <v>オトナコミック</v>
      </c>
      <c r="H424" s="298" t="str">
        <f>IFERROR(__xludf.DUMMYFUNCTION("""COMPUTED_VALUE"""),"2024/11/25～）クレジットカードでの購入のみ停止")</f>
        <v>2024/11/25～）クレジットカードでの購入のみ停止</v>
      </c>
      <c r="I424" s="283"/>
      <c r="J424" s="283"/>
      <c r="K424" s="283"/>
      <c r="L424" s="283"/>
      <c r="M424" s="283"/>
      <c r="N424" s="283"/>
      <c r="O424" s="283"/>
      <c r="P424" s="283"/>
      <c r="Q424" s="278"/>
      <c r="R424" s="278"/>
      <c r="S424" s="278"/>
      <c r="T424" s="278"/>
      <c r="U424" s="278"/>
      <c r="V424" s="278"/>
      <c r="W424" s="278"/>
      <c r="X424" s="278"/>
      <c r="Y424" s="278"/>
      <c r="Z424" s="278"/>
      <c r="AA424" s="278"/>
      <c r="AB424" s="278"/>
      <c r="AC424" s="278"/>
    </row>
    <row r="425" ht="15.75" customHeight="1">
      <c r="A425" s="290" t="str">
        <f>IFERROR(__xludf.DUMMYFUNCTION("""COMPUTED_VALUE"""),"どろっぷす！")</f>
        <v>どろっぷす！</v>
      </c>
      <c r="B425" s="291">
        <f>IFERROR(__xludf.DUMMYFUNCTION("""COMPUTED_VALUE"""),45618.0)</f>
        <v>45618</v>
      </c>
      <c r="C425" s="292"/>
      <c r="D425" s="293">
        <f>IFERROR(__xludf.DUMMYFUNCTION("""COMPUTED_VALUE"""),208351.0)</f>
        <v>208351</v>
      </c>
      <c r="E425" s="290" t="str">
        <f>IFERROR(__xludf.DUMMYFUNCTION("""COMPUTED_VALUE"""),"先生、いっぱい出してぇ…っ～催淫能力であの娘たちに何度も挿入～")</f>
        <v>先生、いっぱい出してぇ…っ～催淫能力であの娘たちに何度も挿入～</v>
      </c>
      <c r="F425" s="298" t="str">
        <f>IFERROR(__xludf.DUMMYFUNCTION("""COMPUTED_VALUE"""),"ＢＥＮＥＴＴＹ")</f>
        <v>ＢＥＮＥＴＴＹ</v>
      </c>
      <c r="G425" s="298" t="str">
        <f>IFERROR(__xludf.DUMMYFUNCTION("""COMPUTED_VALUE"""),"オトナコミック")</f>
        <v>オトナコミック</v>
      </c>
      <c r="H425" s="298" t="str">
        <f>IFERROR(__xludf.DUMMYFUNCTION("""COMPUTED_VALUE"""),"2024/11/25～）クレジットカードでの購入のみ停止")</f>
        <v>2024/11/25～）クレジットカードでの購入のみ停止</v>
      </c>
      <c r="I425" s="283"/>
      <c r="J425" s="283"/>
      <c r="K425" s="283"/>
      <c r="L425" s="283"/>
      <c r="M425" s="283"/>
      <c r="N425" s="283"/>
      <c r="O425" s="283"/>
      <c r="P425" s="283"/>
      <c r="Q425" s="278"/>
      <c r="R425" s="278"/>
      <c r="S425" s="278"/>
      <c r="T425" s="278"/>
      <c r="U425" s="278"/>
      <c r="V425" s="278"/>
      <c r="W425" s="278"/>
      <c r="X425" s="278"/>
      <c r="Y425" s="278"/>
      <c r="Z425" s="278"/>
      <c r="AA425" s="278"/>
      <c r="AB425" s="278"/>
      <c r="AC425" s="278"/>
    </row>
    <row r="426" ht="15.75" customHeight="1">
      <c r="A426" s="290" t="str">
        <f>IFERROR(__xludf.DUMMYFUNCTION("""COMPUTED_VALUE"""),"どろっぷす！")</f>
        <v>どろっぷす！</v>
      </c>
      <c r="B426" s="291">
        <f>IFERROR(__xludf.DUMMYFUNCTION("""COMPUTED_VALUE"""),45618.0)</f>
        <v>45618</v>
      </c>
      <c r="C426" s="292"/>
      <c r="D426" s="293">
        <f>IFERROR(__xludf.DUMMYFUNCTION("""COMPUTED_VALUE"""),217771.0)</f>
        <v>217771</v>
      </c>
      <c r="E426" s="290" t="str">
        <f>IFERROR(__xludf.DUMMYFUNCTION("""COMPUTED_VALUE"""),"だめ！彼氏がいるのに激イキしちゃう！ 〜攻略難易度MAXなあの子も即堕ちアヘイキ〜")</f>
        <v>だめ！彼氏がいるのに激イキしちゃう！ 〜攻略難易度MAXなあの子も即堕ちアヘイキ〜</v>
      </c>
      <c r="F426" s="298" t="str">
        <f>IFERROR(__xludf.DUMMYFUNCTION("""COMPUTED_VALUE"""),"大人のSEXY絵本")</f>
        <v>大人のSEXY絵本</v>
      </c>
      <c r="G426" s="298" t="str">
        <f>IFERROR(__xludf.DUMMYFUNCTION("""COMPUTED_VALUE"""),"オトナコミック")</f>
        <v>オトナコミック</v>
      </c>
      <c r="H426" s="298" t="str">
        <f>IFERROR(__xludf.DUMMYFUNCTION("""COMPUTED_VALUE"""),"2024/11/25～）クレジットカードでの購入のみ停止")</f>
        <v>2024/11/25～）クレジットカードでの購入のみ停止</v>
      </c>
      <c r="I426" s="283"/>
      <c r="J426" s="283"/>
      <c r="K426" s="283"/>
      <c r="L426" s="283"/>
      <c r="M426" s="283"/>
      <c r="N426" s="283"/>
      <c r="O426" s="283"/>
      <c r="P426" s="283"/>
      <c r="Q426" s="278"/>
      <c r="R426" s="278"/>
      <c r="S426" s="278"/>
      <c r="T426" s="278"/>
      <c r="U426" s="278"/>
      <c r="V426" s="278"/>
      <c r="W426" s="278"/>
      <c r="X426" s="278"/>
      <c r="Y426" s="278"/>
      <c r="Z426" s="278"/>
      <c r="AA426" s="278"/>
      <c r="AB426" s="278"/>
      <c r="AC426" s="278"/>
    </row>
    <row r="427" ht="15.75" customHeight="1">
      <c r="A427" s="290" t="str">
        <f>IFERROR(__xludf.DUMMYFUNCTION("""COMPUTED_VALUE"""),"どろっぷす！")</f>
        <v>どろっぷす！</v>
      </c>
      <c r="B427" s="291">
        <f>IFERROR(__xludf.DUMMYFUNCTION("""COMPUTED_VALUE"""),45618.0)</f>
        <v>45618</v>
      </c>
      <c r="C427" s="292"/>
      <c r="D427" s="293">
        <f>IFERROR(__xludf.DUMMYFUNCTION("""COMPUTED_VALUE"""),218092.0)</f>
        <v>218092</v>
      </c>
      <c r="E427" s="290" t="str">
        <f>IFERROR(__xludf.DUMMYFUNCTION("""COMPUTED_VALUE"""),"ハメられたJKたち 完全収録版")</f>
        <v>ハメられたJKたち 完全収録版</v>
      </c>
      <c r="F427" s="298" t="str">
        <f>IFERROR(__xludf.DUMMYFUNCTION("""COMPUTED_VALUE"""),"ＢＥＮＥＴＴＹ")</f>
        <v>ＢＥＮＥＴＴＹ</v>
      </c>
      <c r="G427" s="298" t="str">
        <f>IFERROR(__xludf.DUMMYFUNCTION("""COMPUTED_VALUE"""),"オトナコミック")</f>
        <v>オトナコミック</v>
      </c>
      <c r="H427" s="298" t="str">
        <f>IFERROR(__xludf.DUMMYFUNCTION("""COMPUTED_VALUE"""),"2024/11/25～）クレジットカードでの購入のみ停止")</f>
        <v>2024/11/25～）クレジットカードでの購入のみ停止</v>
      </c>
      <c r="I427" s="283"/>
      <c r="J427" s="283"/>
      <c r="K427" s="283"/>
      <c r="L427" s="283"/>
      <c r="M427" s="283"/>
      <c r="N427" s="283"/>
      <c r="O427" s="283"/>
      <c r="P427" s="283"/>
      <c r="Q427" s="278"/>
      <c r="R427" s="278"/>
      <c r="S427" s="278"/>
      <c r="T427" s="278"/>
      <c r="U427" s="278"/>
      <c r="V427" s="278"/>
      <c r="W427" s="278"/>
      <c r="X427" s="278"/>
      <c r="Y427" s="278"/>
      <c r="Z427" s="278"/>
      <c r="AA427" s="278"/>
      <c r="AB427" s="278"/>
      <c r="AC427" s="278"/>
    </row>
    <row r="428" ht="15.75" customHeight="1">
      <c r="A428" s="290" t="str">
        <f>IFERROR(__xludf.DUMMYFUNCTION("""COMPUTED_VALUE"""),"どろっぷす！")</f>
        <v>どろっぷす！</v>
      </c>
      <c r="B428" s="291">
        <f>IFERROR(__xludf.DUMMYFUNCTION("""COMPUTED_VALUE"""),45618.0)</f>
        <v>45618</v>
      </c>
      <c r="C428" s="292"/>
      <c r="D428" s="293">
        <f>IFERROR(__xludf.DUMMYFUNCTION("""COMPUTED_VALUE"""),240702.0)</f>
        <v>240702</v>
      </c>
      <c r="E428" s="290" t="str">
        <f>IFERROR(__xludf.DUMMYFUNCTION("""COMPUTED_VALUE"""),"美少女パラダイス ～よりどりみどり！？のハーレムえっち～【大合本シリーズ】")</f>
        <v>美少女パラダイス ～よりどりみどり！？のハーレムえっち～【大合本シリーズ】</v>
      </c>
      <c r="F428" s="298" t="str">
        <f>IFERROR(__xludf.DUMMYFUNCTION("""COMPUTED_VALUE"""),"ＢＥＮＥＴＴＹ")</f>
        <v>ＢＥＮＥＴＴＹ</v>
      </c>
      <c r="G428" s="298" t="str">
        <f>IFERROR(__xludf.DUMMYFUNCTION("""COMPUTED_VALUE"""),"オトナコミック")</f>
        <v>オトナコミック</v>
      </c>
      <c r="H428" s="298" t="str">
        <f>IFERROR(__xludf.DUMMYFUNCTION("""COMPUTED_VALUE"""),"2024/11/25～）クレジットカードでの購入のみ停止")</f>
        <v>2024/11/25～）クレジットカードでの購入のみ停止</v>
      </c>
      <c r="I428" s="283"/>
      <c r="J428" s="283"/>
      <c r="K428" s="283"/>
      <c r="L428" s="283"/>
      <c r="M428" s="283"/>
      <c r="N428" s="283"/>
      <c r="O428" s="283"/>
      <c r="P428" s="283"/>
      <c r="Q428" s="278"/>
      <c r="R428" s="278"/>
      <c r="S428" s="278"/>
      <c r="T428" s="278"/>
      <c r="U428" s="278"/>
      <c r="V428" s="278"/>
      <c r="W428" s="278"/>
      <c r="X428" s="278"/>
      <c r="Y428" s="278"/>
      <c r="Z428" s="278"/>
      <c r="AA428" s="278"/>
      <c r="AB428" s="278"/>
      <c r="AC428" s="278"/>
    </row>
    <row r="429" ht="15.75" customHeight="1">
      <c r="A429" s="290" t="str">
        <f>IFERROR(__xludf.DUMMYFUNCTION("""COMPUTED_VALUE"""),"どろっぷす！")</f>
        <v>どろっぷす！</v>
      </c>
      <c r="B429" s="291">
        <f>IFERROR(__xludf.DUMMYFUNCTION("""COMPUTED_VALUE"""),45618.0)</f>
        <v>45618</v>
      </c>
      <c r="C429" s="292"/>
      <c r="D429" s="293">
        <f>IFERROR(__xludf.DUMMYFUNCTION("""COMPUTED_VALUE"""),255297.0)</f>
        <v>255297</v>
      </c>
      <c r="E429" s="290" t="str">
        <f>IFERROR(__xludf.DUMMYFUNCTION("""COMPUTED_VALUE"""),"服従カラダ払い ～懇願しながら股ひらけ～【超合本シリーズ】")</f>
        <v>服従カラダ払い ～懇願しながら股ひらけ～【超合本シリーズ】</v>
      </c>
      <c r="F429" s="298" t="str">
        <f>IFERROR(__xludf.DUMMYFUNCTION("""COMPUTED_VALUE"""),"ＢＥＮＥＴＴＹ")</f>
        <v>ＢＥＮＥＴＴＹ</v>
      </c>
      <c r="G429" s="298" t="str">
        <f>IFERROR(__xludf.DUMMYFUNCTION("""COMPUTED_VALUE"""),"オトナコミック")</f>
        <v>オトナコミック</v>
      </c>
      <c r="H429" s="298" t="str">
        <f>IFERROR(__xludf.DUMMYFUNCTION("""COMPUTED_VALUE"""),"2024/11/25～）クレジットカードでの購入のみ停止")</f>
        <v>2024/11/25～）クレジットカードでの購入のみ停止</v>
      </c>
      <c r="I429" s="283"/>
      <c r="J429" s="283"/>
      <c r="K429" s="283"/>
      <c r="L429" s="283"/>
      <c r="M429" s="283"/>
      <c r="N429" s="283"/>
      <c r="O429" s="283"/>
      <c r="P429" s="283"/>
      <c r="Q429" s="278"/>
      <c r="R429" s="278"/>
      <c r="S429" s="278"/>
      <c r="T429" s="278"/>
      <c r="U429" s="278"/>
      <c r="V429" s="278"/>
      <c r="W429" s="278"/>
      <c r="X429" s="278"/>
      <c r="Y429" s="278"/>
      <c r="Z429" s="278"/>
      <c r="AA429" s="278"/>
      <c r="AB429" s="278"/>
      <c r="AC429" s="278"/>
    </row>
    <row r="430" ht="15.75" customHeight="1">
      <c r="A430" s="290" t="str">
        <f>IFERROR(__xludf.DUMMYFUNCTION("""COMPUTED_VALUE"""),"どろっぷす！")</f>
        <v>どろっぷす！</v>
      </c>
      <c r="B430" s="291">
        <f>IFERROR(__xludf.DUMMYFUNCTION("""COMPUTED_VALUE"""),45618.0)</f>
        <v>45618</v>
      </c>
      <c r="C430" s="292"/>
      <c r="D430" s="293">
        <f>IFERROR(__xludf.DUMMYFUNCTION("""COMPUTED_VALUE"""),260350.0)</f>
        <v>260350</v>
      </c>
      <c r="E430" s="290" t="str">
        <f>IFERROR(__xludf.DUMMYFUNCTION("""COMPUTED_VALUE"""),"ナマイキ女をわからせッ！！～泣いてもイっても止まらない！快楽責め地獄～【超合本シリーズ】")</f>
        <v>ナマイキ女をわからせッ！！～泣いてもイっても止まらない！快楽責め地獄～【超合本シリーズ】</v>
      </c>
      <c r="F430" s="298" t="str">
        <f>IFERROR(__xludf.DUMMYFUNCTION("""COMPUTED_VALUE"""),"ＢＥＮＥＴＴＹ")</f>
        <v>ＢＥＮＥＴＴＹ</v>
      </c>
      <c r="G430" s="298" t="str">
        <f>IFERROR(__xludf.DUMMYFUNCTION("""COMPUTED_VALUE"""),"オトナコミック")</f>
        <v>オトナコミック</v>
      </c>
      <c r="H430" s="298" t="str">
        <f>IFERROR(__xludf.DUMMYFUNCTION("""COMPUTED_VALUE"""),"2024/11/25～）クレジットカードでの購入のみ停止")</f>
        <v>2024/11/25～）クレジットカードでの購入のみ停止</v>
      </c>
      <c r="I430" s="283"/>
      <c r="J430" s="283"/>
      <c r="K430" s="283"/>
      <c r="L430" s="283"/>
      <c r="M430" s="283"/>
      <c r="N430" s="283"/>
      <c r="O430" s="283"/>
      <c r="P430" s="283"/>
      <c r="Q430" s="278"/>
      <c r="R430" s="278"/>
      <c r="S430" s="278"/>
      <c r="T430" s="278"/>
      <c r="U430" s="278"/>
      <c r="V430" s="278"/>
      <c r="W430" s="278"/>
      <c r="X430" s="278"/>
      <c r="Y430" s="278"/>
      <c r="Z430" s="278"/>
      <c r="AA430" s="278"/>
      <c r="AB430" s="278"/>
      <c r="AC430" s="278"/>
    </row>
    <row r="431" ht="15.75" customHeight="1">
      <c r="A431" s="290" t="str">
        <f>IFERROR(__xludf.DUMMYFUNCTION("""COMPUTED_VALUE"""),"どろっぷす！")</f>
        <v>どろっぷす！</v>
      </c>
      <c r="B431" s="291">
        <f>IFERROR(__xludf.DUMMYFUNCTION("""COMPUTED_VALUE"""),45618.0)</f>
        <v>45618</v>
      </c>
      <c r="C431" s="292"/>
      <c r="D431" s="293">
        <f>IFERROR(__xludf.DUMMYFUNCTION("""COMPUTED_VALUE"""),272903.0)</f>
        <v>272903</v>
      </c>
      <c r="E431" s="290" t="str">
        <f>IFERROR(__xludf.DUMMYFUNCTION("""COMPUTED_VALUE"""),"厳選美女ども食い尽くし放題 ～お姉さんも生意気っ娘も従順も～【超合本シリーズ】")</f>
        <v>厳選美女ども食い尽くし放題 ～お姉さんも生意気っ娘も従順も～【超合本シリーズ】</v>
      </c>
      <c r="F431" s="298" t="str">
        <f>IFERROR(__xludf.DUMMYFUNCTION("""COMPUTED_VALUE"""),"ＢＥＮＥＴＴＹ")</f>
        <v>ＢＥＮＥＴＴＹ</v>
      </c>
      <c r="G431" s="298" t="str">
        <f>IFERROR(__xludf.DUMMYFUNCTION("""COMPUTED_VALUE"""),"オトナコミック")</f>
        <v>オトナコミック</v>
      </c>
      <c r="H431" s="298" t="str">
        <f>IFERROR(__xludf.DUMMYFUNCTION("""COMPUTED_VALUE"""),"2024/11/25～）クレジットカードでの購入のみ停止")</f>
        <v>2024/11/25～）クレジットカードでの購入のみ停止</v>
      </c>
      <c r="I431" s="283"/>
      <c r="J431" s="283"/>
      <c r="K431" s="283"/>
      <c r="L431" s="283"/>
      <c r="M431" s="283"/>
      <c r="N431" s="283"/>
      <c r="O431" s="283"/>
      <c r="P431" s="283"/>
      <c r="Q431" s="278"/>
      <c r="R431" s="278"/>
      <c r="S431" s="278"/>
      <c r="T431" s="278"/>
      <c r="U431" s="278"/>
      <c r="V431" s="278"/>
      <c r="W431" s="278"/>
      <c r="X431" s="278"/>
      <c r="Y431" s="278"/>
      <c r="Z431" s="278"/>
      <c r="AA431" s="278"/>
      <c r="AB431" s="278"/>
      <c r="AC431" s="278"/>
    </row>
    <row r="432" ht="15.75" customHeight="1">
      <c r="A432" s="290" t="str">
        <f>IFERROR(__xludf.DUMMYFUNCTION("""COMPUTED_VALUE"""),"どろっぷす！")</f>
        <v>どろっぷす！</v>
      </c>
      <c r="B432" s="291">
        <f>IFERROR(__xludf.DUMMYFUNCTION("""COMPUTED_VALUE"""),45618.0)</f>
        <v>45618</v>
      </c>
      <c r="C432" s="292"/>
      <c r="D432" s="293">
        <f>IFERROR(__xludf.DUMMYFUNCTION("""COMPUTED_VALUE"""),272907.0)</f>
        <v>272907</v>
      </c>
      <c r="E432" s="290" t="str">
        <f>IFERROR(__xludf.DUMMYFUNCTION("""COMPUTED_VALUE"""),"なぜかいつもオレに優しい教室のギャルがどうやら魔法少女らしいのだが")</f>
        <v>なぜかいつもオレに優しい教室のギャルがどうやら魔法少女らしいのだが</v>
      </c>
      <c r="F432" s="298" t="str">
        <f>IFERROR(__xludf.DUMMYFUNCTION("""COMPUTED_VALUE"""),"Sandy Candy / バニラ堂MAX")</f>
        <v>Sandy Candy / バニラ堂MAX</v>
      </c>
      <c r="G432" s="298" t="str">
        <f>IFERROR(__xludf.DUMMYFUNCTION("""COMPUTED_VALUE"""),"オトナコミック")</f>
        <v>オトナコミック</v>
      </c>
      <c r="H432" s="298" t="str">
        <f>IFERROR(__xludf.DUMMYFUNCTION("""COMPUTED_VALUE"""),"2024/11/25～）クレジットカードでの購入のみ停止")</f>
        <v>2024/11/25～）クレジットカードでの購入のみ停止</v>
      </c>
      <c r="I432" s="283"/>
      <c r="J432" s="283"/>
      <c r="K432" s="283"/>
      <c r="L432" s="283"/>
      <c r="M432" s="283"/>
      <c r="N432" s="283"/>
      <c r="O432" s="283"/>
      <c r="P432" s="283"/>
      <c r="Q432" s="278"/>
      <c r="R432" s="278"/>
      <c r="S432" s="278"/>
      <c r="T432" s="278"/>
      <c r="U432" s="278"/>
      <c r="V432" s="278"/>
      <c r="W432" s="278"/>
      <c r="X432" s="278"/>
      <c r="Y432" s="278"/>
      <c r="Z432" s="278"/>
      <c r="AA432" s="278"/>
      <c r="AB432" s="278"/>
      <c r="AC432" s="278"/>
    </row>
    <row r="433" ht="15.75" customHeight="1">
      <c r="A433" s="290" t="str">
        <f>IFERROR(__xludf.DUMMYFUNCTION("""COMPUTED_VALUE"""),"どろっぷす！")</f>
        <v>どろっぷす！</v>
      </c>
      <c r="B433" s="291">
        <f>IFERROR(__xludf.DUMMYFUNCTION("""COMPUTED_VALUE"""),45618.0)</f>
        <v>45618</v>
      </c>
      <c r="C433" s="292"/>
      <c r="D433" s="293">
        <f>IFERROR(__xludf.DUMMYFUNCTION("""COMPUTED_VALUE"""),273979.0)</f>
        <v>273979</v>
      </c>
      <c r="E433" s="290" t="str">
        <f>IFERROR(__xludf.DUMMYFUNCTION("""COMPUTED_VALUE"""),"真正マゾに仕立て上げ調教 ～辱しめも痛いも絶頂快感です～【CG集コレクション】")</f>
        <v>真正マゾに仕立て上げ調教 ～辱しめも痛いも絶頂快感です～【CG集コレクション】</v>
      </c>
      <c r="F433" s="298" t="str">
        <f>IFERROR(__xludf.DUMMYFUNCTION("""COMPUTED_VALUE"""),"大人のSEXY絵本")</f>
        <v>大人のSEXY絵本</v>
      </c>
      <c r="G433" s="298" t="str">
        <f>IFERROR(__xludf.DUMMYFUNCTION("""COMPUTED_VALUE"""),"オトナコミック")</f>
        <v>オトナコミック</v>
      </c>
      <c r="H433" s="298" t="str">
        <f>IFERROR(__xludf.DUMMYFUNCTION("""COMPUTED_VALUE"""),"2024/11/25～）クレジットカードでの購入のみ停止")</f>
        <v>2024/11/25～）クレジットカードでの購入のみ停止</v>
      </c>
      <c r="I433" s="283"/>
      <c r="J433" s="283"/>
      <c r="K433" s="283"/>
      <c r="L433" s="283"/>
      <c r="M433" s="283"/>
      <c r="N433" s="283"/>
      <c r="O433" s="283"/>
      <c r="P433" s="283"/>
      <c r="Q433" s="278"/>
      <c r="R433" s="278"/>
      <c r="S433" s="278"/>
      <c r="T433" s="278"/>
      <c r="U433" s="278"/>
      <c r="V433" s="278"/>
      <c r="W433" s="278"/>
      <c r="X433" s="278"/>
      <c r="Y433" s="278"/>
      <c r="Z433" s="278"/>
      <c r="AA433" s="278"/>
      <c r="AB433" s="278"/>
      <c r="AC433" s="278"/>
    </row>
    <row r="434" ht="15.75" customHeight="1">
      <c r="A434" s="290" t="str">
        <f>IFERROR(__xludf.DUMMYFUNCTION("""COMPUTED_VALUE"""),"どろっぷす！")</f>
        <v>どろっぷす！</v>
      </c>
      <c r="B434" s="291">
        <f>IFERROR(__xludf.DUMMYFUNCTION("""COMPUTED_VALUE"""),45618.0)</f>
        <v>45618</v>
      </c>
      <c r="C434" s="292"/>
      <c r="D434" s="293">
        <f>IFERROR(__xludf.DUMMYFUNCTION("""COMPUTED_VALUE"""),281968.0)</f>
        <v>281968</v>
      </c>
      <c r="E434" s="290" t="str">
        <f>IFERROR(__xludf.DUMMYFUNCTION("""COMPUTED_VALUE"""),"ハメられたJKたち【タテヨミ】")</f>
        <v>ハメられたJKたち【タテヨミ】</v>
      </c>
      <c r="F434" s="298" t="str">
        <f>IFERROR(__xludf.DUMMYFUNCTION("""COMPUTED_VALUE"""),"ＢＥＮＥＴＴＹ")</f>
        <v>ＢＥＮＥＴＴＹ</v>
      </c>
      <c r="G434" s="298" t="str">
        <f>IFERROR(__xludf.DUMMYFUNCTION("""COMPUTED_VALUE"""),"オトナコミック")</f>
        <v>オトナコミック</v>
      </c>
      <c r="H434" s="298" t="str">
        <f>IFERROR(__xludf.DUMMYFUNCTION("""COMPUTED_VALUE"""),"2024/11/25～）クレジットカードでの購入のみ停止")</f>
        <v>2024/11/25～）クレジットカードでの購入のみ停止</v>
      </c>
      <c r="I434" s="283"/>
      <c r="J434" s="283"/>
      <c r="K434" s="283"/>
      <c r="L434" s="283"/>
      <c r="M434" s="283"/>
      <c r="N434" s="283"/>
      <c r="O434" s="283"/>
      <c r="P434" s="283"/>
      <c r="Q434" s="278"/>
      <c r="R434" s="278"/>
      <c r="S434" s="278"/>
      <c r="T434" s="278"/>
      <c r="U434" s="278"/>
      <c r="V434" s="278"/>
      <c r="W434" s="278"/>
      <c r="X434" s="278"/>
      <c r="Y434" s="278"/>
      <c r="Z434" s="278"/>
      <c r="AA434" s="278"/>
      <c r="AB434" s="278"/>
      <c r="AC434" s="278"/>
    </row>
    <row r="435" ht="15.75" customHeight="1">
      <c r="A435" s="290" t="str">
        <f>IFERROR(__xludf.DUMMYFUNCTION("""COMPUTED_VALUE"""),"どろっぷす！")</f>
        <v>どろっぷす！</v>
      </c>
      <c r="B435" s="291">
        <f>IFERROR(__xludf.DUMMYFUNCTION("""COMPUTED_VALUE"""),45618.0)</f>
        <v>45618</v>
      </c>
      <c r="C435" s="292"/>
      <c r="D435" s="293">
        <f>IFERROR(__xludf.DUMMYFUNCTION("""COMPUTED_VALUE"""),287574.0)</f>
        <v>287574</v>
      </c>
      <c r="E435" s="290" t="str">
        <f>IFERROR(__xludf.DUMMYFUNCTION("""COMPUTED_VALUE"""),"ご褒美えっち！ ～水着をズラして好きなだけ～ 合本版 モザイク版")</f>
        <v>ご褒美えっち！ ～水着をズラして好きなだけ～ 合本版 モザイク版</v>
      </c>
      <c r="F435" s="298" t="str">
        <f>IFERROR(__xludf.DUMMYFUNCTION("""COMPUTED_VALUE"""),"ＳＣＲＥＷ / NULL-MOSAIC")</f>
        <v>ＳＣＲＥＷ / NULL-MOSAIC</v>
      </c>
      <c r="G435" s="298" t="str">
        <f>IFERROR(__xludf.DUMMYFUNCTION("""COMPUTED_VALUE"""),"オトナコミック")</f>
        <v>オトナコミック</v>
      </c>
      <c r="H435" s="298" t="str">
        <f>IFERROR(__xludf.DUMMYFUNCTION("""COMPUTED_VALUE"""),"2024/11/25～）クレジットカードでの購入のみ停止")</f>
        <v>2024/11/25～）クレジットカードでの購入のみ停止</v>
      </c>
      <c r="I435" s="283"/>
      <c r="J435" s="283"/>
      <c r="K435" s="283"/>
      <c r="L435" s="283"/>
      <c r="M435" s="283"/>
      <c r="N435" s="283"/>
      <c r="O435" s="283"/>
      <c r="P435" s="283"/>
      <c r="Q435" s="278"/>
      <c r="R435" s="278"/>
      <c r="S435" s="278"/>
      <c r="T435" s="278"/>
      <c r="U435" s="278"/>
      <c r="V435" s="278"/>
      <c r="W435" s="278"/>
      <c r="X435" s="278"/>
      <c r="Y435" s="278"/>
      <c r="Z435" s="278"/>
      <c r="AA435" s="278"/>
      <c r="AB435" s="278"/>
      <c r="AC435" s="278"/>
    </row>
    <row r="436" ht="15.75" customHeight="1">
      <c r="A436" s="290" t="str">
        <f>IFERROR(__xludf.DUMMYFUNCTION("""COMPUTED_VALUE"""),"どろっぷす！")</f>
        <v>どろっぷす！</v>
      </c>
      <c r="B436" s="291">
        <f>IFERROR(__xludf.DUMMYFUNCTION("""COMPUTED_VALUE"""),45618.0)</f>
        <v>45618</v>
      </c>
      <c r="C436" s="292"/>
      <c r="D436" s="293">
        <f>IFERROR(__xludf.DUMMYFUNCTION("""COMPUTED_VALUE"""),287575.0)</f>
        <v>287575</v>
      </c>
      <c r="E436" s="290" t="str">
        <f>IFERROR(__xludf.DUMMYFUNCTION("""COMPUTED_VALUE"""),"ご褒美えっち！ ～水着をズラして好きなだけ～ モザイク版")</f>
        <v>ご褒美えっち！ ～水着をズラして好きなだけ～ モザイク版</v>
      </c>
      <c r="F436" s="298" t="str">
        <f>IFERROR(__xludf.DUMMYFUNCTION("""COMPUTED_VALUE"""),"ＳＣＲＥＷ / NULL-MOSAIC")</f>
        <v>ＳＣＲＥＷ / NULL-MOSAIC</v>
      </c>
      <c r="G436" s="298" t="str">
        <f>IFERROR(__xludf.DUMMYFUNCTION("""COMPUTED_VALUE"""),"オトナコミック")</f>
        <v>オトナコミック</v>
      </c>
      <c r="H436" s="298" t="str">
        <f>IFERROR(__xludf.DUMMYFUNCTION("""COMPUTED_VALUE"""),"2024/11/25～）クレジットカードでの購入のみ停止")</f>
        <v>2024/11/25～）クレジットカードでの購入のみ停止</v>
      </c>
      <c r="I436" s="283"/>
      <c r="J436" s="283"/>
      <c r="K436" s="283"/>
      <c r="L436" s="283"/>
      <c r="M436" s="283"/>
      <c r="N436" s="283"/>
      <c r="O436" s="283"/>
      <c r="P436" s="283"/>
      <c r="Q436" s="278"/>
      <c r="R436" s="278"/>
      <c r="S436" s="278"/>
      <c r="T436" s="278"/>
      <c r="U436" s="278"/>
      <c r="V436" s="278"/>
      <c r="W436" s="278"/>
      <c r="X436" s="278"/>
      <c r="Y436" s="278"/>
      <c r="Z436" s="278"/>
      <c r="AA436" s="278"/>
      <c r="AB436" s="278"/>
      <c r="AC436" s="278"/>
    </row>
    <row r="437" ht="15.75" customHeight="1">
      <c r="A437" s="290" t="str">
        <f>IFERROR(__xludf.DUMMYFUNCTION("""COMPUTED_VALUE"""),"どろっぷす！")</f>
        <v>どろっぷす！</v>
      </c>
      <c r="B437" s="291">
        <f>IFERROR(__xludf.DUMMYFUNCTION("""COMPUTED_VALUE"""),45618.0)</f>
        <v>45618</v>
      </c>
      <c r="C437" s="292"/>
      <c r="D437" s="293">
        <f>IFERROR(__xludf.DUMMYFUNCTION("""COMPUTED_VALUE"""),287588.0)</f>
        <v>287588</v>
      </c>
      <c r="E437" s="290" t="str">
        <f>IFERROR(__xludf.DUMMYFUNCTION("""COMPUTED_VALUE"""),"強制ハメ！孕ませ島 抵抗できない女子とハーレムSEX！ モザイク版")</f>
        <v>強制ハメ！孕ませ島 抵抗できない女子とハーレムSEX！ モザイク版</v>
      </c>
      <c r="F437" s="298" t="str">
        <f>IFERROR(__xludf.DUMMYFUNCTION("""COMPUTED_VALUE"""),"ＳＣＲＥＷ / NULL-MOSAIC")</f>
        <v>ＳＣＲＥＷ / NULL-MOSAIC</v>
      </c>
      <c r="G437" s="298" t="str">
        <f>IFERROR(__xludf.DUMMYFUNCTION("""COMPUTED_VALUE"""),"オトナコミック")</f>
        <v>オトナコミック</v>
      </c>
      <c r="H437" s="298" t="str">
        <f>IFERROR(__xludf.DUMMYFUNCTION("""COMPUTED_VALUE"""),"2024/11/25～）クレジットカードでの購入のみ停止")</f>
        <v>2024/11/25～）クレジットカードでの購入のみ停止</v>
      </c>
      <c r="I437" s="283"/>
      <c r="J437" s="283"/>
      <c r="K437" s="283"/>
      <c r="L437" s="283"/>
      <c r="M437" s="283"/>
      <c r="N437" s="283"/>
      <c r="O437" s="283"/>
      <c r="P437" s="283"/>
      <c r="Q437" s="278"/>
      <c r="R437" s="278"/>
      <c r="S437" s="278"/>
      <c r="T437" s="278"/>
      <c r="U437" s="278"/>
      <c r="V437" s="278"/>
      <c r="W437" s="278"/>
      <c r="X437" s="278"/>
      <c r="Y437" s="278"/>
      <c r="Z437" s="278"/>
      <c r="AA437" s="278"/>
      <c r="AB437" s="278"/>
      <c r="AC437" s="278"/>
    </row>
    <row r="438" ht="15.75" customHeight="1">
      <c r="A438" s="290" t="str">
        <f>IFERROR(__xludf.DUMMYFUNCTION("""COMPUTED_VALUE"""),"どろっぷす！")</f>
        <v>どろっぷす！</v>
      </c>
      <c r="B438" s="291">
        <f>IFERROR(__xludf.DUMMYFUNCTION("""COMPUTED_VALUE"""),45618.0)</f>
        <v>45618</v>
      </c>
      <c r="C438" s="292"/>
      <c r="D438" s="293">
        <f>IFERROR(__xludf.DUMMYFUNCTION("""COMPUTED_VALUE"""),287592.0)</f>
        <v>287592</v>
      </c>
      <c r="E438" s="290" t="str">
        <f>IFERROR(__xludf.DUMMYFUNCTION("""COMPUTED_VALUE"""),"寝取られた美女は、負け癖をつけられる ～挿れただけでイっちゃうの……！～【極合本シリーズ】")</f>
        <v>寝取られた美女は、負け癖をつけられる ～挿れただけでイっちゃうの……！～【極合本シリーズ】</v>
      </c>
      <c r="F438" s="298" t="str">
        <f>IFERROR(__xludf.DUMMYFUNCTION("""COMPUTED_VALUE"""),"ＢＥＮＥＴＴＹ")</f>
        <v>ＢＥＮＥＴＴＹ</v>
      </c>
      <c r="G438" s="298" t="str">
        <f>IFERROR(__xludf.DUMMYFUNCTION("""COMPUTED_VALUE"""),"オトナコミック")</f>
        <v>オトナコミック</v>
      </c>
      <c r="H438" s="298" t="str">
        <f>IFERROR(__xludf.DUMMYFUNCTION("""COMPUTED_VALUE"""),"2024/11/25～）クレジットカードでの購入のみ停止")</f>
        <v>2024/11/25～）クレジットカードでの購入のみ停止</v>
      </c>
      <c r="I438" s="283"/>
      <c r="J438" s="283"/>
      <c r="K438" s="283"/>
      <c r="L438" s="283"/>
      <c r="M438" s="283"/>
      <c r="N438" s="283"/>
      <c r="O438" s="283"/>
      <c r="P438" s="283"/>
      <c r="Q438" s="278"/>
      <c r="R438" s="278"/>
      <c r="S438" s="278"/>
      <c r="T438" s="278"/>
      <c r="U438" s="278"/>
      <c r="V438" s="278"/>
      <c r="W438" s="278"/>
      <c r="X438" s="278"/>
      <c r="Y438" s="278"/>
      <c r="Z438" s="278"/>
      <c r="AA438" s="278"/>
      <c r="AB438" s="278"/>
      <c r="AC438" s="278"/>
    </row>
    <row r="439" ht="15.75" customHeight="1">
      <c r="A439" s="290" t="str">
        <f>IFERROR(__xludf.DUMMYFUNCTION("""COMPUTED_VALUE"""),"どろっぷす！")</f>
        <v>どろっぷす！</v>
      </c>
      <c r="B439" s="291">
        <f>IFERROR(__xludf.DUMMYFUNCTION("""COMPUTED_VALUE"""),45618.0)</f>
        <v>45618</v>
      </c>
      <c r="C439" s="292"/>
      <c r="D439" s="293">
        <f>IFERROR(__xludf.DUMMYFUNCTION("""COMPUTED_VALUE"""),287598.0)</f>
        <v>287598</v>
      </c>
      <c r="E439" s="290" t="str">
        <f>IFERROR(__xludf.DUMMYFUNCTION("""COMPUTED_VALUE"""),"敗けヒロインな純真幼馴染 ～寝取られて便器になって裏切られて～【CG集コレクション】")</f>
        <v>敗けヒロインな純真幼馴染 ～寝取られて便器になって裏切られて～【CG集コレクション】</v>
      </c>
      <c r="F439" s="298" t="str">
        <f>IFERROR(__xludf.DUMMYFUNCTION("""COMPUTED_VALUE"""),"大人のSEXY絵本")</f>
        <v>大人のSEXY絵本</v>
      </c>
      <c r="G439" s="298" t="str">
        <f>IFERROR(__xludf.DUMMYFUNCTION("""COMPUTED_VALUE"""),"オトナコミック")</f>
        <v>オトナコミック</v>
      </c>
      <c r="H439" s="298" t="str">
        <f>IFERROR(__xludf.DUMMYFUNCTION("""COMPUTED_VALUE"""),"2024/11/25～）クレジットカードでの購入のみ停止")</f>
        <v>2024/11/25～）クレジットカードでの購入のみ停止</v>
      </c>
      <c r="I439" s="283"/>
      <c r="J439" s="283"/>
      <c r="K439" s="283"/>
      <c r="L439" s="283"/>
      <c r="M439" s="283"/>
      <c r="N439" s="283"/>
      <c r="O439" s="283"/>
      <c r="P439" s="283"/>
      <c r="Q439" s="278"/>
      <c r="R439" s="278"/>
      <c r="S439" s="278"/>
      <c r="T439" s="278"/>
      <c r="U439" s="278"/>
      <c r="V439" s="278"/>
      <c r="W439" s="278"/>
      <c r="X439" s="278"/>
      <c r="Y439" s="278"/>
      <c r="Z439" s="278"/>
      <c r="AA439" s="278"/>
      <c r="AB439" s="278"/>
      <c r="AC439" s="278"/>
    </row>
    <row r="440" ht="15.75" customHeight="1">
      <c r="A440" s="290" t="str">
        <f>IFERROR(__xludf.DUMMYFUNCTION("""COMPUTED_VALUE"""),"どろっぷす！")</f>
        <v>どろっぷす！</v>
      </c>
      <c r="B440" s="291">
        <f>IFERROR(__xludf.DUMMYFUNCTION("""COMPUTED_VALUE"""),45618.0)</f>
        <v>45618</v>
      </c>
      <c r="C440" s="292"/>
      <c r="D440" s="293">
        <f>IFERROR(__xludf.DUMMYFUNCTION("""COMPUTED_VALUE"""),287605.0)</f>
        <v>287605</v>
      </c>
      <c r="E440" s="290" t="str">
        <f>IFERROR(__xludf.DUMMYFUNCTION("""COMPUTED_VALUE"""),"媚び喘ぐメス堕ち淫女 ～抜かないで……！直接、出してください～【極合本シリーズ】")</f>
        <v>媚び喘ぐメス堕ち淫女 ～抜かないで……！直接、出してください～【極合本シリーズ】</v>
      </c>
      <c r="F440" s="298" t="str">
        <f>IFERROR(__xludf.DUMMYFUNCTION("""COMPUTED_VALUE"""),"ＢＥＮＥＴＴＹ")</f>
        <v>ＢＥＮＥＴＴＹ</v>
      </c>
      <c r="G440" s="298" t="str">
        <f>IFERROR(__xludf.DUMMYFUNCTION("""COMPUTED_VALUE"""),"オトナコミック")</f>
        <v>オトナコミック</v>
      </c>
      <c r="H440" s="298" t="str">
        <f>IFERROR(__xludf.DUMMYFUNCTION("""COMPUTED_VALUE"""),"2024/11/25～）クレジットカードでの購入のみ停止")</f>
        <v>2024/11/25～）クレジットカードでの購入のみ停止</v>
      </c>
      <c r="I440" s="283"/>
      <c r="J440" s="283"/>
      <c r="K440" s="283"/>
      <c r="L440" s="283"/>
      <c r="M440" s="283"/>
      <c r="N440" s="283"/>
      <c r="O440" s="283"/>
      <c r="P440" s="283"/>
      <c r="Q440" s="278"/>
      <c r="R440" s="278"/>
      <c r="S440" s="278"/>
      <c r="T440" s="278"/>
      <c r="U440" s="278"/>
      <c r="V440" s="278"/>
      <c r="W440" s="278"/>
      <c r="X440" s="278"/>
      <c r="Y440" s="278"/>
      <c r="Z440" s="278"/>
      <c r="AA440" s="278"/>
      <c r="AB440" s="278"/>
      <c r="AC440" s="278"/>
    </row>
    <row r="441" ht="15.75" customHeight="1">
      <c r="A441" s="290" t="str">
        <f>IFERROR(__xludf.DUMMYFUNCTION("""COMPUTED_VALUE"""),"どろっぷす！")</f>
        <v>どろっぷす！</v>
      </c>
      <c r="B441" s="291">
        <f>IFERROR(__xludf.DUMMYFUNCTION("""COMPUTED_VALUE"""),45618.0)</f>
        <v>45618</v>
      </c>
      <c r="C441" s="292"/>
      <c r="D441" s="293">
        <f>IFERROR(__xludf.DUMMYFUNCTION("""COMPUTED_VALUE"""),291693.0)</f>
        <v>291693</v>
      </c>
      <c r="E441" s="290" t="str">
        <f>IFERROR(__xludf.DUMMYFUNCTION("""COMPUTED_VALUE"""),"ハメ堕ち確定！！男が悦ぶ名器な肢体 ～遠慮いらずの絶対ヤれちゃうシチュ～【超合本シリーズ】")</f>
        <v>ハメ堕ち確定！！男が悦ぶ名器な肢体 ～遠慮いらずの絶対ヤれちゃうシチュ～【超合本シリーズ】</v>
      </c>
      <c r="F441" s="298" t="str">
        <f>IFERROR(__xludf.DUMMYFUNCTION("""COMPUTED_VALUE"""),"ＢＥＮＥＴＴＹ")</f>
        <v>ＢＥＮＥＴＴＹ</v>
      </c>
      <c r="G441" s="298" t="str">
        <f>IFERROR(__xludf.DUMMYFUNCTION("""COMPUTED_VALUE"""),"オトナコミック")</f>
        <v>オトナコミック</v>
      </c>
      <c r="H441" s="298" t="str">
        <f>IFERROR(__xludf.DUMMYFUNCTION("""COMPUTED_VALUE"""),"2024/11/25～）クレジットカードでの購入のみ停止")</f>
        <v>2024/11/25～）クレジットカードでの購入のみ停止</v>
      </c>
      <c r="I441" s="283"/>
      <c r="J441" s="283"/>
      <c r="K441" s="283"/>
      <c r="L441" s="283"/>
      <c r="M441" s="283"/>
      <c r="N441" s="283"/>
      <c r="O441" s="283"/>
      <c r="P441" s="283"/>
      <c r="Q441" s="278"/>
      <c r="R441" s="278"/>
      <c r="S441" s="278"/>
      <c r="T441" s="278"/>
      <c r="U441" s="278"/>
      <c r="V441" s="278"/>
      <c r="W441" s="278"/>
      <c r="X441" s="278"/>
      <c r="Y441" s="278"/>
      <c r="Z441" s="278"/>
      <c r="AA441" s="278"/>
      <c r="AB441" s="278"/>
      <c r="AC441" s="278"/>
    </row>
    <row r="442" ht="15.75" customHeight="1">
      <c r="A442" s="290" t="str">
        <f>IFERROR(__xludf.DUMMYFUNCTION("""COMPUTED_VALUE"""),"どろっぷす！")</f>
        <v>どろっぷす！</v>
      </c>
      <c r="B442" s="291">
        <f>IFERROR(__xludf.DUMMYFUNCTION("""COMPUTED_VALUE"""),45618.0)</f>
        <v>45618</v>
      </c>
      <c r="C442" s="292"/>
      <c r="D442" s="293">
        <f>IFERROR(__xludf.DUMMYFUNCTION("""COMPUTED_VALUE"""),291721.0)</f>
        <v>291721</v>
      </c>
      <c r="E442" s="290" t="str">
        <f>IFERROR(__xludf.DUMMYFUNCTION("""COMPUTED_VALUE"""),"孕ませ年の差えっち ～催淫だいしゅきホールド～【極合本シリーズ】")</f>
        <v>孕ませ年の差えっち ～催淫だいしゅきホールド～【極合本シリーズ】</v>
      </c>
      <c r="F442" s="298" t="str">
        <f>IFERROR(__xludf.DUMMYFUNCTION("""COMPUTED_VALUE"""),"ＢＥＮＥＴＴＹ")</f>
        <v>ＢＥＮＥＴＴＹ</v>
      </c>
      <c r="G442" s="298" t="str">
        <f>IFERROR(__xludf.DUMMYFUNCTION("""COMPUTED_VALUE"""),"オトナコミック")</f>
        <v>オトナコミック</v>
      </c>
      <c r="H442" s="298" t="str">
        <f>IFERROR(__xludf.DUMMYFUNCTION("""COMPUTED_VALUE"""),"2024/11/25～）クレジットカードでの購入のみ停止")</f>
        <v>2024/11/25～）クレジットカードでの購入のみ停止</v>
      </c>
      <c r="I442" s="283"/>
      <c r="J442" s="283"/>
      <c r="K442" s="283"/>
      <c r="L442" s="283"/>
      <c r="M442" s="283"/>
      <c r="N442" s="283"/>
      <c r="O442" s="283"/>
      <c r="P442" s="283"/>
      <c r="Q442" s="278"/>
      <c r="R442" s="278"/>
      <c r="S442" s="278"/>
      <c r="T442" s="278"/>
      <c r="U442" s="278"/>
      <c r="V442" s="278"/>
      <c r="W442" s="278"/>
      <c r="X442" s="278"/>
      <c r="Y442" s="278"/>
      <c r="Z442" s="278"/>
      <c r="AA442" s="278"/>
      <c r="AB442" s="278"/>
      <c r="AC442" s="278"/>
    </row>
    <row r="443" ht="15.75" customHeight="1">
      <c r="A443" s="290" t="str">
        <f>IFERROR(__xludf.DUMMYFUNCTION("""COMPUTED_VALUE"""),"どろっぷす！")</f>
        <v>どろっぷす！</v>
      </c>
      <c r="B443" s="291">
        <f>IFERROR(__xludf.DUMMYFUNCTION("""COMPUTED_VALUE"""),45618.0)</f>
        <v>45618</v>
      </c>
      <c r="C443" s="292"/>
      <c r="D443" s="293">
        <f>IFERROR(__xludf.DUMMYFUNCTION("""COMPUTED_VALUE"""),295362.0)</f>
        <v>295362</v>
      </c>
      <c r="E443" s="290" t="str">
        <f>IFERROR(__xludf.DUMMYFUNCTION("""COMPUTED_VALUE"""),"気になるあの娘、強制ハメ撮り中。 ～流出だけはやめてください…ッ！～【極合本シリーズ】")</f>
        <v>気になるあの娘、強制ハメ撮り中。 ～流出だけはやめてください…ッ！～【極合本シリーズ】</v>
      </c>
      <c r="F443" s="298" t="str">
        <f>IFERROR(__xludf.DUMMYFUNCTION("""COMPUTED_VALUE"""),"ＢＥＮＥＴＴＹ")</f>
        <v>ＢＥＮＥＴＴＹ</v>
      </c>
      <c r="G443" s="298" t="str">
        <f>IFERROR(__xludf.DUMMYFUNCTION("""COMPUTED_VALUE"""),"オトナコミック")</f>
        <v>オトナコミック</v>
      </c>
      <c r="H443" s="298" t="str">
        <f>IFERROR(__xludf.DUMMYFUNCTION("""COMPUTED_VALUE"""),"2024/11/25～）クレジットカードでの購入のみ停止")</f>
        <v>2024/11/25～）クレジットカードでの購入のみ停止</v>
      </c>
      <c r="I443" s="283"/>
      <c r="J443" s="283"/>
      <c r="K443" s="283"/>
      <c r="L443" s="283"/>
      <c r="M443" s="283"/>
      <c r="N443" s="283"/>
      <c r="O443" s="283"/>
      <c r="P443" s="283"/>
      <c r="Q443" s="278"/>
      <c r="R443" s="278"/>
      <c r="S443" s="278"/>
      <c r="T443" s="278"/>
      <c r="U443" s="278"/>
      <c r="V443" s="278"/>
      <c r="W443" s="278"/>
      <c r="X443" s="278"/>
      <c r="Y443" s="278"/>
      <c r="Z443" s="278"/>
      <c r="AA443" s="278"/>
      <c r="AB443" s="278"/>
      <c r="AC443" s="278"/>
    </row>
    <row r="444" ht="15.75" customHeight="1">
      <c r="A444" s="290" t="str">
        <f>IFERROR(__xludf.DUMMYFUNCTION("""COMPUTED_VALUE"""),"どろっぷす！")</f>
        <v>どろっぷす！</v>
      </c>
      <c r="B444" s="291">
        <f>IFERROR(__xludf.DUMMYFUNCTION("""COMPUTED_VALUE"""),45618.0)</f>
        <v>45618</v>
      </c>
      <c r="C444" s="292"/>
      <c r="D444" s="293">
        <f>IFERROR(__xludf.DUMMYFUNCTION("""COMPUTED_VALUE"""),295927.0)</f>
        <v>295927</v>
      </c>
      <c r="E444" s="290" t="str">
        <f>IFERROR(__xludf.DUMMYFUNCTION("""COMPUTED_VALUE"""),"オジサンにわからせられた生意気ギャル ～出会い系詐欺から始まる復讐の種付け地獄～")</f>
        <v>オジサンにわからせられた生意気ギャル ～出会い系詐欺から始まる復讐の種付け地獄～</v>
      </c>
      <c r="F444" s="298" t="str">
        <f>IFERROR(__xludf.DUMMYFUNCTION("""COMPUTED_VALUE"""),"大人のSEXY絵本")</f>
        <v>大人のSEXY絵本</v>
      </c>
      <c r="G444" s="298" t="str">
        <f>IFERROR(__xludf.DUMMYFUNCTION("""COMPUTED_VALUE"""),"オトナコミック")</f>
        <v>オトナコミック</v>
      </c>
      <c r="H444" s="298" t="str">
        <f>IFERROR(__xludf.DUMMYFUNCTION("""COMPUTED_VALUE"""),"2024/11/25～）クレジットカードでの購入のみ停止")</f>
        <v>2024/11/25～）クレジットカードでの購入のみ停止</v>
      </c>
      <c r="I444" s="283"/>
      <c r="J444" s="283"/>
      <c r="K444" s="283"/>
      <c r="L444" s="283"/>
      <c r="M444" s="283"/>
      <c r="N444" s="283"/>
      <c r="O444" s="283"/>
      <c r="P444" s="283"/>
      <c r="Q444" s="278"/>
      <c r="R444" s="278"/>
      <c r="S444" s="278"/>
      <c r="T444" s="278"/>
      <c r="U444" s="278"/>
      <c r="V444" s="278"/>
      <c r="W444" s="278"/>
      <c r="X444" s="278"/>
      <c r="Y444" s="278"/>
      <c r="Z444" s="278"/>
      <c r="AA444" s="278"/>
      <c r="AB444" s="278"/>
      <c r="AC444" s="278"/>
    </row>
    <row r="445" ht="15.75" customHeight="1">
      <c r="A445" s="290" t="str">
        <f>IFERROR(__xludf.DUMMYFUNCTION("""COMPUTED_VALUE"""),"どろっぷす！")</f>
        <v>どろっぷす！</v>
      </c>
      <c r="B445" s="291">
        <f>IFERROR(__xludf.DUMMYFUNCTION("""COMPUTED_VALUE"""),45618.0)</f>
        <v>45618</v>
      </c>
      <c r="C445" s="292"/>
      <c r="D445" s="293">
        <f>IFERROR(__xludf.DUMMYFUNCTION("""COMPUTED_VALUE"""),295928.0)</f>
        <v>295928</v>
      </c>
      <c r="E445" s="290" t="str">
        <f>IFERROR(__xludf.DUMMYFUNCTION("""COMPUTED_VALUE"""),"オジサンにわからせられた生意気ギャル ～出会い系詐欺から始まる復讐の種付け地獄～ モザイク版")</f>
        <v>オジサンにわからせられた生意気ギャル ～出会い系詐欺から始まる復讐の種付け地獄～ モザイク版</v>
      </c>
      <c r="F445" s="298" t="str">
        <f>IFERROR(__xludf.DUMMYFUNCTION("""COMPUTED_VALUE"""),"大人のSEXY絵本 / NULL-MOSAIC")</f>
        <v>大人のSEXY絵本 / NULL-MOSAIC</v>
      </c>
      <c r="G445" s="298" t="str">
        <f>IFERROR(__xludf.DUMMYFUNCTION("""COMPUTED_VALUE"""),"オトナコミック")</f>
        <v>オトナコミック</v>
      </c>
      <c r="H445" s="298" t="str">
        <f>IFERROR(__xludf.DUMMYFUNCTION("""COMPUTED_VALUE"""),"2024/11/25～）クレジットカードでの購入のみ停止")</f>
        <v>2024/11/25～）クレジットカードでの購入のみ停止</v>
      </c>
      <c r="I445" s="283"/>
      <c r="J445" s="283"/>
      <c r="K445" s="283"/>
      <c r="L445" s="283"/>
      <c r="M445" s="283"/>
      <c r="N445" s="283"/>
      <c r="O445" s="283"/>
      <c r="P445" s="283"/>
      <c r="Q445" s="278"/>
      <c r="R445" s="278"/>
      <c r="S445" s="278"/>
      <c r="T445" s="278"/>
      <c r="U445" s="278"/>
      <c r="V445" s="278"/>
      <c r="W445" s="278"/>
      <c r="X445" s="278"/>
      <c r="Y445" s="278"/>
      <c r="Z445" s="278"/>
      <c r="AA445" s="278"/>
      <c r="AB445" s="278"/>
      <c r="AC445" s="278"/>
    </row>
    <row r="446" ht="15.75" customHeight="1">
      <c r="A446" s="290" t="str">
        <f>IFERROR(__xludf.DUMMYFUNCTION("""COMPUTED_VALUE"""),"どろっぷす！")</f>
        <v>どろっぷす！</v>
      </c>
      <c r="B446" s="291">
        <f>IFERROR(__xludf.DUMMYFUNCTION("""COMPUTED_VALUE"""),45618.0)</f>
        <v>45618</v>
      </c>
      <c r="C446" s="292"/>
      <c r="D446" s="293">
        <f>IFERROR(__xludf.DUMMYFUNCTION("""COMPUTED_VALUE"""),298800.0)</f>
        <v>298800</v>
      </c>
      <c r="E446" s="290" t="str">
        <f>IFERROR(__xludf.DUMMYFUNCTION("""COMPUTED_VALUE"""),"服従えっちは蜜の味 ～生ハメで疼く私の秘部～【極合本シリーズ】")</f>
        <v>服従えっちは蜜の味 ～生ハメで疼く私の秘部～【極合本シリーズ】</v>
      </c>
      <c r="F446" s="298" t="str">
        <f>IFERROR(__xludf.DUMMYFUNCTION("""COMPUTED_VALUE"""),"ＢＥＮＥＴＴＹ")</f>
        <v>ＢＥＮＥＴＴＹ</v>
      </c>
      <c r="G446" s="298" t="str">
        <f>IFERROR(__xludf.DUMMYFUNCTION("""COMPUTED_VALUE"""),"オトナコミック")</f>
        <v>オトナコミック</v>
      </c>
      <c r="H446" s="298" t="str">
        <f>IFERROR(__xludf.DUMMYFUNCTION("""COMPUTED_VALUE"""),"2024/11/25～）クレジットカードでの購入のみ停止")</f>
        <v>2024/11/25～）クレジットカードでの購入のみ停止</v>
      </c>
      <c r="I446" s="283"/>
      <c r="J446" s="283"/>
      <c r="K446" s="283"/>
      <c r="L446" s="283"/>
      <c r="M446" s="283"/>
      <c r="N446" s="283"/>
      <c r="O446" s="283"/>
      <c r="P446" s="283"/>
      <c r="Q446" s="278"/>
      <c r="R446" s="278"/>
      <c r="S446" s="278"/>
      <c r="T446" s="278"/>
      <c r="U446" s="278"/>
      <c r="V446" s="278"/>
      <c r="W446" s="278"/>
      <c r="X446" s="278"/>
      <c r="Y446" s="278"/>
      <c r="Z446" s="278"/>
      <c r="AA446" s="278"/>
      <c r="AB446" s="278"/>
      <c r="AC446" s="278"/>
    </row>
    <row r="447" ht="15.75" customHeight="1">
      <c r="A447" s="290" t="str">
        <f>IFERROR(__xludf.DUMMYFUNCTION("""COMPUTED_VALUE"""),"どろっぷす！")</f>
        <v>どろっぷす！</v>
      </c>
      <c r="B447" s="291">
        <f>IFERROR(__xludf.DUMMYFUNCTION("""COMPUTED_VALUE"""),45618.0)</f>
        <v>45618</v>
      </c>
      <c r="C447" s="292"/>
      <c r="D447" s="293">
        <f>IFERROR(__xludf.DUMMYFUNCTION("""COMPUTED_VALUE"""),300142.0)</f>
        <v>300142</v>
      </c>
      <c r="E447" s="290" t="str">
        <f>IFERROR(__xludf.DUMMYFUNCTION("""COMPUTED_VALUE"""),"ナマイキな年頃娘と種付けえっち ～オレ好みに躾けてハメ放題～【極合本シリーズ】")</f>
        <v>ナマイキな年頃娘と種付けえっち ～オレ好みに躾けてハメ放題～【極合本シリーズ】</v>
      </c>
      <c r="F447" s="298" t="str">
        <f>IFERROR(__xludf.DUMMYFUNCTION("""COMPUTED_VALUE"""),"ＢＥＮＥＴＴＹ")</f>
        <v>ＢＥＮＥＴＴＹ</v>
      </c>
      <c r="G447" s="298" t="str">
        <f>IFERROR(__xludf.DUMMYFUNCTION("""COMPUTED_VALUE"""),"オトナコミック")</f>
        <v>オトナコミック</v>
      </c>
      <c r="H447" s="298" t="str">
        <f>IFERROR(__xludf.DUMMYFUNCTION("""COMPUTED_VALUE"""),"2024/11/25～）クレジットカードでの購入のみ停止")</f>
        <v>2024/11/25～）クレジットカードでの購入のみ停止</v>
      </c>
      <c r="I447" s="283"/>
      <c r="J447" s="283"/>
      <c r="K447" s="283"/>
      <c r="L447" s="283"/>
      <c r="M447" s="283"/>
      <c r="N447" s="283"/>
      <c r="O447" s="283"/>
      <c r="P447" s="283"/>
      <c r="Q447" s="278"/>
      <c r="R447" s="278"/>
      <c r="S447" s="278"/>
      <c r="T447" s="278"/>
      <c r="U447" s="278"/>
      <c r="V447" s="278"/>
      <c r="W447" s="278"/>
      <c r="X447" s="278"/>
      <c r="Y447" s="278"/>
      <c r="Z447" s="278"/>
      <c r="AA447" s="278"/>
      <c r="AB447" s="278"/>
      <c r="AC447" s="278"/>
    </row>
    <row r="448" ht="15.75" customHeight="1">
      <c r="A448" s="290" t="str">
        <f>IFERROR(__xludf.DUMMYFUNCTION("""COMPUTED_VALUE"""),"どろっぷす！")</f>
        <v>どろっぷす！</v>
      </c>
      <c r="B448" s="291">
        <f>IFERROR(__xludf.DUMMYFUNCTION("""COMPUTED_VALUE"""),45618.0)</f>
        <v>45618</v>
      </c>
      <c r="C448" s="292"/>
      <c r="D448" s="293">
        <f>IFERROR(__xludf.DUMMYFUNCTION("""COMPUTED_VALUE"""),304527.0)</f>
        <v>304527</v>
      </c>
      <c r="E448" s="290" t="str">
        <f>IFERROR(__xludf.DUMMYFUNCTION("""COMPUTED_VALUE"""),"トロ堕ち確定！！汁だく強制SEX ～メスの身体は強いオスの精を求む～【極合本シリーズ】")</f>
        <v>トロ堕ち確定！！汁だく強制SEX ～メスの身体は強いオスの精を求む～【極合本シリーズ】</v>
      </c>
      <c r="F448" s="298" t="str">
        <f>IFERROR(__xludf.DUMMYFUNCTION("""COMPUTED_VALUE"""),"ＢＥＮＥＴＴＹ")</f>
        <v>ＢＥＮＥＴＴＹ</v>
      </c>
      <c r="G448" s="298" t="str">
        <f>IFERROR(__xludf.DUMMYFUNCTION("""COMPUTED_VALUE"""),"オトナコミック")</f>
        <v>オトナコミック</v>
      </c>
      <c r="H448" s="298" t="str">
        <f>IFERROR(__xludf.DUMMYFUNCTION("""COMPUTED_VALUE"""),"2024/11/25～）クレジットカードでの購入のみ停止")</f>
        <v>2024/11/25～）クレジットカードでの購入のみ停止</v>
      </c>
      <c r="I448" s="283"/>
      <c r="J448" s="283"/>
      <c r="K448" s="283"/>
      <c r="L448" s="283"/>
      <c r="M448" s="283"/>
      <c r="N448" s="283"/>
      <c r="O448" s="283"/>
      <c r="P448" s="283"/>
      <c r="Q448" s="278"/>
      <c r="R448" s="278"/>
      <c r="S448" s="278"/>
      <c r="T448" s="278"/>
      <c r="U448" s="278"/>
      <c r="V448" s="278"/>
      <c r="W448" s="278"/>
      <c r="X448" s="278"/>
      <c r="Y448" s="278"/>
      <c r="Z448" s="278"/>
      <c r="AA448" s="278"/>
      <c r="AB448" s="278"/>
      <c r="AC448" s="278"/>
    </row>
    <row r="449" ht="15.75" customHeight="1">
      <c r="A449" s="290" t="str">
        <f>IFERROR(__xludf.DUMMYFUNCTION("""COMPUTED_VALUE"""),"ナイトコミック")</f>
        <v>ナイトコミック</v>
      </c>
      <c r="B449" s="291">
        <f>IFERROR(__xludf.DUMMYFUNCTION("""COMPUTED_VALUE"""),45618.0)</f>
        <v>45618</v>
      </c>
      <c r="C449" s="292"/>
      <c r="D449" s="293">
        <f>IFERROR(__xludf.DUMMYFUNCTION("""COMPUTED_VALUE"""),106432.0)</f>
        <v>106432</v>
      </c>
      <c r="E449" s="290" t="str">
        <f>IFERROR(__xludf.DUMMYFUNCTION("""COMPUTED_VALUE"""),"秘密の催眠療法－猥褻セラピストの手によって解放される牝の性…－")</f>
        <v>秘密の催眠療法－猥褻セラピストの手によって解放される牝の性…－</v>
      </c>
      <c r="F449" s="298" t="str">
        <f>IFERROR(__xludf.DUMMYFUNCTION("""COMPUTED_VALUE"""),"REDLIGHT")</f>
        <v>REDLIGHT</v>
      </c>
      <c r="G449" s="298" t="str">
        <f>IFERROR(__xludf.DUMMYFUNCTION("""COMPUTED_VALUE"""),"オトナコミック")</f>
        <v>オトナコミック</v>
      </c>
      <c r="H449" s="298" t="str">
        <f>IFERROR(__xludf.DUMMYFUNCTION("""COMPUTED_VALUE"""),"2024/11/25～）クレジットカードでの購入のみ停止")</f>
        <v>2024/11/25～）クレジットカードでの購入のみ停止</v>
      </c>
      <c r="I449" s="283"/>
      <c r="J449" s="283"/>
      <c r="K449" s="283"/>
      <c r="L449" s="283"/>
      <c r="M449" s="283"/>
      <c r="N449" s="283"/>
      <c r="O449" s="283"/>
      <c r="P449" s="283"/>
      <c r="Q449" s="278"/>
      <c r="R449" s="278"/>
      <c r="S449" s="278"/>
      <c r="T449" s="278"/>
      <c r="U449" s="278"/>
      <c r="V449" s="278"/>
      <c r="W449" s="278"/>
      <c r="X449" s="278"/>
      <c r="Y449" s="278"/>
      <c r="Z449" s="278"/>
      <c r="AA449" s="278"/>
      <c r="AB449" s="278"/>
      <c r="AC449" s="278"/>
    </row>
    <row r="450" ht="15.75" customHeight="1">
      <c r="A450" s="290" t="str">
        <f>IFERROR(__xludf.DUMMYFUNCTION("""COMPUTED_VALUE"""),"ナイトコミック")</f>
        <v>ナイトコミック</v>
      </c>
      <c r="B450" s="291">
        <f>IFERROR(__xludf.DUMMYFUNCTION("""COMPUTED_VALUE"""),45618.0)</f>
        <v>45618</v>
      </c>
      <c r="C450" s="292"/>
      <c r="D450" s="293">
        <f>IFERROR(__xludf.DUMMYFUNCTION("""COMPUTED_VALUE"""),190924.0)</f>
        <v>190924</v>
      </c>
      <c r="E450" s="290" t="str">
        <f>IFERROR(__xludf.DUMMYFUNCTION("""COMPUTED_VALUE"""),"負け組中年おっさんVSリア充JK-小生意気なメスガキをハメ倒そ？-")</f>
        <v>負け組中年おっさんVSリア充JK-小生意気なメスガキをハメ倒そ？-</v>
      </c>
      <c r="F450" s="298" t="str">
        <f>IFERROR(__xludf.DUMMYFUNCTION("""COMPUTED_VALUE"""),"茶否")</f>
        <v>茶否</v>
      </c>
      <c r="G450" s="298" t="str">
        <f>IFERROR(__xludf.DUMMYFUNCTION("""COMPUTED_VALUE"""),"オトナコミック")</f>
        <v>オトナコミック</v>
      </c>
      <c r="H450" s="298" t="str">
        <f>IFERROR(__xludf.DUMMYFUNCTION("""COMPUTED_VALUE"""),"2024/11/25～）クレジットカードでの購入のみ停止")</f>
        <v>2024/11/25～）クレジットカードでの購入のみ停止</v>
      </c>
      <c r="I450" s="283"/>
      <c r="J450" s="283"/>
      <c r="K450" s="283"/>
      <c r="L450" s="283"/>
      <c r="M450" s="283"/>
      <c r="N450" s="283"/>
      <c r="O450" s="283"/>
      <c r="P450" s="283"/>
      <c r="Q450" s="278"/>
      <c r="R450" s="278"/>
      <c r="S450" s="278"/>
      <c r="T450" s="278"/>
      <c r="U450" s="278"/>
      <c r="V450" s="278"/>
      <c r="W450" s="278"/>
      <c r="X450" s="278"/>
      <c r="Y450" s="278"/>
      <c r="Z450" s="278"/>
      <c r="AA450" s="278"/>
      <c r="AB450" s="278"/>
      <c r="AC450" s="278"/>
    </row>
    <row r="451" ht="15.75" customHeight="1">
      <c r="A451" s="290" t="str">
        <f>IFERROR(__xludf.DUMMYFUNCTION("""COMPUTED_VALUE"""),"ナイトコミック")</f>
        <v>ナイトコミック</v>
      </c>
      <c r="B451" s="291">
        <f>IFERROR(__xludf.DUMMYFUNCTION("""COMPUTED_VALUE"""),45618.0)</f>
        <v>45618</v>
      </c>
      <c r="C451" s="292"/>
      <c r="D451" s="293">
        <f>IFERROR(__xludf.DUMMYFUNCTION("""COMPUTED_VALUE"""),248541.0)</f>
        <v>248541</v>
      </c>
      <c r="E451" s="290" t="str">
        <f>IFERROR(__xludf.DUMMYFUNCTION("""COMPUTED_VALUE"""),"エッチなウイルスに感染した七瀬さん")</f>
        <v>エッチなウイルスに感染した七瀬さん</v>
      </c>
      <c r="F451" s="298" t="str">
        <f>IFERROR(__xludf.DUMMYFUNCTION("""COMPUTED_VALUE"""),"Move From one Place to Heaven")</f>
        <v>Move From one Place to Heaven</v>
      </c>
      <c r="G451" s="298" t="str">
        <f>IFERROR(__xludf.DUMMYFUNCTION("""COMPUTED_VALUE"""),"オトナコミック")</f>
        <v>オトナコミック</v>
      </c>
      <c r="H451" s="298" t="str">
        <f>IFERROR(__xludf.DUMMYFUNCTION("""COMPUTED_VALUE"""),"2024/11/25～）クレジットカードでの購入のみ停止")</f>
        <v>2024/11/25～）クレジットカードでの購入のみ停止</v>
      </c>
      <c r="I451" s="283"/>
      <c r="J451" s="283"/>
      <c r="K451" s="283"/>
      <c r="L451" s="283"/>
      <c r="M451" s="283"/>
      <c r="N451" s="283"/>
      <c r="O451" s="283"/>
      <c r="P451" s="283"/>
      <c r="Q451" s="278"/>
      <c r="R451" s="278"/>
      <c r="S451" s="278"/>
      <c r="T451" s="278"/>
      <c r="U451" s="278"/>
      <c r="V451" s="278"/>
      <c r="W451" s="278"/>
      <c r="X451" s="278"/>
      <c r="Y451" s="278"/>
      <c r="Z451" s="278"/>
      <c r="AA451" s="278"/>
      <c r="AB451" s="278"/>
      <c r="AC451" s="278"/>
    </row>
    <row r="452" ht="15.75" customHeight="1">
      <c r="A452" s="290" t="str">
        <f>IFERROR(__xludf.DUMMYFUNCTION("""COMPUTED_VALUE"""),"ナイトコミック")</f>
        <v>ナイトコミック</v>
      </c>
      <c r="B452" s="291">
        <f>IFERROR(__xludf.DUMMYFUNCTION("""COMPUTED_VALUE"""),45618.0)</f>
        <v>45618</v>
      </c>
      <c r="C452" s="292"/>
      <c r="D452" s="293">
        <f>IFERROR(__xludf.DUMMYFUNCTION("""COMPUTED_VALUE"""),250831.0)</f>
        <v>250831</v>
      </c>
      <c r="E452" s="290" t="str">
        <f>IFERROR(__xludf.DUMMYFUNCTION("""COMPUTED_VALUE"""),"どんなオンナも一発発情！？催淫ビデオカメラで爆乳ギャルを堕としてみた")</f>
        <v>どんなオンナも一発発情！？催淫ビデオカメラで爆乳ギャルを堕としてみた</v>
      </c>
      <c r="F452" s="298" t="str">
        <f>IFERROR(__xludf.DUMMYFUNCTION("""COMPUTED_VALUE"""),"武田あらのぶ")</f>
        <v>武田あらのぶ</v>
      </c>
      <c r="G452" s="298" t="str">
        <f>IFERROR(__xludf.DUMMYFUNCTION("""COMPUTED_VALUE"""),"オトナコミック")</f>
        <v>オトナコミック</v>
      </c>
      <c r="H452" s="298" t="str">
        <f>IFERROR(__xludf.DUMMYFUNCTION("""COMPUTED_VALUE"""),"2024/11/25～）クレジットカードでの購入のみ停止")</f>
        <v>2024/11/25～）クレジットカードでの購入のみ停止</v>
      </c>
      <c r="I452" s="283"/>
      <c r="J452" s="283"/>
      <c r="K452" s="283"/>
      <c r="L452" s="283"/>
      <c r="M452" s="283"/>
      <c r="N452" s="283"/>
      <c r="O452" s="283"/>
      <c r="P452" s="283"/>
      <c r="Q452" s="278"/>
      <c r="R452" s="278"/>
      <c r="S452" s="278"/>
      <c r="T452" s="278"/>
      <c r="U452" s="278"/>
      <c r="V452" s="278"/>
      <c r="W452" s="278"/>
      <c r="X452" s="278"/>
      <c r="Y452" s="278"/>
      <c r="Z452" s="278"/>
      <c r="AA452" s="278"/>
      <c r="AB452" s="278"/>
      <c r="AC452" s="278"/>
    </row>
    <row r="453" ht="15.75" customHeight="1">
      <c r="A453" s="290" t="str">
        <f>IFERROR(__xludf.DUMMYFUNCTION("""COMPUTED_VALUE"""),"ナイトコミック")</f>
        <v>ナイトコミック</v>
      </c>
      <c r="B453" s="291">
        <f>IFERROR(__xludf.DUMMYFUNCTION("""COMPUTED_VALUE"""),45618.0)</f>
        <v>45618</v>
      </c>
      <c r="C453" s="292"/>
      <c r="D453" s="293">
        <f>IFERROR(__xludf.DUMMYFUNCTION("""COMPUTED_VALUE"""),278394.0)</f>
        <v>278394</v>
      </c>
      <c r="E453" s="290" t="str">
        <f>IFERROR(__xludf.DUMMYFUNCTION("""COMPUTED_VALUE"""),"えいとまん先生のおかげで年下彼女ができました！")</f>
        <v>えいとまん先生のおかげで年下彼女ができました！</v>
      </c>
      <c r="F453" s="298" t="str">
        <f>IFERROR(__xludf.DUMMYFUNCTION("""COMPUTED_VALUE"""),"えいとまん")</f>
        <v>えいとまん</v>
      </c>
      <c r="G453" s="298" t="str">
        <f>IFERROR(__xludf.DUMMYFUNCTION("""COMPUTED_VALUE"""),"オトナコミック")</f>
        <v>オトナコミック</v>
      </c>
      <c r="H453" s="298" t="str">
        <f>IFERROR(__xludf.DUMMYFUNCTION("""COMPUTED_VALUE"""),"2024/11/25～）クレジットカードでの購入のみ停止")</f>
        <v>2024/11/25～）クレジットカードでの購入のみ停止</v>
      </c>
      <c r="I453" s="283"/>
      <c r="J453" s="283"/>
      <c r="K453" s="283"/>
      <c r="L453" s="283"/>
      <c r="M453" s="283"/>
      <c r="N453" s="283"/>
      <c r="O453" s="283"/>
      <c r="P453" s="283"/>
      <c r="Q453" s="278"/>
      <c r="R453" s="278"/>
      <c r="S453" s="278"/>
      <c r="T453" s="278"/>
      <c r="U453" s="278"/>
      <c r="V453" s="278"/>
      <c r="W453" s="278"/>
      <c r="X453" s="278"/>
      <c r="Y453" s="278"/>
      <c r="Z453" s="278"/>
      <c r="AA453" s="278"/>
      <c r="AB453" s="278"/>
      <c r="AC453" s="278"/>
    </row>
    <row r="454" ht="15.75" customHeight="1">
      <c r="A454" s="290" t="str">
        <f>IFERROR(__xludf.DUMMYFUNCTION("""COMPUTED_VALUE"""),"ナイトコミック")</f>
        <v>ナイトコミック</v>
      </c>
      <c r="B454" s="291">
        <f>IFERROR(__xludf.DUMMYFUNCTION("""COMPUTED_VALUE"""),45618.0)</f>
        <v>45618</v>
      </c>
      <c r="C454" s="292"/>
      <c r="D454" s="293">
        <f>IFERROR(__xludf.DUMMYFUNCTION("""COMPUTED_VALUE"""),283700.0)</f>
        <v>283700</v>
      </c>
      <c r="E454" s="290" t="str">
        <f>IFERROR(__xludf.DUMMYFUNCTION("""COMPUTED_VALUE"""),"えいとまん先生のおかげで年下彼女ができました！【コマカ】")</f>
        <v>えいとまん先生のおかげで年下彼女ができました！【コマカ】</v>
      </c>
      <c r="F454" s="298" t="str">
        <f>IFERROR(__xludf.DUMMYFUNCTION("""COMPUTED_VALUE"""),"えいとまん")</f>
        <v>えいとまん</v>
      </c>
      <c r="G454" s="298" t="str">
        <f>IFERROR(__xludf.DUMMYFUNCTION("""COMPUTED_VALUE"""),"オトナコミック")</f>
        <v>オトナコミック</v>
      </c>
      <c r="H454" s="298" t="str">
        <f>IFERROR(__xludf.DUMMYFUNCTION("""COMPUTED_VALUE"""),"2024/11/25～）クレジットカードでの購入のみ停止")</f>
        <v>2024/11/25～）クレジットカードでの購入のみ停止</v>
      </c>
      <c r="I454" s="283"/>
      <c r="J454" s="283"/>
      <c r="K454" s="283"/>
      <c r="L454" s="283"/>
      <c r="M454" s="283"/>
      <c r="N454" s="283"/>
      <c r="O454" s="283"/>
      <c r="P454" s="283"/>
      <c r="Q454" s="278"/>
      <c r="R454" s="278"/>
      <c r="S454" s="278"/>
      <c r="T454" s="278"/>
      <c r="U454" s="278"/>
      <c r="V454" s="278"/>
      <c r="W454" s="278"/>
      <c r="X454" s="278"/>
      <c r="Y454" s="278"/>
      <c r="Z454" s="278"/>
      <c r="AA454" s="278"/>
      <c r="AB454" s="278"/>
      <c r="AC454" s="278"/>
    </row>
    <row r="455" ht="15.75" customHeight="1">
      <c r="A455" s="290" t="str">
        <f>IFERROR(__xludf.DUMMYFUNCTION("""COMPUTED_VALUE"""),"ナイトコミック")</f>
        <v>ナイトコミック</v>
      </c>
      <c r="B455" s="291">
        <f>IFERROR(__xludf.DUMMYFUNCTION("""COMPUTED_VALUE"""),45618.0)</f>
        <v>45618</v>
      </c>
      <c r="C455" s="292"/>
      <c r="D455" s="293">
        <f>IFERROR(__xludf.DUMMYFUNCTION("""COMPUTED_VALUE"""),291441.0)</f>
        <v>291441</v>
      </c>
      <c r="E455" s="290" t="str">
        <f>IFERROR(__xludf.DUMMYFUNCTION("""COMPUTED_VALUE"""),"人格排泄！！JK鬼アクメ")</f>
        <v>人格排泄！！JK鬼アクメ</v>
      </c>
      <c r="F455" s="298" t="str">
        <f>IFERROR(__xludf.DUMMYFUNCTION("""COMPUTED_VALUE"""),"倉田むと")</f>
        <v>倉田むと</v>
      </c>
      <c r="G455" s="298" t="str">
        <f>IFERROR(__xludf.DUMMYFUNCTION("""COMPUTED_VALUE"""),"オトナコミック")</f>
        <v>オトナコミック</v>
      </c>
      <c r="H455" s="298" t="str">
        <f>IFERROR(__xludf.DUMMYFUNCTION("""COMPUTED_VALUE"""),"2024/11/25～）クレジットカードでの購入のみ停止")</f>
        <v>2024/11/25～）クレジットカードでの購入のみ停止</v>
      </c>
      <c r="I455" s="283"/>
      <c r="J455" s="283"/>
      <c r="K455" s="283"/>
      <c r="L455" s="283"/>
      <c r="M455" s="283"/>
      <c r="N455" s="283"/>
      <c r="O455" s="283"/>
      <c r="P455" s="283"/>
      <c r="Q455" s="278"/>
      <c r="R455" s="278"/>
      <c r="S455" s="278"/>
      <c r="T455" s="278"/>
      <c r="U455" s="278"/>
      <c r="V455" s="278"/>
      <c r="W455" s="278"/>
      <c r="X455" s="278"/>
      <c r="Y455" s="278"/>
      <c r="Z455" s="278"/>
      <c r="AA455" s="278"/>
      <c r="AB455" s="278"/>
      <c r="AC455" s="278"/>
    </row>
    <row r="456" ht="15.75" customHeight="1">
      <c r="A456" s="290" t="str">
        <f>IFERROR(__xludf.DUMMYFUNCTION("""COMPUTED_VALUE"""),"ナンバーナイン")</f>
        <v>ナンバーナイン</v>
      </c>
      <c r="B456" s="291">
        <f>IFERROR(__xludf.DUMMYFUNCTION("""COMPUTED_VALUE"""),45618.0)</f>
        <v>45618</v>
      </c>
      <c r="C456" s="292"/>
      <c r="D456" s="293">
        <f>IFERROR(__xludf.DUMMYFUNCTION("""COMPUTED_VALUE"""),261245.0)</f>
        <v>261245</v>
      </c>
      <c r="E456" s="290" t="str">
        <f>IFERROR(__xludf.DUMMYFUNCTION("""COMPUTED_VALUE"""),"JK屈服拘束")</f>
        <v>JK屈服拘束</v>
      </c>
      <c r="F456" s="298" t="str">
        <f>IFERROR(__xludf.DUMMYFUNCTION("""COMPUTED_VALUE"""),"なのなんの")</f>
        <v>なのなんの</v>
      </c>
      <c r="G456" s="298" t="str">
        <f>IFERROR(__xludf.DUMMYFUNCTION("""COMPUTED_VALUE"""),"オトナコミック")</f>
        <v>オトナコミック</v>
      </c>
      <c r="H456" s="298" t="str">
        <f>IFERROR(__xludf.DUMMYFUNCTION("""COMPUTED_VALUE"""),"2024/11/25～）クレジットカードでの購入のみ停止")</f>
        <v>2024/11/25～）クレジットカードでの購入のみ停止</v>
      </c>
      <c r="I456" s="283"/>
      <c r="J456" s="283"/>
      <c r="K456" s="283"/>
      <c r="L456" s="283"/>
      <c r="M456" s="283"/>
      <c r="N456" s="283"/>
      <c r="O456" s="283"/>
      <c r="P456" s="283"/>
      <c r="Q456" s="278"/>
      <c r="R456" s="278"/>
      <c r="S456" s="278"/>
      <c r="T456" s="278"/>
      <c r="U456" s="278"/>
      <c r="V456" s="278"/>
      <c r="W456" s="278"/>
      <c r="X456" s="278"/>
      <c r="Y456" s="278"/>
      <c r="Z456" s="278"/>
      <c r="AA456" s="278"/>
      <c r="AB456" s="278"/>
      <c r="AC456" s="278"/>
    </row>
    <row r="457" ht="15.75" customHeight="1">
      <c r="A457" s="290" t="str">
        <f>IFERROR(__xludf.DUMMYFUNCTION("""COMPUTED_VALUE"""),"ナンバーナイン")</f>
        <v>ナンバーナイン</v>
      </c>
      <c r="B457" s="291">
        <f>IFERROR(__xludf.DUMMYFUNCTION("""COMPUTED_VALUE"""),45618.0)</f>
        <v>45618</v>
      </c>
      <c r="C457" s="292"/>
      <c r="D457" s="293">
        <f>IFERROR(__xludf.DUMMYFUNCTION("""COMPUTED_VALUE"""),266072.0)</f>
        <v>266072</v>
      </c>
      <c r="E457" s="290" t="str">
        <f>IFERROR(__xludf.DUMMYFUNCTION("""COMPUTED_VALUE"""),"好きな人の、兄に…")</f>
        <v>好きな人の、兄に…</v>
      </c>
      <c r="F457" s="298" t="str">
        <f>IFERROR(__xludf.DUMMYFUNCTION("""COMPUTED_VALUE"""),"さやかっぱ")</f>
        <v>さやかっぱ</v>
      </c>
      <c r="G457" s="298" t="str">
        <f>IFERROR(__xludf.DUMMYFUNCTION("""COMPUTED_VALUE"""),"オトナコミック")</f>
        <v>オトナコミック</v>
      </c>
      <c r="H457" s="298" t="str">
        <f>IFERROR(__xludf.DUMMYFUNCTION("""COMPUTED_VALUE"""),"2024/11/25～）クレジットカードでの購入のみ停止")</f>
        <v>2024/11/25～）クレジットカードでの購入のみ停止</v>
      </c>
      <c r="I457" s="283"/>
      <c r="J457" s="283"/>
      <c r="K457" s="283"/>
      <c r="L457" s="283"/>
      <c r="M457" s="283"/>
      <c r="N457" s="283"/>
      <c r="O457" s="283"/>
      <c r="P457" s="283"/>
      <c r="Q457" s="278"/>
      <c r="R457" s="278"/>
      <c r="S457" s="278"/>
      <c r="T457" s="278"/>
      <c r="U457" s="278"/>
      <c r="V457" s="278"/>
      <c r="W457" s="278"/>
      <c r="X457" s="278"/>
      <c r="Y457" s="278"/>
      <c r="Z457" s="278"/>
      <c r="AA457" s="278"/>
      <c r="AB457" s="278"/>
      <c r="AC457" s="278"/>
    </row>
    <row r="458" ht="15.75" customHeight="1">
      <c r="A458" s="290" t="str">
        <f>IFERROR(__xludf.DUMMYFUNCTION("""COMPUTED_VALUE"""),"ナンバーナイン")</f>
        <v>ナンバーナイン</v>
      </c>
      <c r="B458" s="291">
        <f>IFERROR(__xludf.DUMMYFUNCTION("""COMPUTED_VALUE"""),45618.0)</f>
        <v>45618</v>
      </c>
      <c r="C458" s="292"/>
      <c r="D458" s="293">
        <f>IFERROR(__xludf.DUMMYFUNCTION("""COMPUTED_VALUE"""),279241.0)</f>
        <v>279241</v>
      </c>
      <c r="E458" s="290" t="str">
        <f>IFERROR(__xludf.DUMMYFUNCTION("""COMPUTED_VALUE"""),"えちとの遭遇～埼玉女子校生UFO強姦事件～")</f>
        <v>えちとの遭遇～埼玉女子校生UFO強姦事件～</v>
      </c>
      <c r="F458" s="298" t="str">
        <f>IFERROR(__xludf.DUMMYFUNCTION("""COMPUTED_VALUE"""),"りこぴんりこぴん")</f>
        <v>りこぴんりこぴん</v>
      </c>
      <c r="G458" s="298" t="str">
        <f>IFERROR(__xludf.DUMMYFUNCTION("""COMPUTED_VALUE"""),"オトナコミック")</f>
        <v>オトナコミック</v>
      </c>
      <c r="H458" s="298" t="str">
        <f>IFERROR(__xludf.DUMMYFUNCTION("""COMPUTED_VALUE"""),"2024/11/25～）クレジットカードでの購入のみ停止")</f>
        <v>2024/11/25～）クレジットカードでの購入のみ停止</v>
      </c>
      <c r="I458" s="283"/>
      <c r="J458" s="283"/>
      <c r="K458" s="283"/>
      <c r="L458" s="283"/>
      <c r="M458" s="283"/>
      <c r="N458" s="283"/>
      <c r="O458" s="283"/>
      <c r="P458" s="283"/>
      <c r="Q458" s="278"/>
      <c r="R458" s="278"/>
      <c r="S458" s="278"/>
      <c r="T458" s="278"/>
      <c r="U458" s="278"/>
      <c r="V458" s="278"/>
      <c r="W458" s="278"/>
      <c r="X458" s="278"/>
      <c r="Y458" s="278"/>
      <c r="Z458" s="278"/>
      <c r="AA458" s="278"/>
      <c r="AB458" s="278"/>
      <c r="AC458" s="278"/>
    </row>
    <row r="459" ht="15.75" customHeight="1">
      <c r="A459" s="290" t="str">
        <f>IFERROR(__xludf.DUMMYFUNCTION("""COMPUTED_VALUE"""),"ナンバーナイン")</f>
        <v>ナンバーナイン</v>
      </c>
      <c r="B459" s="291">
        <f>IFERROR(__xludf.DUMMYFUNCTION("""COMPUTED_VALUE"""),45618.0)</f>
        <v>45618</v>
      </c>
      <c r="C459" s="292"/>
      <c r="D459" s="293">
        <f>IFERROR(__xludf.DUMMYFUNCTION("""COMPUTED_VALUE"""),281569.0)</f>
        <v>281569</v>
      </c>
      <c r="E459" s="290" t="str">
        <f>IFERROR(__xludf.DUMMYFUNCTION("""COMPUTED_VALUE"""),"百合物語")</f>
        <v>百合物語</v>
      </c>
      <c r="F459" s="298" t="str">
        <f>IFERROR(__xludf.DUMMYFUNCTION("""COMPUTED_VALUE"""),"八切そう")</f>
        <v>八切そう</v>
      </c>
      <c r="G459" s="298" t="str">
        <f>IFERROR(__xludf.DUMMYFUNCTION("""COMPUTED_VALUE"""),"オトナコミック")</f>
        <v>オトナコミック</v>
      </c>
      <c r="H459" s="298" t="str">
        <f>IFERROR(__xludf.DUMMYFUNCTION("""COMPUTED_VALUE"""),"2024/11/25～）クレジットカードでの購入のみ停止")</f>
        <v>2024/11/25～）クレジットカードでの購入のみ停止</v>
      </c>
      <c r="I459" s="283"/>
      <c r="J459" s="283"/>
      <c r="K459" s="283"/>
      <c r="L459" s="283"/>
      <c r="M459" s="283"/>
      <c r="N459" s="283"/>
      <c r="O459" s="283"/>
      <c r="P459" s="283"/>
      <c r="Q459" s="278"/>
      <c r="R459" s="278"/>
      <c r="S459" s="278"/>
      <c r="T459" s="278"/>
      <c r="U459" s="278"/>
      <c r="V459" s="278"/>
      <c r="W459" s="278"/>
      <c r="X459" s="278"/>
      <c r="Y459" s="278"/>
      <c r="Z459" s="278"/>
      <c r="AA459" s="278"/>
      <c r="AB459" s="278"/>
      <c r="AC459" s="278"/>
    </row>
    <row r="460" ht="15.75" customHeight="1">
      <c r="A460" s="290" t="str">
        <f>IFERROR(__xludf.DUMMYFUNCTION("""COMPUTED_VALUE"""),"ナンバーナイン")</f>
        <v>ナンバーナイン</v>
      </c>
      <c r="B460" s="291">
        <f>IFERROR(__xludf.DUMMYFUNCTION("""COMPUTED_VALUE"""),45618.0)</f>
        <v>45618</v>
      </c>
      <c r="C460" s="292"/>
      <c r="D460" s="293">
        <f>IFERROR(__xludf.DUMMYFUNCTION("""COMPUTED_VALUE"""),302773.0)</f>
        <v>302773</v>
      </c>
      <c r="E460" s="290" t="str">
        <f>IFERROR(__xludf.DUMMYFUNCTION("""COMPUTED_VALUE"""),"カースト上位の女子が陰キャヲタクの肉便器になる件")</f>
        <v>カースト上位の女子が陰キャヲタクの肉便器になる件</v>
      </c>
      <c r="F460" s="298" t="str">
        <f>IFERROR(__xludf.DUMMYFUNCTION("""COMPUTED_VALUE"""),"みるくそーせーじ")</f>
        <v>みるくそーせーじ</v>
      </c>
      <c r="G460" s="298" t="str">
        <f>IFERROR(__xludf.DUMMYFUNCTION("""COMPUTED_VALUE"""),"オトナコミック")</f>
        <v>オトナコミック</v>
      </c>
      <c r="H460" s="298" t="str">
        <f>IFERROR(__xludf.DUMMYFUNCTION("""COMPUTED_VALUE"""),"2024/11/25～）クレジットカードでの購入のみ停止")</f>
        <v>2024/11/25～）クレジットカードでの購入のみ停止</v>
      </c>
      <c r="I460" s="283"/>
      <c r="J460" s="283"/>
      <c r="K460" s="283"/>
      <c r="L460" s="283"/>
      <c r="M460" s="283"/>
      <c r="N460" s="283"/>
      <c r="O460" s="283"/>
      <c r="P460" s="283"/>
      <c r="Q460" s="278"/>
      <c r="R460" s="278"/>
      <c r="S460" s="278"/>
      <c r="T460" s="278"/>
      <c r="U460" s="278"/>
      <c r="V460" s="278"/>
      <c r="W460" s="278"/>
      <c r="X460" s="278"/>
      <c r="Y460" s="278"/>
      <c r="Z460" s="278"/>
      <c r="AA460" s="278"/>
      <c r="AB460" s="278"/>
      <c r="AC460" s="278"/>
    </row>
    <row r="461" ht="15.75" customHeight="1">
      <c r="A461" s="290" t="str">
        <f>IFERROR(__xludf.DUMMYFUNCTION("""COMPUTED_VALUE"""),"ばたぁさんど")</f>
        <v>ばたぁさんど</v>
      </c>
      <c r="B461" s="291">
        <f>IFERROR(__xludf.DUMMYFUNCTION("""COMPUTED_VALUE"""),45618.0)</f>
        <v>45618</v>
      </c>
      <c r="C461" s="292"/>
      <c r="D461" s="293">
        <f>IFERROR(__xludf.DUMMYFUNCTION("""COMPUTED_VALUE"""),303423.0)</f>
        <v>303423</v>
      </c>
      <c r="E461" s="290" t="str">
        <f>IFERROR(__xludf.DUMMYFUNCTION("""COMPUTED_VALUE"""),"人妻孕ませマッサージ店 ～催淫メス堕ち托卵の特別コースはいかがですか？～")</f>
        <v>人妻孕ませマッサージ店 ～催淫メス堕ち托卵の特別コースはいかがですか？～</v>
      </c>
      <c r="F461" s="298" t="str">
        <f>IFERROR(__xludf.DUMMYFUNCTION("""COMPUTED_VALUE"""),"ばたぁさんど")</f>
        <v>ばたぁさんど</v>
      </c>
      <c r="G461" s="298" t="str">
        <f>IFERROR(__xludf.DUMMYFUNCTION("""COMPUTED_VALUE"""),"オトナコミック")</f>
        <v>オトナコミック</v>
      </c>
      <c r="H461" s="298" t="str">
        <f>IFERROR(__xludf.DUMMYFUNCTION("""COMPUTED_VALUE"""),"2024/11/25～）クレジットカードでの購入のみ停止")</f>
        <v>2024/11/25～）クレジットカードでの購入のみ停止</v>
      </c>
      <c r="I461" s="283"/>
      <c r="J461" s="283"/>
      <c r="K461" s="283"/>
      <c r="L461" s="283"/>
      <c r="M461" s="283"/>
      <c r="N461" s="283"/>
      <c r="O461" s="283"/>
      <c r="P461" s="283"/>
      <c r="Q461" s="278"/>
      <c r="R461" s="278"/>
      <c r="S461" s="278"/>
      <c r="T461" s="278"/>
      <c r="U461" s="278"/>
      <c r="V461" s="278"/>
      <c r="W461" s="278"/>
      <c r="X461" s="278"/>
      <c r="Y461" s="278"/>
      <c r="Z461" s="278"/>
      <c r="AA461" s="278"/>
      <c r="AB461" s="278"/>
      <c r="AC461" s="278"/>
    </row>
    <row r="462" ht="15.75" customHeight="1">
      <c r="A462" s="290" t="str">
        <f>IFERROR(__xludf.DUMMYFUNCTION("""COMPUTED_VALUE"""),"ばたぁさんど")</f>
        <v>ばたぁさんど</v>
      </c>
      <c r="B462" s="291">
        <f>IFERROR(__xludf.DUMMYFUNCTION("""COMPUTED_VALUE"""),45618.0)</f>
        <v>45618</v>
      </c>
      <c r="C462" s="292"/>
      <c r="D462" s="293">
        <f>IFERROR(__xludf.DUMMYFUNCTION("""COMPUTED_VALUE"""),303424.0)</f>
        <v>303424</v>
      </c>
      <c r="E462" s="290" t="str">
        <f>IFERROR(__xludf.DUMMYFUNCTION("""COMPUTED_VALUE"""),"人妻孕ませマッサージ店 ～催淫メス堕ち托卵の特別コースはいかがですか？～ モザイク版")</f>
        <v>人妻孕ませマッサージ店 ～催淫メス堕ち托卵の特別コースはいかがですか？～ モザイク版</v>
      </c>
      <c r="F462" s="298" t="str">
        <f>IFERROR(__xludf.DUMMYFUNCTION("""COMPUTED_VALUE"""),"NULL-MOSAIC / ばたぁさんど")</f>
        <v>NULL-MOSAIC / ばたぁさんど</v>
      </c>
      <c r="G462" s="298" t="str">
        <f>IFERROR(__xludf.DUMMYFUNCTION("""COMPUTED_VALUE"""),"オトナコミック")</f>
        <v>オトナコミック</v>
      </c>
      <c r="H462" s="298" t="str">
        <f>IFERROR(__xludf.DUMMYFUNCTION("""COMPUTED_VALUE"""),"2024/11/25～）クレジットカードでの購入のみ停止")</f>
        <v>2024/11/25～）クレジットカードでの購入のみ停止</v>
      </c>
      <c r="I462" s="283"/>
      <c r="J462" s="283"/>
      <c r="K462" s="283"/>
      <c r="L462" s="283"/>
      <c r="M462" s="283"/>
      <c r="N462" s="283"/>
      <c r="O462" s="283"/>
      <c r="P462" s="283"/>
      <c r="Q462" s="278"/>
      <c r="R462" s="278"/>
      <c r="S462" s="278"/>
      <c r="T462" s="278"/>
      <c r="U462" s="278"/>
      <c r="V462" s="278"/>
      <c r="W462" s="278"/>
      <c r="X462" s="278"/>
      <c r="Y462" s="278"/>
      <c r="Z462" s="278"/>
      <c r="AA462" s="278"/>
      <c r="AB462" s="278"/>
      <c r="AC462" s="278"/>
    </row>
    <row r="463" ht="15.75" customHeight="1">
      <c r="A463" s="290" t="str">
        <f>IFERROR(__xludf.DUMMYFUNCTION("""COMPUTED_VALUE"""),"ブレインハウス")</f>
        <v>ブレインハウス</v>
      </c>
      <c r="B463" s="291">
        <f>IFERROR(__xludf.DUMMYFUNCTION("""COMPUTED_VALUE"""),45618.0)</f>
        <v>45618</v>
      </c>
      <c r="C463" s="292"/>
      <c r="D463" s="293">
        <f>IFERROR(__xludf.DUMMYFUNCTION("""COMPUTED_VALUE"""),184629.0)</f>
        <v>184629</v>
      </c>
      <c r="E463" s="290" t="str">
        <f>IFERROR(__xludf.DUMMYFUNCTION("""COMPUTED_VALUE"""),"COMIC GEE")</f>
        <v>COMIC GEE</v>
      </c>
      <c r="F463" s="298" t="str">
        <f>IFERROR(__xludf.DUMMYFUNCTION("""COMPUTED_VALUE"""),"COMIC GEE編集部")</f>
        <v>COMIC GEE編集部</v>
      </c>
      <c r="G463" s="298" t="str">
        <f>IFERROR(__xludf.DUMMYFUNCTION("""COMPUTED_VALUE"""),"コミック誌")</f>
        <v>コミック誌</v>
      </c>
      <c r="H463" s="298" t="str">
        <f>IFERROR(__xludf.DUMMYFUNCTION("""COMPUTED_VALUE"""),"2024/11/25～）クレジットカードでの購入のみ停止")</f>
        <v>2024/11/25～）クレジットカードでの購入のみ停止</v>
      </c>
      <c r="I463" s="283"/>
      <c r="J463" s="283"/>
      <c r="K463" s="283"/>
      <c r="L463" s="283"/>
      <c r="M463" s="283"/>
      <c r="N463" s="283"/>
      <c r="O463" s="283"/>
      <c r="P463" s="283"/>
      <c r="Q463" s="278"/>
      <c r="R463" s="278"/>
      <c r="S463" s="278"/>
      <c r="T463" s="278"/>
      <c r="U463" s="278"/>
      <c r="V463" s="278"/>
      <c r="W463" s="278"/>
      <c r="X463" s="278"/>
      <c r="Y463" s="278"/>
      <c r="Z463" s="278"/>
      <c r="AA463" s="278"/>
      <c r="AB463" s="278"/>
      <c r="AC463" s="278"/>
    </row>
    <row r="464" ht="15.75" customHeight="1">
      <c r="A464" s="290" t="str">
        <f>IFERROR(__xludf.DUMMYFUNCTION("""COMPUTED_VALUE"""),"ブレインハウス")</f>
        <v>ブレインハウス</v>
      </c>
      <c r="B464" s="291">
        <f>IFERROR(__xludf.DUMMYFUNCTION("""COMPUTED_VALUE"""),45618.0)</f>
        <v>45618</v>
      </c>
      <c r="C464" s="292"/>
      <c r="D464" s="293">
        <f>IFERROR(__xludf.DUMMYFUNCTION("""COMPUTED_VALUE"""),224804.0)</f>
        <v>224804</v>
      </c>
      <c r="E464" s="290" t="str">
        <f>IFERROR(__xludf.DUMMYFUNCTION("""COMPUTED_VALUE"""),"先生との不倫を脅され輪姦")</f>
        <v>先生との不倫を脅され輪姦</v>
      </c>
      <c r="F464" s="298" t="str">
        <f>IFERROR(__xludf.DUMMYFUNCTION("""COMPUTED_VALUE"""),"鷹那優輝")</f>
        <v>鷹那優輝</v>
      </c>
      <c r="G464" s="298" t="str">
        <f>IFERROR(__xludf.DUMMYFUNCTION("""COMPUTED_VALUE"""),"オトナコミック")</f>
        <v>オトナコミック</v>
      </c>
      <c r="H464" s="298" t="str">
        <f>IFERROR(__xludf.DUMMYFUNCTION("""COMPUTED_VALUE"""),"2024/11/25～）クレジットカードでの購入のみ停止")</f>
        <v>2024/11/25～）クレジットカードでの購入のみ停止</v>
      </c>
      <c r="I464" s="283"/>
      <c r="J464" s="283"/>
      <c r="K464" s="283"/>
      <c r="L464" s="283"/>
      <c r="M464" s="283"/>
      <c r="N464" s="283"/>
      <c r="O464" s="283"/>
      <c r="P464" s="283"/>
      <c r="Q464" s="278"/>
      <c r="R464" s="278"/>
      <c r="S464" s="278"/>
      <c r="T464" s="278"/>
      <c r="U464" s="278"/>
      <c r="V464" s="278"/>
      <c r="W464" s="278"/>
      <c r="X464" s="278"/>
      <c r="Y464" s="278"/>
      <c r="Z464" s="278"/>
      <c r="AA464" s="278"/>
      <c r="AB464" s="278"/>
      <c r="AC464" s="278"/>
    </row>
    <row r="465" ht="15.75" customHeight="1">
      <c r="A465" s="290" t="str">
        <f>IFERROR(__xludf.DUMMYFUNCTION("""COMPUTED_VALUE"""),"ブレインハウス")</f>
        <v>ブレインハウス</v>
      </c>
      <c r="B465" s="291">
        <f>IFERROR(__xludf.DUMMYFUNCTION("""COMPUTED_VALUE"""),45618.0)</f>
        <v>45618</v>
      </c>
      <c r="C465" s="292"/>
      <c r="D465" s="293">
        <f>IFERROR(__xludf.DUMMYFUNCTION("""COMPUTED_VALUE"""),231689.0)</f>
        <v>231689</v>
      </c>
      <c r="E465" s="290" t="str">
        <f>IFERROR(__xludf.DUMMYFUNCTION("""COMPUTED_VALUE"""),"in-Pants【R18版】")</f>
        <v>in-Pants【R18版】</v>
      </c>
      <c r="F465" s="298" t="str">
        <f>IFERROR(__xludf.DUMMYFUNCTION("""COMPUTED_VALUE"""),"in-Pants編集部")</f>
        <v>in-Pants編集部</v>
      </c>
      <c r="G465" s="298" t="str">
        <f>IFERROR(__xludf.DUMMYFUNCTION("""COMPUTED_VALUE"""),"コミック誌")</f>
        <v>コミック誌</v>
      </c>
      <c r="H465" s="298" t="str">
        <f>IFERROR(__xludf.DUMMYFUNCTION("""COMPUTED_VALUE"""),"2024/11/25～）クレジットカードでの購入のみ停止")</f>
        <v>2024/11/25～）クレジットカードでの購入のみ停止</v>
      </c>
      <c r="I465" s="283"/>
      <c r="J465" s="283"/>
      <c r="K465" s="283"/>
      <c r="L465" s="283"/>
      <c r="M465" s="283"/>
      <c r="N465" s="283"/>
      <c r="O465" s="283"/>
      <c r="P465" s="283"/>
      <c r="Q465" s="278"/>
      <c r="R465" s="278"/>
      <c r="S465" s="278"/>
      <c r="T465" s="278"/>
      <c r="U465" s="278"/>
      <c r="V465" s="278"/>
      <c r="W465" s="278"/>
      <c r="X465" s="278"/>
      <c r="Y465" s="278"/>
      <c r="Z465" s="278"/>
      <c r="AA465" s="278"/>
      <c r="AB465" s="278"/>
      <c r="AC465" s="278"/>
    </row>
    <row r="466" ht="15.75" customHeight="1">
      <c r="A466" s="290" t="str">
        <f>IFERROR(__xludf.DUMMYFUNCTION("""COMPUTED_VALUE"""),"ブレインハウス")</f>
        <v>ブレインハウス</v>
      </c>
      <c r="B466" s="291">
        <f>IFERROR(__xludf.DUMMYFUNCTION("""COMPUTED_VALUE"""),45618.0)</f>
        <v>45618</v>
      </c>
      <c r="C466" s="292"/>
      <c r="D466" s="293">
        <f>IFERROR(__xludf.DUMMYFUNCTION("""COMPUTED_VALUE"""),234403.0)</f>
        <v>234403</v>
      </c>
      <c r="E466" s="290" t="str">
        <f>IFERROR(__xludf.DUMMYFUNCTION("""COMPUTED_VALUE"""),"別冊COMIC GEEアンソロジー 寝取らせ地獄")</f>
        <v>別冊COMIC GEEアンソロジー 寝取らせ地獄</v>
      </c>
      <c r="F466" s="298" t="str">
        <f>IFERROR(__xludf.DUMMYFUNCTION("""COMPUTED_VALUE"""),"COMIC GEE編集部")</f>
        <v>COMIC GEE編集部</v>
      </c>
      <c r="G466" s="298" t="str">
        <f>IFERROR(__xludf.DUMMYFUNCTION("""COMPUTED_VALUE"""),"コミック誌")</f>
        <v>コミック誌</v>
      </c>
      <c r="H466" s="298" t="str">
        <f>IFERROR(__xludf.DUMMYFUNCTION("""COMPUTED_VALUE"""),"2024/11/25～）クレジットカードでの購入のみ停止")</f>
        <v>2024/11/25～）クレジットカードでの購入のみ停止</v>
      </c>
      <c r="I466" s="283"/>
      <c r="J466" s="283"/>
      <c r="K466" s="283"/>
      <c r="L466" s="283"/>
      <c r="M466" s="283"/>
      <c r="N466" s="283"/>
      <c r="O466" s="283"/>
      <c r="P466" s="283"/>
      <c r="Q466" s="278"/>
      <c r="R466" s="278"/>
      <c r="S466" s="278"/>
      <c r="T466" s="278"/>
      <c r="U466" s="278"/>
      <c r="V466" s="278"/>
      <c r="W466" s="278"/>
      <c r="X466" s="278"/>
      <c r="Y466" s="278"/>
      <c r="Z466" s="278"/>
      <c r="AA466" s="278"/>
      <c r="AB466" s="278"/>
      <c r="AC466" s="278"/>
    </row>
    <row r="467" ht="15.75" customHeight="1">
      <c r="A467" s="290" t="str">
        <f>IFERROR(__xludf.DUMMYFUNCTION("""COMPUTED_VALUE"""),"ブレインハウス")</f>
        <v>ブレインハウス</v>
      </c>
      <c r="B467" s="291">
        <f>IFERROR(__xludf.DUMMYFUNCTION("""COMPUTED_VALUE"""),45618.0)</f>
        <v>45618</v>
      </c>
      <c r="C467" s="292"/>
      <c r="D467" s="293">
        <f>IFERROR(__xludf.DUMMYFUNCTION("""COMPUTED_VALUE"""),237251.0)</f>
        <v>237251</v>
      </c>
      <c r="E467" s="290" t="str">
        <f>IFERROR(__xludf.DUMMYFUNCTION("""COMPUTED_VALUE"""),"水泳部新人歓迎輪姦パーティー")</f>
        <v>水泳部新人歓迎輪姦パーティー</v>
      </c>
      <c r="F467" s="298" t="str">
        <f>IFERROR(__xludf.DUMMYFUNCTION("""COMPUTED_VALUE"""),"ぎヴちょこ")</f>
        <v>ぎヴちょこ</v>
      </c>
      <c r="G467" s="298" t="str">
        <f>IFERROR(__xludf.DUMMYFUNCTION("""COMPUTED_VALUE"""),"オトナコミック")</f>
        <v>オトナコミック</v>
      </c>
      <c r="H467" s="298" t="str">
        <f>IFERROR(__xludf.DUMMYFUNCTION("""COMPUTED_VALUE"""),"2024/11/25～）クレジットカードでの購入のみ停止")</f>
        <v>2024/11/25～）クレジットカードでの購入のみ停止</v>
      </c>
      <c r="I467" s="283"/>
      <c r="J467" s="283"/>
      <c r="K467" s="283"/>
      <c r="L467" s="283"/>
      <c r="M467" s="283"/>
      <c r="N467" s="283"/>
      <c r="O467" s="283"/>
      <c r="P467" s="283"/>
      <c r="Q467" s="278"/>
      <c r="R467" s="278"/>
      <c r="S467" s="278"/>
      <c r="T467" s="278"/>
      <c r="U467" s="278"/>
      <c r="V467" s="278"/>
      <c r="W467" s="278"/>
      <c r="X467" s="278"/>
      <c r="Y467" s="278"/>
      <c r="Z467" s="278"/>
      <c r="AA467" s="278"/>
      <c r="AB467" s="278"/>
      <c r="AC467" s="278"/>
    </row>
    <row r="468" ht="15.75" customHeight="1">
      <c r="A468" s="290" t="str">
        <f>IFERROR(__xludf.DUMMYFUNCTION("""COMPUTED_VALUE"""),"プレステージ")</f>
        <v>プレステージ</v>
      </c>
      <c r="B468" s="291">
        <f>IFERROR(__xludf.DUMMYFUNCTION("""COMPUTED_VALUE"""),45618.0)</f>
        <v>45618</v>
      </c>
      <c r="C468" s="292"/>
      <c r="D468" s="293">
        <f>IFERROR(__xludf.DUMMYFUNCTION("""COMPUTED_VALUE"""),231408.0)</f>
        <v>231408</v>
      </c>
      <c r="E468" s="290" t="str">
        <f>IFERROR(__xludf.DUMMYFUNCTION("""COMPUTED_VALUE"""),"孤独な女子校生は僕専用の肉便器～イチャラブ種付大絶頂～【18禁】")</f>
        <v>孤独な女子校生は僕専用の肉便器～イチャラブ種付大絶頂～【18禁】</v>
      </c>
      <c r="F468" s="298" t="str">
        <f>IFERROR(__xludf.DUMMYFUNCTION("""COMPUTED_VALUE"""),"Zummy / プレステージ出版（コミック）")</f>
        <v>Zummy / プレステージ出版（コミック）</v>
      </c>
      <c r="G468" s="298" t="str">
        <f>IFERROR(__xludf.DUMMYFUNCTION("""COMPUTED_VALUE"""),"オトナコミック")</f>
        <v>オトナコミック</v>
      </c>
      <c r="H468" s="298" t="str">
        <f>IFERROR(__xludf.DUMMYFUNCTION("""COMPUTED_VALUE"""),"2024/11/25～）クレジットカードでの購入のみ停止")</f>
        <v>2024/11/25～）クレジットカードでの購入のみ停止</v>
      </c>
      <c r="I468" s="283"/>
      <c r="J468" s="283"/>
      <c r="K468" s="283"/>
      <c r="L468" s="283"/>
      <c r="M468" s="283"/>
      <c r="N468" s="283"/>
      <c r="O468" s="283"/>
      <c r="P468" s="283"/>
      <c r="Q468" s="278"/>
      <c r="R468" s="278"/>
      <c r="S468" s="278"/>
      <c r="T468" s="278"/>
      <c r="U468" s="278"/>
      <c r="V468" s="278"/>
      <c r="W468" s="278"/>
      <c r="X468" s="278"/>
      <c r="Y468" s="278"/>
      <c r="Z468" s="278"/>
      <c r="AA468" s="278"/>
      <c r="AB468" s="278"/>
      <c r="AC468" s="278"/>
    </row>
    <row r="469" ht="15.75" customHeight="1">
      <c r="A469" s="290" t="str">
        <f>IFERROR(__xludf.DUMMYFUNCTION("""COMPUTED_VALUE"""),"プレステージ")</f>
        <v>プレステージ</v>
      </c>
      <c r="B469" s="291">
        <f>IFERROR(__xludf.DUMMYFUNCTION("""COMPUTED_VALUE"""),45618.0)</f>
        <v>45618</v>
      </c>
      <c r="C469" s="292"/>
      <c r="D469" s="293">
        <f>IFERROR(__xludf.DUMMYFUNCTION("""COMPUTED_VALUE"""),234764.0)</f>
        <v>234764</v>
      </c>
      <c r="E469" s="290" t="str">
        <f>IFERROR(__xludf.DUMMYFUNCTION("""COMPUTED_VALUE"""),"エデンの園で犯されて～レイプつなぎ～ 【電子単行本】【18禁】")</f>
        <v>エデンの園で犯されて～レイプつなぎ～ 【電子単行本】【18禁】</v>
      </c>
      <c r="F469" s="298" t="str">
        <f>IFERROR(__xludf.DUMMYFUNCTION("""COMPUTED_VALUE"""),"もりとん / プレステージ出版（コミック）")</f>
        <v>もりとん / プレステージ出版（コミック）</v>
      </c>
      <c r="G469" s="298" t="str">
        <f>IFERROR(__xludf.DUMMYFUNCTION("""COMPUTED_VALUE"""),"オトナコミック")</f>
        <v>オトナコミック</v>
      </c>
      <c r="H469" s="298" t="str">
        <f>IFERROR(__xludf.DUMMYFUNCTION("""COMPUTED_VALUE"""),"2024/11/25～）クレジットカードでの購入のみ停止")</f>
        <v>2024/11/25～）クレジットカードでの購入のみ停止</v>
      </c>
      <c r="I469" s="283"/>
      <c r="J469" s="283"/>
      <c r="K469" s="283"/>
      <c r="L469" s="283"/>
      <c r="M469" s="283"/>
      <c r="N469" s="283"/>
      <c r="O469" s="283"/>
      <c r="P469" s="283"/>
      <c r="Q469" s="278"/>
      <c r="R469" s="278"/>
      <c r="S469" s="278"/>
      <c r="T469" s="278"/>
      <c r="U469" s="278"/>
      <c r="V469" s="278"/>
      <c r="W469" s="278"/>
      <c r="X469" s="278"/>
      <c r="Y469" s="278"/>
      <c r="Z469" s="278"/>
      <c r="AA469" s="278"/>
      <c r="AB469" s="278"/>
      <c r="AC469" s="278"/>
    </row>
    <row r="470" ht="15.75" customHeight="1">
      <c r="A470" s="290" t="str">
        <f>IFERROR(__xludf.DUMMYFUNCTION("""COMPUTED_VALUE"""),"ぶんか社")</f>
        <v>ぶんか社</v>
      </c>
      <c r="B470" s="291">
        <f>IFERROR(__xludf.DUMMYFUNCTION("""COMPUTED_VALUE"""),45618.0)</f>
        <v>45618</v>
      </c>
      <c r="C470" s="292"/>
      <c r="D470" s="293">
        <f>IFERROR(__xludf.DUMMYFUNCTION("""COMPUTED_VALUE"""),68718.0)</f>
        <v>68718</v>
      </c>
      <c r="E470" s="290" t="str">
        <f>IFERROR(__xludf.DUMMYFUNCTION("""COMPUTED_VALUE"""),"恥辱の園")</f>
        <v>恥辱の園</v>
      </c>
      <c r="F470" s="298" t="str">
        <f>IFERROR(__xludf.DUMMYFUNCTION("""COMPUTED_VALUE"""),"夢～眠")</f>
        <v>夢～眠</v>
      </c>
      <c r="G470" s="298" t="str">
        <f>IFERROR(__xludf.DUMMYFUNCTION("""COMPUTED_VALUE"""),"オトナコミック")</f>
        <v>オトナコミック</v>
      </c>
      <c r="H470" s="298" t="str">
        <f>IFERROR(__xludf.DUMMYFUNCTION("""COMPUTED_VALUE"""),"2024/11/25～）クレジットカードでの購入のみ停止")</f>
        <v>2024/11/25～）クレジットカードでの購入のみ停止</v>
      </c>
      <c r="I470" s="283"/>
      <c r="J470" s="283"/>
      <c r="K470" s="283"/>
      <c r="L470" s="283"/>
      <c r="M470" s="283"/>
      <c r="N470" s="283"/>
      <c r="O470" s="283"/>
      <c r="P470" s="283"/>
      <c r="Q470" s="278"/>
      <c r="R470" s="278"/>
      <c r="S470" s="278"/>
      <c r="T470" s="278"/>
      <c r="U470" s="278"/>
      <c r="V470" s="278"/>
      <c r="W470" s="278"/>
      <c r="X470" s="278"/>
      <c r="Y470" s="278"/>
      <c r="Z470" s="278"/>
      <c r="AA470" s="278"/>
      <c r="AB470" s="278"/>
      <c r="AC470" s="278"/>
    </row>
    <row r="471" ht="15.75" customHeight="1">
      <c r="A471" s="290" t="str">
        <f>IFERROR(__xludf.DUMMYFUNCTION("""COMPUTED_VALUE"""),"ぶんか社")</f>
        <v>ぶんか社</v>
      </c>
      <c r="B471" s="291">
        <f>IFERROR(__xludf.DUMMYFUNCTION("""COMPUTED_VALUE"""),45618.0)</f>
        <v>45618</v>
      </c>
      <c r="C471" s="292"/>
      <c r="D471" s="293">
        <f>IFERROR(__xludf.DUMMYFUNCTION("""COMPUTED_VALUE"""),68720.0)</f>
        <v>68720</v>
      </c>
      <c r="E471" s="290" t="str">
        <f>IFERROR(__xludf.DUMMYFUNCTION("""COMPUTED_VALUE"""),"嬲られBody")</f>
        <v>嬲られBody</v>
      </c>
      <c r="F471" s="298" t="str">
        <f>IFERROR(__xludf.DUMMYFUNCTION("""COMPUTED_VALUE"""),"ぺニシリンXI")</f>
        <v>ぺニシリンXI</v>
      </c>
      <c r="G471" s="298" t="str">
        <f>IFERROR(__xludf.DUMMYFUNCTION("""COMPUTED_VALUE"""),"オトナコミック")</f>
        <v>オトナコミック</v>
      </c>
      <c r="H471" s="298" t="str">
        <f>IFERROR(__xludf.DUMMYFUNCTION("""COMPUTED_VALUE"""),"2024/11/25～）クレジットカードでの購入のみ停止")</f>
        <v>2024/11/25～）クレジットカードでの購入のみ停止</v>
      </c>
      <c r="I471" s="283"/>
      <c r="J471" s="283"/>
      <c r="K471" s="283"/>
      <c r="L471" s="283"/>
      <c r="M471" s="283"/>
      <c r="N471" s="283"/>
      <c r="O471" s="283"/>
      <c r="P471" s="283"/>
      <c r="Q471" s="278"/>
      <c r="R471" s="278"/>
      <c r="S471" s="278"/>
      <c r="T471" s="278"/>
      <c r="U471" s="278"/>
      <c r="V471" s="278"/>
      <c r="W471" s="278"/>
      <c r="X471" s="278"/>
      <c r="Y471" s="278"/>
      <c r="Z471" s="278"/>
      <c r="AA471" s="278"/>
      <c r="AB471" s="278"/>
      <c r="AC471" s="278"/>
    </row>
    <row r="472" ht="15.75" customHeight="1">
      <c r="A472" s="290" t="str">
        <f>IFERROR(__xludf.DUMMYFUNCTION("""COMPUTED_VALUE"""),"ぶんか社")</f>
        <v>ぶんか社</v>
      </c>
      <c r="B472" s="291">
        <f>IFERROR(__xludf.DUMMYFUNCTION("""COMPUTED_VALUE"""),45618.0)</f>
        <v>45618</v>
      </c>
      <c r="C472" s="292"/>
      <c r="D472" s="293">
        <f>IFERROR(__xludf.DUMMYFUNCTION("""COMPUTED_VALUE"""),91439.0)</f>
        <v>91439</v>
      </c>
      <c r="E472" s="290" t="str">
        <f>IFERROR(__xludf.DUMMYFUNCTION("""COMPUTED_VALUE"""),"汚染玩具")</f>
        <v>汚染玩具</v>
      </c>
      <c r="F472" s="298" t="str">
        <f>IFERROR(__xludf.DUMMYFUNCTION("""COMPUTED_VALUE"""),"牧秀人")</f>
        <v>牧秀人</v>
      </c>
      <c r="G472" s="298" t="str">
        <f>IFERROR(__xludf.DUMMYFUNCTION("""COMPUTED_VALUE"""),"オトナコミック")</f>
        <v>オトナコミック</v>
      </c>
      <c r="H472" s="298" t="str">
        <f>IFERROR(__xludf.DUMMYFUNCTION("""COMPUTED_VALUE"""),"2024/11/25～）クレジットカードでの購入のみ停止")</f>
        <v>2024/11/25～）クレジットカードでの購入のみ停止</v>
      </c>
      <c r="I472" s="283"/>
      <c r="J472" s="283"/>
      <c r="K472" s="283"/>
      <c r="L472" s="283"/>
      <c r="M472" s="283"/>
      <c r="N472" s="283"/>
      <c r="O472" s="283"/>
      <c r="P472" s="283"/>
      <c r="Q472" s="278"/>
      <c r="R472" s="278"/>
      <c r="S472" s="278"/>
      <c r="T472" s="278"/>
      <c r="U472" s="278"/>
      <c r="V472" s="278"/>
      <c r="W472" s="278"/>
      <c r="X472" s="278"/>
      <c r="Y472" s="278"/>
      <c r="Z472" s="278"/>
      <c r="AA472" s="278"/>
      <c r="AB472" s="278"/>
      <c r="AC472" s="278"/>
    </row>
    <row r="473" ht="15.75" customHeight="1">
      <c r="A473" s="290" t="str">
        <f>IFERROR(__xludf.DUMMYFUNCTION("""COMPUTED_VALUE"""),"ぶんか社")</f>
        <v>ぶんか社</v>
      </c>
      <c r="B473" s="291">
        <f>IFERROR(__xludf.DUMMYFUNCTION("""COMPUTED_VALUE"""),45618.0)</f>
        <v>45618</v>
      </c>
      <c r="C473" s="292"/>
      <c r="D473" s="293">
        <f>IFERROR(__xludf.DUMMYFUNCTION("""COMPUTED_VALUE"""),126140.0)</f>
        <v>126140</v>
      </c>
      <c r="E473" s="290" t="str">
        <f>IFERROR(__xludf.DUMMYFUNCTION("""COMPUTED_VALUE"""),"サイベリアマニアックス 絶望寝取られセレクション")</f>
        <v>サイベリアマニアックス 絶望寝取られセレクション</v>
      </c>
      <c r="F473" s="298" t="str">
        <f>IFERROR(__xludf.DUMMYFUNCTION("""COMPUTED_VALUE"""),"アンソロジー")</f>
        <v>アンソロジー</v>
      </c>
      <c r="G473" s="298" t="str">
        <f>IFERROR(__xludf.DUMMYFUNCTION("""COMPUTED_VALUE"""),"オトナコミック")</f>
        <v>オトナコミック</v>
      </c>
      <c r="H473" s="298" t="str">
        <f>IFERROR(__xludf.DUMMYFUNCTION("""COMPUTED_VALUE"""),"2024/11/25～）クレジットカードでの購入のみ停止")</f>
        <v>2024/11/25～）クレジットカードでの購入のみ停止</v>
      </c>
      <c r="I473" s="283"/>
      <c r="J473" s="283"/>
      <c r="K473" s="283"/>
      <c r="L473" s="283"/>
      <c r="M473" s="283"/>
      <c r="N473" s="283"/>
      <c r="O473" s="283"/>
      <c r="P473" s="283"/>
      <c r="Q473" s="278"/>
      <c r="R473" s="278"/>
      <c r="S473" s="278"/>
      <c r="T473" s="278"/>
      <c r="U473" s="278"/>
      <c r="V473" s="278"/>
      <c r="W473" s="278"/>
      <c r="X473" s="278"/>
      <c r="Y473" s="278"/>
      <c r="Z473" s="278"/>
      <c r="AA473" s="278"/>
      <c r="AB473" s="278"/>
      <c r="AC473" s="278"/>
    </row>
    <row r="474" ht="15.75" customHeight="1">
      <c r="A474" s="290" t="str">
        <f>IFERROR(__xludf.DUMMYFUNCTION("""COMPUTED_VALUE"""),"ぶんか社")</f>
        <v>ぶんか社</v>
      </c>
      <c r="B474" s="291">
        <f>IFERROR(__xludf.DUMMYFUNCTION("""COMPUTED_VALUE"""),45618.0)</f>
        <v>45618</v>
      </c>
      <c r="C474" s="292"/>
      <c r="D474" s="293">
        <f>IFERROR(__xludf.DUMMYFUNCTION("""COMPUTED_VALUE"""),138516.0)</f>
        <v>138516</v>
      </c>
      <c r="E474" s="290" t="str">
        <f>IFERROR(__xludf.DUMMYFUNCTION("""COMPUTED_VALUE"""),"ゲスだけしかいない街")</f>
        <v>ゲスだけしかいない街</v>
      </c>
      <c r="F474" s="298" t="str">
        <f>IFERROR(__xludf.DUMMYFUNCTION("""COMPUTED_VALUE"""),"尾山泰永")</f>
        <v>尾山泰永</v>
      </c>
      <c r="G474" s="298" t="str">
        <f>IFERROR(__xludf.DUMMYFUNCTION("""COMPUTED_VALUE"""),"オトナコミック")</f>
        <v>オトナコミック</v>
      </c>
      <c r="H474" s="298" t="str">
        <f>IFERROR(__xludf.DUMMYFUNCTION("""COMPUTED_VALUE"""),"2024/11/25～）クレジットカードでの購入のみ停止")</f>
        <v>2024/11/25～）クレジットカードでの購入のみ停止</v>
      </c>
      <c r="I474" s="283"/>
      <c r="J474" s="283"/>
      <c r="K474" s="283"/>
      <c r="L474" s="283"/>
      <c r="M474" s="283"/>
      <c r="N474" s="283"/>
      <c r="O474" s="283"/>
      <c r="P474" s="283"/>
      <c r="Q474" s="278"/>
      <c r="R474" s="278"/>
      <c r="S474" s="278"/>
      <c r="T474" s="278"/>
      <c r="U474" s="278"/>
      <c r="V474" s="278"/>
      <c r="W474" s="278"/>
      <c r="X474" s="278"/>
      <c r="Y474" s="278"/>
      <c r="Z474" s="278"/>
      <c r="AA474" s="278"/>
      <c r="AB474" s="278"/>
      <c r="AC474" s="278"/>
    </row>
    <row r="475" ht="15.75" customHeight="1">
      <c r="A475" s="290" t="str">
        <f>IFERROR(__xludf.DUMMYFUNCTION("""COMPUTED_VALUE"""),"ぶんか社")</f>
        <v>ぶんか社</v>
      </c>
      <c r="B475" s="291">
        <f>IFERROR(__xludf.DUMMYFUNCTION("""COMPUTED_VALUE"""),45618.0)</f>
        <v>45618</v>
      </c>
      <c r="C475" s="292"/>
      <c r="D475" s="293">
        <f>IFERROR(__xludf.DUMMYFUNCTION("""COMPUTED_VALUE"""),141435.0)</f>
        <v>141435</v>
      </c>
      <c r="E475" s="290" t="str">
        <f>IFERROR(__xludf.DUMMYFUNCTION("""COMPUTED_VALUE"""),"人妻蹂躙島")</f>
        <v>人妻蹂躙島</v>
      </c>
      <c r="F475" s="298" t="str">
        <f>IFERROR(__xludf.DUMMYFUNCTION("""COMPUTED_VALUE"""),"巻貝一ヶ")</f>
        <v>巻貝一ヶ</v>
      </c>
      <c r="G475" s="298" t="str">
        <f>IFERROR(__xludf.DUMMYFUNCTION("""COMPUTED_VALUE"""),"オトナコミック")</f>
        <v>オトナコミック</v>
      </c>
      <c r="H475" s="298" t="str">
        <f>IFERROR(__xludf.DUMMYFUNCTION("""COMPUTED_VALUE"""),"2024/11/25～）クレジットカードでの購入のみ停止")</f>
        <v>2024/11/25～）クレジットカードでの購入のみ停止</v>
      </c>
      <c r="I475" s="283"/>
      <c r="J475" s="283"/>
      <c r="K475" s="283"/>
      <c r="L475" s="283"/>
      <c r="M475" s="283"/>
      <c r="N475" s="283"/>
      <c r="O475" s="283"/>
      <c r="P475" s="283"/>
      <c r="Q475" s="278"/>
      <c r="R475" s="278"/>
      <c r="S475" s="278"/>
      <c r="T475" s="278"/>
      <c r="U475" s="278"/>
      <c r="V475" s="278"/>
      <c r="W475" s="278"/>
      <c r="X475" s="278"/>
      <c r="Y475" s="278"/>
      <c r="Z475" s="278"/>
      <c r="AA475" s="278"/>
      <c r="AB475" s="278"/>
      <c r="AC475" s="278"/>
    </row>
    <row r="476" ht="15.75" customHeight="1">
      <c r="A476" s="290" t="str">
        <f>IFERROR(__xludf.DUMMYFUNCTION("""COMPUTED_VALUE"""),"ぶんか社")</f>
        <v>ぶんか社</v>
      </c>
      <c r="B476" s="291">
        <f>IFERROR(__xludf.DUMMYFUNCTION("""COMPUTED_VALUE"""),45618.0)</f>
        <v>45618</v>
      </c>
      <c r="C476" s="292"/>
      <c r="D476" s="293">
        <f>IFERROR(__xludf.DUMMYFUNCTION("""COMPUTED_VALUE"""),152208.0)</f>
        <v>152208</v>
      </c>
      <c r="E476" s="290" t="str">
        <f>IFERROR(__xludf.DUMMYFUNCTION("""COMPUTED_VALUE"""),"艶やかな肉")</f>
        <v>艶やかな肉</v>
      </c>
      <c r="F476" s="298" t="str">
        <f>IFERROR(__xludf.DUMMYFUNCTION("""COMPUTED_VALUE"""),"奏亜希子")</f>
        <v>奏亜希子</v>
      </c>
      <c r="G476" s="298" t="str">
        <f>IFERROR(__xludf.DUMMYFUNCTION("""COMPUTED_VALUE"""),"オトナコミック")</f>
        <v>オトナコミック</v>
      </c>
      <c r="H476" s="298" t="str">
        <f>IFERROR(__xludf.DUMMYFUNCTION("""COMPUTED_VALUE"""),"2024/11/25～）クレジットカードでの購入のみ停止")</f>
        <v>2024/11/25～）クレジットカードでの購入のみ停止</v>
      </c>
      <c r="I476" s="283"/>
      <c r="J476" s="283"/>
      <c r="K476" s="283"/>
      <c r="L476" s="283"/>
      <c r="M476" s="283"/>
      <c r="N476" s="283"/>
      <c r="O476" s="283"/>
      <c r="P476" s="283"/>
      <c r="Q476" s="278"/>
      <c r="R476" s="278"/>
      <c r="S476" s="278"/>
      <c r="T476" s="278"/>
      <c r="U476" s="278"/>
      <c r="V476" s="278"/>
      <c r="W476" s="278"/>
      <c r="X476" s="278"/>
      <c r="Y476" s="278"/>
      <c r="Z476" s="278"/>
      <c r="AA476" s="278"/>
      <c r="AB476" s="278"/>
      <c r="AC476" s="278"/>
    </row>
    <row r="477" ht="15.75" customHeight="1">
      <c r="A477" s="290" t="str">
        <f>IFERROR(__xludf.DUMMYFUNCTION("""COMPUTED_VALUE"""),"ぶんか社")</f>
        <v>ぶんか社</v>
      </c>
      <c r="B477" s="291">
        <f>IFERROR(__xludf.DUMMYFUNCTION("""COMPUTED_VALUE"""),45618.0)</f>
        <v>45618</v>
      </c>
      <c r="C477" s="292"/>
      <c r="D477" s="293">
        <f>IFERROR(__xludf.DUMMYFUNCTION("""COMPUTED_VALUE"""),154037.0)</f>
        <v>154037</v>
      </c>
      <c r="E477" s="290" t="str">
        <f>IFERROR(__xludf.DUMMYFUNCTION("""COMPUTED_VALUE"""),"みだれて御一行様")</f>
        <v>みだれて御一行様</v>
      </c>
      <c r="F477" s="298" t="str">
        <f>IFERROR(__xludf.DUMMYFUNCTION("""COMPUTED_VALUE"""),"ペニシリンXI")</f>
        <v>ペニシリンXI</v>
      </c>
      <c r="G477" s="298" t="str">
        <f>IFERROR(__xludf.DUMMYFUNCTION("""COMPUTED_VALUE"""),"オトナコミック")</f>
        <v>オトナコミック</v>
      </c>
      <c r="H477" s="298" t="str">
        <f>IFERROR(__xludf.DUMMYFUNCTION("""COMPUTED_VALUE"""),"2024/11/25～）クレジットカードでの購入のみ停止")</f>
        <v>2024/11/25～）クレジットカードでの購入のみ停止</v>
      </c>
      <c r="I477" s="283"/>
      <c r="J477" s="283"/>
      <c r="K477" s="283"/>
      <c r="L477" s="283"/>
      <c r="M477" s="283"/>
      <c r="N477" s="283"/>
      <c r="O477" s="283"/>
      <c r="P477" s="283"/>
      <c r="Q477" s="278"/>
      <c r="R477" s="278"/>
      <c r="S477" s="278"/>
      <c r="T477" s="278"/>
      <c r="U477" s="278"/>
      <c r="V477" s="278"/>
      <c r="W477" s="278"/>
      <c r="X477" s="278"/>
      <c r="Y477" s="278"/>
      <c r="Z477" s="278"/>
      <c r="AA477" s="278"/>
      <c r="AB477" s="278"/>
      <c r="AC477" s="278"/>
    </row>
    <row r="478" ht="15.75" customHeight="1">
      <c r="A478" s="290" t="str">
        <f>IFERROR(__xludf.DUMMYFUNCTION("""COMPUTED_VALUE"""),"ぶんか社")</f>
        <v>ぶんか社</v>
      </c>
      <c r="B478" s="291">
        <f>IFERROR(__xludf.DUMMYFUNCTION("""COMPUTED_VALUE"""),45618.0)</f>
        <v>45618</v>
      </c>
      <c r="C478" s="292"/>
      <c r="D478" s="293">
        <f>IFERROR(__xludf.DUMMYFUNCTION("""COMPUTED_VALUE"""),157485.0)</f>
        <v>157485</v>
      </c>
      <c r="E478" s="290" t="str">
        <f>IFERROR(__xludf.DUMMYFUNCTION("""COMPUTED_VALUE"""),"放課後の犬")</f>
        <v>放課後の犬</v>
      </c>
      <c r="F478" s="298" t="str">
        <f>IFERROR(__xludf.DUMMYFUNCTION("""COMPUTED_VALUE"""),"奏亜希子")</f>
        <v>奏亜希子</v>
      </c>
      <c r="G478" s="298" t="str">
        <f>IFERROR(__xludf.DUMMYFUNCTION("""COMPUTED_VALUE"""),"オトナコミック")</f>
        <v>オトナコミック</v>
      </c>
      <c r="H478" s="298" t="str">
        <f>IFERROR(__xludf.DUMMYFUNCTION("""COMPUTED_VALUE"""),"2024/11/25～）クレジットカードでの購入のみ停止")</f>
        <v>2024/11/25～）クレジットカードでの購入のみ停止</v>
      </c>
      <c r="I478" s="283"/>
      <c r="J478" s="283"/>
      <c r="K478" s="283"/>
      <c r="L478" s="283"/>
      <c r="M478" s="283"/>
      <c r="N478" s="283"/>
      <c r="O478" s="283"/>
      <c r="P478" s="283"/>
      <c r="Q478" s="278"/>
      <c r="R478" s="278"/>
      <c r="S478" s="278"/>
      <c r="T478" s="278"/>
      <c r="U478" s="278"/>
      <c r="V478" s="278"/>
      <c r="W478" s="278"/>
      <c r="X478" s="278"/>
      <c r="Y478" s="278"/>
      <c r="Z478" s="278"/>
      <c r="AA478" s="278"/>
      <c r="AB478" s="278"/>
      <c r="AC478" s="278"/>
    </row>
    <row r="479" ht="15.75" customHeight="1">
      <c r="A479" s="290" t="str">
        <f>IFERROR(__xludf.DUMMYFUNCTION("""COMPUTED_VALUE"""),"ぶんか社")</f>
        <v>ぶんか社</v>
      </c>
      <c r="B479" s="291">
        <f>IFERROR(__xludf.DUMMYFUNCTION("""COMPUTED_VALUE"""),45618.0)</f>
        <v>45618</v>
      </c>
      <c r="C479" s="292"/>
      <c r="D479" s="293">
        <f>IFERROR(__xludf.DUMMYFUNCTION("""COMPUTED_VALUE"""),167319.0)</f>
        <v>167319</v>
      </c>
      <c r="E479" s="290" t="str">
        <f>IFERROR(__xludf.DUMMYFUNCTION("""COMPUTED_VALUE"""),"ゲスだけしかいない街（分冊版）")</f>
        <v>ゲスだけしかいない街（分冊版）</v>
      </c>
      <c r="F479" s="298" t="str">
        <f>IFERROR(__xludf.DUMMYFUNCTION("""COMPUTED_VALUE"""),"尾山泰永")</f>
        <v>尾山泰永</v>
      </c>
      <c r="G479" s="298" t="str">
        <f>IFERROR(__xludf.DUMMYFUNCTION("""COMPUTED_VALUE"""),"オトナコミック")</f>
        <v>オトナコミック</v>
      </c>
      <c r="H479" s="298" t="str">
        <f>IFERROR(__xludf.DUMMYFUNCTION("""COMPUTED_VALUE"""),"2024/11/25～）クレジットカードでの購入のみ停止")</f>
        <v>2024/11/25～）クレジットカードでの購入のみ停止</v>
      </c>
      <c r="I479" s="283"/>
      <c r="J479" s="283"/>
      <c r="K479" s="283"/>
      <c r="L479" s="283"/>
      <c r="M479" s="283"/>
      <c r="N479" s="283"/>
      <c r="O479" s="283"/>
      <c r="P479" s="283"/>
      <c r="Q479" s="278"/>
      <c r="R479" s="278"/>
      <c r="S479" s="278"/>
      <c r="T479" s="278"/>
      <c r="U479" s="278"/>
      <c r="V479" s="278"/>
      <c r="W479" s="278"/>
      <c r="X479" s="278"/>
      <c r="Y479" s="278"/>
      <c r="Z479" s="278"/>
      <c r="AA479" s="278"/>
      <c r="AB479" s="278"/>
      <c r="AC479" s="278"/>
    </row>
    <row r="480" ht="15.75" customHeight="1">
      <c r="A480" s="290" t="str">
        <f>IFERROR(__xludf.DUMMYFUNCTION("""COMPUTED_VALUE"""),"ぶんか社")</f>
        <v>ぶんか社</v>
      </c>
      <c r="B480" s="291">
        <f>IFERROR(__xludf.DUMMYFUNCTION("""COMPUTED_VALUE"""),45618.0)</f>
        <v>45618</v>
      </c>
      <c r="C480" s="292"/>
      <c r="D480" s="293">
        <f>IFERROR(__xludf.DUMMYFUNCTION("""COMPUTED_VALUE"""),215629.0)</f>
        <v>215629</v>
      </c>
      <c r="E480" s="290" t="str">
        <f>IFERROR(__xludf.DUMMYFUNCTION("""COMPUTED_VALUE"""),"膣穴の奥まで満たして欲しい（分冊版）")</f>
        <v>膣穴の奥まで満たして欲しい（分冊版）</v>
      </c>
      <c r="F480" s="298" t="str">
        <f>IFERROR(__xludf.DUMMYFUNCTION("""COMPUTED_VALUE"""),"紫紀")</f>
        <v>紫紀</v>
      </c>
      <c r="G480" s="298" t="str">
        <f>IFERROR(__xludf.DUMMYFUNCTION("""COMPUTED_VALUE"""),"オトナコミック")</f>
        <v>オトナコミック</v>
      </c>
      <c r="H480" s="298" t="str">
        <f>IFERROR(__xludf.DUMMYFUNCTION("""COMPUTED_VALUE"""),"2024/11/25～）クレジットカードでの購入のみ停止")</f>
        <v>2024/11/25～）クレジットカードでの購入のみ停止</v>
      </c>
      <c r="I480" s="283"/>
      <c r="J480" s="283"/>
      <c r="K480" s="283"/>
      <c r="L480" s="283"/>
      <c r="M480" s="283"/>
      <c r="N480" s="283"/>
      <c r="O480" s="283"/>
      <c r="P480" s="283"/>
      <c r="Q480" s="278"/>
      <c r="R480" s="278"/>
      <c r="S480" s="278"/>
      <c r="T480" s="278"/>
      <c r="U480" s="278"/>
      <c r="V480" s="278"/>
      <c r="W480" s="278"/>
      <c r="X480" s="278"/>
      <c r="Y480" s="278"/>
      <c r="Z480" s="278"/>
      <c r="AA480" s="278"/>
      <c r="AB480" s="278"/>
      <c r="AC480" s="278"/>
    </row>
    <row r="481" ht="15.75" customHeight="1">
      <c r="A481" s="290" t="str">
        <f>IFERROR(__xludf.DUMMYFUNCTION("""COMPUTED_VALUE"""),"ぶんか社")</f>
        <v>ぶんか社</v>
      </c>
      <c r="B481" s="291">
        <f>IFERROR(__xludf.DUMMYFUNCTION("""COMPUTED_VALUE"""),45618.0)</f>
        <v>45618</v>
      </c>
      <c r="C481" s="292"/>
      <c r="D481" s="293">
        <f>IFERROR(__xludf.DUMMYFUNCTION("""COMPUTED_VALUE"""),217448.0)</f>
        <v>217448</v>
      </c>
      <c r="E481" s="290" t="str">
        <f>IFERROR(__xludf.DUMMYFUNCTION("""COMPUTED_VALUE"""),"人妻蹂躙島（分冊版）")</f>
        <v>人妻蹂躙島（分冊版）</v>
      </c>
      <c r="F481" s="298" t="str">
        <f>IFERROR(__xludf.DUMMYFUNCTION("""COMPUTED_VALUE"""),"巻貝一ヶ")</f>
        <v>巻貝一ヶ</v>
      </c>
      <c r="G481" s="298" t="str">
        <f>IFERROR(__xludf.DUMMYFUNCTION("""COMPUTED_VALUE"""),"オトナコミック")</f>
        <v>オトナコミック</v>
      </c>
      <c r="H481" s="298" t="str">
        <f>IFERROR(__xludf.DUMMYFUNCTION("""COMPUTED_VALUE"""),"2024/11/25～）クレジットカードでの購入のみ停止")</f>
        <v>2024/11/25～）クレジットカードでの購入のみ停止</v>
      </c>
      <c r="I481" s="283"/>
      <c r="J481" s="283"/>
      <c r="K481" s="283"/>
      <c r="L481" s="283"/>
      <c r="M481" s="283"/>
      <c r="N481" s="283"/>
      <c r="O481" s="283"/>
      <c r="P481" s="283"/>
      <c r="Q481" s="278"/>
      <c r="R481" s="278"/>
      <c r="S481" s="278"/>
      <c r="T481" s="278"/>
      <c r="U481" s="278"/>
      <c r="V481" s="278"/>
      <c r="W481" s="278"/>
      <c r="X481" s="278"/>
      <c r="Y481" s="278"/>
      <c r="Z481" s="278"/>
      <c r="AA481" s="278"/>
      <c r="AB481" s="278"/>
      <c r="AC481" s="278"/>
    </row>
    <row r="482" ht="15.75" customHeight="1">
      <c r="A482" s="290" t="str">
        <f>IFERROR(__xludf.DUMMYFUNCTION("""COMPUTED_VALUE"""),"ぶんか社")</f>
        <v>ぶんか社</v>
      </c>
      <c r="B482" s="291">
        <f>IFERROR(__xludf.DUMMYFUNCTION("""COMPUTED_VALUE"""),45618.0)</f>
        <v>45618</v>
      </c>
      <c r="C482" s="292"/>
      <c r="D482" s="293">
        <f>IFERROR(__xludf.DUMMYFUNCTION("""COMPUTED_VALUE"""),227513.0)</f>
        <v>227513</v>
      </c>
      <c r="E482" s="290" t="str">
        <f>IFERROR(__xludf.DUMMYFUNCTION("""COMPUTED_VALUE"""),"みだれて御一行様（分冊版）")</f>
        <v>みだれて御一行様（分冊版）</v>
      </c>
      <c r="F482" s="298" t="str">
        <f>IFERROR(__xludf.DUMMYFUNCTION("""COMPUTED_VALUE"""),"ペニシリンXI")</f>
        <v>ペニシリンXI</v>
      </c>
      <c r="G482" s="298" t="str">
        <f>IFERROR(__xludf.DUMMYFUNCTION("""COMPUTED_VALUE"""),"オトナコミック")</f>
        <v>オトナコミック</v>
      </c>
      <c r="H482" s="298" t="str">
        <f>IFERROR(__xludf.DUMMYFUNCTION("""COMPUTED_VALUE"""),"2024/11/25～）クレジットカードでの購入のみ停止")</f>
        <v>2024/11/25～）クレジットカードでの購入のみ停止</v>
      </c>
      <c r="I482" s="283"/>
      <c r="J482" s="283"/>
      <c r="K482" s="283"/>
      <c r="L482" s="283"/>
      <c r="M482" s="283"/>
      <c r="N482" s="283"/>
      <c r="O482" s="283"/>
      <c r="P482" s="283"/>
      <c r="Q482" s="278"/>
      <c r="R482" s="278"/>
      <c r="S482" s="278"/>
      <c r="T482" s="278"/>
      <c r="U482" s="278"/>
      <c r="V482" s="278"/>
      <c r="W482" s="278"/>
      <c r="X482" s="278"/>
      <c r="Y482" s="278"/>
      <c r="Z482" s="278"/>
      <c r="AA482" s="278"/>
      <c r="AB482" s="278"/>
      <c r="AC482" s="278"/>
    </row>
    <row r="483" ht="15.75" customHeight="1">
      <c r="A483" s="290" t="str">
        <f>IFERROR(__xludf.DUMMYFUNCTION("""COMPUTED_VALUE"""),"ぶんか社")</f>
        <v>ぶんか社</v>
      </c>
      <c r="B483" s="291">
        <f>IFERROR(__xludf.DUMMYFUNCTION("""COMPUTED_VALUE"""),45618.0)</f>
        <v>45618</v>
      </c>
      <c r="C483" s="292"/>
      <c r="D483" s="293">
        <f>IFERROR(__xludf.DUMMYFUNCTION("""COMPUTED_VALUE"""),235419.0)</f>
        <v>235419</v>
      </c>
      <c r="E483" s="290" t="str">
        <f>IFERROR(__xludf.DUMMYFUNCTION("""COMPUTED_VALUE"""),"恥辱の園（分冊版）")</f>
        <v>恥辱の園（分冊版）</v>
      </c>
      <c r="F483" s="298" t="str">
        <f>IFERROR(__xludf.DUMMYFUNCTION("""COMPUTED_VALUE"""),"夢～眠")</f>
        <v>夢～眠</v>
      </c>
      <c r="G483" s="298" t="str">
        <f>IFERROR(__xludf.DUMMYFUNCTION("""COMPUTED_VALUE"""),"オトナコミック")</f>
        <v>オトナコミック</v>
      </c>
      <c r="H483" s="298" t="str">
        <f>IFERROR(__xludf.DUMMYFUNCTION("""COMPUTED_VALUE"""),"2024/11/25～）クレジットカードでの購入のみ停止")</f>
        <v>2024/11/25～）クレジットカードでの購入のみ停止</v>
      </c>
      <c r="I483" s="283"/>
      <c r="J483" s="283"/>
      <c r="K483" s="283"/>
      <c r="L483" s="283"/>
      <c r="M483" s="283"/>
      <c r="N483" s="283"/>
      <c r="O483" s="283"/>
      <c r="P483" s="283"/>
      <c r="Q483" s="278"/>
      <c r="R483" s="278"/>
      <c r="S483" s="278"/>
      <c r="T483" s="278"/>
      <c r="U483" s="278"/>
      <c r="V483" s="278"/>
      <c r="W483" s="278"/>
      <c r="X483" s="278"/>
      <c r="Y483" s="278"/>
      <c r="Z483" s="278"/>
      <c r="AA483" s="278"/>
      <c r="AB483" s="278"/>
      <c r="AC483" s="278"/>
    </row>
    <row r="484" ht="15.75" customHeight="1">
      <c r="A484" s="290" t="str">
        <f>IFERROR(__xludf.DUMMYFUNCTION("""COMPUTED_VALUE"""),"ぶんか社")</f>
        <v>ぶんか社</v>
      </c>
      <c r="B484" s="291">
        <f>IFERROR(__xludf.DUMMYFUNCTION("""COMPUTED_VALUE"""),45618.0)</f>
        <v>45618</v>
      </c>
      <c r="C484" s="292"/>
      <c r="D484" s="293">
        <f>IFERROR(__xludf.DUMMYFUNCTION("""COMPUTED_VALUE"""),235421.0)</f>
        <v>235421</v>
      </c>
      <c r="E484" s="290" t="str">
        <f>IFERROR(__xludf.DUMMYFUNCTION("""COMPUTED_VALUE"""),"嬲られBODY（分冊版）")</f>
        <v>嬲られBODY（分冊版）</v>
      </c>
      <c r="F484" s="298" t="str">
        <f>IFERROR(__xludf.DUMMYFUNCTION("""COMPUTED_VALUE"""),"ペニシリンXI")</f>
        <v>ペニシリンXI</v>
      </c>
      <c r="G484" s="298" t="str">
        <f>IFERROR(__xludf.DUMMYFUNCTION("""COMPUTED_VALUE"""),"オトナコミック")</f>
        <v>オトナコミック</v>
      </c>
      <c r="H484" s="298" t="str">
        <f>IFERROR(__xludf.DUMMYFUNCTION("""COMPUTED_VALUE"""),"2024/11/25～）クレジットカードでの購入のみ停止")</f>
        <v>2024/11/25～）クレジットカードでの購入のみ停止</v>
      </c>
      <c r="I484" s="283"/>
      <c r="J484" s="283"/>
      <c r="K484" s="283"/>
      <c r="L484" s="283"/>
      <c r="M484" s="283"/>
      <c r="N484" s="283"/>
      <c r="O484" s="283"/>
      <c r="P484" s="283"/>
      <c r="Q484" s="278"/>
      <c r="R484" s="278"/>
      <c r="S484" s="278"/>
      <c r="T484" s="278"/>
      <c r="U484" s="278"/>
      <c r="V484" s="278"/>
      <c r="W484" s="278"/>
      <c r="X484" s="278"/>
      <c r="Y484" s="278"/>
      <c r="Z484" s="278"/>
      <c r="AA484" s="278"/>
      <c r="AB484" s="278"/>
      <c r="AC484" s="278"/>
    </row>
    <row r="485" ht="15.75" customHeight="1">
      <c r="A485" s="290" t="str">
        <f>IFERROR(__xludf.DUMMYFUNCTION("""COMPUTED_VALUE"""),"ぶんか社")</f>
        <v>ぶんか社</v>
      </c>
      <c r="B485" s="291">
        <f>IFERROR(__xludf.DUMMYFUNCTION("""COMPUTED_VALUE"""),45618.0)</f>
        <v>45618</v>
      </c>
      <c r="C485" s="292"/>
      <c r="D485" s="293">
        <f>IFERROR(__xludf.DUMMYFUNCTION("""COMPUTED_VALUE"""),258072.0)</f>
        <v>258072</v>
      </c>
      <c r="E485" s="290" t="str">
        <f>IFERROR(__xludf.DUMMYFUNCTION("""COMPUTED_VALUE"""),"盗撮脅され娘と強制人妻交尾")</f>
        <v>盗撮脅され娘と強制人妻交尾</v>
      </c>
      <c r="F485" s="298" t="str">
        <f>IFERROR(__xludf.DUMMYFUNCTION("""COMPUTED_VALUE"""),"伊駒一平")</f>
        <v>伊駒一平</v>
      </c>
      <c r="G485" s="298" t="str">
        <f>IFERROR(__xludf.DUMMYFUNCTION("""COMPUTED_VALUE"""),"オトナコミック")</f>
        <v>オトナコミック</v>
      </c>
      <c r="H485" s="298" t="str">
        <f>IFERROR(__xludf.DUMMYFUNCTION("""COMPUTED_VALUE"""),"2024/11/25～）クレジットカードでの購入のみ停止")</f>
        <v>2024/11/25～）クレジットカードでの購入のみ停止</v>
      </c>
      <c r="I485" s="283"/>
      <c r="J485" s="283"/>
      <c r="K485" s="283"/>
      <c r="L485" s="283"/>
      <c r="M485" s="283"/>
      <c r="N485" s="283"/>
      <c r="O485" s="283"/>
      <c r="P485" s="283"/>
      <c r="Q485" s="278"/>
      <c r="R485" s="278"/>
      <c r="S485" s="278"/>
      <c r="T485" s="278"/>
      <c r="U485" s="278"/>
      <c r="V485" s="278"/>
      <c r="W485" s="278"/>
      <c r="X485" s="278"/>
      <c r="Y485" s="278"/>
      <c r="Z485" s="278"/>
      <c r="AA485" s="278"/>
      <c r="AB485" s="278"/>
      <c r="AC485" s="278"/>
    </row>
    <row r="486" ht="15.75" customHeight="1">
      <c r="A486" s="290" t="str">
        <f>IFERROR(__xludf.DUMMYFUNCTION("""COMPUTED_VALUE"""),"ぶんか社")</f>
        <v>ぶんか社</v>
      </c>
      <c r="B486" s="291">
        <f>IFERROR(__xludf.DUMMYFUNCTION("""COMPUTED_VALUE"""),45618.0)</f>
        <v>45618</v>
      </c>
      <c r="C486" s="292"/>
      <c r="D486" s="293">
        <f>IFERROR(__xludf.DUMMYFUNCTION("""COMPUTED_VALUE"""),264142.0)</f>
        <v>264142</v>
      </c>
      <c r="E486" s="290" t="str">
        <f>IFERROR(__xludf.DUMMYFUNCTION("""COMPUTED_VALUE"""),"露出美少女淫楽堕ち")</f>
        <v>露出美少女淫楽堕ち</v>
      </c>
      <c r="F486" s="298" t="str">
        <f>IFERROR(__xludf.DUMMYFUNCTION("""COMPUTED_VALUE"""),"紫紀 / むらさき朱 / まひるの影郎 / 瀬名鈴子 / 孤島ビデヲ / もやしばーすと / ヤスミビト")</f>
        <v>紫紀 / むらさき朱 / まひるの影郎 / 瀬名鈴子 / 孤島ビデヲ / もやしばーすと / ヤスミビト</v>
      </c>
      <c r="G486" s="298" t="str">
        <f>IFERROR(__xludf.DUMMYFUNCTION("""COMPUTED_VALUE"""),"オトナコミック")</f>
        <v>オトナコミック</v>
      </c>
      <c r="H486" s="298" t="str">
        <f>IFERROR(__xludf.DUMMYFUNCTION("""COMPUTED_VALUE"""),"2024/11/25～）クレジットカードでの購入のみ停止")</f>
        <v>2024/11/25～）クレジットカードでの購入のみ停止</v>
      </c>
      <c r="I486" s="283"/>
      <c r="J486" s="283"/>
      <c r="K486" s="283"/>
      <c r="L486" s="283"/>
      <c r="M486" s="283"/>
      <c r="N486" s="283"/>
      <c r="O486" s="283"/>
      <c r="P486" s="283"/>
      <c r="Q486" s="278"/>
      <c r="R486" s="278"/>
      <c r="S486" s="278"/>
      <c r="T486" s="278"/>
      <c r="U486" s="278"/>
      <c r="V486" s="278"/>
      <c r="W486" s="278"/>
      <c r="X486" s="278"/>
      <c r="Y486" s="278"/>
      <c r="Z486" s="278"/>
      <c r="AA486" s="278"/>
      <c r="AB486" s="278"/>
      <c r="AC486" s="278"/>
    </row>
    <row r="487" ht="15.75" customHeight="1">
      <c r="A487" s="290" t="str">
        <f>IFERROR(__xludf.DUMMYFUNCTION("""COMPUTED_VALUE"""),"ぶんか社")</f>
        <v>ぶんか社</v>
      </c>
      <c r="B487" s="291">
        <f>IFERROR(__xludf.DUMMYFUNCTION("""COMPUTED_VALUE"""),45618.0)</f>
        <v>45618</v>
      </c>
      <c r="C487" s="292"/>
      <c r="D487" s="293">
        <f>IFERROR(__xludf.DUMMYFUNCTION("""COMPUTED_VALUE"""),266162.0)</f>
        <v>266162</v>
      </c>
      <c r="E487" s="290" t="str">
        <f>IFERROR(__xludf.DUMMYFUNCTION("""COMPUTED_VALUE"""),"触手生贄少女譚")</f>
        <v>触手生贄少女譚</v>
      </c>
      <c r="F487" s="298" t="str">
        <f>IFERROR(__xludf.DUMMYFUNCTION("""COMPUTED_VALUE"""),"ねこんた / カワイシュン / 瀬名鈴子 / 北かづき / 孤島ビデヲ / もやしばーすと / 秋")</f>
        <v>ねこんた / カワイシュン / 瀬名鈴子 / 北かづき / 孤島ビデヲ / もやしばーすと / 秋</v>
      </c>
      <c r="G487" s="298" t="str">
        <f>IFERROR(__xludf.DUMMYFUNCTION("""COMPUTED_VALUE"""),"オトナコミック")</f>
        <v>オトナコミック</v>
      </c>
      <c r="H487" s="298" t="str">
        <f>IFERROR(__xludf.DUMMYFUNCTION("""COMPUTED_VALUE"""),"2024/11/25～）クレジットカードでの購入のみ停止")</f>
        <v>2024/11/25～）クレジットカードでの購入のみ停止</v>
      </c>
      <c r="I487" s="283"/>
      <c r="J487" s="283"/>
      <c r="K487" s="283"/>
      <c r="L487" s="283"/>
      <c r="M487" s="283"/>
      <c r="N487" s="283"/>
      <c r="O487" s="283"/>
      <c r="P487" s="283"/>
      <c r="Q487" s="278"/>
      <c r="R487" s="278"/>
      <c r="S487" s="278"/>
      <c r="T487" s="278"/>
      <c r="U487" s="278"/>
      <c r="V487" s="278"/>
      <c r="W487" s="278"/>
      <c r="X487" s="278"/>
      <c r="Y487" s="278"/>
      <c r="Z487" s="278"/>
      <c r="AA487" s="278"/>
      <c r="AB487" s="278"/>
      <c r="AC487" s="278"/>
    </row>
    <row r="488" ht="15.75" customHeight="1">
      <c r="A488" s="290" t="str">
        <f>IFERROR(__xludf.DUMMYFUNCTION("""COMPUTED_VALUE"""),"ぶんか社")</f>
        <v>ぶんか社</v>
      </c>
      <c r="B488" s="291">
        <f>IFERROR(__xludf.DUMMYFUNCTION("""COMPUTED_VALUE"""),45618.0)</f>
        <v>45618</v>
      </c>
      <c r="C488" s="292"/>
      <c r="D488" s="293">
        <f>IFERROR(__xludf.DUMMYFUNCTION("""COMPUTED_VALUE"""),270063.0)</f>
        <v>270063</v>
      </c>
      <c r="E488" s="290" t="str">
        <f>IFERROR(__xludf.DUMMYFUNCTION("""COMPUTED_VALUE"""),"妊婦艶痴態")</f>
        <v>妊婦艶痴態</v>
      </c>
      <c r="F488" s="298" t="str">
        <f>IFERROR(__xludf.DUMMYFUNCTION("""COMPUTED_VALUE"""),"紫紀 / 瀬名鈴子 / 孤島ビデヲ / もやしばーすと / 秋")</f>
        <v>紫紀 / 瀬名鈴子 / 孤島ビデヲ / もやしばーすと / 秋</v>
      </c>
      <c r="G488" s="298" t="str">
        <f>IFERROR(__xludf.DUMMYFUNCTION("""COMPUTED_VALUE"""),"オトナコミック")</f>
        <v>オトナコミック</v>
      </c>
      <c r="H488" s="298" t="str">
        <f>IFERROR(__xludf.DUMMYFUNCTION("""COMPUTED_VALUE"""),"2024/11/25～）クレジットカードでの購入のみ停止")</f>
        <v>2024/11/25～）クレジットカードでの購入のみ停止</v>
      </c>
      <c r="I488" s="283"/>
      <c r="J488" s="283"/>
      <c r="K488" s="283"/>
      <c r="L488" s="283"/>
      <c r="M488" s="283"/>
      <c r="N488" s="283"/>
      <c r="O488" s="283"/>
      <c r="P488" s="283"/>
      <c r="Q488" s="278"/>
      <c r="R488" s="278"/>
      <c r="S488" s="278"/>
      <c r="T488" s="278"/>
      <c r="U488" s="278"/>
      <c r="V488" s="278"/>
      <c r="W488" s="278"/>
      <c r="X488" s="278"/>
      <c r="Y488" s="278"/>
      <c r="Z488" s="278"/>
      <c r="AA488" s="278"/>
      <c r="AB488" s="278"/>
      <c r="AC488" s="278"/>
    </row>
    <row r="489" ht="15.75" customHeight="1">
      <c r="A489" s="290" t="str">
        <f>IFERROR(__xludf.DUMMYFUNCTION("""COMPUTED_VALUE"""),"ぶんか社")</f>
        <v>ぶんか社</v>
      </c>
      <c r="B489" s="291">
        <f>IFERROR(__xludf.DUMMYFUNCTION("""COMPUTED_VALUE"""),45618.0)</f>
        <v>45618</v>
      </c>
      <c r="C489" s="292"/>
      <c r="D489" s="293">
        <f>IFERROR(__xludf.DUMMYFUNCTION("""COMPUTED_VALUE"""),273511.0)</f>
        <v>273511</v>
      </c>
      <c r="E489" s="290" t="str">
        <f>IFERROR(__xludf.DUMMYFUNCTION("""COMPUTED_VALUE"""),"モンスター凌辱調教")</f>
        <v>モンスター凌辱調教</v>
      </c>
      <c r="F489" s="298" t="str">
        <f>IFERROR(__xludf.DUMMYFUNCTION("""COMPUTED_VALUE"""),"紫紀 / 寄生虫 / ねこんた / ムラさん / 瀬名鈴子 / 孤島ビデヲ / もやしばーすと / 茶入敬文")</f>
        <v>紫紀 / 寄生虫 / ねこんた / ムラさん / 瀬名鈴子 / 孤島ビデヲ / もやしばーすと / 茶入敬文</v>
      </c>
      <c r="G489" s="298" t="str">
        <f>IFERROR(__xludf.DUMMYFUNCTION("""COMPUTED_VALUE"""),"オトナコミック")</f>
        <v>オトナコミック</v>
      </c>
      <c r="H489" s="298" t="str">
        <f>IFERROR(__xludf.DUMMYFUNCTION("""COMPUTED_VALUE"""),"2024/11/25～）クレジットカードでの購入のみ停止")</f>
        <v>2024/11/25～）クレジットカードでの購入のみ停止</v>
      </c>
      <c r="I489" s="283"/>
      <c r="J489" s="283"/>
      <c r="K489" s="283"/>
      <c r="L489" s="283"/>
      <c r="M489" s="283"/>
      <c r="N489" s="283"/>
      <c r="O489" s="283"/>
      <c r="P489" s="283"/>
      <c r="Q489" s="278"/>
      <c r="R489" s="278"/>
      <c r="S489" s="278"/>
      <c r="T489" s="278"/>
      <c r="U489" s="278"/>
      <c r="V489" s="278"/>
      <c r="W489" s="278"/>
      <c r="X489" s="278"/>
      <c r="Y489" s="278"/>
      <c r="Z489" s="278"/>
      <c r="AA489" s="278"/>
      <c r="AB489" s="278"/>
      <c r="AC489" s="278"/>
    </row>
    <row r="490" ht="15.75" customHeight="1">
      <c r="A490" s="290" t="str">
        <f>IFERROR(__xludf.DUMMYFUNCTION("""COMPUTED_VALUE"""),"マガジン・マガジン")</f>
        <v>マガジン・マガジン</v>
      </c>
      <c r="B490" s="291">
        <f>IFERROR(__xludf.DUMMYFUNCTION("""COMPUTED_VALUE"""),45618.0)</f>
        <v>45618</v>
      </c>
      <c r="C490" s="292"/>
      <c r="D490" s="293">
        <f>IFERROR(__xludf.DUMMYFUNCTION("""COMPUTED_VALUE"""),150712.0)</f>
        <v>150712</v>
      </c>
      <c r="E490" s="290" t="str">
        <f>IFERROR(__xludf.DUMMYFUNCTION("""COMPUTED_VALUE"""),"はっぴーえんど")</f>
        <v>はっぴーえんど</v>
      </c>
      <c r="F490" s="298" t="str">
        <f>IFERROR(__xludf.DUMMYFUNCTION("""COMPUTED_VALUE"""),"野田ゆうじ")</f>
        <v>野田ゆうじ</v>
      </c>
      <c r="G490" s="298" t="str">
        <f>IFERROR(__xludf.DUMMYFUNCTION("""COMPUTED_VALUE"""),"オトナコミック")</f>
        <v>オトナコミック</v>
      </c>
      <c r="H490" s="298" t="str">
        <f>IFERROR(__xludf.DUMMYFUNCTION("""COMPUTED_VALUE"""),"2024/11/25～）クレジットカードでの購入のみ停止")</f>
        <v>2024/11/25～）クレジットカードでの購入のみ停止</v>
      </c>
      <c r="I490" s="283"/>
      <c r="J490" s="283"/>
      <c r="K490" s="283"/>
      <c r="L490" s="283"/>
      <c r="M490" s="283"/>
      <c r="N490" s="283"/>
      <c r="O490" s="283"/>
      <c r="P490" s="283"/>
      <c r="Q490" s="278"/>
      <c r="R490" s="278"/>
      <c r="S490" s="278"/>
      <c r="T490" s="278"/>
      <c r="U490" s="278"/>
      <c r="V490" s="278"/>
      <c r="W490" s="278"/>
      <c r="X490" s="278"/>
      <c r="Y490" s="278"/>
      <c r="Z490" s="278"/>
      <c r="AA490" s="278"/>
      <c r="AB490" s="278"/>
      <c r="AC490" s="278"/>
    </row>
    <row r="491" ht="15.75" customHeight="1">
      <c r="A491" s="290" t="str">
        <f>IFERROR(__xludf.DUMMYFUNCTION("""COMPUTED_VALUE"""),"マガジン・マガジン")</f>
        <v>マガジン・マガジン</v>
      </c>
      <c r="B491" s="291">
        <f>IFERROR(__xludf.DUMMYFUNCTION("""COMPUTED_VALUE"""),45618.0)</f>
        <v>45618</v>
      </c>
      <c r="C491" s="292"/>
      <c r="D491" s="293">
        <f>IFERROR(__xludf.DUMMYFUNCTION("""COMPUTED_VALUE"""),150713.0)</f>
        <v>150713</v>
      </c>
      <c r="E491" s="290" t="str">
        <f>IFERROR(__xludf.DUMMYFUNCTION("""COMPUTED_VALUE"""),"LOST 恥悦の刻印")</f>
        <v>LOST 恥悦の刻印</v>
      </c>
      <c r="F491" s="298" t="str">
        <f>IFERROR(__xludf.DUMMYFUNCTION("""COMPUTED_VALUE"""),"錠男")</f>
        <v>錠男</v>
      </c>
      <c r="G491" s="298" t="str">
        <f>IFERROR(__xludf.DUMMYFUNCTION("""COMPUTED_VALUE"""),"オトナコミック")</f>
        <v>オトナコミック</v>
      </c>
      <c r="H491" s="298" t="str">
        <f>IFERROR(__xludf.DUMMYFUNCTION("""COMPUTED_VALUE"""),"2024/11/25～）クレジットカードでの購入のみ停止")</f>
        <v>2024/11/25～）クレジットカードでの購入のみ停止</v>
      </c>
      <c r="I491" s="283"/>
      <c r="J491" s="283"/>
      <c r="K491" s="283"/>
      <c r="L491" s="283"/>
      <c r="M491" s="283"/>
      <c r="N491" s="283"/>
      <c r="O491" s="283"/>
      <c r="P491" s="283"/>
      <c r="Q491" s="278"/>
      <c r="R491" s="278"/>
      <c r="S491" s="278"/>
      <c r="T491" s="278"/>
      <c r="U491" s="278"/>
      <c r="V491" s="278"/>
      <c r="W491" s="278"/>
      <c r="X491" s="278"/>
      <c r="Y491" s="278"/>
      <c r="Z491" s="278"/>
      <c r="AA491" s="278"/>
      <c r="AB491" s="278"/>
      <c r="AC491" s="278"/>
    </row>
    <row r="492" ht="15.75" customHeight="1">
      <c r="A492" s="290" t="str">
        <f>IFERROR(__xludf.DUMMYFUNCTION("""COMPUTED_VALUE"""),"マガジン・マガジン")</f>
        <v>マガジン・マガジン</v>
      </c>
      <c r="B492" s="291">
        <f>IFERROR(__xludf.DUMMYFUNCTION("""COMPUTED_VALUE"""),45618.0)</f>
        <v>45618</v>
      </c>
      <c r="C492" s="292"/>
      <c r="D492" s="293">
        <f>IFERROR(__xludf.DUMMYFUNCTION("""COMPUTED_VALUE"""),150718.0)</f>
        <v>150718</v>
      </c>
      <c r="E492" s="290" t="str">
        <f>IFERROR(__xludf.DUMMYFUNCTION("""COMPUTED_VALUE"""),"淫乳M母娘")</f>
        <v>淫乳M母娘</v>
      </c>
      <c r="F492" s="298" t="str">
        <f>IFERROR(__xludf.DUMMYFUNCTION("""COMPUTED_VALUE"""),"牧部かたる")</f>
        <v>牧部かたる</v>
      </c>
      <c r="G492" s="298" t="str">
        <f>IFERROR(__xludf.DUMMYFUNCTION("""COMPUTED_VALUE"""),"オトナコミック")</f>
        <v>オトナコミック</v>
      </c>
      <c r="H492" s="298" t="str">
        <f>IFERROR(__xludf.DUMMYFUNCTION("""COMPUTED_VALUE"""),"2024/11/25～）クレジットカードでの購入のみ停止")</f>
        <v>2024/11/25～）クレジットカードでの購入のみ停止</v>
      </c>
      <c r="I492" s="283"/>
      <c r="J492" s="283"/>
      <c r="K492" s="283"/>
      <c r="L492" s="283"/>
      <c r="M492" s="283"/>
      <c r="N492" s="283"/>
      <c r="O492" s="283"/>
      <c r="P492" s="283"/>
      <c r="Q492" s="278"/>
      <c r="R492" s="278"/>
      <c r="S492" s="278"/>
      <c r="T492" s="278"/>
      <c r="U492" s="278"/>
      <c r="V492" s="278"/>
      <c r="W492" s="278"/>
      <c r="X492" s="278"/>
      <c r="Y492" s="278"/>
      <c r="Z492" s="278"/>
      <c r="AA492" s="278"/>
      <c r="AB492" s="278"/>
      <c r="AC492" s="278"/>
    </row>
    <row r="493" ht="15.75" customHeight="1">
      <c r="A493" s="290" t="str">
        <f>IFERROR(__xludf.DUMMYFUNCTION("""COMPUTED_VALUE"""),"メディアックス")</f>
        <v>メディアックス</v>
      </c>
      <c r="B493" s="291">
        <f>IFERROR(__xludf.DUMMYFUNCTION("""COMPUTED_VALUE"""),45618.0)</f>
        <v>45618</v>
      </c>
      <c r="C493" s="292"/>
      <c r="D493" s="293">
        <f>IFERROR(__xludf.DUMMYFUNCTION("""COMPUTED_VALUE"""),58632.0)</f>
        <v>58632</v>
      </c>
      <c r="E493" s="290" t="str">
        <f>IFERROR(__xludf.DUMMYFUNCTION("""COMPUTED_VALUE"""),"DIRTY MY SISTER")</f>
        <v>DIRTY MY SISTER</v>
      </c>
      <c r="F493" s="298" t="str">
        <f>IFERROR(__xludf.DUMMYFUNCTION("""COMPUTED_VALUE"""),"鬼姫")</f>
        <v>鬼姫</v>
      </c>
      <c r="G493" s="298" t="str">
        <f>IFERROR(__xludf.DUMMYFUNCTION("""COMPUTED_VALUE"""),"オトナコミック")</f>
        <v>オトナコミック</v>
      </c>
      <c r="H493" s="298" t="str">
        <f>IFERROR(__xludf.DUMMYFUNCTION("""COMPUTED_VALUE"""),"2024/11/25～）クレジットカードでの購入のみ停止")</f>
        <v>2024/11/25～）クレジットカードでの購入のみ停止</v>
      </c>
      <c r="I493" s="283"/>
      <c r="J493" s="283"/>
      <c r="K493" s="283"/>
      <c r="L493" s="283"/>
      <c r="M493" s="283"/>
      <c r="N493" s="283"/>
      <c r="O493" s="283"/>
      <c r="P493" s="283"/>
      <c r="Q493" s="278"/>
      <c r="R493" s="278"/>
      <c r="S493" s="278"/>
      <c r="T493" s="278"/>
      <c r="U493" s="278"/>
      <c r="V493" s="278"/>
      <c r="W493" s="278"/>
      <c r="X493" s="278"/>
      <c r="Y493" s="278"/>
      <c r="Z493" s="278"/>
      <c r="AA493" s="278"/>
      <c r="AB493" s="278"/>
      <c r="AC493" s="278"/>
    </row>
    <row r="494" ht="15.75" customHeight="1">
      <c r="A494" s="290" t="str">
        <f>IFERROR(__xludf.DUMMYFUNCTION("""COMPUTED_VALUE"""),"メディアックス")</f>
        <v>メディアックス</v>
      </c>
      <c r="B494" s="291">
        <f>IFERROR(__xludf.DUMMYFUNCTION("""COMPUTED_VALUE"""),45618.0)</f>
        <v>45618</v>
      </c>
      <c r="C494" s="292"/>
      <c r="D494" s="293">
        <f>IFERROR(__xludf.DUMMYFUNCTION("""COMPUTED_VALUE"""),58633.0)</f>
        <v>58633</v>
      </c>
      <c r="E494" s="290" t="str">
        <f>IFERROR(__xludf.DUMMYFUNCTION("""COMPUTED_VALUE"""),"鬼畜パラダイス")</f>
        <v>鬼畜パラダイス</v>
      </c>
      <c r="F494" s="298" t="str">
        <f>IFERROR(__xludf.DUMMYFUNCTION("""COMPUTED_VALUE"""),"鬼姫")</f>
        <v>鬼姫</v>
      </c>
      <c r="G494" s="298" t="str">
        <f>IFERROR(__xludf.DUMMYFUNCTION("""COMPUTED_VALUE"""),"オトナコミック")</f>
        <v>オトナコミック</v>
      </c>
      <c r="H494" s="298" t="str">
        <f>IFERROR(__xludf.DUMMYFUNCTION("""COMPUTED_VALUE"""),"2024/11/25～）クレジットカードでの購入のみ停止")</f>
        <v>2024/11/25～）クレジットカードでの購入のみ停止</v>
      </c>
      <c r="I494" s="283"/>
      <c r="J494" s="283"/>
      <c r="K494" s="283"/>
      <c r="L494" s="283"/>
      <c r="M494" s="283"/>
      <c r="N494" s="283"/>
      <c r="O494" s="283"/>
      <c r="P494" s="283"/>
      <c r="Q494" s="278"/>
      <c r="R494" s="278"/>
      <c r="S494" s="278"/>
      <c r="T494" s="278"/>
      <c r="U494" s="278"/>
      <c r="V494" s="278"/>
      <c r="W494" s="278"/>
      <c r="X494" s="278"/>
      <c r="Y494" s="278"/>
      <c r="Z494" s="278"/>
      <c r="AA494" s="278"/>
      <c r="AB494" s="278"/>
      <c r="AC494" s="278"/>
    </row>
    <row r="495" ht="15.75" customHeight="1">
      <c r="A495" s="290" t="str">
        <f>IFERROR(__xludf.DUMMYFUNCTION("""COMPUTED_VALUE"""),"メディアックス")</f>
        <v>メディアックス</v>
      </c>
      <c r="B495" s="291">
        <f>IFERROR(__xludf.DUMMYFUNCTION("""COMPUTED_VALUE"""),45618.0)</f>
        <v>45618</v>
      </c>
      <c r="C495" s="292"/>
      <c r="D495" s="293">
        <f>IFERROR(__xludf.DUMMYFUNCTION("""COMPUTED_VALUE"""),250514.0)</f>
        <v>250514</v>
      </c>
      <c r="E495" s="290" t="str">
        <f>IFERROR(__xludf.DUMMYFUNCTION("""COMPUTED_VALUE"""),"肉の絆")</f>
        <v>肉の絆</v>
      </c>
      <c r="F495" s="298" t="str">
        <f>IFERROR(__xludf.DUMMYFUNCTION("""COMPUTED_VALUE"""),"鬼窪浩久")</f>
        <v>鬼窪浩久</v>
      </c>
      <c r="G495" s="298" t="str">
        <f>IFERROR(__xludf.DUMMYFUNCTION("""COMPUTED_VALUE"""),"オトナコミック")</f>
        <v>オトナコミック</v>
      </c>
      <c r="H495" s="298" t="str">
        <f>IFERROR(__xludf.DUMMYFUNCTION("""COMPUTED_VALUE"""),"2024/11/25～）クレジットカードでの購入のみ停止")</f>
        <v>2024/11/25～）クレジットカードでの購入のみ停止</v>
      </c>
      <c r="I495" s="283"/>
      <c r="J495" s="283"/>
      <c r="K495" s="283"/>
      <c r="L495" s="283"/>
      <c r="M495" s="283"/>
      <c r="N495" s="283"/>
      <c r="O495" s="283"/>
      <c r="P495" s="283"/>
      <c r="Q495" s="278"/>
      <c r="R495" s="278"/>
      <c r="S495" s="278"/>
      <c r="T495" s="278"/>
      <c r="U495" s="278"/>
      <c r="V495" s="278"/>
      <c r="W495" s="278"/>
      <c r="X495" s="278"/>
      <c r="Y495" s="278"/>
      <c r="Z495" s="278"/>
      <c r="AA495" s="278"/>
      <c r="AB495" s="278"/>
      <c r="AC495" s="278"/>
    </row>
    <row r="496" ht="15.75" customHeight="1">
      <c r="A496" s="290" t="str">
        <f>IFERROR(__xludf.DUMMYFUNCTION("""COMPUTED_VALUE"""),"メディアックス")</f>
        <v>メディアックス</v>
      </c>
      <c r="B496" s="291">
        <f>IFERROR(__xludf.DUMMYFUNCTION("""COMPUTED_VALUE"""),45618.0)</f>
        <v>45618</v>
      </c>
      <c r="C496" s="292"/>
      <c r="D496" s="293">
        <f>IFERROR(__xludf.DUMMYFUNCTION("""COMPUTED_VALUE"""),251479.0)</f>
        <v>251479</v>
      </c>
      <c r="E496" s="290" t="str">
        <f>IFERROR(__xludf.DUMMYFUNCTION("""COMPUTED_VALUE"""),"人妻地獄・江里子")</f>
        <v>人妻地獄・江里子</v>
      </c>
      <c r="F496" s="298" t="str">
        <f>IFERROR(__xludf.DUMMYFUNCTION("""COMPUTED_VALUE"""),"まいなぁぼぉい")</f>
        <v>まいなぁぼぉい</v>
      </c>
      <c r="G496" s="298" t="str">
        <f>IFERROR(__xludf.DUMMYFUNCTION("""COMPUTED_VALUE"""),"オトナコミック")</f>
        <v>オトナコミック</v>
      </c>
      <c r="H496" s="298" t="str">
        <f>IFERROR(__xludf.DUMMYFUNCTION("""COMPUTED_VALUE"""),"2024/11/25～）クレジットカードでの購入のみ停止")</f>
        <v>2024/11/25～）クレジットカードでの購入のみ停止</v>
      </c>
      <c r="I496" s="283"/>
      <c r="J496" s="283"/>
      <c r="K496" s="283"/>
      <c r="L496" s="283"/>
      <c r="M496" s="283"/>
      <c r="N496" s="283"/>
      <c r="O496" s="283"/>
      <c r="P496" s="283"/>
      <c r="Q496" s="278"/>
      <c r="R496" s="278"/>
      <c r="S496" s="278"/>
      <c r="T496" s="278"/>
      <c r="U496" s="278"/>
      <c r="V496" s="278"/>
      <c r="W496" s="278"/>
      <c r="X496" s="278"/>
      <c r="Y496" s="278"/>
      <c r="Z496" s="278"/>
      <c r="AA496" s="278"/>
      <c r="AB496" s="278"/>
      <c r="AC496" s="278"/>
    </row>
    <row r="497" ht="15.75" customHeight="1">
      <c r="A497" s="290" t="str">
        <f>IFERROR(__xludf.DUMMYFUNCTION("""COMPUTED_VALUE"""),"メディアックス")</f>
        <v>メディアックス</v>
      </c>
      <c r="B497" s="291">
        <f>IFERROR(__xludf.DUMMYFUNCTION("""COMPUTED_VALUE"""),45618.0)</f>
        <v>45618</v>
      </c>
      <c r="C497" s="292"/>
      <c r="D497" s="293">
        <f>IFERROR(__xludf.DUMMYFUNCTION("""COMPUTED_VALUE"""),252453.0)</f>
        <v>252453</v>
      </c>
      <c r="E497" s="290" t="str">
        <f>IFERROR(__xludf.DUMMYFUNCTION("""COMPUTED_VALUE"""),"こんな所で子宮服従するなんて…")</f>
        <v>こんな所で子宮服従するなんて…</v>
      </c>
      <c r="F497" s="298" t="str">
        <f>IFERROR(__xludf.DUMMYFUNCTION("""COMPUTED_VALUE"""),"五割引中")</f>
        <v>五割引中</v>
      </c>
      <c r="G497" s="298" t="str">
        <f>IFERROR(__xludf.DUMMYFUNCTION("""COMPUTED_VALUE"""),"オトナコミック")</f>
        <v>オトナコミック</v>
      </c>
      <c r="H497" s="298" t="str">
        <f>IFERROR(__xludf.DUMMYFUNCTION("""COMPUTED_VALUE"""),"2024/11/25～）クレジットカードでの購入のみ停止")</f>
        <v>2024/11/25～）クレジットカードでの購入のみ停止</v>
      </c>
      <c r="I497" s="283"/>
      <c r="J497" s="283"/>
      <c r="K497" s="283"/>
      <c r="L497" s="283"/>
      <c r="M497" s="283"/>
      <c r="N497" s="283"/>
      <c r="O497" s="283"/>
      <c r="P497" s="283"/>
      <c r="Q497" s="278"/>
      <c r="R497" s="278"/>
      <c r="S497" s="278"/>
      <c r="T497" s="278"/>
      <c r="U497" s="278"/>
      <c r="V497" s="278"/>
      <c r="W497" s="278"/>
      <c r="X497" s="278"/>
      <c r="Y497" s="278"/>
      <c r="Z497" s="278"/>
      <c r="AA497" s="278"/>
      <c r="AB497" s="278"/>
      <c r="AC497" s="278"/>
    </row>
    <row r="498" ht="15.75" customHeight="1">
      <c r="A498" s="290" t="str">
        <f>IFERROR(__xludf.DUMMYFUNCTION("""COMPUTED_VALUE"""),"メディアックス")</f>
        <v>メディアックス</v>
      </c>
      <c r="B498" s="291">
        <f>IFERROR(__xludf.DUMMYFUNCTION("""COMPUTED_VALUE"""),45618.0)</f>
        <v>45618</v>
      </c>
      <c r="C498" s="292"/>
      <c r="D498" s="293">
        <f>IFERROR(__xludf.DUMMYFUNCTION("""COMPUTED_VALUE"""),292332.0)</f>
        <v>292332</v>
      </c>
      <c r="E498" s="290" t="str">
        <f>IFERROR(__xludf.DUMMYFUNCTION("""COMPUTED_VALUE"""),"奴隷女教師・景子 分冊版")</f>
        <v>奴隷女教師・景子 分冊版</v>
      </c>
      <c r="F498" s="298" t="str">
        <f>IFERROR(__xludf.DUMMYFUNCTION("""COMPUTED_VALUE"""),"まいなぁぼぉい")</f>
        <v>まいなぁぼぉい</v>
      </c>
      <c r="G498" s="298" t="str">
        <f>IFERROR(__xludf.DUMMYFUNCTION("""COMPUTED_VALUE"""),"オトナコミック")</f>
        <v>オトナコミック</v>
      </c>
      <c r="H498" s="298" t="str">
        <f>IFERROR(__xludf.DUMMYFUNCTION("""COMPUTED_VALUE"""),"2024/11/25～）クレジットカードでの購入のみ停止")</f>
        <v>2024/11/25～）クレジットカードでの購入のみ停止</v>
      </c>
      <c r="I498" s="283"/>
      <c r="J498" s="283"/>
      <c r="K498" s="283"/>
      <c r="L498" s="283"/>
      <c r="M498" s="283"/>
      <c r="N498" s="283"/>
      <c r="O498" s="283"/>
      <c r="P498" s="283"/>
      <c r="Q498" s="278"/>
      <c r="R498" s="278"/>
      <c r="S498" s="278"/>
      <c r="T498" s="278"/>
      <c r="U498" s="278"/>
      <c r="V498" s="278"/>
      <c r="W498" s="278"/>
      <c r="X498" s="278"/>
      <c r="Y498" s="278"/>
      <c r="Z498" s="278"/>
      <c r="AA498" s="278"/>
      <c r="AB498" s="278"/>
      <c r="AC498" s="278"/>
    </row>
    <row r="499" ht="15.75" customHeight="1">
      <c r="A499" s="290" t="str">
        <f>IFERROR(__xludf.DUMMYFUNCTION("""COMPUTED_VALUE"""),"モバイルメディアリサーチ")</f>
        <v>モバイルメディアリサーチ</v>
      </c>
      <c r="B499" s="291">
        <f>IFERROR(__xludf.DUMMYFUNCTION("""COMPUTED_VALUE"""),45618.0)</f>
        <v>45618</v>
      </c>
      <c r="C499" s="292"/>
      <c r="D499" s="293">
        <f>IFERROR(__xludf.DUMMYFUNCTION("""COMPUTED_VALUE"""),62607.0)</f>
        <v>62607</v>
      </c>
      <c r="E499" s="290" t="str">
        <f>IFERROR(__xludf.DUMMYFUNCTION("""COMPUTED_VALUE"""),"陵辱･裏写真部～キモオタの逆襲～(フルカラー)")</f>
        <v>陵辱･裏写真部～キモオタの逆襲～(フルカラー)</v>
      </c>
      <c r="F499" s="298" t="str">
        <f>IFERROR(__xludf.DUMMYFUNCTION("""COMPUTED_VALUE"""),"ころすけ")</f>
        <v>ころすけ</v>
      </c>
      <c r="G499" s="298" t="str">
        <f>IFERROR(__xludf.DUMMYFUNCTION("""COMPUTED_VALUE"""),"オトナコミック")</f>
        <v>オトナコミック</v>
      </c>
      <c r="H499" s="298" t="str">
        <f>IFERROR(__xludf.DUMMYFUNCTION("""COMPUTED_VALUE"""),"2024/11/25～）クレジットカードでの購入のみ停止")</f>
        <v>2024/11/25～）クレジットカードでの購入のみ停止</v>
      </c>
      <c r="I499" s="283"/>
      <c r="J499" s="283"/>
      <c r="K499" s="283"/>
      <c r="L499" s="283"/>
      <c r="M499" s="283"/>
      <c r="N499" s="283"/>
      <c r="O499" s="283"/>
      <c r="P499" s="283"/>
      <c r="Q499" s="278"/>
      <c r="R499" s="278"/>
      <c r="S499" s="278"/>
      <c r="T499" s="278"/>
      <c r="U499" s="278"/>
      <c r="V499" s="278"/>
      <c r="W499" s="278"/>
      <c r="X499" s="278"/>
      <c r="Y499" s="278"/>
      <c r="Z499" s="278"/>
      <c r="AA499" s="278"/>
      <c r="AB499" s="278"/>
      <c r="AC499" s="278"/>
    </row>
    <row r="500" ht="15.75" customHeight="1">
      <c r="A500" s="290" t="str">
        <f>IFERROR(__xludf.DUMMYFUNCTION("""COMPUTED_VALUE"""),"モバイルメディアリサーチ")</f>
        <v>モバイルメディアリサーチ</v>
      </c>
      <c r="B500" s="291">
        <f>IFERROR(__xludf.DUMMYFUNCTION("""COMPUTED_VALUE"""),45618.0)</f>
        <v>45618</v>
      </c>
      <c r="C500" s="292"/>
      <c r="D500" s="293">
        <f>IFERROR(__xludf.DUMMYFUNCTION("""COMPUTED_VALUE"""),78228.0)</f>
        <v>78228</v>
      </c>
      <c r="E500" s="290" t="str">
        <f>IFERROR(__xludf.DUMMYFUNCTION("""COMPUTED_VALUE"""),"先生やめてっ!!～体育館裏でナマ出し指導")</f>
        <v>先生やめてっ!!～体育館裏でナマ出し指導</v>
      </c>
      <c r="F500" s="298" t="str">
        <f>IFERROR(__xludf.DUMMYFUNCTION("""COMPUTED_VALUE"""),"天乃紅葉")</f>
        <v>天乃紅葉</v>
      </c>
      <c r="G500" s="298" t="str">
        <f>IFERROR(__xludf.DUMMYFUNCTION("""COMPUTED_VALUE"""),"オトナコミック")</f>
        <v>オトナコミック</v>
      </c>
      <c r="H500" s="298" t="str">
        <f>IFERROR(__xludf.DUMMYFUNCTION("""COMPUTED_VALUE"""),"2024/11/25～）クレジットカードでの購入のみ停止")</f>
        <v>2024/11/25～）クレジットカードでの購入のみ停止</v>
      </c>
      <c r="I500" s="283"/>
      <c r="J500" s="283"/>
      <c r="K500" s="283"/>
      <c r="L500" s="283"/>
      <c r="M500" s="283"/>
      <c r="N500" s="283"/>
      <c r="O500" s="283"/>
      <c r="P500" s="283"/>
      <c r="Q500" s="278"/>
      <c r="R500" s="278"/>
      <c r="S500" s="278"/>
      <c r="T500" s="278"/>
      <c r="U500" s="278"/>
      <c r="V500" s="278"/>
      <c r="W500" s="278"/>
      <c r="X500" s="278"/>
      <c r="Y500" s="278"/>
      <c r="Z500" s="278"/>
      <c r="AA500" s="278"/>
      <c r="AB500" s="278"/>
      <c r="AC500" s="278"/>
    </row>
    <row r="501" ht="15.75" customHeight="1">
      <c r="A501" s="290" t="str">
        <f>IFERROR(__xludf.DUMMYFUNCTION("""COMPUTED_VALUE"""),"ユサブル")</f>
        <v>ユサブル</v>
      </c>
      <c r="B501" s="291">
        <f>IFERROR(__xludf.DUMMYFUNCTION("""COMPUTED_VALUE"""),45618.0)</f>
        <v>45618</v>
      </c>
      <c r="C501" s="292"/>
      <c r="D501" s="293">
        <f>IFERROR(__xludf.DUMMYFUNCTION("""COMPUTED_VALUE"""),229120.0)</f>
        <v>229120</v>
      </c>
      <c r="E501" s="290" t="str">
        <f>IFERROR(__xludf.DUMMYFUNCTION("""COMPUTED_VALUE"""),"女教師凌辱!～二匹の若き獣に犯されて～蜜愛恋獄コレクション")</f>
        <v>女教師凌辱!～二匹の若き獣に犯されて～蜜愛恋獄コレクション</v>
      </c>
      <c r="F501" s="298" t="str">
        <f>IFERROR(__xludf.DUMMYFUNCTION("""COMPUTED_VALUE"""),"たかみしほ")</f>
        <v>たかみしほ</v>
      </c>
      <c r="G501" s="298" t="str">
        <f>IFERROR(__xludf.DUMMYFUNCTION("""COMPUTED_VALUE"""),"オトナコミック")</f>
        <v>オトナコミック</v>
      </c>
      <c r="H501" s="298" t="str">
        <f>IFERROR(__xludf.DUMMYFUNCTION("""COMPUTED_VALUE"""),"2024/11/25～）クレジットカードでの購入のみ停止")</f>
        <v>2024/11/25～）クレジットカードでの購入のみ停止</v>
      </c>
      <c r="I501" s="283"/>
      <c r="J501" s="283"/>
      <c r="K501" s="283"/>
      <c r="L501" s="283"/>
      <c r="M501" s="283"/>
      <c r="N501" s="283"/>
      <c r="O501" s="283"/>
      <c r="P501" s="283"/>
      <c r="Q501" s="278"/>
      <c r="R501" s="278"/>
      <c r="S501" s="278"/>
      <c r="T501" s="278"/>
      <c r="U501" s="278"/>
      <c r="V501" s="278"/>
      <c r="W501" s="278"/>
      <c r="X501" s="278"/>
      <c r="Y501" s="278"/>
      <c r="Z501" s="278"/>
      <c r="AA501" s="278"/>
      <c r="AB501" s="278"/>
      <c r="AC501" s="278"/>
    </row>
    <row r="502" ht="15.75" customHeight="1">
      <c r="A502" s="290" t="str">
        <f>IFERROR(__xludf.DUMMYFUNCTION("""COMPUTED_VALUE"""),"ユサブル")</f>
        <v>ユサブル</v>
      </c>
      <c r="B502" s="291">
        <f>IFERROR(__xludf.DUMMYFUNCTION("""COMPUTED_VALUE"""),45618.0)</f>
        <v>45618</v>
      </c>
      <c r="C502" s="292"/>
      <c r="D502" s="293">
        <f>IFERROR(__xludf.DUMMYFUNCTION("""COMPUTED_VALUE"""),242706.0)</f>
        <v>242706</v>
      </c>
      <c r="E502" s="290" t="str">
        <f>IFERROR(__xludf.DUMMYFUNCTION("""COMPUTED_VALUE"""),"集団!兄妹!～禁断のカイカン満ちるアンビリーバボ―官能劇場～蜜愛恋獄コレクション")</f>
        <v>集団!兄妹!～禁断のカイカン満ちるアンビリーバボ―官能劇場～蜜愛恋獄コレクション</v>
      </c>
      <c r="F502" s="298" t="str">
        <f>IFERROR(__xludf.DUMMYFUNCTION("""COMPUTED_VALUE"""),"たかみしほ")</f>
        <v>たかみしほ</v>
      </c>
      <c r="G502" s="298" t="str">
        <f>IFERROR(__xludf.DUMMYFUNCTION("""COMPUTED_VALUE"""),"オトナコミック")</f>
        <v>オトナコミック</v>
      </c>
      <c r="H502" s="298" t="str">
        <f>IFERROR(__xludf.DUMMYFUNCTION("""COMPUTED_VALUE"""),"2024/11/25～）クレジットカードでの購入のみ停止")</f>
        <v>2024/11/25～）クレジットカードでの購入のみ停止</v>
      </c>
      <c r="I502" s="283"/>
      <c r="J502" s="283"/>
      <c r="K502" s="283"/>
      <c r="L502" s="283"/>
      <c r="M502" s="283"/>
      <c r="N502" s="283"/>
      <c r="O502" s="283"/>
      <c r="P502" s="283"/>
      <c r="Q502" s="278"/>
      <c r="R502" s="278"/>
      <c r="S502" s="278"/>
      <c r="T502" s="278"/>
      <c r="U502" s="278"/>
      <c r="V502" s="278"/>
      <c r="W502" s="278"/>
      <c r="X502" s="278"/>
      <c r="Y502" s="278"/>
      <c r="Z502" s="278"/>
      <c r="AA502" s="278"/>
      <c r="AB502" s="278"/>
      <c r="AC502" s="278"/>
    </row>
    <row r="503" ht="15.75" customHeight="1">
      <c r="A503" s="290" t="str">
        <f>IFERROR(__xludf.DUMMYFUNCTION("""COMPUTED_VALUE"""),"ユサブル")</f>
        <v>ユサブル</v>
      </c>
      <c r="B503" s="291">
        <f>IFERROR(__xludf.DUMMYFUNCTION("""COMPUTED_VALUE"""),45618.0)</f>
        <v>45618</v>
      </c>
      <c r="C503" s="292"/>
      <c r="D503" s="293">
        <f>IFERROR(__xludf.DUMMYFUNCTION("""COMPUTED_VALUE"""),242727.0)</f>
        <v>242727</v>
      </c>
      <c r="E503" s="290" t="str">
        <f>IFERROR(__xludf.DUMMYFUNCTION("""COMPUTED_VALUE"""),"女教師、淫らなるめざめ～逆ギレ凌辱の果てに～蜜愛恋獄コレクション")</f>
        <v>女教師、淫らなるめざめ～逆ギレ凌辱の果てに～蜜愛恋獄コレクション</v>
      </c>
      <c r="F503" s="298" t="str">
        <f>IFERROR(__xludf.DUMMYFUNCTION("""COMPUTED_VALUE"""),"葉月つや子")</f>
        <v>葉月つや子</v>
      </c>
      <c r="G503" s="298" t="str">
        <f>IFERROR(__xludf.DUMMYFUNCTION("""COMPUTED_VALUE"""),"オトナコミック")</f>
        <v>オトナコミック</v>
      </c>
      <c r="H503" s="298" t="str">
        <f>IFERROR(__xludf.DUMMYFUNCTION("""COMPUTED_VALUE"""),"2024/11/25～）クレジットカードでの購入のみ停止")</f>
        <v>2024/11/25～）クレジットカードでの購入のみ停止</v>
      </c>
      <c r="I503" s="283"/>
      <c r="J503" s="283"/>
      <c r="K503" s="283"/>
      <c r="L503" s="283"/>
      <c r="M503" s="283"/>
      <c r="N503" s="283"/>
      <c r="O503" s="283"/>
      <c r="P503" s="283"/>
      <c r="Q503" s="278"/>
      <c r="R503" s="278"/>
      <c r="S503" s="278"/>
      <c r="T503" s="278"/>
      <c r="U503" s="278"/>
      <c r="V503" s="278"/>
      <c r="W503" s="278"/>
      <c r="X503" s="278"/>
      <c r="Y503" s="278"/>
      <c r="Z503" s="278"/>
      <c r="AA503" s="278"/>
      <c r="AB503" s="278"/>
      <c r="AC503" s="278"/>
    </row>
    <row r="504" ht="15.75" customHeight="1">
      <c r="A504" s="290" t="str">
        <f>IFERROR(__xludf.DUMMYFUNCTION("""COMPUTED_VALUE"""),"ライトリーズン")</f>
        <v>ライトリーズン</v>
      </c>
      <c r="B504" s="291">
        <f>IFERROR(__xludf.DUMMYFUNCTION("""COMPUTED_VALUE"""),45618.0)</f>
        <v>45618</v>
      </c>
      <c r="C504" s="292"/>
      <c r="D504" s="293">
        <f>IFERROR(__xludf.DUMMYFUNCTION("""COMPUTED_VALUE"""),296442.0)</f>
        <v>296442</v>
      </c>
      <c r="E504" s="290" t="str">
        <f>IFERROR(__xludf.DUMMYFUNCTION("""COMPUTED_VALUE"""),"サマー・タイム ホームステイに来たデカチン留学生に開発された処女")</f>
        <v>サマー・タイム ホームステイに来たデカチン留学生に開発された処女</v>
      </c>
      <c r="F504" s="298" t="str">
        <f>IFERROR(__xludf.DUMMYFUNCTION("""COMPUTED_VALUE"""),"diletta / nama")</f>
        <v>diletta / nama</v>
      </c>
      <c r="G504" s="298" t="str">
        <f>IFERROR(__xludf.DUMMYFUNCTION("""COMPUTED_VALUE"""),"オトナコミック")</f>
        <v>オトナコミック</v>
      </c>
      <c r="H504" s="298" t="str">
        <f>IFERROR(__xludf.DUMMYFUNCTION("""COMPUTED_VALUE"""),"2024/11/25～）クレジットカードでの購入のみ停止")</f>
        <v>2024/11/25～）クレジットカードでの購入のみ停止</v>
      </c>
      <c r="I504" s="283"/>
      <c r="J504" s="283"/>
      <c r="K504" s="283"/>
      <c r="L504" s="283"/>
      <c r="M504" s="283"/>
      <c r="N504" s="283"/>
      <c r="O504" s="283"/>
      <c r="P504" s="283"/>
      <c r="Q504" s="278"/>
      <c r="R504" s="278"/>
      <c r="S504" s="278"/>
      <c r="T504" s="278"/>
      <c r="U504" s="278"/>
      <c r="V504" s="278"/>
      <c r="W504" s="278"/>
      <c r="X504" s="278"/>
      <c r="Y504" s="278"/>
      <c r="Z504" s="278"/>
      <c r="AA504" s="278"/>
      <c r="AB504" s="278"/>
      <c r="AC504" s="278"/>
    </row>
    <row r="505" ht="15.75" customHeight="1">
      <c r="A505" s="290" t="str">
        <f>IFERROR(__xludf.DUMMYFUNCTION("""COMPUTED_VALUE"""),"ワニデジタル")</f>
        <v>ワニデジタル</v>
      </c>
      <c r="B505" s="291">
        <f>IFERROR(__xludf.DUMMYFUNCTION("""COMPUTED_VALUE"""),45618.0)</f>
        <v>45618</v>
      </c>
      <c r="C505" s="292"/>
      <c r="D505" s="293">
        <f>IFERROR(__xludf.DUMMYFUNCTION("""COMPUTED_VALUE"""),144528.0)</f>
        <v>144528</v>
      </c>
      <c r="E505" s="290" t="str">
        <f>IFERROR(__xludf.DUMMYFUNCTION("""COMPUTED_VALUE"""),"人生墜落ドキュメント ヤク漬け売春お嬢様")</f>
        <v>人生墜落ドキュメント ヤク漬け売春お嬢様</v>
      </c>
      <c r="F505" s="298" t="str">
        <f>IFERROR(__xludf.DUMMYFUNCTION("""COMPUTED_VALUE"""),"ワニデジタル")</f>
        <v>ワニデジタル</v>
      </c>
      <c r="G505" s="298" t="str">
        <f>IFERROR(__xludf.DUMMYFUNCTION("""COMPUTED_VALUE"""),"オトナコミック")</f>
        <v>オトナコミック</v>
      </c>
      <c r="H505" s="298" t="str">
        <f>IFERROR(__xludf.DUMMYFUNCTION("""COMPUTED_VALUE"""),"2024/11/25～）クレジットカードでの購入のみ停止")</f>
        <v>2024/11/25～）クレジットカードでの購入のみ停止</v>
      </c>
      <c r="I505" s="283"/>
      <c r="J505" s="283"/>
      <c r="K505" s="283"/>
      <c r="L505" s="283"/>
      <c r="M505" s="283"/>
      <c r="N505" s="283"/>
      <c r="O505" s="283"/>
      <c r="P505" s="283"/>
      <c r="Q505" s="278"/>
      <c r="R505" s="278"/>
      <c r="S505" s="278"/>
      <c r="T505" s="278"/>
      <c r="U505" s="278"/>
      <c r="V505" s="278"/>
      <c r="W505" s="278"/>
      <c r="X505" s="278"/>
      <c r="Y505" s="278"/>
      <c r="Z505" s="278"/>
      <c r="AA505" s="278"/>
      <c r="AB505" s="278"/>
      <c r="AC505" s="278"/>
    </row>
    <row r="506" ht="15.75" customHeight="1">
      <c r="A506" s="290" t="str">
        <f>IFERROR(__xludf.DUMMYFUNCTION("""COMPUTED_VALUE"""),"ワニデジタル")</f>
        <v>ワニデジタル</v>
      </c>
      <c r="B506" s="291">
        <f>IFERROR(__xludf.DUMMYFUNCTION("""COMPUTED_VALUE"""),45618.0)</f>
        <v>45618</v>
      </c>
      <c r="C506" s="292"/>
      <c r="D506" s="293">
        <f>IFERROR(__xludf.DUMMYFUNCTION("""COMPUTED_VALUE"""),144529.0)</f>
        <v>144529</v>
      </c>
      <c r="E506" s="290" t="str">
        <f>IFERROR(__xludf.DUMMYFUNCTION("""COMPUTED_VALUE"""),"埼京線完全終了 まさかの痴漢待ち！？爆パイJK")</f>
        <v>埼京線完全終了 まさかの痴漢待ち！？爆パイJK</v>
      </c>
      <c r="F506" s="298" t="str">
        <f>IFERROR(__xludf.DUMMYFUNCTION("""COMPUTED_VALUE"""),"ワニデジタル")</f>
        <v>ワニデジタル</v>
      </c>
      <c r="G506" s="298" t="str">
        <f>IFERROR(__xludf.DUMMYFUNCTION("""COMPUTED_VALUE"""),"オトナコミック")</f>
        <v>オトナコミック</v>
      </c>
      <c r="H506" s="298" t="str">
        <f>IFERROR(__xludf.DUMMYFUNCTION("""COMPUTED_VALUE"""),"2024/11/25～）クレジットカードでの購入のみ停止")</f>
        <v>2024/11/25～）クレジットカードでの購入のみ停止</v>
      </c>
      <c r="I506" s="283"/>
      <c r="J506" s="283"/>
      <c r="K506" s="283"/>
      <c r="L506" s="283"/>
      <c r="M506" s="283"/>
      <c r="N506" s="283"/>
      <c r="O506" s="283"/>
      <c r="P506" s="283"/>
      <c r="Q506" s="278"/>
      <c r="R506" s="278"/>
      <c r="S506" s="278"/>
      <c r="T506" s="278"/>
      <c r="U506" s="278"/>
      <c r="V506" s="278"/>
      <c r="W506" s="278"/>
      <c r="X506" s="278"/>
      <c r="Y506" s="278"/>
      <c r="Z506" s="278"/>
      <c r="AA506" s="278"/>
      <c r="AB506" s="278"/>
      <c r="AC506" s="278"/>
    </row>
    <row r="507" ht="15.75" customHeight="1">
      <c r="A507" s="290" t="str">
        <f>IFERROR(__xludf.DUMMYFUNCTION("""COMPUTED_VALUE"""),"ワニデジタル")</f>
        <v>ワニデジタル</v>
      </c>
      <c r="B507" s="291">
        <f>IFERROR(__xludf.DUMMYFUNCTION("""COMPUTED_VALUE"""),45618.0)</f>
        <v>45618</v>
      </c>
      <c r="C507" s="292"/>
      <c r="D507" s="293">
        <f>IFERROR(__xludf.DUMMYFUNCTION("""COMPUTED_VALUE"""),144530.0)</f>
        <v>144530</v>
      </c>
      <c r="E507" s="290" t="str">
        <f>IFERROR(__xludf.DUMMYFUNCTION("""COMPUTED_VALUE"""),"敷金礼金無し！連続失神発狂アクメアパート")</f>
        <v>敷金礼金無し！連続失神発狂アクメアパート</v>
      </c>
      <c r="F507" s="298" t="str">
        <f>IFERROR(__xludf.DUMMYFUNCTION("""COMPUTED_VALUE"""),"ワニデジタル")</f>
        <v>ワニデジタル</v>
      </c>
      <c r="G507" s="298" t="str">
        <f>IFERROR(__xludf.DUMMYFUNCTION("""COMPUTED_VALUE"""),"オトナコミック")</f>
        <v>オトナコミック</v>
      </c>
      <c r="H507" s="298" t="str">
        <f>IFERROR(__xludf.DUMMYFUNCTION("""COMPUTED_VALUE"""),"2024/11/25～）クレジットカードでの購入のみ停止")</f>
        <v>2024/11/25～）クレジットカードでの購入のみ停止</v>
      </c>
      <c r="I507" s="283"/>
      <c r="J507" s="283"/>
      <c r="K507" s="283"/>
      <c r="L507" s="283"/>
      <c r="M507" s="283"/>
      <c r="N507" s="283"/>
      <c r="O507" s="283"/>
      <c r="P507" s="283"/>
      <c r="Q507" s="278"/>
      <c r="R507" s="278"/>
      <c r="S507" s="278"/>
      <c r="T507" s="278"/>
      <c r="U507" s="278"/>
      <c r="V507" s="278"/>
      <c r="W507" s="278"/>
      <c r="X507" s="278"/>
      <c r="Y507" s="278"/>
      <c r="Z507" s="278"/>
      <c r="AA507" s="278"/>
      <c r="AB507" s="278"/>
      <c r="AC507" s="278"/>
    </row>
    <row r="508" ht="15.75" customHeight="1">
      <c r="A508" s="290" t="str">
        <f>IFERROR(__xludf.DUMMYFUNCTION("""COMPUTED_VALUE"""),"ワニデジタル")</f>
        <v>ワニデジタル</v>
      </c>
      <c r="B508" s="291">
        <f>IFERROR(__xludf.DUMMYFUNCTION("""COMPUTED_VALUE"""),45618.0)</f>
        <v>45618</v>
      </c>
      <c r="C508" s="292"/>
      <c r="D508" s="293">
        <f>IFERROR(__xludf.DUMMYFUNCTION("""COMPUTED_VALUE"""),144539.0)</f>
        <v>144539</v>
      </c>
      <c r="E508" s="290" t="str">
        <f>IFERROR(__xludf.DUMMYFUNCTION("""COMPUTED_VALUE"""),"ハメ得★おりこうJKペット綾音＆優菜 ～学校で性春！～")</f>
        <v>ハメ得★おりこうJKペット綾音＆優菜 ～学校で性春！～</v>
      </c>
      <c r="F508" s="298" t="str">
        <f>IFERROR(__xludf.DUMMYFUNCTION("""COMPUTED_VALUE"""),"ワニデジタル")</f>
        <v>ワニデジタル</v>
      </c>
      <c r="G508" s="298" t="str">
        <f>IFERROR(__xludf.DUMMYFUNCTION("""COMPUTED_VALUE"""),"オトナコミック")</f>
        <v>オトナコミック</v>
      </c>
      <c r="H508" s="298" t="str">
        <f>IFERROR(__xludf.DUMMYFUNCTION("""COMPUTED_VALUE"""),"2024/11/25～）クレジットカードでの購入のみ停止")</f>
        <v>2024/11/25～）クレジットカードでの購入のみ停止</v>
      </c>
      <c r="I508" s="283"/>
      <c r="J508" s="283"/>
      <c r="K508" s="283"/>
      <c r="L508" s="283"/>
      <c r="M508" s="283"/>
      <c r="N508" s="283"/>
      <c r="O508" s="283"/>
      <c r="P508" s="283"/>
      <c r="Q508" s="278"/>
      <c r="R508" s="278"/>
      <c r="S508" s="278"/>
      <c r="T508" s="278"/>
      <c r="U508" s="278"/>
      <c r="V508" s="278"/>
      <c r="W508" s="278"/>
      <c r="X508" s="278"/>
      <c r="Y508" s="278"/>
      <c r="Z508" s="278"/>
      <c r="AA508" s="278"/>
      <c r="AB508" s="278"/>
      <c r="AC508" s="278"/>
    </row>
    <row r="509" ht="15.75" customHeight="1">
      <c r="A509" s="290" t="str">
        <f>IFERROR(__xludf.DUMMYFUNCTION("""COMPUTED_VALUE"""),"ワニデジタル")</f>
        <v>ワニデジタル</v>
      </c>
      <c r="B509" s="291">
        <f>IFERROR(__xludf.DUMMYFUNCTION("""COMPUTED_VALUE"""),45618.0)</f>
        <v>45618</v>
      </c>
      <c r="C509" s="292"/>
      <c r="D509" s="293">
        <f>IFERROR(__xludf.DUMMYFUNCTION("""COMPUTED_VALUE"""),144558.0)</f>
        <v>144558</v>
      </c>
      <c r="E509" s="290" t="str">
        <f>IFERROR(__xludf.DUMMYFUNCTION("""COMPUTED_VALUE"""),"人生墜落ドキュメント ヤク漬け売春お嬢様（合冊版）")</f>
        <v>人生墜落ドキュメント ヤク漬け売春お嬢様（合冊版）</v>
      </c>
      <c r="F509" s="298" t="str">
        <f>IFERROR(__xludf.DUMMYFUNCTION("""COMPUTED_VALUE"""),"ワニデジタル")</f>
        <v>ワニデジタル</v>
      </c>
      <c r="G509" s="298" t="str">
        <f>IFERROR(__xludf.DUMMYFUNCTION("""COMPUTED_VALUE"""),"オトナコミック")</f>
        <v>オトナコミック</v>
      </c>
      <c r="H509" s="298" t="str">
        <f>IFERROR(__xludf.DUMMYFUNCTION("""COMPUTED_VALUE"""),"2024/11/25～）クレジットカードでの購入のみ停止")</f>
        <v>2024/11/25～）クレジットカードでの購入のみ停止</v>
      </c>
      <c r="I509" s="283"/>
      <c r="J509" s="283"/>
      <c r="K509" s="283"/>
      <c r="L509" s="283"/>
      <c r="M509" s="283"/>
      <c r="N509" s="283"/>
      <c r="O509" s="283"/>
      <c r="P509" s="283"/>
      <c r="Q509" s="278"/>
      <c r="R509" s="278"/>
      <c r="S509" s="278"/>
      <c r="T509" s="278"/>
      <c r="U509" s="278"/>
      <c r="V509" s="278"/>
      <c r="W509" s="278"/>
      <c r="X509" s="278"/>
      <c r="Y509" s="278"/>
      <c r="Z509" s="278"/>
      <c r="AA509" s="278"/>
      <c r="AB509" s="278"/>
      <c r="AC509" s="278"/>
    </row>
    <row r="510" ht="15.75" customHeight="1">
      <c r="A510" s="290" t="str">
        <f>IFERROR(__xludf.DUMMYFUNCTION("""COMPUTED_VALUE"""),"ワニデジタル")</f>
        <v>ワニデジタル</v>
      </c>
      <c r="B510" s="291">
        <f>IFERROR(__xludf.DUMMYFUNCTION("""COMPUTED_VALUE"""),45618.0)</f>
        <v>45618</v>
      </c>
      <c r="C510" s="292"/>
      <c r="D510" s="293">
        <f>IFERROR(__xludf.DUMMYFUNCTION("""COMPUTED_VALUE"""),144559.0)</f>
        <v>144559</v>
      </c>
      <c r="E510" s="290" t="str">
        <f>IFERROR(__xludf.DUMMYFUNCTION("""COMPUTED_VALUE"""),"埼京線完全終了 まさかの痴漢待ち！？爆パイJK（合冊版）")</f>
        <v>埼京線完全終了 まさかの痴漢待ち！？爆パイJK（合冊版）</v>
      </c>
      <c r="F510" s="298" t="str">
        <f>IFERROR(__xludf.DUMMYFUNCTION("""COMPUTED_VALUE"""),"ワニデジタル")</f>
        <v>ワニデジタル</v>
      </c>
      <c r="G510" s="298" t="str">
        <f>IFERROR(__xludf.DUMMYFUNCTION("""COMPUTED_VALUE"""),"オトナコミック")</f>
        <v>オトナコミック</v>
      </c>
      <c r="H510" s="298" t="str">
        <f>IFERROR(__xludf.DUMMYFUNCTION("""COMPUTED_VALUE"""),"2024/11/25～）クレジットカードでの購入のみ停止")</f>
        <v>2024/11/25～）クレジットカードでの購入のみ停止</v>
      </c>
      <c r="I510" s="283"/>
      <c r="J510" s="283"/>
      <c r="K510" s="283"/>
      <c r="L510" s="283"/>
      <c r="M510" s="283"/>
      <c r="N510" s="283"/>
      <c r="O510" s="283"/>
      <c r="P510" s="283"/>
      <c r="Q510" s="278"/>
      <c r="R510" s="278"/>
      <c r="S510" s="278"/>
      <c r="T510" s="278"/>
      <c r="U510" s="278"/>
      <c r="V510" s="278"/>
      <c r="W510" s="278"/>
      <c r="X510" s="278"/>
      <c r="Y510" s="278"/>
      <c r="Z510" s="278"/>
      <c r="AA510" s="278"/>
      <c r="AB510" s="278"/>
      <c r="AC510" s="278"/>
    </row>
    <row r="511" ht="15.75" customHeight="1">
      <c r="A511" s="290" t="str">
        <f>IFERROR(__xludf.DUMMYFUNCTION("""COMPUTED_VALUE"""),"ワニデジタル")</f>
        <v>ワニデジタル</v>
      </c>
      <c r="B511" s="291">
        <f>IFERROR(__xludf.DUMMYFUNCTION("""COMPUTED_VALUE"""),45618.0)</f>
        <v>45618</v>
      </c>
      <c r="C511" s="292"/>
      <c r="D511" s="293">
        <f>IFERROR(__xludf.DUMMYFUNCTION("""COMPUTED_VALUE"""),144560.0)</f>
        <v>144560</v>
      </c>
      <c r="E511" s="290" t="str">
        <f>IFERROR(__xludf.DUMMYFUNCTION("""COMPUTED_VALUE"""),"敷金礼金無し！連続失神発狂アクメアパート（合冊版）")</f>
        <v>敷金礼金無し！連続失神発狂アクメアパート（合冊版）</v>
      </c>
      <c r="F511" s="298" t="str">
        <f>IFERROR(__xludf.DUMMYFUNCTION("""COMPUTED_VALUE"""),"ワニデジタル")</f>
        <v>ワニデジタル</v>
      </c>
      <c r="G511" s="298" t="str">
        <f>IFERROR(__xludf.DUMMYFUNCTION("""COMPUTED_VALUE"""),"オトナコミック")</f>
        <v>オトナコミック</v>
      </c>
      <c r="H511" s="298" t="str">
        <f>IFERROR(__xludf.DUMMYFUNCTION("""COMPUTED_VALUE"""),"2024/11/25～）クレジットカードでの購入のみ停止")</f>
        <v>2024/11/25～）クレジットカードでの購入のみ停止</v>
      </c>
      <c r="I511" s="283"/>
      <c r="J511" s="283"/>
      <c r="K511" s="283"/>
      <c r="L511" s="283"/>
      <c r="M511" s="283"/>
      <c r="N511" s="283"/>
      <c r="O511" s="283"/>
      <c r="P511" s="283"/>
      <c r="Q511" s="278"/>
      <c r="R511" s="278"/>
      <c r="S511" s="278"/>
      <c r="T511" s="278"/>
      <c r="U511" s="278"/>
      <c r="V511" s="278"/>
      <c r="W511" s="278"/>
      <c r="X511" s="278"/>
      <c r="Y511" s="278"/>
      <c r="Z511" s="278"/>
      <c r="AA511" s="278"/>
      <c r="AB511" s="278"/>
      <c r="AC511" s="278"/>
    </row>
    <row r="512" ht="15.75" customHeight="1">
      <c r="A512" s="290" t="str">
        <f>IFERROR(__xludf.DUMMYFUNCTION("""COMPUTED_VALUE"""),"ワニマガジン社")</f>
        <v>ワニマガジン社</v>
      </c>
      <c r="B512" s="291">
        <f>IFERROR(__xludf.DUMMYFUNCTION("""COMPUTED_VALUE"""),45618.0)</f>
        <v>45618</v>
      </c>
      <c r="C512" s="292"/>
      <c r="D512" s="293">
        <f>IFERROR(__xludf.DUMMYFUNCTION("""COMPUTED_VALUE"""),118739.0)</f>
        <v>118739</v>
      </c>
      <c r="E512" s="290" t="str">
        <f>IFERROR(__xludf.DUMMYFUNCTION("""COMPUTED_VALUE"""),"○○に処女を捧げてみた")</f>
        <v>○○に処女を捧げてみた</v>
      </c>
      <c r="F512" s="298" t="str">
        <f>IFERROR(__xludf.DUMMYFUNCTION("""COMPUTED_VALUE"""),"西安")</f>
        <v>西安</v>
      </c>
      <c r="G512" s="298" t="str">
        <f>IFERROR(__xludf.DUMMYFUNCTION("""COMPUTED_VALUE"""),"オトナコミック")</f>
        <v>オトナコミック</v>
      </c>
      <c r="H512" s="298" t="str">
        <f>IFERROR(__xludf.DUMMYFUNCTION("""COMPUTED_VALUE"""),"2024/11/25～）クレジットカードでの購入のみ停止")</f>
        <v>2024/11/25～）クレジットカードでの購入のみ停止</v>
      </c>
      <c r="I512" s="283"/>
      <c r="J512" s="283"/>
      <c r="K512" s="283"/>
      <c r="L512" s="283"/>
      <c r="M512" s="283"/>
      <c r="N512" s="283"/>
      <c r="O512" s="283"/>
      <c r="P512" s="283"/>
      <c r="Q512" s="278"/>
      <c r="R512" s="278"/>
      <c r="S512" s="278"/>
      <c r="T512" s="278"/>
      <c r="U512" s="278"/>
      <c r="V512" s="278"/>
      <c r="W512" s="278"/>
      <c r="X512" s="278"/>
      <c r="Y512" s="278"/>
      <c r="Z512" s="278"/>
      <c r="AA512" s="278"/>
      <c r="AB512" s="278"/>
      <c r="AC512" s="278"/>
    </row>
    <row r="513" ht="15.75" customHeight="1">
      <c r="A513" s="290" t="str">
        <f>IFERROR(__xludf.DUMMYFUNCTION("""COMPUTED_VALUE"""),"ワニマガジン社")</f>
        <v>ワニマガジン社</v>
      </c>
      <c r="B513" s="291">
        <f>IFERROR(__xludf.DUMMYFUNCTION("""COMPUTED_VALUE"""),45618.0)</f>
        <v>45618</v>
      </c>
      <c r="C513" s="292"/>
      <c r="D513" s="293">
        <f>IFERROR(__xludf.DUMMYFUNCTION("""COMPUTED_VALUE"""),149187.0)</f>
        <v>149187</v>
      </c>
      <c r="E513" s="290" t="str">
        <f>IFERROR(__xludf.DUMMYFUNCTION("""COMPUTED_VALUE"""),"純情パレット")</f>
        <v>純情パレット</v>
      </c>
      <c r="F513" s="298" t="str">
        <f>IFERROR(__xludf.DUMMYFUNCTION("""COMPUTED_VALUE"""),"長頼")</f>
        <v>長頼</v>
      </c>
      <c r="G513" s="298" t="str">
        <f>IFERROR(__xludf.DUMMYFUNCTION("""COMPUTED_VALUE"""),"オトナコミック")</f>
        <v>オトナコミック</v>
      </c>
      <c r="H513" s="298" t="str">
        <f>IFERROR(__xludf.DUMMYFUNCTION("""COMPUTED_VALUE"""),"2024/11/25～）クレジットカードでの購入のみ停止")</f>
        <v>2024/11/25～）クレジットカードでの購入のみ停止</v>
      </c>
      <c r="I513" s="283"/>
      <c r="J513" s="283"/>
      <c r="K513" s="283"/>
      <c r="L513" s="283"/>
      <c r="M513" s="283"/>
      <c r="N513" s="283"/>
      <c r="O513" s="283"/>
      <c r="P513" s="283"/>
      <c r="Q513" s="278"/>
      <c r="R513" s="278"/>
      <c r="S513" s="278"/>
      <c r="T513" s="278"/>
      <c r="U513" s="278"/>
      <c r="V513" s="278"/>
      <c r="W513" s="278"/>
      <c r="X513" s="278"/>
      <c r="Y513" s="278"/>
      <c r="Z513" s="278"/>
      <c r="AA513" s="278"/>
      <c r="AB513" s="278"/>
      <c r="AC513" s="278"/>
    </row>
    <row r="514" ht="15.75" customHeight="1">
      <c r="A514" s="290" t="str">
        <f>IFERROR(__xludf.DUMMYFUNCTION("""COMPUTED_VALUE"""),"ワニマガジン社")</f>
        <v>ワニマガジン社</v>
      </c>
      <c r="B514" s="291">
        <f>IFERROR(__xludf.DUMMYFUNCTION("""COMPUTED_VALUE"""),45618.0)</f>
        <v>45618</v>
      </c>
      <c r="C514" s="292"/>
      <c r="D514" s="293">
        <f>IFERROR(__xludf.DUMMYFUNCTION("""COMPUTED_VALUE"""),167054.0)</f>
        <v>167054</v>
      </c>
      <c r="E514" s="290" t="str">
        <f>IFERROR(__xludf.DUMMYFUNCTION("""COMPUTED_VALUE"""),"千鶴ちゃん肉便器化計画")</f>
        <v>千鶴ちゃん肉便器化計画</v>
      </c>
      <c r="F514" s="298" t="str">
        <f>IFERROR(__xludf.DUMMYFUNCTION("""COMPUTED_VALUE"""),"甚六")</f>
        <v>甚六</v>
      </c>
      <c r="G514" s="298" t="str">
        <f>IFERROR(__xludf.DUMMYFUNCTION("""COMPUTED_VALUE"""),"オトナコミック")</f>
        <v>オトナコミック</v>
      </c>
      <c r="H514" s="298" t="str">
        <f>IFERROR(__xludf.DUMMYFUNCTION("""COMPUTED_VALUE"""),"2024/11/25～）クレジットカードでの購入のみ停止")</f>
        <v>2024/11/25～）クレジットカードでの購入のみ停止</v>
      </c>
      <c r="I514" s="283"/>
      <c r="J514" s="283"/>
      <c r="K514" s="283"/>
      <c r="L514" s="283"/>
      <c r="M514" s="283"/>
      <c r="N514" s="283"/>
      <c r="O514" s="283"/>
      <c r="P514" s="283"/>
      <c r="Q514" s="278"/>
      <c r="R514" s="278"/>
      <c r="S514" s="278"/>
      <c r="T514" s="278"/>
      <c r="U514" s="278"/>
      <c r="V514" s="278"/>
      <c r="W514" s="278"/>
      <c r="X514" s="278"/>
      <c r="Y514" s="278"/>
      <c r="Z514" s="278"/>
      <c r="AA514" s="278"/>
      <c r="AB514" s="278"/>
      <c r="AC514" s="278"/>
    </row>
    <row r="515" ht="15.75" customHeight="1">
      <c r="A515" s="290" t="str">
        <f>IFERROR(__xludf.DUMMYFUNCTION("""COMPUTED_VALUE"""),"ワニマガジン社")</f>
        <v>ワニマガジン社</v>
      </c>
      <c r="B515" s="291">
        <f>IFERROR(__xludf.DUMMYFUNCTION("""COMPUTED_VALUE"""),45618.0)</f>
        <v>45618</v>
      </c>
      <c r="C515" s="292"/>
      <c r="D515" s="293">
        <f>IFERROR(__xludf.DUMMYFUNCTION("""COMPUTED_VALUE"""),171118.0)</f>
        <v>171118</v>
      </c>
      <c r="E515" s="290" t="str">
        <f>IFERROR(__xludf.DUMMYFUNCTION("""COMPUTED_VALUE"""),"ひみチュッ【デジタル特装版】")</f>
        <v>ひみチュッ【デジタル特装版】</v>
      </c>
      <c r="F515" s="298" t="str">
        <f>IFERROR(__xludf.DUMMYFUNCTION("""COMPUTED_VALUE"""),"八尋ぽち")</f>
        <v>八尋ぽち</v>
      </c>
      <c r="G515" s="298" t="str">
        <f>IFERROR(__xludf.DUMMYFUNCTION("""COMPUTED_VALUE"""),"オトナコミック")</f>
        <v>オトナコミック</v>
      </c>
      <c r="H515" s="298" t="str">
        <f>IFERROR(__xludf.DUMMYFUNCTION("""COMPUTED_VALUE"""),"2024/11/25～）クレジットカードでの購入のみ停止")</f>
        <v>2024/11/25～）クレジットカードでの購入のみ停止</v>
      </c>
      <c r="I515" s="283"/>
      <c r="J515" s="283"/>
      <c r="K515" s="283"/>
      <c r="L515" s="283"/>
      <c r="M515" s="283"/>
      <c r="N515" s="283"/>
      <c r="O515" s="283"/>
      <c r="P515" s="283"/>
      <c r="Q515" s="278"/>
      <c r="R515" s="278"/>
      <c r="S515" s="278"/>
      <c r="T515" s="278"/>
      <c r="U515" s="278"/>
      <c r="V515" s="278"/>
      <c r="W515" s="278"/>
      <c r="X515" s="278"/>
      <c r="Y515" s="278"/>
      <c r="Z515" s="278"/>
      <c r="AA515" s="278"/>
      <c r="AB515" s="278"/>
      <c r="AC515" s="278"/>
    </row>
    <row r="516" ht="15.75" customHeight="1">
      <c r="A516" s="290" t="str">
        <f>IFERROR(__xludf.DUMMYFUNCTION("""COMPUTED_VALUE"""),"ワニマガジン社")</f>
        <v>ワニマガジン社</v>
      </c>
      <c r="B516" s="291">
        <f>IFERROR(__xludf.DUMMYFUNCTION("""COMPUTED_VALUE"""),45618.0)</f>
        <v>45618</v>
      </c>
      <c r="C516" s="292"/>
      <c r="D516" s="293">
        <f>IFERROR(__xludf.DUMMYFUNCTION("""COMPUTED_VALUE"""),223421.0)</f>
        <v>223421</v>
      </c>
      <c r="E516" s="290" t="str">
        <f>IFERROR(__xludf.DUMMYFUNCTION("""COMPUTED_VALUE"""),"私じゃないわたし")</f>
        <v>私じゃないわたし</v>
      </c>
      <c r="F516" s="298" t="str">
        <f>IFERROR(__xludf.DUMMYFUNCTION("""COMPUTED_VALUE"""),"ゆずのきいち")</f>
        <v>ゆずのきいち</v>
      </c>
      <c r="G516" s="298" t="str">
        <f>IFERROR(__xludf.DUMMYFUNCTION("""COMPUTED_VALUE"""),"オトナコミック")</f>
        <v>オトナコミック</v>
      </c>
      <c r="H516" s="298" t="str">
        <f>IFERROR(__xludf.DUMMYFUNCTION("""COMPUTED_VALUE"""),"2024/11/25～）クレジットカードでの購入のみ停止")</f>
        <v>2024/11/25～）クレジットカードでの購入のみ停止</v>
      </c>
      <c r="I516" s="283"/>
      <c r="J516" s="283"/>
      <c r="K516" s="283"/>
      <c r="L516" s="283"/>
      <c r="M516" s="283"/>
      <c r="N516" s="283"/>
      <c r="O516" s="283"/>
      <c r="P516" s="283"/>
      <c r="Q516" s="278"/>
      <c r="R516" s="278"/>
      <c r="S516" s="278"/>
      <c r="T516" s="278"/>
      <c r="U516" s="278"/>
      <c r="V516" s="278"/>
      <c r="W516" s="278"/>
      <c r="X516" s="278"/>
      <c r="Y516" s="278"/>
      <c r="Z516" s="278"/>
      <c r="AA516" s="278"/>
      <c r="AB516" s="278"/>
      <c r="AC516" s="278"/>
    </row>
    <row r="517" ht="15.75" customHeight="1">
      <c r="A517" s="290" t="str">
        <f>IFERROR(__xludf.DUMMYFUNCTION("""COMPUTED_VALUE"""),"ワニマガジン社")</f>
        <v>ワニマガジン社</v>
      </c>
      <c r="B517" s="291">
        <f>IFERROR(__xludf.DUMMYFUNCTION("""COMPUTED_VALUE"""),45618.0)</f>
        <v>45618</v>
      </c>
      <c r="C517" s="292"/>
      <c r="D517" s="293">
        <f>IFERROR(__xludf.DUMMYFUNCTION("""COMPUTED_VALUE"""),232902.0)</f>
        <v>232902</v>
      </c>
      <c r="E517" s="290" t="str">
        <f>IFERROR(__xludf.DUMMYFUNCTION("""COMPUTED_VALUE"""),"みんなのアイドル")</f>
        <v>みんなのアイドル</v>
      </c>
      <c r="F517" s="298" t="str">
        <f>IFERROR(__xludf.DUMMYFUNCTION("""COMPUTED_VALUE"""),"こめざわ")</f>
        <v>こめざわ</v>
      </c>
      <c r="G517" s="298" t="str">
        <f>IFERROR(__xludf.DUMMYFUNCTION("""COMPUTED_VALUE"""),"オトナコミック")</f>
        <v>オトナコミック</v>
      </c>
      <c r="H517" s="298" t="str">
        <f>IFERROR(__xludf.DUMMYFUNCTION("""COMPUTED_VALUE"""),"2024/11/25～）クレジットカードでの購入のみ停止")</f>
        <v>2024/11/25～）クレジットカードでの購入のみ停止</v>
      </c>
      <c r="I517" s="283"/>
      <c r="J517" s="283"/>
      <c r="K517" s="283"/>
      <c r="L517" s="283"/>
      <c r="M517" s="283"/>
      <c r="N517" s="283"/>
      <c r="O517" s="283"/>
      <c r="P517" s="283"/>
      <c r="Q517" s="278"/>
      <c r="R517" s="278"/>
      <c r="S517" s="278"/>
      <c r="T517" s="278"/>
      <c r="U517" s="278"/>
      <c r="V517" s="278"/>
      <c r="W517" s="278"/>
      <c r="X517" s="278"/>
      <c r="Y517" s="278"/>
      <c r="Z517" s="278"/>
      <c r="AA517" s="278"/>
      <c r="AB517" s="278"/>
      <c r="AC517" s="278"/>
    </row>
    <row r="518" ht="15.75" customHeight="1">
      <c r="A518" s="290" t="str">
        <f>IFERROR(__xludf.DUMMYFUNCTION("""COMPUTED_VALUE"""),"一彩出版")</f>
        <v>一彩出版</v>
      </c>
      <c r="B518" s="291">
        <f>IFERROR(__xludf.DUMMYFUNCTION("""COMPUTED_VALUE"""),45618.0)</f>
        <v>45618</v>
      </c>
      <c r="C518" s="292"/>
      <c r="D518" s="293">
        <f>IFERROR(__xludf.DUMMYFUNCTION("""COMPUTED_VALUE"""),87097.0)</f>
        <v>87097</v>
      </c>
      <c r="E518" s="290" t="str">
        <f>IFERROR(__xludf.DUMMYFUNCTION("""COMPUTED_VALUE"""),"桜井さん脅迫日記")</f>
        <v>桜井さん脅迫日記</v>
      </c>
      <c r="F518" s="298" t="str">
        <f>IFERROR(__xludf.DUMMYFUNCTION("""COMPUTED_VALUE"""),"上崎よつば")</f>
        <v>上崎よつば</v>
      </c>
      <c r="G518" s="298" t="str">
        <f>IFERROR(__xludf.DUMMYFUNCTION("""COMPUTED_VALUE"""),"オトナコミック")</f>
        <v>オトナコミック</v>
      </c>
      <c r="H518" s="298" t="str">
        <f>IFERROR(__xludf.DUMMYFUNCTION("""COMPUTED_VALUE"""),"2024/11/25～）クレジットカードでの購入のみ停止")</f>
        <v>2024/11/25～）クレジットカードでの購入のみ停止</v>
      </c>
      <c r="I518" s="283"/>
      <c r="J518" s="283"/>
      <c r="K518" s="283"/>
      <c r="L518" s="283"/>
      <c r="M518" s="283"/>
      <c r="N518" s="283"/>
      <c r="O518" s="283"/>
      <c r="P518" s="283"/>
      <c r="Q518" s="278"/>
      <c r="R518" s="278"/>
      <c r="S518" s="278"/>
      <c r="T518" s="278"/>
      <c r="U518" s="278"/>
      <c r="V518" s="278"/>
      <c r="W518" s="278"/>
      <c r="X518" s="278"/>
      <c r="Y518" s="278"/>
      <c r="Z518" s="278"/>
      <c r="AA518" s="278"/>
      <c r="AB518" s="278"/>
      <c r="AC518" s="278"/>
    </row>
    <row r="519" ht="15.75" customHeight="1">
      <c r="A519" s="290" t="str">
        <f>IFERROR(__xludf.DUMMYFUNCTION("""COMPUTED_VALUE"""),"一彩出版")</f>
        <v>一彩出版</v>
      </c>
      <c r="B519" s="291">
        <f>IFERROR(__xludf.DUMMYFUNCTION("""COMPUTED_VALUE"""),45618.0)</f>
        <v>45618</v>
      </c>
      <c r="C519" s="292"/>
      <c r="D519" s="293">
        <f>IFERROR(__xludf.DUMMYFUNCTION("""COMPUTED_VALUE"""),87098.0)</f>
        <v>87098</v>
      </c>
      <c r="E519" s="290" t="str">
        <f>IFERROR(__xludf.DUMMYFUNCTION("""COMPUTED_VALUE"""),"女子校生に精液を大量射出させられる毎日。")</f>
        <v>女子校生に精液を大量射出させられる毎日。</v>
      </c>
      <c r="F519" s="298" t="str">
        <f>IFERROR(__xludf.DUMMYFUNCTION("""COMPUTED_VALUE"""),"フリーダム中井")</f>
        <v>フリーダム中井</v>
      </c>
      <c r="G519" s="298" t="str">
        <f>IFERROR(__xludf.DUMMYFUNCTION("""COMPUTED_VALUE"""),"オトナコミック")</f>
        <v>オトナコミック</v>
      </c>
      <c r="H519" s="298" t="str">
        <f>IFERROR(__xludf.DUMMYFUNCTION("""COMPUTED_VALUE"""),"2024/11/25～）クレジットカードでの購入のみ停止")</f>
        <v>2024/11/25～）クレジットカードでの購入のみ停止</v>
      </c>
      <c r="I519" s="283"/>
      <c r="J519" s="283"/>
      <c r="K519" s="283"/>
      <c r="L519" s="283"/>
      <c r="M519" s="283"/>
      <c r="N519" s="283"/>
      <c r="O519" s="283"/>
      <c r="P519" s="283"/>
      <c r="Q519" s="278"/>
      <c r="R519" s="278"/>
      <c r="S519" s="278"/>
      <c r="T519" s="278"/>
      <c r="U519" s="278"/>
      <c r="V519" s="278"/>
      <c r="W519" s="278"/>
      <c r="X519" s="278"/>
      <c r="Y519" s="278"/>
      <c r="Z519" s="278"/>
      <c r="AA519" s="278"/>
      <c r="AB519" s="278"/>
      <c r="AC519" s="278"/>
    </row>
    <row r="520" ht="15.75" customHeight="1">
      <c r="A520" s="290" t="str">
        <f>IFERROR(__xludf.DUMMYFUNCTION("""COMPUTED_VALUE"""),"一彩出版")</f>
        <v>一彩出版</v>
      </c>
      <c r="B520" s="291">
        <f>IFERROR(__xludf.DUMMYFUNCTION("""COMPUTED_VALUE"""),45618.0)</f>
        <v>45618</v>
      </c>
      <c r="C520" s="292"/>
      <c r="D520" s="293">
        <f>IFERROR(__xludf.DUMMYFUNCTION("""COMPUTED_VALUE"""),104605.0)</f>
        <v>104605</v>
      </c>
      <c r="E520" s="290" t="str">
        <f>IFERROR(__xludf.DUMMYFUNCTION("""COMPUTED_VALUE"""),"ボクが毎日観察している女子校生を捕まえて、調教生活はじめてみました。")</f>
        <v>ボクが毎日観察している女子校生を捕まえて、調教生活はじめてみました。</v>
      </c>
      <c r="F520" s="298" t="str">
        <f>IFERROR(__xludf.DUMMYFUNCTION("""COMPUTED_VALUE"""),"YO-JIN")</f>
        <v>YO-JIN</v>
      </c>
      <c r="G520" s="298" t="str">
        <f>IFERROR(__xludf.DUMMYFUNCTION("""COMPUTED_VALUE"""),"オトナコミック")</f>
        <v>オトナコミック</v>
      </c>
      <c r="H520" s="298" t="str">
        <f>IFERROR(__xludf.DUMMYFUNCTION("""COMPUTED_VALUE"""),"2024/11/25～）クレジットカードでの購入のみ停止")</f>
        <v>2024/11/25～）クレジットカードでの購入のみ停止</v>
      </c>
      <c r="I520" s="283"/>
      <c r="J520" s="283"/>
      <c r="K520" s="283"/>
      <c r="L520" s="283"/>
      <c r="M520" s="283"/>
      <c r="N520" s="283"/>
      <c r="O520" s="283"/>
      <c r="P520" s="283"/>
      <c r="Q520" s="278"/>
      <c r="R520" s="278"/>
      <c r="S520" s="278"/>
      <c r="T520" s="278"/>
      <c r="U520" s="278"/>
      <c r="V520" s="278"/>
      <c r="W520" s="278"/>
      <c r="X520" s="278"/>
      <c r="Y520" s="278"/>
      <c r="Z520" s="278"/>
      <c r="AA520" s="278"/>
      <c r="AB520" s="278"/>
      <c r="AC520" s="278"/>
    </row>
    <row r="521" ht="15.75" customHeight="1">
      <c r="A521" s="290" t="str">
        <f>IFERROR(__xludf.DUMMYFUNCTION("""COMPUTED_VALUE"""),"一彩出版")</f>
        <v>一彩出版</v>
      </c>
      <c r="B521" s="291">
        <f>IFERROR(__xludf.DUMMYFUNCTION("""COMPUTED_VALUE"""),45618.0)</f>
        <v>45618</v>
      </c>
      <c r="C521" s="292"/>
      <c r="D521" s="293">
        <f>IFERROR(__xludf.DUMMYFUNCTION("""COMPUTED_VALUE"""),247263.0)</f>
        <v>247263</v>
      </c>
      <c r="E521" s="290" t="str">
        <f>IFERROR(__xludf.DUMMYFUNCTION("""COMPUTED_VALUE"""),"私は担任教師の奴隷になりました。")</f>
        <v>私は担任教師の奴隷になりました。</v>
      </c>
      <c r="F521" s="298" t="str">
        <f>IFERROR(__xludf.DUMMYFUNCTION("""COMPUTED_VALUE"""),"赤薄紅")</f>
        <v>赤薄紅</v>
      </c>
      <c r="G521" s="298" t="str">
        <f>IFERROR(__xludf.DUMMYFUNCTION("""COMPUTED_VALUE"""),"オトナコミック")</f>
        <v>オトナコミック</v>
      </c>
      <c r="H521" s="298" t="str">
        <f>IFERROR(__xludf.DUMMYFUNCTION("""COMPUTED_VALUE"""),"2024/11/25～）クレジットカードでの購入のみ停止")</f>
        <v>2024/11/25～）クレジットカードでの購入のみ停止</v>
      </c>
      <c r="I521" s="283"/>
      <c r="J521" s="283"/>
      <c r="K521" s="283"/>
      <c r="L521" s="283"/>
      <c r="M521" s="283"/>
      <c r="N521" s="283"/>
      <c r="O521" s="283"/>
      <c r="P521" s="283"/>
      <c r="Q521" s="278"/>
      <c r="R521" s="278"/>
      <c r="S521" s="278"/>
      <c r="T521" s="278"/>
      <c r="U521" s="278"/>
      <c r="V521" s="278"/>
      <c r="W521" s="278"/>
      <c r="X521" s="278"/>
      <c r="Y521" s="278"/>
      <c r="Z521" s="278"/>
      <c r="AA521" s="278"/>
      <c r="AB521" s="278"/>
      <c r="AC521" s="278"/>
    </row>
    <row r="522" ht="15.75" customHeight="1">
      <c r="A522" s="290" t="str">
        <f>IFERROR(__xludf.DUMMYFUNCTION("""COMPUTED_VALUE"""),"一水社")</f>
        <v>一水社</v>
      </c>
      <c r="B522" s="291">
        <f>IFERROR(__xludf.DUMMYFUNCTION("""COMPUTED_VALUE"""),45618.0)</f>
        <v>45618</v>
      </c>
      <c r="C522" s="292"/>
      <c r="D522" s="293">
        <f>IFERROR(__xludf.DUMMYFUNCTION("""COMPUTED_VALUE"""),109284.0)</f>
        <v>109284</v>
      </c>
      <c r="E522" s="290" t="str">
        <f>IFERROR(__xludf.DUMMYFUNCTION("""COMPUTED_VALUE"""),"推定カノジョ")</f>
        <v>推定カノジョ</v>
      </c>
      <c r="F522" s="298" t="str">
        <f>IFERROR(__xludf.DUMMYFUNCTION("""COMPUTED_VALUE"""),"柚子鉄線")</f>
        <v>柚子鉄線</v>
      </c>
      <c r="G522" s="298" t="str">
        <f>IFERROR(__xludf.DUMMYFUNCTION("""COMPUTED_VALUE"""),"オトナコミック")</f>
        <v>オトナコミック</v>
      </c>
      <c r="H522" s="298" t="str">
        <f>IFERROR(__xludf.DUMMYFUNCTION("""COMPUTED_VALUE"""),"2024/11/25～）クレジットカードでの購入のみ停止")</f>
        <v>2024/11/25～）クレジットカードでの購入のみ停止</v>
      </c>
      <c r="I522" s="283"/>
      <c r="J522" s="283"/>
      <c r="K522" s="283"/>
      <c r="L522" s="283"/>
      <c r="M522" s="283"/>
      <c r="N522" s="283"/>
      <c r="O522" s="283"/>
      <c r="P522" s="283"/>
      <c r="Q522" s="278"/>
      <c r="R522" s="278"/>
      <c r="S522" s="278"/>
      <c r="T522" s="278"/>
      <c r="U522" s="278"/>
      <c r="V522" s="278"/>
      <c r="W522" s="278"/>
      <c r="X522" s="278"/>
      <c r="Y522" s="278"/>
      <c r="Z522" s="278"/>
      <c r="AA522" s="278"/>
      <c r="AB522" s="278"/>
      <c r="AC522" s="278"/>
    </row>
    <row r="523" ht="15.75" customHeight="1">
      <c r="A523" s="290" t="str">
        <f>IFERROR(__xludf.DUMMYFUNCTION("""COMPUTED_VALUE"""),"一水社")</f>
        <v>一水社</v>
      </c>
      <c r="B523" s="291">
        <f>IFERROR(__xludf.DUMMYFUNCTION("""COMPUTED_VALUE"""),45618.0)</f>
        <v>45618</v>
      </c>
      <c r="C523" s="292"/>
      <c r="D523" s="293">
        <f>IFERROR(__xludf.DUMMYFUNCTION("""COMPUTED_VALUE"""),127760.0)</f>
        <v>127760</v>
      </c>
      <c r="E523" s="290" t="str">
        <f>IFERROR(__xludf.DUMMYFUNCTION("""COMPUTED_VALUE"""),"敏感部分が切ないお色気奥様たち")</f>
        <v>敏感部分が切ないお色気奥様たち</v>
      </c>
      <c r="F523" s="298" t="str">
        <f>IFERROR(__xludf.DUMMYFUNCTION("""COMPUTED_VALUE"""),"一水社劇画編集部")</f>
        <v>一水社劇画編集部</v>
      </c>
      <c r="G523" s="298" t="str">
        <f>IFERROR(__xludf.DUMMYFUNCTION("""COMPUTED_VALUE"""),"オトナコミック")</f>
        <v>オトナコミック</v>
      </c>
      <c r="H523" s="298" t="str">
        <f>IFERROR(__xludf.DUMMYFUNCTION("""COMPUTED_VALUE"""),"2024/11/25～）クレジットカードでの購入のみ停止")</f>
        <v>2024/11/25～）クレジットカードでの購入のみ停止</v>
      </c>
      <c r="I523" s="283"/>
      <c r="J523" s="283"/>
      <c r="K523" s="283"/>
      <c r="L523" s="283"/>
      <c r="M523" s="283"/>
      <c r="N523" s="283"/>
      <c r="O523" s="283"/>
      <c r="P523" s="283"/>
      <c r="Q523" s="278"/>
      <c r="R523" s="278"/>
      <c r="S523" s="278"/>
      <c r="T523" s="278"/>
      <c r="U523" s="278"/>
      <c r="V523" s="278"/>
      <c r="W523" s="278"/>
      <c r="X523" s="278"/>
      <c r="Y523" s="278"/>
      <c r="Z523" s="278"/>
      <c r="AA523" s="278"/>
      <c r="AB523" s="278"/>
      <c r="AC523" s="278"/>
    </row>
    <row r="524" ht="15.75" customHeight="1">
      <c r="A524" s="290" t="str">
        <f>IFERROR(__xludf.DUMMYFUNCTION("""COMPUTED_VALUE"""),"一水社")</f>
        <v>一水社</v>
      </c>
      <c r="B524" s="291">
        <f>IFERROR(__xludf.DUMMYFUNCTION("""COMPUTED_VALUE"""),45618.0)</f>
        <v>45618</v>
      </c>
      <c r="C524" s="292"/>
      <c r="D524" s="293">
        <f>IFERROR(__xludf.DUMMYFUNCTION("""COMPUTED_VALUE"""),303069.0)</f>
        <v>303069</v>
      </c>
      <c r="E524" s="290" t="str">
        <f>IFERROR(__xludf.DUMMYFUNCTION("""COMPUTED_VALUE"""),"夜の孵る音")</f>
        <v>夜の孵る音</v>
      </c>
      <c r="F524" s="298" t="str">
        <f>IFERROR(__xludf.DUMMYFUNCTION("""COMPUTED_VALUE"""),"OKINA")</f>
        <v>OKINA</v>
      </c>
      <c r="G524" s="298" t="str">
        <f>IFERROR(__xludf.DUMMYFUNCTION("""COMPUTED_VALUE"""),"オトナコミック")</f>
        <v>オトナコミック</v>
      </c>
      <c r="H524" s="298" t="str">
        <f>IFERROR(__xludf.DUMMYFUNCTION("""COMPUTED_VALUE"""),"2024/11/25～）クレジットカードでの購入のみ停止")</f>
        <v>2024/11/25～）クレジットカードでの購入のみ停止</v>
      </c>
      <c r="I524" s="283"/>
      <c r="J524" s="283"/>
      <c r="K524" s="283"/>
      <c r="L524" s="283"/>
      <c r="M524" s="283"/>
      <c r="N524" s="283"/>
      <c r="O524" s="283"/>
      <c r="P524" s="283"/>
      <c r="Q524" s="278"/>
      <c r="R524" s="278"/>
      <c r="S524" s="278"/>
      <c r="T524" s="278"/>
      <c r="U524" s="278"/>
      <c r="V524" s="278"/>
      <c r="W524" s="278"/>
      <c r="X524" s="278"/>
      <c r="Y524" s="278"/>
      <c r="Z524" s="278"/>
      <c r="AA524" s="278"/>
      <c r="AB524" s="278"/>
      <c r="AC524" s="278"/>
    </row>
    <row r="525" ht="15.75" customHeight="1">
      <c r="A525" s="290" t="str">
        <f>IFERROR(__xludf.DUMMYFUNCTION("""COMPUTED_VALUE"""),"久保書店")</f>
        <v>久保書店</v>
      </c>
      <c r="B525" s="291">
        <f>IFERROR(__xludf.DUMMYFUNCTION("""COMPUTED_VALUE"""),45618.0)</f>
        <v>45618</v>
      </c>
      <c r="C525" s="292"/>
      <c r="D525" s="293">
        <f>IFERROR(__xludf.DUMMYFUNCTION("""COMPUTED_VALUE"""),187046.0)</f>
        <v>187046</v>
      </c>
      <c r="E525" s="290" t="str">
        <f>IFERROR(__xludf.DUMMYFUNCTION("""COMPUTED_VALUE"""),"もぉ許して")</f>
        <v>もぉ許して</v>
      </c>
      <c r="F525" s="298" t="str">
        <f>IFERROR(__xludf.DUMMYFUNCTION("""COMPUTED_VALUE"""),"シン･ツグル")</f>
        <v>シン･ツグル</v>
      </c>
      <c r="G525" s="298" t="str">
        <f>IFERROR(__xludf.DUMMYFUNCTION("""COMPUTED_VALUE"""),"オトナコミック")</f>
        <v>オトナコミック</v>
      </c>
      <c r="H525" s="298" t="str">
        <f>IFERROR(__xludf.DUMMYFUNCTION("""COMPUTED_VALUE"""),"2024/11/25～）クレジットカードでの購入のみ停止")</f>
        <v>2024/11/25～）クレジットカードでの購入のみ停止</v>
      </c>
      <c r="I525" s="283"/>
      <c r="J525" s="283"/>
      <c r="K525" s="283"/>
      <c r="L525" s="283"/>
      <c r="M525" s="283"/>
      <c r="N525" s="283"/>
      <c r="O525" s="283"/>
      <c r="P525" s="283"/>
      <c r="Q525" s="278"/>
      <c r="R525" s="278"/>
      <c r="S525" s="278"/>
      <c r="T525" s="278"/>
      <c r="U525" s="278"/>
      <c r="V525" s="278"/>
      <c r="W525" s="278"/>
      <c r="X525" s="278"/>
      <c r="Y525" s="278"/>
      <c r="Z525" s="278"/>
      <c r="AA525" s="278"/>
      <c r="AB525" s="278"/>
      <c r="AC525" s="278"/>
    </row>
    <row r="526" ht="15.75" customHeight="1">
      <c r="A526" s="290" t="str">
        <f>IFERROR(__xludf.DUMMYFUNCTION("""COMPUTED_VALUE"""),"三和出版")</f>
        <v>三和出版</v>
      </c>
      <c r="B526" s="291">
        <f>IFERROR(__xludf.DUMMYFUNCTION("""COMPUTED_VALUE"""),45618.0)</f>
        <v>45618</v>
      </c>
      <c r="C526" s="292"/>
      <c r="D526" s="293">
        <f>IFERROR(__xludf.DUMMYFUNCTION("""COMPUTED_VALUE"""),81616.0)</f>
        <v>81616</v>
      </c>
      <c r="E526" s="290" t="str">
        <f>IFERROR(__xludf.DUMMYFUNCTION("""COMPUTED_VALUE"""),"CHANGE ！！")</f>
        <v>CHANGE ！！</v>
      </c>
      <c r="F526" s="298" t="str">
        <f>IFERROR(__xludf.DUMMYFUNCTION("""COMPUTED_VALUE"""),"柚木N’")</f>
        <v>柚木N’</v>
      </c>
      <c r="G526" s="298" t="str">
        <f>IFERROR(__xludf.DUMMYFUNCTION("""COMPUTED_VALUE"""),"オトナコミック")</f>
        <v>オトナコミック</v>
      </c>
      <c r="H526" s="298" t="str">
        <f>IFERROR(__xludf.DUMMYFUNCTION("""COMPUTED_VALUE"""),"2024/11/25～）クレジットカードでの購入のみ停止")</f>
        <v>2024/11/25～）クレジットカードでの購入のみ停止</v>
      </c>
      <c r="I526" s="283"/>
      <c r="J526" s="283"/>
      <c r="K526" s="283"/>
      <c r="L526" s="283"/>
      <c r="M526" s="283"/>
      <c r="N526" s="283"/>
      <c r="O526" s="283"/>
      <c r="P526" s="283"/>
      <c r="Q526" s="278"/>
      <c r="R526" s="278"/>
      <c r="S526" s="278"/>
      <c r="T526" s="278"/>
      <c r="U526" s="278"/>
      <c r="V526" s="278"/>
      <c r="W526" s="278"/>
      <c r="X526" s="278"/>
      <c r="Y526" s="278"/>
      <c r="Z526" s="278"/>
      <c r="AA526" s="278"/>
      <c r="AB526" s="278"/>
      <c r="AC526" s="278"/>
    </row>
    <row r="527" ht="15.75" customHeight="1">
      <c r="A527" s="290" t="str">
        <f>IFERROR(__xludf.DUMMYFUNCTION("""COMPUTED_VALUE"""),"三和出版")</f>
        <v>三和出版</v>
      </c>
      <c r="B527" s="291">
        <f>IFERROR(__xludf.DUMMYFUNCTION("""COMPUTED_VALUE"""),45618.0)</f>
        <v>45618</v>
      </c>
      <c r="C527" s="292"/>
      <c r="D527" s="293">
        <f>IFERROR(__xludf.DUMMYFUNCTION("""COMPUTED_VALUE"""),81621.0)</f>
        <v>81621</v>
      </c>
      <c r="E527" s="290" t="str">
        <f>IFERROR(__xludf.DUMMYFUNCTION("""COMPUTED_VALUE"""),"キミたち童貞？")</f>
        <v>キミたち童貞？</v>
      </c>
      <c r="F527" s="298" t="str">
        <f>IFERROR(__xludf.DUMMYFUNCTION("""COMPUTED_VALUE"""),"にったじゅん")</f>
        <v>にったじゅん</v>
      </c>
      <c r="G527" s="298" t="str">
        <f>IFERROR(__xludf.DUMMYFUNCTION("""COMPUTED_VALUE"""),"オトナコミック")</f>
        <v>オトナコミック</v>
      </c>
      <c r="H527" s="298" t="str">
        <f>IFERROR(__xludf.DUMMYFUNCTION("""COMPUTED_VALUE"""),"2024/11/25～）クレジットカードでの購入のみ停止")</f>
        <v>2024/11/25～）クレジットカードでの購入のみ停止</v>
      </c>
      <c r="I527" s="283"/>
      <c r="J527" s="283"/>
      <c r="K527" s="283"/>
      <c r="L527" s="283"/>
      <c r="M527" s="283"/>
      <c r="N527" s="283"/>
      <c r="O527" s="283"/>
      <c r="P527" s="283"/>
      <c r="Q527" s="278"/>
      <c r="R527" s="278"/>
      <c r="S527" s="278"/>
      <c r="T527" s="278"/>
      <c r="U527" s="278"/>
      <c r="V527" s="278"/>
      <c r="W527" s="278"/>
      <c r="X527" s="278"/>
      <c r="Y527" s="278"/>
      <c r="Z527" s="278"/>
      <c r="AA527" s="278"/>
      <c r="AB527" s="278"/>
      <c r="AC527" s="278"/>
    </row>
    <row r="528" ht="15.75" customHeight="1">
      <c r="A528" s="290" t="str">
        <f>IFERROR(__xludf.DUMMYFUNCTION("""COMPUTED_VALUE"""),"三和出版")</f>
        <v>三和出版</v>
      </c>
      <c r="B528" s="291">
        <f>IFERROR(__xludf.DUMMYFUNCTION("""COMPUTED_VALUE"""),45618.0)</f>
        <v>45618</v>
      </c>
      <c r="C528" s="292"/>
      <c r="D528" s="293">
        <f>IFERROR(__xludf.DUMMYFUNCTION("""COMPUTED_VALUE"""),81636.0)</f>
        <v>81636</v>
      </c>
      <c r="E528" s="290" t="str">
        <f>IFERROR(__xludf.DUMMYFUNCTION("""COMPUTED_VALUE"""),"ご～かん娘")</f>
        <v>ご～かん娘</v>
      </c>
      <c r="F528" s="298" t="str">
        <f>IFERROR(__xludf.DUMMYFUNCTION("""COMPUTED_VALUE"""),"一ノ瀬つづき")</f>
        <v>一ノ瀬つづき</v>
      </c>
      <c r="G528" s="298" t="str">
        <f>IFERROR(__xludf.DUMMYFUNCTION("""COMPUTED_VALUE"""),"オトナコミック")</f>
        <v>オトナコミック</v>
      </c>
      <c r="H528" s="298" t="str">
        <f>IFERROR(__xludf.DUMMYFUNCTION("""COMPUTED_VALUE"""),"2024/11/25～）クレジットカードでの購入のみ停止")</f>
        <v>2024/11/25～）クレジットカードでの購入のみ停止</v>
      </c>
      <c r="I528" s="283"/>
      <c r="J528" s="283"/>
      <c r="K528" s="283"/>
      <c r="L528" s="283"/>
      <c r="M528" s="283"/>
      <c r="N528" s="283"/>
      <c r="O528" s="283"/>
      <c r="P528" s="283"/>
      <c r="Q528" s="278"/>
      <c r="R528" s="278"/>
      <c r="S528" s="278"/>
      <c r="T528" s="278"/>
      <c r="U528" s="278"/>
      <c r="V528" s="278"/>
      <c r="W528" s="278"/>
      <c r="X528" s="278"/>
      <c r="Y528" s="278"/>
      <c r="Z528" s="278"/>
      <c r="AA528" s="278"/>
      <c r="AB528" s="278"/>
      <c r="AC528" s="278"/>
    </row>
    <row r="529" ht="15.75" customHeight="1">
      <c r="A529" s="290" t="str">
        <f>IFERROR(__xludf.DUMMYFUNCTION("""COMPUTED_VALUE"""),"三和出版")</f>
        <v>三和出版</v>
      </c>
      <c r="B529" s="291">
        <f>IFERROR(__xludf.DUMMYFUNCTION("""COMPUTED_VALUE"""),45618.0)</f>
        <v>45618</v>
      </c>
      <c r="C529" s="292"/>
      <c r="D529" s="293">
        <f>IFERROR(__xludf.DUMMYFUNCTION("""COMPUTED_VALUE"""),81650.0)</f>
        <v>81650</v>
      </c>
      <c r="E529" s="290" t="str">
        <f>IFERROR(__xludf.DUMMYFUNCTION("""COMPUTED_VALUE"""),"むちむち大百科")</f>
        <v>むちむち大百科</v>
      </c>
      <c r="F529" s="298" t="str">
        <f>IFERROR(__xludf.DUMMYFUNCTION("""COMPUTED_VALUE"""),"たこりーな画伯")</f>
        <v>たこりーな画伯</v>
      </c>
      <c r="G529" s="298" t="str">
        <f>IFERROR(__xludf.DUMMYFUNCTION("""COMPUTED_VALUE"""),"オトナコミック")</f>
        <v>オトナコミック</v>
      </c>
      <c r="H529" s="298" t="str">
        <f>IFERROR(__xludf.DUMMYFUNCTION("""COMPUTED_VALUE"""),"2024/11/25～）クレジットカードでの購入のみ停止")</f>
        <v>2024/11/25～）クレジットカードでの購入のみ停止</v>
      </c>
      <c r="I529" s="283"/>
      <c r="J529" s="283"/>
      <c r="K529" s="283"/>
      <c r="L529" s="283"/>
      <c r="M529" s="283"/>
      <c r="N529" s="283"/>
      <c r="O529" s="283"/>
      <c r="P529" s="283"/>
      <c r="Q529" s="278"/>
      <c r="R529" s="278"/>
      <c r="S529" s="278"/>
      <c r="T529" s="278"/>
      <c r="U529" s="278"/>
      <c r="V529" s="278"/>
      <c r="W529" s="278"/>
      <c r="X529" s="278"/>
      <c r="Y529" s="278"/>
      <c r="Z529" s="278"/>
      <c r="AA529" s="278"/>
      <c r="AB529" s="278"/>
      <c r="AC529" s="278"/>
    </row>
    <row r="530" ht="15.75" customHeight="1">
      <c r="A530" s="290" t="str">
        <f>IFERROR(__xludf.DUMMYFUNCTION("""COMPUTED_VALUE"""),"三和出版")</f>
        <v>三和出版</v>
      </c>
      <c r="B530" s="291">
        <f>IFERROR(__xludf.DUMMYFUNCTION("""COMPUTED_VALUE"""),45618.0)</f>
        <v>45618</v>
      </c>
      <c r="C530" s="292"/>
      <c r="D530" s="293">
        <f>IFERROR(__xludf.DUMMYFUNCTION("""COMPUTED_VALUE"""),81651.0)</f>
        <v>81651</v>
      </c>
      <c r="E530" s="290" t="str">
        <f>IFERROR(__xludf.DUMMYFUNCTION("""COMPUTED_VALUE"""),"ディープ淫パクト")</f>
        <v>ディープ淫パクト</v>
      </c>
      <c r="F530" s="298" t="str">
        <f>IFERROR(__xludf.DUMMYFUNCTION("""COMPUTED_VALUE"""),"ディープバレー")</f>
        <v>ディープバレー</v>
      </c>
      <c r="G530" s="298" t="str">
        <f>IFERROR(__xludf.DUMMYFUNCTION("""COMPUTED_VALUE"""),"オトナコミック")</f>
        <v>オトナコミック</v>
      </c>
      <c r="H530" s="298" t="str">
        <f>IFERROR(__xludf.DUMMYFUNCTION("""COMPUTED_VALUE"""),"2024/11/25～）クレジットカードでの購入のみ停止")</f>
        <v>2024/11/25～）クレジットカードでの購入のみ停止</v>
      </c>
      <c r="I530" s="283"/>
      <c r="J530" s="283"/>
      <c r="K530" s="283"/>
      <c r="L530" s="283"/>
      <c r="M530" s="283"/>
      <c r="N530" s="283"/>
      <c r="O530" s="283"/>
      <c r="P530" s="283"/>
      <c r="Q530" s="278"/>
      <c r="R530" s="278"/>
      <c r="S530" s="278"/>
      <c r="T530" s="278"/>
      <c r="U530" s="278"/>
      <c r="V530" s="278"/>
      <c r="W530" s="278"/>
      <c r="X530" s="278"/>
      <c r="Y530" s="278"/>
      <c r="Z530" s="278"/>
      <c r="AA530" s="278"/>
      <c r="AB530" s="278"/>
      <c r="AC530" s="278"/>
    </row>
    <row r="531" ht="15.75" customHeight="1">
      <c r="A531" s="290" t="str">
        <f>IFERROR(__xludf.DUMMYFUNCTION("""COMPUTED_VALUE"""),"三和出版")</f>
        <v>三和出版</v>
      </c>
      <c r="B531" s="291">
        <f>IFERROR(__xludf.DUMMYFUNCTION("""COMPUTED_VALUE"""),45618.0)</f>
        <v>45618</v>
      </c>
      <c r="C531" s="292"/>
      <c r="D531" s="293">
        <f>IFERROR(__xludf.DUMMYFUNCTION("""COMPUTED_VALUE"""),81661.0)</f>
        <v>81661</v>
      </c>
      <c r="E531" s="290" t="str">
        <f>IFERROR(__xludf.DUMMYFUNCTION("""COMPUTED_VALUE"""),"ラストフルベリー")</f>
        <v>ラストフルベリー</v>
      </c>
      <c r="F531" s="298" t="str">
        <f>IFERROR(__xludf.DUMMYFUNCTION("""COMPUTED_VALUE"""),"三糸シド")</f>
        <v>三糸シド</v>
      </c>
      <c r="G531" s="298" t="str">
        <f>IFERROR(__xludf.DUMMYFUNCTION("""COMPUTED_VALUE"""),"オトナコミック")</f>
        <v>オトナコミック</v>
      </c>
      <c r="H531" s="298" t="str">
        <f>IFERROR(__xludf.DUMMYFUNCTION("""COMPUTED_VALUE"""),"2024/11/25～）クレジットカードでの購入のみ停止")</f>
        <v>2024/11/25～）クレジットカードでの購入のみ停止</v>
      </c>
      <c r="I531" s="283"/>
      <c r="J531" s="283"/>
      <c r="K531" s="283"/>
      <c r="L531" s="283"/>
      <c r="M531" s="283"/>
      <c r="N531" s="283"/>
      <c r="O531" s="283"/>
      <c r="P531" s="283"/>
      <c r="Q531" s="278"/>
      <c r="R531" s="278"/>
      <c r="S531" s="278"/>
      <c r="T531" s="278"/>
      <c r="U531" s="278"/>
      <c r="V531" s="278"/>
      <c r="W531" s="278"/>
      <c r="X531" s="278"/>
      <c r="Y531" s="278"/>
      <c r="Z531" s="278"/>
      <c r="AA531" s="278"/>
      <c r="AB531" s="278"/>
      <c r="AC531" s="278"/>
    </row>
    <row r="532" ht="15.75" customHeight="1">
      <c r="A532" s="290" t="str">
        <f>IFERROR(__xludf.DUMMYFUNCTION("""COMPUTED_VALUE"""),"三和出版")</f>
        <v>三和出版</v>
      </c>
      <c r="B532" s="291">
        <f>IFERROR(__xludf.DUMMYFUNCTION("""COMPUTED_VALUE"""),45618.0)</f>
        <v>45618</v>
      </c>
      <c r="C532" s="292"/>
      <c r="D532" s="293">
        <f>IFERROR(__xludf.DUMMYFUNCTION("""COMPUTED_VALUE"""),96055.0)</f>
        <v>96055</v>
      </c>
      <c r="E532" s="290" t="str">
        <f>IFERROR(__xludf.DUMMYFUNCTION("""COMPUTED_VALUE"""),"嫐～ドS女子校生に輪姦される僕～")</f>
        <v>嫐～ドS女子校生に輪姦される僕～</v>
      </c>
      <c r="F532" s="298" t="str">
        <f>IFERROR(__xludf.DUMMYFUNCTION("""COMPUTED_VALUE"""),"ｃｌｏｖｅｒ")</f>
        <v>ｃｌｏｖｅｒ</v>
      </c>
      <c r="G532" s="298" t="str">
        <f>IFERROR(__xludf.DUMMYFUNCTION("""COMPUTED_VALUE"""),"オトナコミック")</f>
        <v>オトナコミック</v>
      </c>
      <c r="H532" s="298" t="str">
        <f>IFERROR(__xludf.DUMMYFUNCTION("""COMPUTED_VALUE"""),"2024/11/25～）クレジットカードでの購入のみ停止")</f>
        <v>2024/11/25～）クレジットカードでの購入のみ停止</v>
      </c>
      <c r="I532" s="283"/>
      <c r="J532" s="283"/>
      <c r="K532" s="283"/>
      <c r="L532" s="283"/>
      <c r="M532" s="283"/>
      <c r="N532" s="283"/>
      <c r="O532" s="283"/>
      <c r="P532" s="283"/>
      <c r="Q532" s="278"/>
      <c r="R532" s="278"/>
      <c r="S532" s="278"/>
      <c r="T532" s="278"/>
      <c r="U532" s="278"/>
      <c r="V532" s="278"/>
      <c r="W532" s="278"/>
      <c r="X532" s="278"/>
      <c r="Y532" s="278"/>
      <c r="Z532" s="278"/>
      <c r="AA532" s="278"/>
      <c r="AB532" s="278"/>
      <c r="AC532" s="278"/>
    </row>
    <row r="533" ht="15.75" customHeight="1">
      <c r="A533" s="290" t="str">
        <f>IFERROR(__xludf.DUMMYFUNCTION("""COMPUTED_VALUE"""),"三和出版")</f>
        <v>三和出版</v>
      </c>
      <c r="B533" s="291">
        <f>IFERROR(__xludf.DUMMYFUNCTION("""COMPUTED_VALUE"""),45618.0)</f>
        <v>45618</v>
      </c>
      <c r="C533" s="292"/>
      <c r="D533" s="293">
        <f>IFERROR(__xludf.DUMMYFUNCTION("""COMPUTED_VALUE"""),101908.0)</f>
        <v>101908</v>
      </c>
      <c r="E533" s="290" t="str">
        <f>IFERROR(__xludf.DUMMYFUNCTION("""COMPUTED_VALUE"""),"受精願望")</f>
        <v>受精願望</v>
      </c>
      <c r="F533" s="298" t="str">
        <f>IFERROR(__xludf.DUMMYFUNCTION("""COMPUTED_VALUE"""),"三糸シド")</f>
        <v>三糸シド</v>
      </c>
      <c r="G533" s="298" t="str">
        <f>IFERROR(__xludf.DUMMYFUNCTION("""COMPUTED_VALUE"""),"オトナコミック")</f>
        <v>オトナコミック</v>
      </c>
      <c r="H533" s="298" t="str">
        <f>IFERROR(__xludf.DUMMYFUNCTION("""COMPUTED_VALUE"""),"2024/11/25～）クレジットカードでの購入のみ停止")</f>
        <v>2024/11/25～）クレジットカードでの購入のみ停止</v>
      </c>
      <c r="I533" s="283"/>
      <c r="J533" s="283"/>
      <c r="K533" s="283"/>
      <c r="L533" s="283"/>
      <c r="M533" s="283"/>
      <c r="N533" s="283"/>
      <c r="O533" s="283"/>
      <c r="P533" s="283"/>
      <c r="Q533" s="278"/>
      <c r="R533" s="278"/>
      <c r="S533" s="278"/>
      <c r="T533" s="278"/>
      <c r="U533" s="278"/>
      <c r="V533" s="278"/>
      <c r="W533" s="278"/>
      <c r="X533" s="278"/>
      <c r="Y533" s="278"/>
      <c r="Z533" s="278"/>
      <c r="AA533" s="278"/>
      <c r="AB533" s="278"/>
      <c r="AC533" s="278"/>
    </row>
    <row r="534" ht="15.75" customHeight="1">
      <c r="A534" s="290" t="str">
        <f>IFERROR(__xludf.DUMMYFUNCTION("""COMPUTED_VALUE"""),"三和出版")</f>
        <v>三和出版</v>
      </c>
      <c r="B534" s="291">
        <f>IFERROR(__xludf.DUMMYFUNCTION("""COMPUTED_VALUE"""),45618.0)</f>
        <v>45618</v>
      </c>
      <c r="C534" s="292"/>
      <c r="D534" s="293">
        <f>IFERROR(__xludf.DUMMYFUNCTION("""COMPUTED_VALUE"""),132976.0)</f>
        <v>132976</v>
      </c>
      <c r="E534" s="290" t="str">
        <f>IFERROR(__xludf.DUMMYFUNCTION("""COMPUTED_VALUE"""),"絶望ハメ堕ちJK")</f>
        <v>絶望ハメ堕ちJK</v>
      </c>
      <c r="F534" s="298" t="str">
        <f>IFERROR(__xludf.DUMMYFUNCTION("""COMPUTED_VALUE"""),"ナユザキナツミ")</f>
        <v>ナユザキナツミ</v>
      </c>
      <c r="G534" s="298" t="str">
        <f>IFERROR(__xludf.DUMMYFUNCTION("""COMPUTED_VALUE"""),"オトナコミック")</f>
        <v>オトナコミック</v>
      </c>
      <c r="H534" s="298" t="str">
        <f>IFERROR(__xludf.DUMMYFUNCTION("""COMPUTED_VALUE"""),"2024/11/25～）クレジットカードでの購入のみ停止")</f>
        <v>2024/11/25～）クレジットカードでの購入のみ停止</v>
      </c>
      <c r="I534" s="283"/>
      <c r="J534" s="283"/>
      <c r="K534" s="283"/>
      <c r="L534" s="283"/>
      <c r="M534" s="283"/>
      <c r="N534" s="283"/>
      <c r="O534" s="283"/>
      <c r="P534" s="283"/>
      <c r="Q534" s="278"/>
      <c r="R534" s="278"/>
      <c r="S534" s="278"/>
      <c r="T534" s="278"/>
      <c r="U534" s="278"/>
      <c r="V534" s="278"/>
      <c r="W534" s="278"/>
      <c r="X534" s="278"/>
      <c r="Y534" s="278"/>
      <c r="Z534" s="278"/>
      <c r="AA534" s="278"/>
      <c r="AB534" s="278"/>
      <c r="AC534" s="278"/>
    </row>
    <row r="535" ht="15.75" customHeight="1">
      <c r="A535" s="290" t="str">
        <f>IFERROR(__xludf.DUMMYFUNCTION("""COMPUTED_VALUE"""),"三和出版")</f>
        <v>三和出版</v>
      </c>
      <c r="B535" s="291">
        <f>IFERROR(__xludf.DUMMYFUNCTION("""COMPUTED_VALUE"""),45618.0)</f>
        <v>45618</v>
      </c>
      <c r="C535" s="292"/>
      <c r="D535" s="293">
        <f>IFERROR(__xludf.DUMMYFUNCTION("""COMPUTED_VALUE"""),134800.0)</f>
        <v>134800</v>
      </c>
      <c r="E535" s="290" t="str">
        <f>IFERROR(__xludf.DUMMYFUNCTION("""COMPUTED_VALUE"""),"密着性癖 ～ぴたぴた競泳水着セレクション～")</f>
        <v>密着性癖 ～ぴたぴた競泳水着セレクション～</v>
      </c>
      <c r="F535" s="298" t="str">
        <f>IFERROR(__xludf.DUMMYFUNCTION("""COMPUTED_VALUE"""),"紫☆にゃ～")</f>
        <v>紫☆にゃ～</v>
      </c>
      <c r="G535" s="298" t="str">
        <f>IFERROR(__xludf.DUMMYFUNCTION("""COMPUTED_VALUE"""),"オトナコミック")</f>
        <v>オトナコミック</v>
      </c>
      <c r="H535" s="298" t="str">
        <f>IFERROR(__xludf.DUMMYFUNCTION("""COMPUTED_VALUE"""),"2024/11/25～）クレジットカードでの購入のみ停止")</f>
        <v>2024/11/25～）クレジットカードでの購入のみ停止</v>
      </c>
      <c r="I535" s="283"/>
      <c r="J535" s="283"/>
      <c r="K535" s="283"/>
      <c r="L535" s="283"/>
      <c r="M535" s="283"/>
      <c r="N535" s="283"/>
      <c r="O535" s="283"/>
      <c r="P535" s="283"/>
      <c r="Q535" s="278"/>
      <c r="R535" s="278"/>
      <c r="S535" s="278"/>
      <c r="T535" s="278"/>
      <c r="U535" s="278"/>
      <c r="V535" s="278"/>
      <c r="W535" s="278"/>
      <c r="X535" s="278"/>
      <c r="Y535" s="278"/>
      <c r="Z535" s="278"/>
      <c r="AA535" s="278"/>
      <c r="AB535" s="278"/>
      <c r="AC535" s="278"/>
    </row>
    <row r="536" ht="15.75" customHeight="1">
      <c r="A536" s="290" t="str">
        <f>IFERROR(__xludf.DUMMYFUNCTION("""COMPUTED_VALUE"""),"三和出版")</f>
        <v>三和出版</v>
      </c>
      <c r="B536" s="291">
        <f>IFERROR(__xludf.DUMMYFUNCTION("""COMPUTED_VALUE"""),45618.0)</f>
        <v>45618</v>
      </c>
      <c r="C536" s="292"/>
      <c r="D536" s="293">
        <f>IFERROR(__xludf.DUMMYFUNCTION("""COMPUTED_VALUE"""),136654.0)</f>
        <v>136654</v>
      </c>
      <c r="E536" s="290" t="str">
        <f>IFERROR(__xludf.DUMMYFUNCTION("""COMPUTED_VALUE"""),"輪姦る彼女達の日常。")</f>
        <v>輪姦る彼女達の日常。</v>
      </c>
      <c r="F536" s="298" t="str">
        <f>IFERROR(__xludf.DUMMYFUNCTION("""COMPUTED_VALUE"""),"三糸シド")</f>
        <v>三糸シド</v>
      </c>
      <c r="G536" s="298" t="str">
        <f>IFERROR(__xludf.DUMMYFUNCTION("""COMPUTED_VALUE"""),"オトナコミック")</f>
        <v>オトナコミック</v>
      </c>
      <c r="H536" s="298" t="str">
        <f>IFERROR(__xludf.DUMMYFUNCTION("""COMPUTED_VALUE"""),"2024/11/25～）クレジットカードでの購入のみ停止")</f>
        <v>2024/11/25～）クレジットカードでの購入のみ停止</v>
      </c>
      <c r="I536" s="283"/>
      <c r="J536" s="283"/>
      <c r="K536" s="283"/>
      <c r="L536" s="283"/>
      <c r="M536" s="283"/>
      <c r="N536" s="283"/>
      <c r="O536" s="283"/>
      <c r="P536" s="283"/>
      <c r="Q536" s="278"/>
      <c r="R536" s="278"/>
      <c r="S536" s="278"/>
      <c r="T536" s="278"/>
      <c r="U536" s="278"/>
      <c r="V536" s="278"/>
      <c r="W536" s="278"/>
      <c r="X536" s="278"/>
      <c r="Y536" s="278"/>
      <c r="Z536" s="278"/>
      <c r="AA536" s="278"/>
      <c r="AB536" s="278"/>
      <c r="AC536" s="278"/>
    </row>
    <row r="537" ht="15.75" customHeight="1">
      <c r="A537" s="290" t="str">
        <f>IFERROR(__xludf.DUMMYFUNCTION("""COMPUTED_VALUE"""),"三和出版")</f>
        <v>三和出版</v>
      </c>
      <c r="B537" s="291">
        <f>IFERROR(__xludf.DUMMYFUNCTION("""COMPUTED_VALUE"""),45618.0)</f>
        <v>45618</v>
      </c>
      <c r="C537" s="292"/>
      <c r="D537" s="293">
        <f>IFERROR(__xludf.DUMMYFUNCTION("""COMPUTED_VALUE"""),153650.0)</f>
        <v>153650</v>
      </c>
      <c r="E537" s="290" t="str">
        <f>IFERROR(__xludf.DUMMYFUNCTION("""COMPUTED_VALUE"""),"メス堕ち全壊少女！")</f>
        <v>メス堕ち全壊少女！</v>
      </c>
      <c r="F537" s="298" t="str">
        <f>IFERROR(__xludf.DUMMYFUNCTION("""COMPUTED_VALUE"""),"ナユザキナツミ")</f>
        <v>ナユザキナツミ</v>
      </c>
      <c r="G537" s="298" t="str">
        <f>IFERROR(__xludf.DUMMYFUNCTION("""COMPUTED_VALUE"""),"オトナコミック")</f>
        <v>オトナコミック</v>
      </c>
      <c r="H537" s="298" t="str">
        <f>IFERROR(__xludf.DUMMYFUNCTION("""COMPUTED_VALUE"""),"2024/11/25～）クレジットカードでの購入のみ停止")</f>
        <v>2024/11/25～）クレジットカードでの購入のみ停止</v>
      </c>
      <c r="I537" s="283"/>
      <c r="J537" s="283"/>
      <c r="K537" s="283"/>
      <c r="L537" s="283"/>
      <c r="M537" s="283"/>
      <c r="N537" s="283"/>
      <c r="O537" s="283"/>
      <c r="P537" s="283"/>
      <c r="Q537" s="278"/>
      <c r="R537" s="278"/>
      <c r="S537" s="278"/>
      <c r="T537" s="278"/>
      <c r="U537" s="278"/>
      <c r="V537" s="278"/>
      <c r="W537" s="278"/>
      <c r="X537" s="278"/>
      <c r="Y537" s="278"/>
      <c r="Z537" s="278"/>
      <c r="AA537" s="278"/>
      <c r="AB537" s="278"/>
      <c r="AC537" s="278"/>
    </row>
    <row r="538" ht="15.75" customHeight="1">
      <c r="A538" s="290" t="str">
        <f>IFERROR(__xludf.DUMMYFUNCTION("""COMPUTED_VALUE"""),"三和出版")</f>
        <v>三和出版</v>
      </c>
      <c r="B538" s="291">
        <f>IFERROR(__xludf.DUMMYFUNCTION("""COMPUTED_VALUE"""),45618.0)</f>
        <v>45618</v>
      </c>
      <c r="C538" s="292"/>
      <c r="D538" s="293">
        <f>IFERROR(__xludf.DUMMYFUNCTION("""COMPUTED_VALUE"""),153651.0)</f>
        <v>153651</v>
      </c>
      <c r="E538" s="290" t="str">
        <f>IFERROR(__xludf.DUMMYFUNCTION("""COMPUTED_VALUE"""),"ドS女子が絶対にセックスで逆転されない世界")</f>
        <v>ドS女子が絶対にセックスで逆転されない世界</v>
      </c>
      <c r="F538" s="298" t="str">
        <f>IFERROR(__xludf.DUMMYFUNCTION("""COMPUTED_VALUE"""),"シャーベルタイガー / コネズ / もりやままどか")</f>
        <v>シャーベルタイガー / コネズ / もりやままどか</v>
      </c>
      <c r="G538" s="298" t="str">
        <f>IFERROR(__xludf.DUMMYFUNCTION("""COMPUTED_VALUE"""),"オトナコミック")</f>
        <v>オトナコミック</v>
      </c>
      <c r="H538" s="298" t="str">
        <f>IFERROR(__xludf.DUMMYFUNCTION("""COMPUTED_VALUE"""),"2024/11/25～）クレジットカードでの購入のみ停止")</f>
        <v>2024/11/25～）クレジットカードでの購入のみ停止</v>
      </c>
      <c r="I538" s="283"/>
      <c r="J538" s="283"/>
      <c r="K538" s="283"/>
      <c r="L538" s="283"/>
      <c r="M538" s="283"/>
      <c r="N538" s="283"/>
      <c r="O538" s="283"/>
      <c r="P538" s="283"/>
      <c r="Q538" s="278"/>
      <c r="R538" s="278"/>
      <c r="S538" s="278"/>
      <c r="T538" s="278"/>
      <c r="U538" s="278"/>
      <c r="V538" s="278"/>
      <c r="W538" s="278"/>
      <c r="X538" s="278"/>
      <c r="Y538" s="278"/>
      <c r="Z538" s="278"/>
      <c r="AA538" s="278"/>
      <c r="AB538" s="278"/>
      <c r="AC538" s="278"/>
    </row>
    <row r="539" ht="15.75" customHeight="1">
      <c r="A539" s="290" t="str">
        <f>IFERROR(__xludf.DUMMYFUNCTION("""COMPUTED_VALUE"""),"三和出版")</f>
        <v>三和出版</v>
      </c>
      <c r="B539" s="291">
        <f>IFERROR(__xludf.DUMMYFUNCTION("""COMPUTED_VALUE"""),45618.0)</f>
        <v>45618</v>
      </c>
      <c r="C539" s="292"/>
      <c r="D539" s="293">
        <f>IFERROR(__xludf.DUMMYFUNCTION("""COMPUTED_VALUE"""),155459.0)</f>
        <v>155459</v>
      </c>
      <c r="E539" s="290" t="str">
        <f>IFERROR(__xludf.DUMMYFUNCTION("""COMPUTED_VALUE"""),"肛姦♂メス堕ちオトコのコ")</f>
        <v>肛姦♂メス堕ちオトコのコ</v>
      </c>
      <c r="F539" s="298" t="str">
        <f>IFERROR(__xludf.DUMMYFUNCTION("""COMPUTED_VALUE"""),"神林タカキ")</f>
        <v>神林タカキ</v>
      </c>
      <c r="G539" s="298" t="str">
        <f>IFERROR(__xludf.DUMMYFUNCTION("""COMPUTED_VALUE"""),"オトナコミック")</f>
        <v>オトナコミック</v>
      </c>
      <c r="H539" s="298" t="str">
        <f>IFERROR(__xludf.DUMMYFUNCTION("""COMPUTED_VALUE"""),"2024/11/25～）クレジットカードでの購入のみ停止")</f>
        <v>2024/11/25～）クレジットカードでの購入のみ停止</v>
      </c>
      <c r="I539" s="283"/>
      <c r="J539" s="283"/>
      <c r="K539" s="283"/>
      <c r="L539" s="283"/>
      <c r="M539" s="283"/>
      <c r="N539" s="283"/>
      <c r="O539" s="283"/>
      <c r="P539" s="283"/>
      <c r="Q539" s="278"/>
      <c r="R539" s="278"/>
      <c r="S539" s="278"/>
      <c r="T539" s="278"/>
      <c r="U539" s="278"/>
      <c r="V539" s="278"/>
      <c r="W539" s="278"/>
      <c r="X539" s="278"/>
      <c r="Y539" s="278"/>
      <c r="Z539" s="278"/>
      <c r="AA539" s="278"/>
      <c r="AB539" s="278"/>
      <c r="AC539" s="278"/>
    </row>
    <row r="540" ht="15.75" customHeight="1">
      <c r="A540" s="290" t="str">
        <f>IFERROR(__xludf.DUMMYFUNCTION("""COMPUTED_VALUE"""),"三和出版")</f>
        <v>三和出版</v>
      </c>
      <c r="B540" s="291">
        <f>IFERROR(__xludf.DUMMYFUNCTION("""COMPUTED_VALUE"""),45618.0)</f>
        <v>45618</v>
      </c>
      <c r="C540" s="292"/>
      <c r="D540" s="293">
        <f>IFERROR(__xludf.DUMMYFUNCTION("""COMPUTED_VALUE"""),156999.0)</f>
        <v>156999</v>
      </c>
      <c r="E540" s="290" t="str">
        <f>IFERROR(__xludf.DUMMYFUNCTION("""COMPUTED_VALUE"""),"ムリ犯り発情スイッチ！")</f>
        <v>ムリ犯り発情スイッチ！</v>
      </c>
      <c r="F540" s="298" t="str">
        <f>IFERROR(__xludf.DUMMYFUNCTION("""COMPUTED_VALUE"""),"みずやん")</f>
        <v>みずやん</v>
      </c>
      <c r="G540" s="298" t="str">
        <f>IFERROR(__xludf.DUMMYFUNCTION("""COMPUTED_VALUE"""),"オトナコミック")</f>
        <v>オトナコミック</v>
      </c>
      <c r="H540" s="298" t="str">
        <f>IFERROR(__xludf.DUMMYFUNCTION("""COMPUTED_VALUE"""),"2024/11/25～）クレジットカードでの購入のみ停止")</f>
        <v>2024/11/25～）クレジットカードでの購入のみ停止</v>
      </c>
      <c r="I540" s="283"/>
      <c r="J540" s="283"/>
      <c r="K540" s="283"/>
      <c r="L540" s="283"/>
      <c r="M540" s="283"/>
      <c r="N540" s="283"/>
      <c r="O540" s="283"/>
      <c r="P540" s="283"/>
      <c r="Q540" s="278"/>
      <c r="R540" s="278"/>
      <c r="S540" s="278"/>
      <c r="T540" s="278"/>
      <c r="U540" s="278"/>
      <c r="V540" s="278"/>
      <c r="W540" s="278"/>
      <c r="X540" s="278"/>
      <c r="Y540" s="278"/>
      <c r="Z540" s="278"/>
      <c r="AA540" s="278"/>
      <c r="AB540" s="278"/>
      <c r="AC540" s="278"/>
    </row>
    <row r="541" ht="15.75" customHeight="1">
      <c r="A541" s="290" t="str">
        <f>IFERROR(__xludf.DUMMYFUNCTION("""COMPUTED_VALUE"""),"三和出版")</f>
        <v>三和出版</v>
      </c>
      <c r="B541" s="291">
        <f>IFERROR(__xludf.DUMMYFUNCTION("""COMPUTED_VALUE"""),45618.0)</f>
        <v>45618</v>
      </c>
      <c r="C541" s="292"/>
      <c r="D541" s="293">
        <f>IFERROR(__xludf.DUMMYFUNCTION("""COMPUTED_VALUE"""),157001.0)</f>
        <v>157001</v>
      </c>
      <c r="E541" s="290" t="str">
        <f>IFERROR(__xludf.DUMMYFUNCTION("""COMPUTED_VALUE"""),"ムリ犯り♂オトコのコ")</f>
        <v>ムリ犯り♂オトコのコ</v>
      </c>
      <c r="F541" s="298" t="str">
        <f>IFERROR(__xludf.DUMMYFUNCTION("""COMPUTED_VALUE"""),"神林タカキ")</f>
        <v>神林タカキ</v>
      </c>
      <c r="G541" s="298" t="str">
        <f>IFERROR(__xludf.DUMMYFUNCTION("""COMPUTED_VALUE"""),"オトナコミック")</f>
        <v>オトナコミック</v>
      </c>
      <c r="H541" s="298" t="str">
        <f>IFERROR(__xludf.DUMMYFUNCTION("""COMPUTED_VALUE"""),"2024/11/25～）クレジットカードでの購入のみ停止")</f>
        <v>2024/11/25～）クレジットカードでの購入のみ停止</v>
      </c>
      <c r="I541" s="283"/>
      <c r="J541" s="283"/>
      <c r="K541" s="283"/>
      <c r="L541" s="283"/>
      <c r="M541" s="283"/>
      <c r="N541" s="283"/>
      <c r="O541" s="283"/>
      <c r="P541" s="283"/>
      <c r="Q541" s="278"/>
      <c r="R541" s="278"/>
      <c r="S541" s="278"/>
      <c r="T541" s="278"/>
      <c r="U541" s="278"/>
      <c r="V541" s="278"/>
      <c r="W541" s="278"/>
      <c r="X541" s="278"/>
      <c r="Y541" s="278"/>
      <c r="Z541" s="278"/>
      <c r="AA541" s="278"/>
      <c r="AB541" s="278"/>
      <c r="AC541" s="278"/>
    </row>
    <row r="542" ht="15.75" customHeight="1">
      <c r="A542" s="290" t="str">
        <f>IFERROR(__xludf.DUMMYFUNCTION("""COMPUTED_VALUE"""),"三和出版")</f>
        <v>三和出版</v>
      </c>
      <c r="B542" s="291">
        <f>IFERROR(__xludf.DUMMYFUNCTION("""COMPUTED_VALUE"""),45618.0)</f>
        <v>45618</v>
      </c>
      <c r="C542" s="292"/>
      <c r="D542" s="293">
        <f>IFERROR(__xludf.DUMMYFUNCTION("""COMPUTED_VALUE"""),171777.0)</f>
        <v>171777</v>
      </c>
      <c r="E542" s="290" t="str">
        <f>IFERROR(__xludf.DUMMYFUNCTION("""COMPUTED_VALUE"""),"ヤリすぎ少女の壊し方。")</f>
        <v>ヤリすぎ少女の壊し方。</v>
      </c>
      <c r="F542" s="298" t="str">
        <f>IFERROR(__xludf.DUMMYFUNCTION("""COMPUTED_VALUE"""),"七保志天十")</f>
        <v>七保志天十</v>
      </c>
      <c r="G542" s="298" t="str">
        <f>IFERROR(__xludf.DUMMYFUNCTION("""COMPUTED_VALUE"""),"オトナコミック")</f>
        <v>オトナコミック</v>
      </c>
      <c r="H542" s="298" t="str">
        <f>IFERROR(__xludf.DUMMYFUNCTION("""COMPUTED_VALUE"""),"2024/11/25～）クレジットカードでの購入のみ停止")</f>
        <v>2024/11/25～）クレジットカードでの購入のみ停止</v>
      </c>
      <c r="I542" s="283"/>
      <c r="J542" s="283"/>
      <c r="K542" s="283"/>
      <c r="L542" s="283"/>
      <c r="M542" s="283"/>
      <c r="N542" s="283"/>
      <c r="O542" s="283"/>
      <c r="P542" s="283"/>
      <c r="Q542" s="278"/>
      <c r="R542" s="278"/>
      <c r="S542" s="278"/>
      <c r="T542" s="278"/>
      <c r="U542" s="278"/>
      <c r="V542" s="278"/>
      <c r="W542" s="278"/>
      <c r="X542" s="278"/>
      <c r="Y542" s="278"/>
      <c r="Z542" s="278"/>
      <c r="AA542" s="278"/>
      <c r="AB542" s="278"/>
      <c r="AC542" s="278"/>
    </row>
    <row r="543" ht="15.75" customHeight="1">
      <c r="A543" s="290" t="str">
        <f>IFERROR(__xludf.DUMMYFUNCTION("""COMPUTED_VALUE"""),"三和出版")</f>
        <v>三和出版</v>
      </c>
      <c r="B543" s="291">
        <f>IFERROR(__xludf.DUMMYFUNCTION("""COMPUTED_VALUE"""),45618.0)</f>
        <v>45618</v>
      </c>
      <c r="C543" s="292"/>
      <c r="D543" s="293">
        <f>IFERROR(__xludf.DUMMYFUNCTION("""COMPUTED_VALUE"""),182659.0)</f>
        <v>182659</v>
      </c>
      <c r="E543" s="290" t="str">
        <f>IFERROR(__xludf.DUMMYFUNCTION("""COMPUTED_VALUE"""),"肉姦ナマハメ少女")</f>
        <v>肉姦ナマハメ少女</v>
      </c>
      <c r="F543" s="298" t="str">
        <f>IFERROR(__xludf.DUMMYFUNCTION("""COMPUTED_VALUE"""),"ナユザキナツミ")</f>
        <v>ナユザキナツミ</v>
      </c>
      <c r="G543" s="298" t="str">
        <f>IFERROR(__xludf.DUMMYFUNCTION("""COMPUTED_VALUE"""),"オトナコミック")</f>
        <v>オトナコミック</v>
      </c>
      <c r="H543" s="298" t="str">
        <f>IFERROR(__xludf.DUMMYFUNCTION("""COMPUTED_VALUE"""),"2024/11/25～）クレジットカードでの購入のみ停止")</f>
        <v>2024/11/25～）クレジットカードでの購入のみ停止</v>
      </c>
      <c r="I543" s="283"/>
      <c r="J543" s="283"/>
      <c r="K543" s="283"/>
      <c r="L543" s="283"/>
      <c r="M543" s="283"/>
      <c r="N543" s="283"/>
      <c r="O543" s="283"/>
      <c r="P543" s="283"/>
      <c r="Q543" s="278"/>
      <c r="R543" s="278"/>
      <c r="S543" s="278"/>
      <c r="T543" s="278"/>
      <c r="U543" s="278"/>
      <c r="V543" s="278"/>
      <c r="W543" s="278"/>
      <c r="X543" s="278"/>
      <c r="Y543" s="278"/>
      <c r="Z543" s="278"/>
      <c r="AA543" s="278"/>
      <c r="AB543" s="278"/>
      <c r="AC543" s="278"/>
    </row>
    <row r="544" ht="15.75" customHeight="1">
      <c r="A544" s="290" t="str">
        <f>IFERROR(__xludf.DUMMYFUNCTION("""COMPUTED_VALUE"""),"三和出版")</f>
        <v>三和出版</v>
      </c>
      <c r="B544" s="291">
        <f>IFERROR(__xludf.DUMMYFUNCTION("""COMPUTED_VALUE"""),45618.0)</f>
        <v>45618</v>
      </c>
      <c r="C544" s="292"/>
      <c r="D544" s="293">
        <f>IFERROR(__xludf.DUMMYFUNCTION("""COMPUTED_VALUE"""),192494.0)</f>
        <v>192494</v>
      </c>
      <c r="E544" s="290" t="str">
        <f>IFERROR(__xludf.DUMMYFUNCTION("""COMPUTED_VALUE"""),"俺の女の性長記録。")</f>
        <v>俺の女の性長記録。</v>
      </c>
      <c r="F544" s="298" t="str">
        <f>IFERROR(__xludf.DUMMYFUNCTION("""COMPUTED_VALUE"""),"ナユザキナツミ")</f>
        <v>ナユザキナツミ</v>
      </c>
      <c r="G544" s="298" t="str">
        <f>IFERROR(__xludf.DUMMYFUNCTION("""COMPUTED_VALUE"""),"オトナコミック")</f>
        <v>オトナコミック</v>
      </c>
      <c r="H544" s="298" t="str">
        <f>IFERROR(__xludf.DUMMYFUNCTION("""COMPUTED_VALUE"""),"2024/11/25～）クレジットカードでの購入のみ停止")</f>
        <v>2024/11/25～）クレジットカードでの購入のみ停止</v>
      </c>
      <c r="I544" s="283"/>
      <c r="J544" s="283"/>
      <c r="K544" s="283"/>
      <c r="L544" s="283"/>
      <c r="M544" s="283"/>
      <c r="N544" s="283"/>
      <c r="O544" s="283"/>
      <c r="P544" s="283"/>
      <c r="Q544" s="278"/>
      <c r="R544" s="278"/>
      <c r="S544" s="278"/>
      <c r="T544" s="278"/>
      <c r="U544" s="278"/>
      <c r="V544" s="278"/>
      <c r="W544" s="278"/>
      <c r="X544" s="278"/>
      <c r="Y544" s="278"/>
      <c r="Z544" s="278"/>
      <c r="AA544" s="278"/>
      <c r="AB544" s="278"/>
      <c r="AC544" s="278"/>
    </row>
    <row r="545" ht="15.75" customHeight="1">
      <c r="A545" s="290" t="str">
        <f>IFERROR(__xludf.DUMMYFUNCTION("""COMPUTED_VALUE"""),"三和出版")</f>
        <v>三和出版</v>
      </c>
      <c r="B545" s="291">
        <f>IFERROR(__xludf.DUMMYFUNCTION("""COMPUTED_VALUE"""),45618.0)</f>
        <v>45618</v>
      </c>
      <c r="C545" s="292"/>
      <c r="D545" s="293">
        <f>IFERROR(__xludf.DUMMYFUNCTION("""COMPUTED_VALUE"""),206460.0)</f>
        <v>206460</v>
      </c>
      <c r="E545" s="290" t="str">
        <f>IFERROR(__xludf.DUMMYFUNCTION("""COMPUTED_VALUE"""),"美少女フリージャック！！")</f>
        <v>美少女フリージャック！！</v>
      </c>
      <c r="F545" s="298" t="str">
        <f>IFERROR(__xludf.DUMMYFUNCTION("""COMPUTED_VALUE"""),"ヌクヌクオレンジ / にったじゅん / ジロウ / ナユザキナツミ / 七保志天十 / 蜜姫モカ")</f>
        <v>ヌクヌクオレンジ / にったじゅん / ジロウ / ナユザキナツミ / 七保志天十 / 蜜姫モカ</v>
      </c>
      <c r="G545" s="298" t="str">
        <f>IFERROR(__xludf.DUMMYFUNCTION("""COMPUTED_VALUE"""),"オトナコミック")</f>
        <v>オトナコミック</v>
      </c>
      <c r="H545" s="298" t="str">
        <f>IFERROR(__xludf.DUMMYFUNCTION("""COMPUTED_VALUE"""),"2024/11/25～）クレジットカードでの購入のみ停止")</f>
        <v>2024/11/25～）クレジットカードでの購入のみ停止</v>
      </c>
      <c r="I545" s="283"/>
      <c r="J545" s="283"/>
      <c r="K545" s="283"/>
      <c r="L545" s="283"/>
      <c r="M545" s="283"/>
      <c r="N545" s="283"/>
      <c r="O545" s="283"/>
      <c r="P545" s="283"/>
      <c r="Q545" s="278"/>
      <c r="R545" s="278"/>
      <c r="S545" s="278"/>
      <c r="T545" s="278"/>
      <c r="U545" s="278"/>
      <c r="V545" s="278"/>
      <c r="W545" s="278"/>
      <c r="X545" s="278"/>
      <c r="Y545" s="278"/>
      <c r="Z545" s="278"/>
      <c r="AA545" s="278"/>
      <c r="AB545" s="278"/>
      <c r="AC545" s="278"/>
    </row>
    <row r="546" ht="15.75" customHeight="1">
      <c r="A546" s="290" t="str">
        <f>IFERROR(__xludf.DUMMYFUNCTION("""COMPUTED_VALUE"""),"三和出版")</f>
        <v>三和出版</v>
      </c>
      <c r="B546" s="291">
        <f>IFERROR(__xludf.DUMMYFUNCTION("""COMPUTED_VALUE"""),45618.0)</f>
        <v>45618</v>
      </c>
      <c r="C546" s="292"/>
      <c r="D546" s="293">
        <f>IFERROR(__xludf.DUMMYFUNCTION("""COMPUTED_VALUE"""),223764.0)</f>
        <v>223764</v>
      </c>
      <c r="E546" s="290" t="str">
        <f>IFERROR(__xludf.DUMMYFUNCTION("""COMPUTED_VALUE"""),"癖になるJKセックス！")</f>
        <v>癖になるJKセックス！</v>
      </c>
      <c r="F546" s="298" t="str">
        <f>IFERROR(__xludf.DUMMYFUNCTION("""COMPUTED_VALUE"""),"ナユザキナツミ")</f>
        <v>ナユザキナツミ</v>
      </c>
      <c r="G546" s="298" t="str">
        <f>IFERROR(__xludf.DUMMYFUNCTION("""COMPUTED_VALUE"""),"オトナコミック")</f>
        <v>オトナコミック</v>
      </c>
      <c r="H546" s="298" t="str">
        <f>IFERROR(__xludf.DUMMYFUNCTION("""COMPUTED_VALUE"""),"2024/11/25～）クレジットカードでの購入のみ停止")</f>
        <v>2024/11/25～）クレジットカードでの購入のみ停止</v>
      </c>
      <c r="I546" s="283"/>
      <c r="J546" s="283"/>
      <c r="K546" s="283"/>
      <c r="L546" s="283"/>
      <c r="M546" s="283"/>
      <c r="N546" s="283"/>
      <c r="O546" s="283"/>
      <c r="P546" s="283"/>
      <c r="Q546" s="278"/>
      <c r="R546" s="278"/>
      <c r="S546" s="278"/>
      <c r="T546" s="278"/>
      <c r="U546" s="278"/>
      <c r="V546" s="278"/>
      <c r="W546" s="278"/>
      <c r="X546" s="278"/>
      <c r="Y546" s="278"/>
      <c r="Z546" s="278"/>
      <c r="AA546" s="278"/>
      <c r="AB546" s="278"/>
      <c r="AC546" s="278"/>
    </row>
    <row r="547" ht="15.75" customHeight="1">
      <c r="A547" s="290" t="str">
        <f>IFERROR(__xludf.DUMMYFUNCTION("""COMPUTED_VALUE"""),"三和出版")</f>
        <v>三和出版</v>
      </c>
      <c r="B547" s="291">
        <f>IFERROR(__xludf.DUMMYFUNCTION("""COMPUTED_VALUE"""),45618.0)</f>
        <v>45618</v>
      </c>
      <c r="C547" s="292"/>
      <c r="D547" s="293">
        <f>IFERROR(__xludf.DUMMYFUNCTION("""COMPUTED_VALUE"""),267067.0)</f>
        <v>267067</v>
      </c>
      <c r="E547" s="290" t="str">
        <f>IFERROR(__xludf.DUMMYFUNCTION("""COMPUTED_VALUE"""),"イク時は笑顔かアヘ顔")</f>
        <v>イク時は笑顔かアヘ顔</v>
      </c>
      <c r="F547" s="298" t="str">
        <f>IFERROR(__xludf.DUMMYFUNCTION("""COMPUTED_VALUE"""),"北川ざやく")</f>
        <v>北川ざやく</v>
      </c>
      <c r="G547" s="298" t="str">
        <f>IFERROR(__xludf.DUMMYFUNCTION("""COMPUTED_VALUE"""),"オトナコミック")</f>
        <v>オトナコミック</v>
      </c>
      <c r="H547" s="298" t="str">
        <f>IFERROR(__xludf.DUMMYFUNCTION("""COMPUTED_VALUE"""),"2024/11/25～）クレジットカードでの購入のみ停止")</f>
        <v>2024/11/25～）クレジットカードでの購入のみ停止</v>
      </c>
      <c r="I547" s="283"/>
      <c r="J547" s="283"/>
      <c r="K547" s="283"/>
      <c r="L547" s="283"/>
      <c r="M547" s="283"/>
      <c r="N547" s="283"/>
      <c r="O547" s="283"/>
      <c r="P547" s="283"/>
      <c r="Q547" s="278"/>
      <c r="R547" s="278"/>
      <c r="S547" s="278"/>
      <c r="T547" s="278"/>
      <c r="U547" s="278"/>
      <c r="V547" s="278"/>
      <c r="W547" s="278"/>
      <c r="X547" s="278"/>
      <c r="Y547" s="278"/>
      <c r="Z547" s="278"/>
      <c r="AA547" s="278"/>
      <c r="AB547" s="278"/>
      <c r="AC547" s="278"/>
    </row>
    <row r="548" ht="15.75" customHeight="1">
      <c r="A548" s="290" t="str">
        <f>IFERROR(__xludf.DUMMYFUNCTION("""COMPUTED_VALUE"""),"三和出版")</f>
        <v>三和出版</v>
      </c>
      <c r="B548" s="291">
        <f>IFERROR(__xludf.DUMMYFUNCTION("""COMPUTED_VALUE"""),45618.0)</f>
        <v>45618</v>
      </c>
      <c r="C548" s="292"/>
      <c r="D548" s="293">
        <f>IFERROR(__xludf.DUMMYFUNCTION("""COMPUTED_VALUE"""),293737.0)</f>
        <v>293737</v>
      </c>
      <c r="E548" s="290" t="str">
        <f>IFERROR(__xludf.DUMMYFUNCTION("""COMPUTED_VALUE"""),"秘密のハメ堕ち少女")</f>
        <v>秘密のハメ堕ち少女</v>
      </c>
      <c r="F548" s="298" t="str">
        <f>IFERROR(__xludf.DUMMYFUNCTION("""COMPUTED_VALUE"""),"ナユザキナツミ")</f>
        <v>ナユザキナツミ</v>
      </c>
      <c r="G548" s="298" t="str">
        <f>IFERROR(__xludf.DUMMYFUNCTION("""COMPUTED_VALUE"""),"オトナコミック")</f>
        <v>オトナコミック</v>
      </c>
      <c r="H548" s="298" t="str">
        <f>IFERROR(__xludf.DUMMYFUNCTION("""COMPUTED_VALUE"""),"2024/11/25～）クレジットカードでの購入のみ停止")</f>
        <v>2024/11/25～）クレジットカードでの購入のみ停止</v>
      </c>
      <c r="I548" s="283"/>
      <c r="J548" s="283"/>
      <c r="K548" s="283"/>
      <c r="L548" s="283"/>
      <c r="M548" s="283"/>
      <c r="N548" s="283"/>
      <c r="O548" s="283"/>
      <c r="P548" s="283"/>
      <c r="Q548" s="278"/>
      <c r="R548" s="278"/>
      <c r="S548" s="278"/>
      <c r="T548" s="278"/>
      <c r="U548" s="278"/>
      <c r="V548" s="278"/>
      <c r="W548" s="278"/>
      <c r="X548" s="278"/>
      <c r="Y548" s="278"/>
      <c r="Z548" s="278"/>
      <c r="AA548" s="278"/>
      <c r="AB548" s="278"/>
      <c r="AC548" s="278"/>
    </row>
    <row r="549" ht="15.75" customHeight="1">
      <c r="A549" s="290" t="str">
        <f>IFERROR(__xludf.DUMMYFUNCTION("""COMPUTED_VALUE"""),"三和出版")</f>
        <v>三和出版</v>
      </c>
      <c r="B549" s="291">
        <f>IFERROR(__xludf.DUMMYFUNCTION("""COMPUTED_VALUE"""),45618.0)</f>
        <v>45618</v>
      </c>
      <c r="C549" s="292"/>
      <c r="D549" s="293">
        <f>IFERROR(__xludf.DUMMYFUNCTION("""COMPUTED_VALUE"""),298564.0)</f>
        <v>298564</v>
      </c>
      <c r="E549" s="290" t="str">
        <f>IFERROR(__xludf.DUMMYFUNCTION("""COMPUTED_VALUE"""),"Masyo Ecole")</f>
        <v>Masyo Ecole</v>
      </c>
      <c r="F549" s="298" t="str">
        <f>IFERROR(__xludf.DUMMYFUNCTION("""COMPUTED_VALUE"""),"天誅丸 / うるし原智志 / ジョン・Ｋ・ペー太 / ぶっくまうんten / 原くっち / えんぷろ / 戸村水仙 / いとううさぎ / 銀茶 / Tシャツ")</f>
        <v>天誅丸 / うるし原智志 / ジョン・Ｋ・ペー太 / ぶっくまうんten / 原くっち / えんぷろ / 戸村水仙 / いとううさぎ / 銀茶 / Tシャツ</v>
      </c>
      <c r="G549" s="298" t="str">
        <f>IFERROR(__xludf.DUMMYFUNCTION("""COMPUTED_VALUE"""),"コミック誌")</f>
        <v>コミック誌</v>
      </c>
      <c r="H549" s="298" t="str">
        <f>IFERROR(__xludf.DUMMYFUNCTION("""COMPUTED_VALUE"""),"2024/11/25～）クレジットカードでの購入のみ停止")</f>
        <v>2024/11/25～）クレジットカードでの購入のみ停止</v>
      </c>
      <c r="I549" s="283"/>
      <c r="J549" s="283"/>
      <c r="K549" s="283"/>
      <c r="L549" s="283"/>
      <c r="M549" s="283"/>
      <c r="N549" s="283"/>
      <c r="O549" s="283"/>
      <c r="P549" s="283"/>
      <c r="Q549" s="278"/>
      <c r="R549" s="278"/>
      <c r="S549" s="278"/>
      <c r="T549" s="278"/>
      <c r="U549" s="278"/>
      <c r="V549" s="278"/>
      <c r="W549" s="278"/>
      <c r="X549" s="278"/>
      <c r="Y549" s="278"/>
      <c r="Z549" s="278"/>
      <c r="AA549" s="278"/>
      <c r="AB549" s="278"/>
      <c r="AC549" s="278"/>
    </row>
    <row r="550" ht="15.75" customHeight="1">
      <c r="A550" s="290" t="str">
        <f>IFERROR(__xludf.DUMMYFUNCTION("""COMPUTED_VALUE"""),"侍侍")</f>
        <v>侍侍</v>
      </c>
      <c r="B550" s="291">
        <f>IFERROR(__xludf.DUMMYFUNCTION("""COMPUTED_VALUE"""),45618.0)</f>
        <v>45618</v>
      </c>
      <c r="C550" s="292"/>
      <c r="D550" s="293">
        <f>IFERROR(__xludf.DUMMYFUNCTION("""COMPUTED_VALUE"""),78761.0)</f>
        <v>78761</v>
      </c>
      <c r="E550" s="290" t="str">
        <f>IFERROR(__xludf.DUMMYFUNCTION("""COMPUTED_VALUE"""),"発情林間学校～自然のなかで実践的性教育のススメ～（フルカラー）")</f>
        <v>発情林間学校～自然のなかで実践的性教育のススメ～（フルカラー）</v>
      </c>
      <c r="F550" s="298" t="str">
        <f>IFERROR(__xludf.DUMMYFUNCTION("""COMPUTED_VALUE"""),"侍侍 / 白兜")</f>
        <v>侍侍 / 白兜</v>
      </c>
      <c r="G550" s="298" t="str">
        <f>IFERROR(__xludf.DUMMYFUNCTION("""COMPUTED_VALUE"""),"オトナコミック")</f>
        <v>オトナコミック</v>
      </c>
      <c r="H550" s="298" t="str">
        <f>IFERROR(__xludf.DUMMYFUNCTION("""COMPUTED_VALUE"""),"2024/11/25～）クレジットカードでの購入のみ停止")</f>
        <v>2024/11/25～）クレジットカードでの購入のみ停止</v>
      </c>
      <c r="I550" s="283"/>
      <c r="J550" s="283"/>
      <c r="K550" s="283"/>
      <c r="L550" s="283"/>
      <c r="M550" s="283"/>
      <c r="N550" s="283"/>
      <c r="O550" s="283"/>
      <c r="P550" s="283"/>
      <c r="Q550" s="278"/>
      <c r="R550" s="278"/>
      <c r="S550" s="278"/>
      <c r="T550" s="278"/>
      <c r="U550" s="278"/>
      <c r="V550" s="278"/>
      <c r="W550" s="278"/>
      <c r="X550" s="278"/>
      <c r="Y550" s="278"/>
      <c r="Z550" s="278"/>
      <c r="AA550" s="278"/>
      <c r="AB550" s="278"/>
      <c r="AC550" s="278"/>
    </row>
    <row r="551" ht="15.75" customHeight="1">
      <c r="A551" s="290" t="str">
        <f>IFERROR(__xludf.DUMMYFUNCTION("""COMPUTED_VALUE"""),"侍侍")</f>
        <v>侍侍</v>
      </c>
      <c r="B551" s="291">
        <f>IFERROR(__xludf.DUMMYFUNCTION("""COMPUTED_VALUE"""),45618.0)</f>
        <v>45618</v>
      </c>
      <c r="C551" s="292"/>
      <c r="D551" s="293">
        <f>IFERROR(__xludf.DUMMYFUNCTION("""COMPUTED_VALUE"""),85124.0)</f>
        <v>85124</v>
      </c>
      <c r="E551" s="290" t="str">
        <f>IFERROR(__xludf.DUMMYFUNCTION("""COMPUTED_VALUE"""),"美人母娘・催淫温泉～ 温泉旅館はハーレム状態 ～(フルカラー)")</f>
        <v>美人母娘・催淫温泉～ 温泉旅館はハーレム状態 ～(フルカラー)</v>
      </c>
      <c r="F551" s="298" t="str">
        <f>IFERROR(__xludf.DUMMYFUNCTION("""COMPUTED_VALUE"""),"侍侍 / 白髭")</f>
        <v>侍侍 / 白髭</v>
      </c>
      <c r="G551" s="298" t="str">
        <f>IFERROR(__xludf.DUMMYFUNCTION("""COMPUTED_VALUE"""),"オトナコミック")</f>
        <v>オトナコミック</v>
      </c>
      <c r="H551" s="298" t="str">
        <f>IFERROR(__xludf.DUMMYFUNCTION("""COMPUTED_VALUE"""),"2024/11/25～）クレジットカードでの購入のみ停止")</f>
        <v>2024/11/25～）クレジットカードでの購入のみ停止</v>
      </c>
      <c r="I551" s="283"/>
      <c r="J551" s="283"/>
      <c r="K551" s="283"/>
      <c r="L551" s="283"/>
      <c r="M551" s="283"/>
      <c r="N551" s="283"/>
      <c r="O551" s="283"/>
      <c r="P551" s="283"/>
      <c r="Q551" s="278"/>
      <c r="R551" s="278"/>
      <c r="S551" s="278"/>
      <c r="T551" s="278"/>
      <c r="U551" s="278"/>
      <c r="V551" s="278"/>
      <c r="W551" s="278"/>
      <c r="X551" s="278"/>
      <c r="Y551" s="278"/>
      <c r="Z551" s="278"/>
      <c r="AA551" s="278"/>
      <c r="AB551" s="278"/>
      <c r="AC551" s="278"/>
    </row>
    <row r="552" ht="15.75" customHeight="1">
      <c r="A552" s="290" t="str">
        <f>IFERROR(__xludf.DUMMYFUNCTION("""COMPUTED_VALUE"""),"侍侍")</f>
        <v>侍侍</v>
      </c>
      <c r="B552" s="291">
        <f>IFERROR(__xludf.DUMMYFUNCTION("""COMPUTED_VALUE"""),45618.0)</f>
        <v>45618</v>
      </c>
      <c r="C552" s="292"/>
      <c r="D552" s="293">
        <f>IFERROR(__xludf.DUMMYFUNCTION("""COMPUTED_VALUE"""),85126.0)</f>
        <v>85126</v>
      </c>
      <c r="E552" s="290" t="str">
        <f>IFERROR(__xludf.DUMMYFUNCTION("""COMPUTED_VALUE"""),"処女蜜壷M調教～被虐の歓びに目覚めた処女JK～")</f>
        <v>処女蜜壷M調教～被虐の歓びに目覚めた処女JK～</v>
      </c>
      <c r="F552" s="298" t="str">
        <f>IFERROR(__xludf.DUMMYFUNCTION("""COMPUTED_VALUE"""),"侍侍 / 白髭")</f>
        <v>侍侍 / 白髭</v>
      </c>
      <c r="G552" s="298" t="str">
        <f>IFERROR(__xludf.DUMMYFUNCTION("""COMPUTED_VALUE"""),"オトナコミック")</f>
        <v>オトナコミック</v>
      </c>
      <c r="H552" s="298" t="str">
        <f>IFERROR(__xludf.DUMMYFUNCTION("""COMPUTED_VALUE"""),"2024/11/25～）クレジットカードでの購入のみ停止")</f>
        <v>2024/11/25～）クレジットカードでの購入のみ停止</v>
      </c>
      <c r="I552" s="283"/>
      <c r="J552" s="283"/>
      <c r="K552" s="283"/>
      <c r="L552" s="283"/>
      <c r="M552" s="283"/>
      <c r="N552" s="283"/>
      <c r="O552" s="283"/>
      <c r="P552" s="283"/>
      <c r="Q552" s="278"/>
      <c r="R552" s="278"/>
      <c r="S552" s="278"/>
      <c r="T552" s="278"/>
      <c r="U552" s="278"/>
      <c r="V552" s="278"/>
      <c r="W552" s="278"/>
      <c r="X552" s="278"/>
      <c r="Y552" s="278"/>
      <c r="Z552" s="278"/>
      <c r="AA552" s="278"/>
      <c r="AB552" s="278"/>
      <c r="AC552" s="278"/>
    </row>
    <row r="553" ht="15.75" customHeight="1">
      <c r="A553" s="290" t="str">
        <f>IFERROR(__xludf.DUMMYFUNCTION("""COMPUTED_VALUE"""),"侍侍")</f>
        <v>侍侍</v>
      </c>
      <c r="B553" s="291">
        <f>IFERROR(__xludf.DUMMYFUNCTION("""COMPUTED_VALUE"""),45618.0)</f>
        <v>45618</v>
      </c>
      <c r="C553" s="292"/>
      <c r="D553" s="293">
        <f>IFERROR(__xludf.DUMMYFUNCTION("""COMPUTED_VALUE"""),139546.0)</f>
        <v>139546</v>
      </c>
      <c r="E553" s="290" t="str">
        <f>IFERROR(__xludf.DUMMYFUNCTION("""COMPUTED_VALUE"""),"おっぱいカテキョ～エロすぎる美人教師を催淫調教～")</f>
        <v>おっぱいカテキョ～エロすぎる美人教師を催淫調教～</v>
      </c>
      <c r="F553" s="298" t="str">
        <f>IFERROR(__xludf.DUMMYFUNCTION("""COMPUTED_VALUE"""),"侍侍 / 恐竜坊や")</f>
        <v>侍侍 / 恐竜坊や</v>
      </c>
      <c r="G553" s="298" t="str">
        <f>IFERROR(__xludf.DUMMYFUNCTION("""COMPUTED_VALUE"""),"オトナコミック")</f>
        <v>オトナコミック</v>
      </c>
      <c r="H553" s="298" t="str">
        <f>IFERROR(__xludf.DUMMYFUNCTION("""COMPUTED_VALUE"""),"2024/11/25～）クレジットカードでの購入のみ停止")</f>
        <v>2024/11/25～）クレジットカードでの購入のみ停止</v>
      </c>
      <c r="I553" s="283"/>
      <c r="J553" s="283"/>
      <c r="K553" s="283"/>
      <c r="L553" s="283"/>
      <c r="M553" s="283"/>
      <c r="N553" s="283"/>
      <c r="O553" s="283"/>
      <c r="P553" s="283"/>
      <c r="Q553" s="278"/>
      <c r="R553" s="278"/>
      <c r="S553" s="278"/>
      <c r="T553" s="278"/>
      <c r="U553" s="278"/>
      <c r="V553" s="278"/>
      <c r="W553" s="278"/>
      <c r="X553" s="278"/>
      <c r="Y553" s="278"/>
      <c r="Z553" s="278"/>
      <c r="AA553" s="278"/>
      <c r="AB553" s="278"/>
      <c r="AC553" s="278"/>
    </row>
    <row r="554" ht="15.75" customHeight="1">
      <c r="A554" s="290" t="str">
        <f>IFERROR(__xludf.DUMMYFUNCTION("""COMPUTED_VALUE"""),"侍侍")</f>
        <v>侍侍</v>
      </c>
      <c r="B554" s="291">
        <f>IFERROR(__xludf.DUMMYFUNCTION("""COMPUTED_VALUE"""),45618.0)</f>
        <v>45618</v>
      </c>
      <c r="C554" s="292"/>
      <c r="D554" s="293">
        <f>IFERROR(__xludf.DUMMYFUNCTION("""COMPUTED_VALUE"""),145013.0)</f>
        <v>145013</v>
      </c>
      <c r="E554" s="290" t="str">
        <f>IFERROR(__xludf.DUMMYFUNCTION("""COMPUTED_VALUE"""),"ヤれちゃう催淫スマホ～カシャっと撮れば淫乱娘のできあがり?!～")</f>
        <v>ヤれちゃう催淫スマホ～カシャっと撮れば淫乱娘のできあがり?!～</v>
      </c>
      <c r="F554" s="298" t="str">
        <f>IFERROR(__xludf.DUMMYFUNCTION("""COMPUTED_VALUE"""),"侍侍 / 恐竜坊や")</f>
        <v>侍侍 / 恐竜坊や</v>
      </c>
      <c r="G554" s="298" t="str">
        <f>IFERROR(__xludf.DUMMYFUNCTION("""COMPUTED_VALUE"""),"オトナコミック")</f>
        <v>オトナコミック</v>
      </c>
      <c r="H554" s="298" t="str">
        <f>IFERROR(__xludf.DUMMYFUNCTION("""COMPUTED_VALUE"""),"2024/11/25～）クレジットカードでの購入のみ停止")</f>
        <v>2024/11/25～）クレジットカードでの購入のみ停止</v>
      </c>
      <c r="I554" s="283"/>
      <c r="J554" s="283"/>
      <c r="K554" s="283"/>
      <c r="L554" s="283"/>
      <c r="M554" s="283"/>
      <c r="N554" s="283"/>
      <c r="O554" s="283"/>
      <c r="P554" s="283"/>
      <c r="Q554" s="278"/>
      <c r="R554" s="278"/>
      <c r="S554" s="278"/>
      <c r="T554" s="278"/>
      <c r="U554" s="278"/>
      <c r="V554" s="278"/>
      <c r="W554" s="278"/>
      <c r="X554" s="278"/>
      <c r="Y554" s="278"/>
      <c r="Z554" s="278"/>
      <c r="AA554" s="278"/>
      <c r="AB554" s="278"/>
      <c r="AC554" s="278"/>
    </row>
    <row r="555" ht="15.75" customHeight="1">
      <c r="A555" s="290" t="str">
        <f>IFERROR(__xludf.DUMMYFUNCTION("""COMPUTED_VALUE"""),"侍侍")</f>
        <v>侍侍</v>
      </c>
      <c r="B555" s="291">
        <f>IFERROR(__xludf.DUMMYFUNCTION("""COMPUTED_VALUE"""),45618.0)</f>
        <v>45618</v>
      </c>
      <c r="C555" s="292"/>
      <c r="D555" s="293">
        <f>IFERROR(__xludf.DUMMYFUNCTION("""COMPUTED_VALUE"""),179781.0)</f>
        <v>179781</v>
      </c>
      <c r="E555" s="290" t="str">
        <f>IFERROR(__xludf.DUMMYFUNCTION("""COMPUTED_VALUE"""),"ヤれちゃう催淫スマホ～カシャっと撮れば淫乱娘のできあがり?!～【合冊版】")</f>
        <v>ヤれちゃう催淫スマホ～カシャっと撮れば淫乱娘のできあがり?!～【合冊版】</v>
      </c>
      <c r="F555" s="298" t="str">
        <f>IFERROR(__xludf.DUMMYFUNCTION("""COMPUTED_VALUE"""),"侍侍 / 恐竜坊や")</f>
        <v>侍侍 / 恐竜坊や</v>
      </c>
      <c r="G555" s="298" t="str">
        <f>IFERROR(__xludf.DUMMYFUNCTION("""COMPUTED_VALUE"""),"オトナコミック")</f>
        <v>オトナコミック</v>
      </c>
      <c r="H555" s="298" t="str">
        <f>IFERROR(__xludf.DUMMYFUNCTION("""COMPUTED_VALUE"""),"2024/11/25～）クレジットカードでの購入のみ停止")</f>
        <v>2024/11/25～）クレジットカードでの購入のみ停止</v>
      </c>
      <c r="I555" s="283"/>
      <c r="J555" s="283"/>
      <c r="K555" s="283"/>
      <c r="L555" s="283"/>
      <c r="M555" s="283"/>
      <c r="N555" s="283"/>
      <c r="O555" s="283"/>
      <c r="P555" s="283"/>
      <c r="Q555" s="278"/>
      <c r="R555" s="278"/>
      <c r="S555" s="278"/>
      <c r="T555" s="278"/>
      <c r="U555" s="278"/>
      <c r="V555" s="278"/>
      <c r="W555" s="278"/>
      <c r="X555" s="278"/>
      <c r="Y555" s="278"/>
      <c r="Z555" s="278"/>
      <c r="AA555" s="278"/>
      <c r="AB555" s="278"/>
      <c r="AC555" s="278"/>
    </row>
    <row r="556" ht="15.75" customHeight="1">
      <c r="A556" s="290" t="str">
        <f>IFERROR(__xludf.DUMMYFUNCTION("""COMPUTED_VALUE"""),"侍侍")</f>
        <v>侍侍</v>
      </c>
      <c r="B556" s="291">
        <f>IFERROR(__xludf.DUMMYFUNCTION("""COMPUTED_VALUE"""),45618.0)</f>
        <v>45618</v>
      </c>
      <c r="C556" s="292"/>
      <c r="D556" s="293">
        <f>IFERROR(__xludf.DUMMYFUNCTION("""COMPUTED_VALUE"""),186508.0)</f>
        <v>186508</v>
      </c>
      <c r="E556" s="290" t="str">
        <f>IFERROR(__xludf.DUMMYFUNCTION("""COMPUTED_VALUE"""),"美人母娘・催淫温泉～ 温泉旅館はハーレム状態 ～【合本版】")</f>
        <v>美人母娘・催淫温泉～ 温泉旅館はハーレム状態 ～【合本版】</v>
      </c>
      <c r="F556" s="298" t="str">
        <f>IFERROR(__xludf.DUMMYFUNCTION("""COMPUTED_VALUE"""),"侍侍 / 白髭")</f>
        <v>侍侍 / 白髭</v>
      </c>
      <c r="G556" s="298" t="str">
        <f>IFERROR(__xludf.DUMMYFUNCTION("""COMPUTED_VALUE"""),"オトナコミック")</f>
        <v>オトナコミック</v>
      </c>
      <c r="H556" s="298" t="str">
        <f>IFERROR(__xludf.DUMMYFUNCTION("""COMPUTED_VALUE"""),"2024/11/25～）クレジットカードでの購入のみ停止")</f>
        <v>2024/11/25～）クレジットカードでの購入のみ停止</v>
      </c>
      <c r="I556" s="283"/>
      <c r="J556" s="283"/>
      <c r="K556" s="283"/>
      <c r="L556" s="283"/>
      <c r="M556" s="283"/>
      <c r="N556" s="283"/>
      <c r="O556" s="283"/>
      <c r="P556" s="283"/>
      <c r="Q556" s="278"/>
      <c r="R556" s="278"/>
      <c r="S556" s="278"/>
      <c r="T556" s="278"/>
      <c r="U556" s="278"/>
      <c r="V556" s="278"/>
      <c r="W556" s="278"/>
      <c r="X556" s="278"/>
      <c r="Y556" s="278"/>
      <c r="Z556" s="278"/>
      <c r="AA556" s="278"/>
      <c r="AB556" s="278"/>
      <c r="AC556" s="278"/>
    </row>
    <row r="557" ht="15.75" customHeight="1">
      <c r="A557" s="290" t="str">
        <f>IFERROR(__xludf.DUMMYFUNCTION("""COMPUTED_VALUE"""),"侍侍")</f>
        <v>侍侍</v>
      </c>
      <c r="B557" s="291">
        <f>IFERROR(__xludf.DUMMYFUNCTION("""COMPUTED_VALUE"""),45618.0)</f>
        <v>45618</v>
      </c>
      <c r="C557" s="292"/>
      <c r="D557" s="293">
        <f>IFERROR(__xludf.DUMMYFUNCTION("""COMPUTED_VALUE"""),192014.0)</f>
        <v>192014</v>
      </c>
      <c r="E557" s="290" t="str">
        <f>IFERROR(__xludf.DUMMYFUNCTION("""COMPUTED_VALUE"""),"おっぱいカテキョ～エロすぎる美人教師を催淫調教～【合本版】")</f>
        <v>おっぱいカテキョ～エロすぎる美人教師を催淫調教～【合本版】</v>
      </c>
      <c r="F557" s="298" t="str">
        <f>IFERROR(__xludf.DUMMYFUNCTION("""COMPUTED_VALUE"""),"侍侍 / 恐竜坊や")</f>
        <v>侍侍 / 恐竜坊や</v>
      </c>
      <c r="G557" s="298" t="str">
        <f>IFERROR(__xludf.DUMMYFUNCTION("""COMPUTED_VALUE"""),"オトナコミック")</f>
        <v>オトナコミック</v>
      </c>
      <c r="H557" s="298" t="str">
        <f>IFERROR(__xludf.DUMMYFUNCTION("""COMPUTED_VALUE"""),"2024/11/25～）クレジットカードでの購入のみ停止")</f>
        <v>2024/11/25～）クレジットカードでの購入のみ停止</v>
      </c>
      <c r="I557" s="283"/>
      <c r="J557" s="283"/>
      <c r="K557" s="283"/>
      <c r="L557" s="283"/>
      <c r="M557" s="283"/>
      <c r="N557" s="283"/>
      <c r="O557" s="283"/>
      <c r="P557" s="283"/>
      <c r="Q557" s="278"/>
      <c r="R557" s="278"/>
      <c r="S557" s="278"/>
      <c r="T557" s="278"/>
      <c r="U557" s="278"/>
      <c r="V557" s="278"/>
      <c r="W557" s="278"/>
      <c r="X557" s="278"/>
      <c r="Y557" s="278"/>
      <c r="Z557" s="278"/>
      <c r="AA557" s="278"/>
      <c r="AB557" s="278"/>
      <c r="AC557" s="278"/>
    </row>
    <row r="558" ht="15.75" customHeight="1">
      <c r="A558" s="290" t="str">
        <f>IFERROR(__xludf.DUMMYFUNCTION("""COMPUTED_VALUE"""),"若生出版")</f>
        <v>若生出版</v>
      </c>
      <c r="B558" s="291">
        <f>IFERROR(__xludf.DUMMYFUNCTION("""COMPUTED_VALUE"""),45618.0)</f>
        <v>45618</v>
      </c>
      <c r="C558" s="292"/>
      <c r="D558" s="293">
        <f>IFERROR(__xludf.DUMMYFUNCTION("""COMPUTED_VALUE"""),80057.0)</f>
        <v>80057</v>
      </c>
      <c r="E558" s="290" t="str">
        <f>IFERROR(__xludf.DUMMYFUNCTION("""COMPUTED_VALUE"""),"女教師堕ちる")</f>
        <v>女教師堕ちる</v>
      </c>
      <c r="F558" s="298" t="str">
        <f>IFERROR(__xludf.DUMMYFUNCTION("""COMPUTED_VALUE"""),"天降久兵衛")</f>
        <v>天降久兵衛</v>
      </c>
      <c r="G558" s="298" t="str">
        <f>IFERROR(__xludf.DUMMYFUNCTION("""COMPUTED_VALUE"""),"オトナコミック")</f>
        <v>オトナコミック</v>
      </c>
      <c r="H558" s="298" t="str">
        <f>IFERROR(__xludf.DUMMYFUNCTION("""COMPUTED_VALUE"""),"2024/11/25～）クレジットカードでの購入のみ停止")</f>
        <v>2024/11/25～）クレジットカードでの購入のみ停止</v>
      </c>
      <c r="I558" s="283"/>
      <c r="J558" s="283"/>
      <c r="K558" s="283"/>
      <c r="L558" s="283"/>
      <c r="M558" s="283"/>
      <c r="N558" s="283"/>
      <c r="O558" s="283"/>
      <c r="P558" s="283"/>
      <c r="Q558" s="278"/>
      <c r="R558" s="278"/>
      <c r="S558" s="278"/>
      <c r="T558" s="278"/>
      <c r="U558" s="278"/>
      <c r="V558" s="278"/>
      <c r="W558" s="278"/>
      <c r="X558" s="278"/>
      <c r="Y558" s="278"/>
      <c r="Z558" s="278"/>
      <c r="AA558" s="278"/>
      <c r="AB558" s="278"/>
      <c r="AC558" s="278"/>
    </row>
    <row r="559" ht="15.75" customHeight="1">
      <c r="A559" s="290" t="str">
        <f>IFERROR(__xludf.DUMMYFUNCTION("""COMPUTED_VALUE"""),"若生出版")</f>
        <v>若生出版</v>
      </c>
      <c r="B559" s="291">
        <f>IFERROR(__xludf.DUMMYFUNCTION("""COMPUTED_VALUE"""),45618.0)</f>
        <v>45618</v>
      </c>
      <c r="C559" s="292"/>
      <c r="D559" s="293">
        <f>IFERROR(__xludf.DUMMYFUNCTION("""COMPUTED_VALUE"""),108381.0)</f>
        <v>108381</v>
      </c>
      <c r="E559" s="290" t="str">
        <f>IFERROR(__xludf.DUMMYFUNCTION("""COMPUTED_VALUE"""),"輪姦学校 チジョビッチ特別編集EXTRA EDITION")</f>
        <v>輪姦学校 チジョビッチ特別編集EXTRA EDITION</v>
      </c>
      <c r="F559" s="298" t="str">
        <f>IFERROR(__xludf.DUMMYFUNCTION("""COMPUTED_VALUE"""),"LINDA / 森山あゆみ / たちばな薫 / まるだっしゅ / 宇宙帝王 / 第25歩兵師団 / ミトモアキラ / 天降久兵衛 / 五十嵐電マ / 伴カズヤス")</f>
        <v>LINDA / 森山あゆみ / たちばな薫 / まるだっしゅ / 宇宙帝王 / 第25歩兵師団 / ミトモアキラ / 天降久兵衛 / 五十嵐電マ / 伴カズヤス</v>
      </c>
      <c r="G559" s="298" t="str">
        <f>IFERROR(__xludf.DUMMYFUNCTION("""COMPUTED_VALUE"""),"オトナコミック")</f>
        <v>オトナコミック</v>
      </c>
      <c r="H559" s="298" t="str">
        <f>IFERROR(__xludf.DUMMYFUNCTION("""COMPUTED_VALUE"""),"2024/11/25～）クレジットカードでの購入のみ停止")</f>
        <v>2024/11/25～）クレジットカードでの購入のみ停止</v>
      </c>
      <c r="I559" s="283"/>
      <c r="J559" s="283"/>
      <c r="K559" s="283"/>
      <c r="L559" s="283"/>
      <c r="M559" s="283"/>
      <c r="N559" s="283"/>
      <c r="O559" s="283"/>
      <c r="P559" s="283"/>
      <c r="Q559" s="278"/>
      <c r="R559" s="278"/>
      <c r="S559" s="278"/>
      <c r="T559" s="278"/>
      <c r="U559" s="278"/>
      <c r="V559" s="278"/>
      <c r="W559" s="278"/>
      <c r="X559" s="278"/>
      <c r="Y559" s="278"/>
      <c r="Z559" s="278"/>
      <c r="AA559" s="278"/>
      <c r="AB559" s="278"/>
      <c r="AC559" s="278"/>
    </row>
    <row r="560" ht="15.75" customHeight="1">
      <c r="A560" s="290" t="str">
        <f>IFERROR(__xludf.DUMMYFUNCTION("""COMPUTED_VALUE"""),"若生出版")</f>
        <v>若生出版</v>
      </c>
      <c r="B560" s="291">
        <f>IFERROR(__xludf.DUMMYFUNCTION("""COMPUTED_VALUE"""),45618.0)</f>
        <v>45618</v>
      </c>
      <c r="C560" s="292"/>
      <c r="D560" s="293">
        <f>IFERROR(__xludf.DUMMYFUNCTION("""COMPUTED_VALUE"""),184683.0)</f>
        <v>184683</v>
      </c>
      <c r="E560" s="290" t="str">
        <f>IFERROR(__xludf.DUMMYFUNCTION("""COMPUTED_VALUE"""),"男と女のガチンコ事件簿 昭和・平成・令和…時代の深層を掘るドス黒い報告書")</f>
        <v>男と女のガチンコ事件簿 昭和・平成・令和…時代の深層を掘るドス黒い報告書</v>
      </c>
      <c r="F560" s="298" t="str">
        <f>IFERROR(__xludf.DUMMYFUNCTION("""COMPUTED_VALUE"""),"森山あゆみ")</f>
        <v>森山あゆみ</v>
      </c>
      <c r="G560" s="298" t="str">
        <f>IFERROR(__xludf.DUMMYFUNCTION("""COMPUTED_VALUE"""),"オトナコミック")</f>
        <v>オトナコミック</v>
      </c>
      <c r="H560" s="298" t="str">
        <f>IFERROR(__xludf.DUMMYFUNCTION("""COMPUTED_VALUE"""),"2024/11/25～）クレジットカードでの購入のみ停止")</f>
        <v>2024/11/25～）クレジットカードでの購入のみ停止</v>
      </c>
      <c r="I560" s="283"/>
      <c r="J560" s="283"/>
      <c r="K560" s="283"/>
      <c r="L560" s="283"/>
      <c r="M560" s="283"/>
      <c r="N560" s="283"/>
      <c r="O560" s="283"/>
      <c r="P560" s="283"/>
      <c r="Q560" s="278"/>
      <c r="R560" s="278"/>
      <c r="S560" s="278"/>
      <c r="T560" s="278"/>
      <c r="U560" s="278"/>
      <c r="V560" s="278"/>
      <c r="W560" s="278"/>
      <c r="X560" s="278"/>
      <c r="Y560" s="278"/>
      <c r="Z560" s="278"/>
      <c r="AA560" s="278"/>
      <c r="AB560" s="278"/>
      <c r="AC560" s="278"/>
    </row>
    <row r="561" ht="15.75" customHeight="1">
      <c r="A561" s="290" t="str">
        <f>IFERROR(__xludf.DUMMYFUNCTION("""COMPUTED_VALUE"""),"若生出版")</f>
        <v>若生出版</v>
      </c>
      <c r="B561" s="291">
        <f>IFERROR(__xludf.DUMMYFUNCTION("""COMPUTED_VALUE"""),45618.0)</f>
        <v>45618</v>
      </c>
      <c r="C561" s="292"/>
      <c r="D561" s="293">
        <f>IFERROR(__xludf.DUMMYFUNCTION("""COMPUTED_VALUE"""),196529.0)</f>
        <v>196529</v>
      </c>
      <c r="E561" s="290" t="str">
        <f>IFERROR(__xludf.DUMMYFUNCTION("""COMPUTED_VALUE"""),"オカズママ")</f>
        <v>オカズママ</v>
      </c>
      <c r="F561" s="298" t="str">
        <f>IFERROR(__xludf.DUMMYFUNCTION("""COMPUTED_VALUE"""),"桜月マサル")</f>
        <v>桜月マサル</v>
      </c>
      <c r="G561" s="298" t="str">
        <f>IFERROR(__xludf.DUMMYFUNCTION("""COMPUTED_VALUE"""),"オトナコミック")</f>
        <v>オトナコミック</v>
      </c>
      <c r="H561" s="298" t="str">
        <f>IFERROR(__xludf.DUMMYFUNCTION("""COMPUTED_VALUE"""),"2024/11/25～）クレジットカードでの購入のみ停止")</f>
        <v>2024/11/25～）クレジットカードでの購入のみ停止</v>
      </c>
      <c r="I561" s="283"/>
      <c r="J561" s="283"/>
      <c r="K561" s="283"/>
      <c r="L561" s="283"/>
      <c r="M561" s="283"/>
      <c r="N561" s="283"/>
      <c r="O561" s="283"/>
      <c r="P561" s="283"/>
      <c r="Q561" s="278"/>
      <c r="R561" s="278"/>
      <c r="S561" s="278"/>
      <c r="T561" s="278"/>
      <c r="U561" s="278"/>
      <c r="V561" s="278"/>
      <c r="W561" s="278"/>
      <c r="X561" s="278"/>
      <c r="Y561" s="278"/>
      <c r="Z561" s="278"/>
      <c r="AA561" s="278"/>
      <c r="AB561" s="278"/>
      <c r="AC561" s="278"/>
    </row>
    <row r="562" ht="15.75" customHeight="1">
      <c r="A562" s="290" t="str">
        <f>IFERROR(__xludf.DUMMYFUNCTION("""COMPUTED_VALUE"""),"若生出版")</f>
        <v>若生出版</v>
      </c>
      <c r="B562" s="291">
        <f>IFERROR(__xludf.DUMMYFUNCTION("""COMPUTED_VALUE"""),45618.0)</f>
        <v>45618</v>
      </c>
      <c r="C562" s="292"/>
      <c r="D562" s="293">
        <f>IFERROR(__xludf.DUMMYFUNCTION("""COMPUTED_VALUE"""),299633.0)</f>
        <v>299633</v>
      </c>
      <c r="E562" s="290" t="str">
        <f>IFERROR(__xludf.DUMMYFUNCTION("""COMPUTED_VALUE"""),"ママ遊戯【タテヨミ】")</f>
        <v>ママ遊戯【タテヨミ】</v>
      </c>
      <c r="F562" s="298" t="str">
        <f>IFERROR(__xludf.DUMMYFUNCTION("""COMPUTED_VALUE"""),"めいか")</f>
        <v>めいか</v>
      </c>
      <c r="G562" s="298" t="str">
        <f>IFERROR(__xludf.DUMMYFUNCTION("""COMPUTED_VALUE"""),"オトナコミック")</f>
        <v>オトナコミック</v>
      </c>
      <c r="H562" s="298" t="str">
        <f>IFERROR(__xludf.DUMMYFUNCTION("""COMPUTED_VALUE"""),"2024/11/25～）クレジットカードでの購入のみ停止")</f>
        <v>2024/11/25～）クレジットカードでの購入のみ停止</v>
      </c>
      <c r="I562" s="283"/>
      <c r="J562" s="283"/>
      <c r="K562" s="283"/>
      <c r="L562" s="283"/>
      <c r="M562" s="283"/>
      <c r="N562" s="283"/>
      <c r="O562" s="283"/>
      <c r="P562" s="283"/>
      <c r="Q562" s="278"/>
      <c r="R562" s="278"/>
      <c r="S562" s="278"/>
      <c r="T562" s="278"/>
      <c r="U562" s="278"/>
      <c r="V562" s="278"/>
      <c r="W562" s="278"/>
      <c r="X562" s="278"/>
      <c r="Y562" s="278"/>
      <c r="Z562" s="278"/>
      <c r="AA562" s="278"/>
      <c r="AB562" s="278"/>
      <c r="AC562" s="278"/>
    </row>
    <row r="563" ht="15.75" customHeight="1">
      <c r="A563" s="290" t="str">
        <f>IFERROR(__xludf.DUMMYFUNCTION("""COMPUTED_VALUE"""),"若生出版")</f>
        <v>若生出版</v>
      </c>
      <c r="B563" s="291">
        <f>IFERROR(__xludf.DUMMYFUNCTION("""COMPUTED_VALUE"""),45618.0)</f>
        <v>45618</v>
      </c>
      <c r="C563" s="292"/>
      <c r="D563" s="293">
        <f>IFERROR(__xludf.DUMMYFUNCTION("""COMPUTED_VALUE"""),299635.0)</f>
        <v>299635</v>
      </c>
      <c r="E563" s="290" t="str">
        <f>IFERROR(__xludf.DUMMYFUNCTION("""COMPUTED_VALUE"""),"女教師堕ちる【タテヨミ】")</f>
        <v>女教師堕ちる【タテヨミ】</v>
      </c>
      <c r="F563" s="298" t="str">
        <f>IFERROR(__xludf.DUMMYFUNCTION("""COMPUTED_VALUE"""),"天降久兵衛")</f>
        <v>天降久兵衛</v>
      </c>
      <c r="G563" s="298" t="str">
        <f>IFERROR(__xludf.DUMMYFUNCTION("""COMPUTED_VALUE"""),"オトナコミック")</f>
        <v>オトナコミック</v>
      </c>
      <c r="H563" s="298" t="str">
        <f>IFERROR(__xludf.DUMMYFUNCTION("""COMPUTED_VALUE"""),"2024/11/25～）クレジットカードでの購入のみ停止")</f>
        <v>2024/11/25～）クレジットカードでの購入のみ停止</v>
      </c>
      <c r="I563" s="283"/>
      <c r="J563" s="283"/>
      <c r="K563" s="283"/>
      <c r="L563" s="283"/>
      <c r="M563" s="283"/>
      <c r="N563" s="283"/>
      <c r="O563" s="283"/>
      <c r="P563" s="283"/>
      <c r="Q563" s="278"/>
      <c r="R563" s="278"/>
      <c r="S563" s="278"/>
      <c r="T563" s="278"/>
      <c r="U563" s="278"/>
      <c r="V563" s="278"/>
      <c r="W563" s="278"/>
      <c r="X563" s="278"/>
      <c r="Y563" s="278"/>
      <c r="Z563" s="278"/>
      <c r="AA563" s="278"/>
      <c r="AB563" s="278"/>
      <c r="AC563" s="278"/>
    </row>
    <row r="564" ht="15.75" customHeight="1">
      <c r="A564" s="290" t="str">
        <f>IFERROR(__xludf.DUMMYFUNCTION("""COMPUTED_VALUE"""),"秋水社ORIGINAL")</f>
        <v>秋水社ORIGINAL</v>
      </c>
      <c r="B564" s="291">
        <f>IFERROR(__xludf.DUMMYFUNCTION("""COMPUTED_VALUE"""),45618.0)</f>
        <v>45618</v>
      </c>
      <c r="C564" s="292"/>
      <c r="D564" s="293">
        <f>IFERROR(__xludf.DUMMYFUNCTION("""COMPUTED_VALUE"""),91747.0)</f>
        <v>91747</v>
      </c>
      <c r="E564" s="290" t="str">
        <f>IFERROR(__xludf.DUMMYFUNCTION("""COMPUTED_VALUE"""),"イケない魔法学校の裏事情")</f>
        <v>イケない魔法学校の裏事情</v>
      </c>
      <c r="F564" s="298" t="str">
        <f>IFERROR(__xludf.DUMMYFUNCTION("""COMPUTED_VALUE"""),"まめこ")</f>
        <v>まめこ</v>
      </c>
      <c r="G564" s="298" t="str">
        <f>IFERROR(__xludf.DUMMYFUNCTION("""COMPUTED_VALUE"""),"オトナコミック")</f>
        <v>オトナコミック</v>
      </c>
      <c r="H564" s="298" t="str">
        <f>IFERROR(__xludf.DUMMYFUNCTION("""COMPUTED_VALUE"""),"2024/11/25～）クレジットカードでの購入のみ停止")</f>
        <v>2024/11/25～）クレジットカードでの購入のみ停止</v>
      </c>
      <c r="I564" s="283"/>
      <c r="J564" s="283"/>
      <c r="K564" s="283"/>
      <c r="L564" s="283"/>
      <c r="M564" s="283"/>
      <c r="N564" s="283"/>
      <c r="O564" s="283"/>
      <c r="P564" s="283"/>
      <c r="Q564" s="278"/>
      <c r="R564" s="278"/>
      <c r="S564" s="278"/>
      <c r="T564" s="278"/>
      <c r="U564" s="278"/>
      <c r="V564" s="278"/>
      <c r="W564" s="278"/>
      <c r="X564" s="278"/>
      <c r="Y564" s="278"/>
      <c r="Z564" s="278"/>
      <c r="AA564" s="278"/>
      <c r="AB564" s="278"/>
      <c r="AC564" s="278"/>
    </row>
    <row r="565" ht="15.75" customHeight="1">
      <c r="A565" s="290" t="str">
        <f>IFERROR(__xludf.DUMMYFUNCTION("""COMPUTED_VALUE"""),"秋水社ORIGINAL")</f>
        <v>秋水社ORIGINAL</v>
      </c>
      <c r="B565" s="291">
        <f>IFERROR(__xludf.DUMMYFUNCTION("""COMPUTED_VALUE"""),45618.0)</f>
        <v>45618</v>
      </c>
      <c r="C565" s="292"/>
      <c r="D565" s="293">
        <f>IFERROR(__xludf.DUMMYFUNCTION("""COMPUTED_VALUE"""),204639.0)</f>
        <v>204639</v>
      </c>
      <c r="E565" s="290" t="str">
        <f>IFERROR(__xludf.DUMMYFUNCTION("""COMPUTED_VALUE"""),"イケない魔法学校の裏事情【完全版】")</f>
        <v>イケない魔法学校の裏事情【完全版】</v>
      </c>
      <c r="F565" s="298" t="str">
        <f>IFERROR(__xludf.DUMMYFUNCTION("""COMPUTED_VALUE"""),"まめこ")</f>
        <v>まめこ</v>
      </c>
      <c r="G565" s="298" t="str">
        <f>IFERROR(__xludf.DUMMYFUNCTION("""COMPUTED_VALUE"""),"オトナコミック")</f>
        <v>オトナコミック</v>
      </c>
      <c r="H565" s="298" t="str">
        <f>IFERROR(__xludf.DUMMYFUNCTION("""COMPUTED_VALUE"""),"2024/11/25～）クレジットカードでの購入のみ停止")</f>
        <v>2024/11/25～）クレジットカードでの購入のみ停止</v>
      </c>
      <c r="I565" s="283"/>
      <c r="J565" s="283"/>
      <c r="K565" s="283"/>
      <c r="L565" s="283"/>
      <c r="M565" s="283"/>
      <c r="N565" s="283"/>
      <c r="O565" s="283"/>
      <c r="P565" s="283"/>
      <c r="Q565" s="278"/>
      <c r="R565" s="278"/>
      <c r="S565" s="278"/>
      <c r="T565" s="278"/>
      <c r="U565" s="278"/>
      <c r="V565" s="278"/>
      <c r="W565" s="278"/>
      <c r="X565" s="278"/>
      <c r="Y565" s="278"/>
      <c r="Z565" s="278"/>
      <c r="AA565" s="278"/>
      <c r="AB565" s="278"/>
      <c r="AC565" s="278"/>
    </row>
    <row r="566" ht="15.75" customHeight="1">
      <c r="A566" s="290" t="str">
        <f>IFERROR(__xludf.DUMMYFUNCTION("""COMPUTED_VALUE"""),"秋水社ORIGINAL")</f>
        <v>秋水社ORIGINAL</v>
      </c>
      <c r="B566" s="291">
        <f>IFERROR(__xludf.DUMMYFUNCTION("""COMPUTED_VALUE"""),45618.0)</f>
        <v>45618</v>
      </c>
      <c r="C566" s="292"/>
      <c r="D566" s="293">
        <f>IFERROR(__xludf.DUMMYFUNCTION("""COMPUTED_VALUE"""),234571.0)</f>
        <v>234571</v>
      </c>
      <c r="E566" s="290" t="str">
        <f>IFERROR(__xludf.DUMMYFUNCTION("""COMPUTED_VALUE"""),"性教育はセンセイのカラダで～甘～くとろける桃色授業～")</f>
        <v>性教育はセンセイのカラダで～甘～くとろける桃色授業～</v>
      </c>
      <c r="F566" s="298" t="str">
        <f>IFERROR(__xludf.DUMMYFUNCTION("""COMPUTED_VALUE"""),"白虎丸 / にゃんこMIC / まつもとゆず / ハルカルカ / MAI / 天野英美 / 仲峰紘史 / あーる。")</f>
        <v>白虎丸 / にゃんこMIC / まつもとゆず / ハルカルカ / MAI / 天野英美 / 仲峰紘史 / あーる。</v>
      </c>
      <c r="G566" s="298" t="str">
        <f>IFERROR(__xludf.DUMMYFUNCTION("""COMPUTED_VALUE"""),"オトナコミック")</f>
        <v>オトナコミック</v>
      </c>
      <c r="H566" s="298" t="str">
        <f>IFERROR(__xludf.DUMMYFUNCTION("""COMPUTED_VALUE"""),"2024/11/25～）クレジットカードでの購入のみ停止")</f>
        <v>2024/11/25～）クレジットカードでの購入のみ停止</v>
      </c>
      <c r="I566" s="283"/>
      <c r="J566" s="283"/>
      <c r="K566" s="283"/>
      <c r="L566" s="283"/>
      <c r="M566" s="283"/>
      <c r="N566" s="283"/>
      <c r="O566" s="283"/>
      <c r="P566" s="283"/>
      <c r="Q566" s="278"/>
      <c r="R566" s="278"/>
      <c r="S566" s="278"/>
      <c r="T566" s="278"/>
      <c r="U566" s="278"/>
      <c r="V566" s="278"/>
      <c r="W566" s="278"/>
      <c r="X566" s="278"/>
      <c r="Y566" s="278"/>
      <c r="Z566" s="278"/>
      <c r="AA566" s="278"/>
      <c r="AB566" s="278"/>
      <c r="AC566" s="278"/>
    </row>
    <row r="567" ht="15.75" customHeight="1">
      <c r="A567" s="290" t="str">
        <f>IFERROR(__xludf.DUMMYFUNCTION("""COMPUTED_VALUE"""),"松文館")</f>
        <v>松文館</v>
      </c>
      <c r="B567" s="291">
        <f>IFERROR(__xludf.DUMMYFUNCTION("""COMPUTED_VALUE"""),45618.0)</f>
        <v>45618</v>
      </c>
      <c r="C567" s="292"/>
      <c r="D567" s="293">
        <f>IFERROR(__xludf.DUMMYFUNCTION("""COMPUTED_VALUE"""),78795.0)</f>
        <v>78795</v>
      </c>
      <c r="E567" s="290" t="str">
        <f>IFERROR(__xludf.DUMMYFUNCTION("""COMPUTED_VALUE"""),"号泣！ヤラれまくり女教師(フルカラー)")</f>
        <v>号泣！ヤラれまくり女教師(フルカラー)</v>
      </c>
      <c r="F567" s="298" t="str">
        <f>IFERROR(__xludf.DUMMYFUNCTION("""COMPUTED_VALUE"""),"伊藤桂霞")</f>
        <v>伊藤桂霞</v>
      </c>
      <c r="G567" s="298" t="str">
        <f>IFERROR(__xludf.DUMMYFUNCTION("""COMPUTED_VALUE"""),"オトナコミック")</f>
        <v>オトナコミック</v>
      </c>
      <c r="H567" s="298" t="str">
        <f>IFERROR(__xludf.DUMMYFUNCTION("""COMPUTED_VALUE"""),"2024/11/25～）クレジットカードでの購入のみ停止")</f>
        <v>2024/11/25～）クレジットカードでの購入のみ停止</v>
      </c>
      <c r="I567" s="283"/>
      <c r="J567" s="283"/>
      <c r="K567" s="283"/>
      <c r="L567" s="283"/>
      <c r="M567" s="283"/>
      <c r="N567" s="283"/>
      <c r="O567" s="283"/>
      <c r="P567" s="283"/>
      <c r="Q567" s="278"/>
      <c r="R567" s="278"/>
      <c r="S567" s="278"/>
      <c r="T567" s="278"/>
      <c r="U567" s="278"/>
      <c r="V567" s="278"/>
      <c r="W567" s="278"/>
      <c r="X567" s="278"/>
      <c r="Y567" s="278"/>
      <c r="Z567" s="278"/>
      <c r="AA567" s="278"/>
      <c r="AB567" s="278"/>
      <c r="AC567" s="278"/>
    </row>
    <row r="568" ht="15.75" customHeight="1">
      <c r="A568" s="290" t="str">
        <f>IFERROR(__xludf.DUMMYFUNCTION("""COMPUTED_VALUE"""),"松文館")</f>
        <v>松文館</v>
      </c>
      <c r="B568" s="291">
        <f>IFERROR(__xludf.DUMMYFUNCTION("""COMPUTED_VALUE"""),45618.0)</f>
        <v>45618</v>
      </c>
      <c r="C568" s="292"/>
      <c r="D568" s="293">
        <f>IFERROR(__xludf.DUMMYFUNCTION("""COMPUTED_VALUE"""),95789.0)</f>
        <v>95789</v>
      </c>
      <c r="E568" s="290" t="str">
        <f>IFERROR(__xludf.DUMMYFUNCTION("""COMPUTED_VALUE"""),"マゾヒストに至る道程～従順な女子の飼い方教えます～")</f>
        <v>マゾヒストに至る道程～従順な女子の飼い方教えます～</v>
      </c>
      <c r="F568" s="298" t="str">
        <f>IFERROR(__xludf.DUMMYFUNCTION("""COMPUTED_VALUE"""),"ビューティ･ヘア")</f>
        <v>ビューティ･ヘア</v>
      </c>
      <c r="G568" s="298" t="str">
        <f>IFERROR(__xludf.DUMMYFUNCTION("""COMPUTED_VALUE"""),"オトナコミック")</f>
        <v>オトナコミック</v>
      </c>
      <c r="H568" s="298" t="str">
        <f>IFERROR(__xludf.DUMMYFUNCTION("""COMPUTED_VALUE"""),"2024/11/25～）クレジットカードでの購入のみ停止")</f>
        <v>2024/11/25～）クレジットカードでの購入のみ停止</v>
      </c>
      <c r="I568" s="283"/>
      <c r="J568" s="283"/>
      <c r="K568" s="283"/>
      <c r="L568" s="283"/>
      <c r="M568" s="283"/>
      <c r="N568" s="283"/>
      <c r="O568" s="283"/>
      <c r="P568" s="283"/>
      <c r="Q568" s="278"/>
      <c r="R568" s="278"/>
      <c r="S568" s="278"/>
      <c r="T568" s="278"/>
      <c r="U568" s="278"/>
      <c r="V568" s="278"/>
      <c r="W568" s="278"/>
      <c r="X568" s="278"/>
      <c r="Y568" s="278"/>
      <c r="Z568" s="278"/>
      <c r="AA568" s="278"/>
      <c r="AB568" s="278"/>
      <c r="AC568" s="278"/>
    </row>
    <row r="569" ht="15.75" customHeight="1">
      <c r="A569" s="290" t="str">
        <f>IFERROR(__xludf.DUMMYFUNCTION("""COMPUTED_VALUE"""),"松文館")</f>
        <v>松文館</v>
      </c>
      <c r="B569" s="291">
        <f>IFERROR(__xludf.DUMMYFUNCTION("""COMPUTED_VALUE"""),45618.0)</f>
        <v>45618</v>
      </c>
      <c r="C569" s="292"/>
      <c r="D569" s="293">
        <f>IFERROR(__xludf.DUMMYFUNCTION("""COMPUTED_VALUE"""),237592.0)</f>
        <v>237592</v>
      </c>
      <c r="E569" s="290" t="str">
        <f>IFERROR(__xludf.DUMMYFUNCTION("""COMPUTED_VALUE"""),"ケツビッチ!")</f>
        <v>ケツビッチ!</v>
      </c>
      <c r="F569" s="298" t="str">
        <f>IFERROR(__xludf.DUMMYFUNCTION("""COMPUTED_VALUE"""),"ビューティ・ヘア/萬蔵/てっちゃん/桃山ジロウ/ひんでんブルグ")</f>
        <v>ビューティ・ヘア/萬蔵/てっちゃん/桃山ジロウ/ひんでんブルグ</v>
      </c>
      <c r="G569" s="298" t="str">
        <f>IFERROR(__xludf.DUMMYFUNCTION("""COMPUTED_VALUE"""),"オトナコミック")</f>
        <v>オトナコミック</v>
      </c>
      <c r="H569" s="298" t="str">
        <f>IFERROR(__xludf.DUMMYFUNCTION("""COMPUTED_VALUE"""),"2024/11/25～）クレジットカードでの購入のみ停止")</f>
        <v>2024/11/25～）クレジットカードでの購入のみ停止</v>
      </c>
      <c r="I569" s="283"/>
      <c r="J569" s="283"/>
      <c r="K569" s="283"/>
      <c r="L569" s="283"/>
      <c r="M569" s="283"/>
      <c r="N569" s="283"/>
      <c r="O569" s="283"/>
      <c r="P569" s="283"/>
      <c r="Q569" s="278"/>
      <c r="R569" s="278"/>
      <c r="S569" s="278"/>
      <c r="T569" s="278"/>
      <c r="U569" s="278"/>
      <c r="V569" s="278"/>
      <c r="W569" s="278"/>
      <c r="X569" s="278"/>
      <c r="Y569" s="278"/>
      <c r="Z569" s="278"/>
      <c r="AA569" s="278"/>
      <c r="AB569" s="278"/>
      <c r="AC569" s="278"/>
    </row>
    <row r="570" ht="15.75" customHeight="1">
      <c r="A570" s="290" t="str">
        <f>IFERROR(__xludf.DUMMYFUNCTION("""COMPUTED_VALUE"""),"双葉社")</f>
        <v>双葉社</v>
      </c>
      <c r="B570" s="291">
        <f>IFERROR(__xludf.DUMMYFUNCTION("""COMPUTED_VALUE"""),45618.0)</f>
        <v>45618</v>
      </c>
      <c r="C570" s="292"/>
      <c r="D570" s="293">
        <f>IFERROR(__xludf.DUMMYFUNCTION("""COMPUTED_VALUE"""),118983.0)</f>
        <v>118983</v>
      </c>
      <c r="E570" s="290" t="str">
        <f>IFERROR(__xludf.DUMMYFUNCTION("""COMPUTED_VALUE"""),"性玩具拘束人形")</f>
        <v>性玩具拘束人形</v>
      </c>
      <c r="F570" s="298" t="str">
        <f>IFERROR(__xludf.DUMMYFUNCTION("""COMPUTED_VALUE"""),"野原ひろみ")</f>
        <v>野原ひろみ</v>
      </c>
      <c r="G570" s="298" t="str">
        <f>IFERROR(__xludf.DUMMYFUNCTION("""COMPUTED_VALUE"""),"オトナコミック")</f>
        <v>オトナコミック</v>
      </c>
      <c r="H570" s="298" t="str">
        <f>IFERROR(__xludf.DUMMYFUNCTION("""COMPUTED_VALUE"""),"2024/11/25～）クレジットカードでの購入のみ停止")</f>
        <v>2024/11/25～）クレジットカードでの購入のみ停止</v>
      </c>
      <c r="I570" s="283"/>
      <c r="J570" s="283"/>
      <c r="K570" s="283"/>
      <c r="L570" s="283"/>
      <c r="M570" s="283"/>
      <c r="N570" s="283"/>
      <c r="O570" s="283"/>
      <c r="P570" s="283"/>
      <c r="Q570" s="278"/>
      <c r="R570" s="278"/>
      <c r="S570" s="278"/>
      <c r="T570" s="278"/>
      <c r="U570" s="278"/>
      <c r="V570" s="278"/>
      <c r="W570" s="278"/>
      <c r="X570" s="278"/>
      <c r="Y570" s="278"/>
      <c r="Z570" s="278"/>
      <c r="AA570" s="278"/>
      <c r="AB570" s="278"/>
      <c r="AC570" s="278"/>
    </row>
    <row r="571" ht="15.75" customHeight="1">
      <c r="A571" s="290" t="str">
        <f>IFERROR(__xludf.DUMMYFUNCTION("""COMPUTED_VALUE"""),"双葉社")</f>
        <v>双葉社</v>
      </c>
      <c r="B571" s="291">
        <f>IFERROR(__xludf.DUMMYFUNCTION("""COMPUTED_VALUE"""),45618.0)</f>
        <v>45618</v>
      </c>
      <c r="C571" s="292"/>
      <c r="D571" s="293">
        <f>IFERROR(__xludf.DUMMYFUNCTION("""COMPUTED_VALUE"""),125636.0)</f>
        <v>125636</v>
      </c>
      <c r="E571" s="290" t="str">
        <f>IFERROR(__xludf.DUMMYFUNCTION("""COMPUTED_VALUE"""),"凛姦グラマラス")</f>
        <v>凛姦グラマラス</v>
      </c>
      <c r="F571" s="298" t="str">
        <f>IFERROR(__xludf.DUMMYFUNCTION("""COMPUTED_VALUE"""),"kinntarou")</f>
        <v>kinntarou</v>
      </c>
      <c r="G571" s="298" t="str">
        <f>IFERROR(__xludf.DUMMYFUNCTION("""COMPUTED_VALUE"""),"オトナコミック")</f>
        <v>オトナコミック</v>
      </c>
      <c r="H571" s="298" t="str">
        <f>IFERROR(__xludf.DUMMYFUNCTION("""COMPUTED_VALUE"""),"2024/11/25～）クレジットカードでの購入のみ停止")</f>
        <v>2024/11/25～）クレジットカードでの購入のみ停止</v>
      </c>
      <c r="I571" s="283"/>
      <c r="J571" s="283"/>
      <c r="K571" s="283"/>
      <c r="L571" s="283"/>
      <c r="M571" s="283"/>
      <c r="N571" s="283"/>
      <c r="O571" s="283"/>
      <c r="P571" s="283"/>
      <c r="Q571" s="278"/>
      <c r="R571" s="278"/>
      <c r="S571" s="278"/>
      <c r="T571" s="278"/>
      <c r="U571" s="278"/>
      <c r="V571" s="278"/>
      <c r="W571" s="278"/>
      <c r="X571" s="278"/>
      <c r="Y571" s="278"/>
      <c r="Z571" s="278"/>
      <c r="AA571" s="278"/>
      <c r="AB571" s="278"/>
      <c r="AC571" s="278"/>
    </row>
    <row r="572" ht="15.75" customHeight="1">
      <c r="A572" s="290" t="str">
        <f>IFERROR(__xludf.DUMMYFUNCTION("""COMPUTED_VALUE"""),"双葉社")</f>
        <v>双葉社</v>
      </c>
      <c r="B572" s="291">
        <f>IFERROR(__xludf.DUMMYFUNCTION("""COMPUTED_VALUE"""),45618.0)</f>
        <v>45618</v>
      </c>
      <c r="C572" s="292"/>
      <c r="D572" s="293">
        <f>IFERROR(__xludf.DUMMYFUNCTION("""COMPUTED_VALUE"""),171304.0)</f>
        <v>171304</v>
      </c>
      <c r="E572" s="290" t="str">
        <f>IFERROR(__xludf.DUMMYFUNCTION("""COMPUTED_VALUE"""),"種付け・交尾んびん")</f>
        <v>種付け・交尾んびん</v>
      </c>
      <c r="F572" s="298" t="str">
        <f>IFERROR(__xludf.DUMMYFUNCTION("""COMPUTED_VALUE"""),"性竜")</f>
        <v>性竜</v>
      </c>
      <c r="G572" s="298" t="str">
        <f>IFERROR(__xludf.DUMMYFUNCTION("""COMPUTED_VALUE"""),"オトナコミック")</f>
        <v>オトナコミック</v>
      </c>
      <c r="H572" s="298" t="str">
        <f>IFERROR(__xludf.DUMMYFUNCTION("""COMPUTED_VALUE"""),"2024/11/25～）クレジットカードでの購入のみ停止")</f>
        <v>2024/11/25～）クレジットカードでの購入のみ停止</v>
      </c>
      <c r="I572" s="283"/>
      <c r="J572" s="283"/>
      <c r="K572" s="283"/>
      <c r="L572" s="283"/>
      <c r="M572" s="283"/>
      <c r="N572" s="283"/>
      <c r="O572" s="283"/>
      <c r="P572" s="283"/>
      <c r="Q572" s="278"/>
      <c r="R572" s="278"/>
      <c r="S572" s="278"/>
      <c r="T572" s="278"/>
      <c r="U572" s="278"/>
      <c r="V572" s="278"/>
      <c r="W572" s="278"/>
      <c r="X572" s="278"/>
      <c r="Y572" s="278"/>
      <c r="Z572" s="278"/>
      <c r="AA572" s="278"/>
      <c r="AB572" s="278"/>
      <c r="AC572" s="278"/>
    </row>
    <row r="573" ht="15.75" customHeight="1">
      <c r="A573" s="290" t="str">
        <f>IFERROR(__xludf.DUMMYFUNCTION("""COMPUTED_VALUE"""),"双葉社")</f>
        <v>双葉社</v>
      </c>
      <c r="B573" s="291">
        <f>IFERROR(__xludf.DUMMYFUNCTION("""COMPUTED_VALUE"""),45618.0)</f>
        <v>45618</v>
      </c>
      <c r="C573" s="292"/>
      <c r="D573" s="293">
        <f>IFERROR(__xludf.DUMMYFUNCTION("""COMPUTED_VALUE"""),215889.0)</f>
        <v>215889</v>
      </c>
      <c r="E573" s="290" t="str">
        <f>IFERROR(__xludf.DUMMYFUNCTION("""COMPUTED_VALUE"""),"カリ挿れ姦済")</f>
        <v>カリ挿れ姦済</v>
      </c>
      <c r="F573" s="298" t="str">
        <f>IFERROR(__xludf.DUMMYFUNCTION("""COMPUTED_VALUE"""),"くもえもん")</f>
        <v>くもえもん</v>
      </c>
      <c r="G573" s="298" t="str">
        <f>IFERROR(__xludf.DUMMYFUNCTION("""COMPUTED_VALUE"""),"オトナコミック")</f>
        <v>オトナコミック</v>
      </c>
      <c r="H573" s="298" t="str">
        <f>IFERROR(__xludf.DUMMYFUNCTION("""COMPUTED_VALUE"""),"2024/11/25～）クレジットカードでの購入のみ停止")</f>
        <v>2024/11/25～）クレジットカードでの購入のみ停止</v>
      </c>
      <c r="I573" s="283"/>
      <c r="J573" s="283"/>
      <c r="K573" s="283"/>
      <c r="L573" s="283"/>
      <c r="M573" s="283"/>
      <c r="N573" s="283"/>
      <c r="O573" s="283"/>
      <c r="P573" s="283"/>
      <c r="Q573" s="278"/>
      <c r="R573" s="278"/>
      <c r="S573" s="278"/>
      <c r="T573" s="278"/>
      <c r="U573" s="278"/>
      <c r="V573" s="278"/>
      <c r="W573" s="278"/>
      <c r="X573" s="278"/>
      <c r="Y573" s="278"/>
      <c r="Z573" s="278"/>
      <c r="AA573" s="278"/>
      <c r="AB573" s="278"/>
      <c r="AC573" s="278"/>
    </row>
    <row r="574" ht="15.75" customHeight="1">
      <c r="A574" s="290" t="str">
        <f>IFERROR(__xludf.DUMMYFUNCTION("""COMPUTED_VALUE"""),"双葉社")</f>
        <v>双葉社</v>
      </c>
      <c r="B574" s="291">
        <f>IFERROR(__xludf.DUMMYFUNCTION("""COMPUTED_VALUE"""),45618.0)</f>
        <v>45618</v>
      </c>
      <c r="C574" s="292"/>
      <c r="D574" s="293">
        <f>IFERROR(__xludf.DUMMYFUNCTION("""COMPUTED_VALUE"""),242888.0)</f>
        <v>242888</v>
      </c>
      <c r="E574" s="290" t="str">
        <f>IFERROR(__xludf.DUMMYFUNCTION("""COMPUTED_VALUE"""),"ビッチフレンド 寝取りの作法")</f>
        <v>ビッチフレンド 寝取りの作法</v>
      </c>
      <c r="F574" s="298" t="str">
        <f>IFERROR(__xludf.DUMMYFUNCTION("""COMPUTED_VALUE"""),"らっそん")</f>
        <v>らっそん</v>
      </c>
      <c r="G574" s="298" t="str">
        <f>IFERROR(__xludf.DUMMYFUNCTION("""COMPUTED_VALUE"""),"オトナコミック")</f>
        <v>オトナコミック</v>
      </c>
      <c r="H574" s="298" t="str">
        <f>IFERROR(__xludf.DUMMYFUNCTION("""COMPUTED_VALUE"""),"2024/11/25～）クレジットカードでの購入のみ停止")</f>
        <v>2024/11/25～）クレジットカードでの購入のみ停止</v>
      </c>
      <c r="I574" s="283"/>
      <c r="J574" s="283"/>
      <c r="K574" s="283"/>
      <c r="L574" s="283"/>
      <c r="M574" s="283"/>
      <c r="N574" s="283"/>
      <c r="O574" s="283"/>
      <c r="P574" s="283"/>
      <c r="Q574" s="278"/>
      <c r="R574" s="278"/>
      <c r="S574" s="278"/>
      <c r="T574" s="278"/>
      <c r="U574" s="278"/>
      <c r="V574" s="278"/>
      <c r="W574" s="278"/>
      <c r="X574" s="278"/>
      <c r="Y574" s="278"/>
      <c r="Z574" s="278"/>
      <c r="AA574" s="278"/>
      <c r="AB574" s="278"/>
      <c r="AC574" s="278"/>
    </row>
    <row r="575" ht="15.75" customHeight="1">
      <c r="A575" s="290" t="str">
        <f>IFERROR(__xludf.DUMMYFUNCTION("""COMPUTED_VALUE"""),"双葉社")</f>
        <v>双葉社</v>
      </c>
      <c r="B575" s="291">
        <f>IFERROR(__xludf.DUMMYFUNCTION("""COMPUTED_VALUE"""),45618.0)</f>
        <v>45618</v>
      </c>
      <c r="C575" s="292"/>
      <c r="D575" s="293">
        <f>IFERROR(__xludf.DUMMYFUNCTION("""COMPUTED_VALUE"""),256530.0)</f>
        <v>256530</v>
      </c>
      <c r="E575" s="290" t="str">
        <f>IFERROR(__xludf.DUMMYFUNCTION("""COMPUTED_VALUE"""),"子宮パンパン～マワして孕ます～")</f>
        <v>子宮パンパン～マワして孕ます～</v>
      </c>
      <c r="F575" s="298" t="str">
        <f>IFERROR(__xludf.DUMMYFUNCTION("""COMPUTED_VALUE"""),"リンスン")</f>
        <v>リンスン</v>
      </c>
      <c r="G575" s="298" t="str">
        <f>IFERROR(__xludf.DUMMYFUNCTION("""COMPUTED_VALUE"""),"オトナコミック")</f>
        <v>オトナコミック</v>
      </c>
      <c r="H575" s="298" t="str">
        <f>IFERROR(__xludf.DUMMYFUNCTION("""COMPUTED_VALUE"""),"2024/11/25～）クレジットカードでの購入のみ停止")</f>
        <v>2024/11/25～）クレジットカードでの購入のみ停止</v>
      </c>
      <c r="I575" s="283"/>
      <c r="J575" s="283"/>
      <c r="K575" s="283"/>
      <c r="L575" s="283"/>
      <c r="M575" s="283"/>
      <c r="N575" s="283"/>
      <c r="O575" s="283"/>
      <c r="P575" s="283"/>
      <c r="Q575" s="278"/>
      <c r="R575" s="278"/>
      <c r="S575" s="278"/>
      <c r="T575" s="278"/>
      <c r="U575" s="278"/>
      <c r="V575" s="278"/>
      <c r="W575" s="278"/>
      <c r="X575" s="278"/>
      <c r="Y575" s="278"/>
      <c r="Z575" s="278"/>
      <c r="AA575" s="278"/>
      <c r="AB575" s="278"/>
      <c r="AC575" s="278"/>
    </row>
    <row r="576" ht="15.75" customHeight="1">
      <c r="A576" s="290" t="str">
        <f>IFERROR(__xludf.DUMMYFUNCTION("""COMPUTED_VALUE"""),"大洋図書")</f>
        <v>大洋図書</v>
      </c>
      <c r="B576" s="291">
        <f>IFERROR(__xludf.DUMMYFUNCTION("""COMPUTED_VALUE"""),45618.0)</f>
        <v>45618</v>
      </c>
      <c r="C576" s="292"/>
      <c r="D576" s="293">
        <f>IFERROR(__xludf.DUMMYFUNCTION("""COMPUTED_VALUE"""),139134.0)</f>
        <v>139134</v>
      </c>
      <c r="E576" s="290" t="str">
        <f>IFERROR(__xludf.DUMMYFUNCTION("""COMPUTED_VALUE"""),"隷嬢白書")</f>
        <v>隷嬢白書</v>
      </c>
      <c r="F576" s="298" t="str">
        <f>IFERROR(__xludf.DUMMYFUNCTION("""COMPUTED_VALUE"""),"まあたん")</f>
        <v>まあたん</v>
      </c>
      <c r="G576" s="298" t="str">
        <f>IFERROR(__xludf.DUMMYFUNCTION("""COMPUTED_VALUE"""),"オトナコミック")</f>
        <v>オトナコミック</v>
      </c>
      <c r="H576" s="298" t="str">
        <f>IFERROR(__xludf.DUMMYFUNCTION("""COMPUTED_VALUE"""),"2024/11/25～）クレジットカードでの購入のみ停止")</f>
        <v>2024/11/25～）クレジットカードでの購入のみ停止</v>
      </c>
      <c r="I576" s="283"/>
      <c r="J576" s="283"/>
      <c r="K576" s="283"/>
      <c r="L576" s="283"/>
      <c r="M576" s="283"/>
      <c r="N576" s="283"/>
      <c r="O576" s="283"/>
      <c r="P576" s="283"/>
      <c r="Q576" s="278"/>
      <c r="R576" s="278"/>
      <c r="S576" s="278"/>
      <c r="T576" s="278"/>
      <c r="U576" s="278"/>
      <c r="V576" s="278"/>
      <c r="W576" s="278"/>
      <c r="X576" s="278"/>
      <c r="Y576" s="278"/>
      <c r="Z576" s="278"/>
      <c r="AA576" s="278"/>
      <c r="AB576" s="278"/>
      <c r="AC576" s="278"/>
    </row>
    <row r="577" ht="15.75" customHeight="1">
      <c r="A577" s="290" t="str">
        <f>IFERROR(__xludf.DUMMYFUNCTION("""COMPUTED_VALUE"""),"大洋図書")</f>
        <v>大洋図書</v>
      </c>
      <c r="B577" s="291">
        <f>IFERROR(__xludf.DUMMYFUNCTION("""COMPUTED_VALUE"""),45618.0)</f>
        <v>45618</v>
      </c>
      <c r="C577" s="292"/>
      <c r="D577" s="293">
        <f>IFERROR(__xludf.DUMMYFUNCTION("""COMPUTED_VALUE"""),203985.0)</f>
        <v>203985</v>
      </c>
      <c r="E577" s="290" t="str">
        <f>IFERROR(__xludf.DUMMYFUNCTION("""COMPUTED_VALUE"""),"ネオフェチズム")</f>
        <v>ネオフェチズム</v>
      </c>
      <c r="F577" s="298" t="str">
        <f>IFERROR(__xludf.DUMMYFUNCTION("""COMPUTED_VALUE"""),"心島咲")</f>
        <v>心島咲</v>
      </c>
      <c r="G577" s="298" t="str">
        <f>IFERROR(__xludf.DUMMYFUNCTION("""COMPUTED_VALUE"""),"オトナコミック")</f>
        <v>オトナコミック</v>
      </c>
      <c r="H577" s="298" t="str">
        <f>IFERROR(__xludf.DUMMYFUNCTION("""COMPUTED_VALUE"""),"2024/11/25～）クレジットカードでの購入のみ停止")</f>
        <v>2024/11/25～）クレジットカードでの購入のみ停止</v>
      </c>
      <c r="I577" s="283"/>
      <c r="J577" s="283"/>
      <c r="K577" s="283"/>
      <c r="L577" s="283"/>
      <c r="M577" s="283"/>
      <c r="N577" s="283"/>
      <c r="O577" s="283"/>
      <c r="P577" s="283"/>
      <c r="Q577" s="278"/>
      <c r="R577" s="278"/>
      <c r="S577" s="278"/>
      <c r="T577" s="278"/>
      <c r="U577" s="278"/>
      <c r="V577" s="278"/>
      <c r="W577" s="278"/>
      <c r="X577" s="278"/>
      <c r="Y577" s="278"/>
      <c r="Z577" s="278"/>
      <c r="AA577" s="278"/>
      <c r="AB577" s="278"/>
      <c r="AC577" s="278"/>
    </row>
    <row r="578" ht="15.75" customHeight="1">
      <c r="A578" s="290" t="str">
        <f>IFERROR(__xludf.DUMMYFUNCTION("""COMPUTED_VALUE"""),"大洋図書")</f>
        <v>大洋図書</v>
      </c>
      <c r="B578" s="291">
        <f>IFERROR(__xludf.DUMMYFUNCTION("""COMPUTED_VALUE"""),45618.0)</f>
        <v>45618</v>
      </c>
      <c r="C578" s="292"/>
      <c r="D578" s="293">
        <f>IFERROR(__xludf.DUMMYFUNCTION("""COMPUTED_VALUE"""),233072.0)</f>
        <v>233072</v>
      </c>
      <c r="E578" s="290" t="str">
        <f>IFERROR(__xludf.DUMMYFUNCTION("""COMPUTED_VALUE"""),"Toy's FLOOR")</f>
        <v>Toy's FLOOR</v>
      </c>
      <c r="F578" s="298" t="str">
        <f>IFERROR(__xludf.DUMMYFUNCTION("""COMPUTED_VALUE"""),"上藤政樹")</f>
        <v>上藤政樹</v>
      </c>
      <c r="G578" s="298" t="str">
        <f>IFERROR(__xludf.DUMMYFUNCTION("""COMPUTED_VALUE"""),"オトナコミック")</f>
        <v>オトナコミック</v>
      </c>
      <c r="H578" s="298" t="str">
        <f>IFERROR(__xludf.DUMMYFUNCTION("""COMPUTED_VALUE"""),"2024/11/25～）クレジットカードでの購入のみ停止")</f>
        <v>2024/11/25～）クレジットカードでの購入のみ停止</v>
      </c>
      <c r="I578" s="283"/>
      <c r="J578" s="283"/>
      <c r="K578" s="283"/>
      <c r="L578" s="283"/>
      <c r="M578" s="283"/>
      <c r="N578" s="283"/>
      <c r="O578" s="283"/>
      <c r="P578" s="283"/>
      <c r="Q578" s="278"/>
      <c r="R578" s="278"/>
      <c r="S578" s="278"/>
      <c r="T578" s="278"/>
      <c r="U578" s="278"/>
      <c r="V578" s="278"/>
      <c r="W578" s="278"/>
      <c r="X578" s="278"/>
      <c r="Y578" s="278"/>
      <c r="Z578" s="278"/>
      <c r="AA578" s="278"/>
      <c r="AB578" s="278"/>
      <c r="AC578" s="278"/>
    </row>
    <row r="579" ht="15.75" customHeight="1">
      <c r="A579" s="290" t="str">
        <f>IFERROR(__xludf.DUMMYFUNCTION("""COMPUTED_VALUE"""),"大洋図書")</f>
        <v>大洋図書</v>
      </c>
      <c r="B579" s="291">
        <f>IFERROR(__xludf.DUMMYFUNCTION("""COMPUTED_VALUE"""),45618.0)</f>
        <v>45618</v>
      </c>
      <c r="C579" s="292"/>
      <c r="D579" s="293">
        <f>IFERROR(__xludf.DUMMYFUNCTION("""COMPUTED_VALUE"""),244237.0)</f>
        <v>244237</v>
      </c>
      <c r="E579" s="290" t="str">
        <f>IFERROR(__xludf.DUMMYFUNCTION("""COMPUTED_VALUE"""),"まなみ先生の肛外学羞")</f>
        <v>まなみ先生の肛外学羞</v>
      </c>
      <c r="F579" s="298" t="str">
        <f>IFERROR(__xludf.DUMMYFUNCTION("""COMPUTED_VALUE"""),"上藤政樹")</f>
        <v>上藤政樹</v>
      </c>
      <c r="G579" s="298" t="str">
        <f>IFERROR(__xludf.DUMMYFUNCTION("""COMPUTED_VALUE"""),"オトナコミック")</f>
        <v>オトナコミック</v>
      </c>
      <c r="H579" s="298" t="str">
        <f>IFERROR(__xludf.DUMMYFUNCTION("""COMPUTED_VALUE"""),"2024/11/25～）クレジットカードでの購入のみ停止")</f>
        <v>2024/11/25～）クレジットカードでの購入のみ停止</v>
      </c>
      <c r="I579" s="283"/>
      <c r="J579" s="283"/>
      <c r="K579" s="283"/>
      <c r="L579" s="283"/>
      <c r="M579" s="283"/>
      <c r="N579" s="283"/>
      <c r="O579" s="283"/>
      <c r="P579" s="283"/>
      <c r="Q579" s="278"/>
      <c r="R579" s="278"/>
      <c r="S579" s="278"/>
      <c r="T579" s="278"/>
      <c r="U579" s="278"/>
      <c r="V579" s="278"/>
      <c r="W579" s="278"/>
      <c r="X579" s="278"/>
      <c r="Y579" s="278"/>
      <c r="Z579" s="278"/>
      <c r="AA579" s="278"/>
      <c r="AB579" s="278"/>
      <c r="AC579" s="278"/>
    </row>
    <row r="580" ht="15.75" customHeight="1">
      <c r="A580" s="290" t="str">
        <f>IFERROR(__xludf.DUMMYFUNCTION("""COMPUTED_VALUE"""),"大洋図書")</f>
        <v>大洋図書</v>
      </c>
      <c r="B580" s="291">
        <f>IFERROR(__xludf.DUMMYFUNCTION("""COMPUTED_VALUE"""),45618.0)</f>
        <v>45618</v>
      </c>
      <c r="C580" s="292"/>
      <c r="D580" s="293">
        <f>IFERROR(__xludf.DUMMYFUNCTION("""COMPUTED_VALUE"""),245501.0)</f>
        <v>245501</v>
      </c>
      <c r="E580" s="290" t="str">
        <f>IFERROR(__xludf.DUMMYFUNCTION("""COMPUTED_VALUE"""),"家庭教師は女忍者!?")</f>
        <v>家庭教師は女忍者!?</v>
      </c>
      <c r="F580" s="298" t="str">
        <f>IFERROR(__xludf.DUMMYFUNCTION("""COMPUTED_VALUE"""),"上藤政樹")</f>
        <v>上藤政樹</v>
      </c>
      <c r="G580" s="298" t="str">
        <f>IFERROR(__xludf.DUMMYFUNCTION("""COMPUTED_VALUE"""),"オトナコミック")</f>
        <v>オトナコミック</v>
      </c>
      <c r="H580" s="298" t="str">
        <f>IFERROR(__xludf.DUMMYFUNCTION("""COMPUTED_VALUE"""),"2024/11/25～）クレジットカードでの購入のみ停止")</f>
        <v>2024/11/25～）クレジットカードでの購入のみ停止</v>
      </c>
      <c r="I580" s="283"/>
      <c r="J580" s="283"/>
      <c r="K580" s="283"/>
      <c r="L580" s="283"/>
      <c r="M580" s="283"/>
      <c r="N580" s="283"/>
      <c r="O580" s="283"/>
      <c r="P580" s="283"/>
      <c r="Q580" s="278"/>
      <c r="R580" s="278"/>
      <c r="S580" s="278"/>
      <c r="T580" s="278"/>
      <c r="U580" s="278"/>
      <c r="V580" s="278"/>
      <c r="W580" s="278"/>
      <c r="X580" s="278"/>
      <c r="Y580" s="278"/>
      <c r="Z580" s="278"/>
      <c r="AA580" s="278"/>
      <c r="AB580" s="278"/>
      <c r="AC580" s="278"/>
    </row>
    <row r="581" ht="15.75" customHeight="1">
      <c r="A581" s="290" t="str">
        <f>IFERROR(__xludf.DUMMYFUNCTION("""COMPUTED_VALUE"""),"大洋図書")</f>
        <v>大洋図書</v>
      </c>
      <c r="B581" s="291">
        <f>IFERROR(__xludf.DUMMYFUNCTION("""COMPUTED_VALUE"""),45618.0)</f>
        <v>45618</v>
      </c>
      <c r="C581" s="292"/>
      <c r="D581" s="293">
        <f>IFERROR(__xludf.DUMMYFUNCTION("""COMPUTED_VALUE"""),248428.0)</f>
        <v>248428</v>
      </c>
      <c r="E581" s="290" t="str">
        <f>IFERROR(__xludf.DUMMYFUNCTION("""COMPUTED_VALUE"""),"犯ると研究会-未恥との遭遇-")</f>
        <v>犯ると研究会-未恥との遭遇-</v>
      </c>
      <c r="F581" s="298" t="str">
        <f>IFERROR(__xludf.DUMMYFUNCTION("""COMPUTED_VALUE"""),"上藤政樹")</f>
        <v>上藤政樹</v>
      </c>
      <c r="G581" s="298" t="str">
        <f>IFERROR(__xludf.DUMMYFUNCTION("""COMPUTED_VALUE"""),"オトナコミック")</f>
        <v>オトナコミック</v>
      </c>
      <c r="H581" s="298" t="str">
        <f>IFERROR(__xludf.DUMMYFUNCTION("""COMPUTED_VALUE"""),"2024/11/25～）クレジットカードでの購入のみ停止")</f>
        <v>2024/11/25～）クレジットカードでの購入のみ停止</v>
      </c>
      <c r="I581" s="283"/>
      <c r="J581" s="283"/>
      <c r="K581" s="283"/>
      <c r="L581" s="283"/>
      <c r="M581" s="283"/>
      <c r="N581" s="283"/>
      <c r="O581" s="283"/>
      <c r="P581" s="283"/>
      <c r="Q581" s="278"/>
      <c r="R581" s="278"/>
      <c r="S581" s="278"/>
      <c r="T581" s="278"/>
      <c r="U581" s="278"/>
      <c r="V581" s="278"/>
      <c r="W581" s="278"/>
      <c r="X581" s="278"/>
      <c r="Y581" s="278"/>
      <c r="Z581" s="278"/>
      <c r="AA581" s="278"/>
      <c r="AB581" s="278"/>
      <c r="AC581" s="278"/>
    </row>
    <row r="582" ht="15.75" customHeight="1">
      <c r="A582" s="290" t="str">
        <f>IFERROR(__xludf.DUMMYFUNCTION("""COMPUTED_VALUE"""),"大洋図書")</f>
        <v>大洋図書</v>
      </c>
      <c r="B582" s="291">
        <f>IFERROR(__xludf.DUMMYFUNCTION("""COMPUTED_VALUE"""),45618.0)</f>
        <v>45618</v>
      </c>
      <c r="C582" s="292"/>
      <c r="D582" s="293">
        <f>IFERROR(__xludf.DUMMYFUNCTION("""COMPUTED_VALUE"""),261864.0)</f>
        <v>261864</v>
      </c>
      <c r="E582" s="290" t="str">
        <f>IFERROR(__xludf.DUMMYFUNCTION("""COMPUTED_VALUE"""),"あの娘にラブコール")</f>
        <v>あの娘にラブコール</v>
      </c>
      <c r="F582" s="298" t="str">
        <f>IFERROR(__xludf.DUMMYFUNCTION("""COMPUTED_VALUE"""),"上藤政樹")</f>
        <v>上藤政樹</v>
      </c>
      <c r="G582" s="298" t="str">
        <f>IFERROR(__xludf.DUMMYFUNCTION("""COMPUTED_VALUE"""),"オトナコミック")</f>
        <v>オトナコミック</v>
      </c>
      <c r="H582" s="298" t="str">
        <f>IFERROR(__xludf.DUMMYFUNCTION("""COMPUTED_VALUE"""),"2024/11/25～）クレジットカードでの購入のみ停止")</f>
        <v>2024/11/25～）クレジットカードでの購入のみ停止</v>
      </c>
      <c r="I582" s="283"/>
      <c r="J582" s="283"/>
      <c r="K582" s="283"/>
      <c r="L582" s="283"/>
      <c r="M582" s="283"/>
      <c r="N582" s="283"/>
      <c r="O582" s="283"/>
      <c r="P582" s="283"/>
      <c r="Q582" s="278"/>
      <c r="R582" s="278"/>
      <c r="S582" s="278"/>
      <c r="T582" s="278"/>
      <c r="U582" s="278"/>
      <c r="V582" s="278"/>
      <c r="W582" s="278"/>
      <c r="X582" s="278"/>
      <c r="Y582" s="278"/>
      <c r="Z582" s="278"/>
      <c r="AA582" s="278"/>
      <c r="AB582" s="278"/>
      <c r="AC582" s="278"/>
    </row>
    <row r="583" ht="15.75" customHeight="1">
      <c r="A583" s="290" t="str">
        <f>IFERROR(__xludf.DUMMYFUNCTION("""COMPUTED_VALUE"""),"大洋図書")</f>
        <v>大洋図書</v>
      </c>
      <c r="B583" s="291">
        <f>IFERROR(__xludf.DUMMYFUNCTION("""COMPUTED_VALUE"""),45618.0)</f>
        <v>45618</v>
      </c>
      <c r="C583" s="292"/>
      <c r="D583" s="293">
        <f>IFERROR(__xludf.DUMMYFUNCTION("""COMPUTED_VALUE"""),277181.0)</f>
        <v>277181</v>
      </c>
      <c r="E583" s="290" t="str">
        <f>IFERROR(__xludf.DUMMYFUNCTION("""COMPUTED_VALUE"""),"ふるん！")</f>
        <v>ふるん！</v>
      </c>
      <c r="F583" s="298" t="str">
        <f>IFERROR(__xludf.DUMMYFUNCTION("""COMPUTED_VALUE"""),"風船クラブ")</f>
        <v>風船クラブ</v>
      </c>
      <c r="G583" s="298" t="str">
        <f>IFERROR(__xludf.DUMMYFUNCTION("""COMPUTED_VALUE"""),"オトナコミック")</f>
        <v>オトナコミック</v>
      </c>
      <c r="H583" s="298" t="str">
        <f>IFERROR(__xludf.DUMMYFUNCTION("""COMPUTED_VALUE"""),"2024/11/25～）クレジットカードでの購入のみ停止")</f>
        <v>2024/11/25～）クレジットカードでの購入のみ停止</v>
      </c>
      <c r="I583" s="283"/>
      <c r="J583" s="283"/>
      <c r="K583" s="283"/>
      <c r="L583" s="283"/>
      <c r="M583" s="283"/>
      <c r="N583" s="283"/>
      <c r="O583" s="283"/>
      <c r="P583" s="283"/>
      <c r="Q583" s="278"/>
      <c r="R583" s="278"/>
      <c r="S583" s="278"/>
      <c r="T583" s="278"/>
      <c r="U583" s="278"/>
      <c r="V583" s="278"/>
      <c r="W583" s="278"/>
      <c r="X583" s="278"/>
      <c r="Y583" s="278"/>
      <c r="Z583" s="278"/>
      <c r="AA583" s="278"/>
      <c r="AB583" s="278"/>
      <c r="AC583" s="278"/>
    </row>
    <row r="584" ht="15.75" customHeight="1">
      <c r="A584" s="290" t="str">
        <f>IFERROR(__xludf.DUMMYFUNCTION("""COMPUTED_VALUE"""),"大洋図書")</f>
        <v>大洋図書</v>
      </c>
      <c r="B584" s="291">
        <f>IFERROR(__xludf.DUMMYFUNCTION("""COMPUTED_VALUE"""),45618.0)</f>
        <v>45618</v>
      </c>
      <c r="C584" s="292"/>
      <c r="D584" s="293">
        <f>IFERROR(__xludf.DUMMYFUNCTION("""COMPUTED_VALUE"""),283480.0)</f>
        <v>283480</v>
      </c>
      <c r="E584" s="290" t="str">
        <f>IFERROR(__xludf.DUMMYFUNCTION("""COMPUTED_VALUE"""),"人妻痴情")</f>
        <v>人妻痴情</v>
      </c>
      <c r="F584" s="298" t="str">
        <f>IFERROR(__xludf.DUMMYFUNCTION("""COMPUTED_VALUE"""),"井河隆志")</f>
        <v>井河隆志</v>
      </c>
      <c r="G584" s="298" t="str">
        <f>IFERROR(__xludf.DUMMYFUNCTION("""COMPUTED_VALUE"""),"オトナコミック")</f>
        <v>オトナコミック</v>
      </c>
      <c r="H584" s="298" t="str">
        <f>IFERROR(__xludf.DUMMYFUNCTION("""COMPUTED_VALUE"""),"2024/11/25～）クレジットカードでの購入のみ停止")</f>
        <v>2024/11/25～）クレジットカードでの購入のみ停止</v>
      </c>
      <c r="I584" s="283"/>
      <c r="J584" s="283"/>
      <c r="K584" s="283"/>
      <c r="L584" s="283"/>
      <c r="M584" s="283"/>
      <c r="N584" s="283"/>
      <c r="O584" s="283"/>
      <c r="P584" s="283"/>
      <c r="Q584" s="278"/>
      <c r="R584" s="278"/>
      <c r="S584" s="278"/>
      <c r="T584" s="278"/>
      <c r="U584" s="278"/>
      <c r="V584" s="278"/>
      <c r="W584" s="278"/>
      <c r="X584" s="278"/>
      <c r="Y584" s="278"/>
      <c r="Z584" s="278"/>
      <c r="AA584" s="278"/>
      <c r="AB584" s="278"/>
      <c r="AC584" s="278"/>
    </row>
    <row r="585" ht="15.75" customHeight="1">
      <c r="A585" s="290" t="str">
        <f>IFERROR(__xludf.DUMMYFUNCTION("""COMPUTED_VALUE"""),"大洋図書")</f>
        <v>大洋図書</v>
      </c>
      <c r="B585" s="291">
        <f>IFERROR(__xludf.DUMMYFUNCTION("""COMPUTED_VALUE"""),45618.0)</f>
        <v>45618</v>
      </c>
      <c r="C585" s="292"/>
      <c r="D585" s="293">
        <f>IFERROR(__xludf.DUMMYFUNCTION("""COMPUTED_VALUE"""),284473.0)</f>
        <v>284473</v>
      </c>
      <c r="E585" s="290" t="str">
        <f>IFERROR(__xludf.DUMMYFUNCTION("""COMPUTED_VALUE"""),"ピンクのスリット")</f>
        <v>ピンクのスリット</v>
      </c>
      <c r="F585" s="298" t="str">
        <f>IFERROR(__xludf.DUMMYFUNCTION("""COMPUTED_VALUE"""),"内山亜紀")</f>
        <v>内山亜紀</v>
      </c>
      <c r="G585" s="298" t="str">
        <f>IFERROR(__xludf.DUMMYFUNCTION("""COMPUTED_VALUE"""),"オトナコミック")</f>
        <v>オトナコミック</v>
      </c>
      <c r="H585" s="298" t="str">
        <f>IFERROR(__xludf.DUMMYFUNCTION("""COMPUTED_VALUE"""),"2024/11/25～）クレジットカードでの購入のみ停止")</f>
        <v>2024/11/25～）クレジットカードでの購入のみ停止</v>
      </c>
      <c r="I585" s="283"/>
      <c r="J585" s="283"/>
      <c r="K585" s="283"/>
      <c r="L585" s="283"/>
      <c r="M585" s="283"/>
      <c r="N585" s="283"/>
      <c r="O585" s="283"/>
      <c r="P585" s="283"/>
      <c r="Q585" s="278"/>
      <c r="R585" s="278"/>
      <c r="S585" s="278"/>
      <c r="T585" s="278"/>
      <c r="U585" s="278"/>
      <c r="V585" s="278"/>
      <c r="W585" s="278"/>
      <c r="X585" s="278"/>
      <c r="Y585" s="278"/>
      <c r="Z585" s="278"/>
      <c r="AA585" s="278"/>
      <c r="AB585" s="278"/>
      <c r="AC585" s="278"/>
    </row>
    <row r="586" ht="15.75" customHeight="1">
      <c r="A586" s="290" t="str">
        <f>IFERROR(__xludf.DUMMYFUNCTION("""COMPUTED_VALUE"""),"辰巳出版")</f>
        <v>辰巳出版</v>
      </c>
      <c r="B586" s="291">
        <f>IFERROR(__xludf.DUMMYFUNCTION("""COMPUTED_VALUE"""),45618.0)</f>
        <v>45618</v>
      </c>
      <c r="C586" s="292"/>
      <c r="D586" s="293">
        <f>IFERROR(__xludf.DUMMYFUNCTION("""COMPUTED_VALUE"""),167761.0)</f>
        <v>167761</v>
      </c>
      <c r="E586" s="290" t="str">
        <f>IFERROR(__xludf.DUMMYFUNCTION("""COMPUTED_VALUE"""),"田舎処女")</f>
        <v>田舎処女</v>
      </c>
      <c r="F586" s="298" t="str">
        <f>IFERROR(__xludf.DUMMYFUNCTION("""COMPUTED_VALUE"""),"木星在住")</f>
        <v>木星在住</v>
      </c>
      <c r="G586" s="298" t="str">
        <f>IFERROR(__xludf.DUMMYFUNCTION("""COMPUTED_VALUE"""),"オトナコミック")</f>
        <v>オトナコミック</v>
      </c>
      <c r="H586" s="298" t="str">
        <f>IFERROR(__xludf.DUMMYFUNCTION("""COMPUTED_VALUE"""),"2024/11/25～）クレジットカードでの購入のみ停止")</f>
        <v>2024/11/25～）クレジットカードでの購入のみ停止</v>
      </c>
      <c r="I586" s="283"/>
      <c r="J586" s="283"/>
      <c r="K586" s="283"/>
      <c r="L586" s="283"/>
      <c r="M586" s="283"/>
      <c r="N586" s="283"/>
      <c r="O586" s="283"/>
      <c r="P586" s="283"/>
      <c r="Q586" s="278"/>
      <c r="R586" s="278"/>
      <c r="S586" s="278"/>
      <c r="T586" s="278"/>
      <c r="U586" s="278"/>
      <c r="V586" s="278"/>
      <c r="W586" s="278"/>
      <c r="X586" s="278"/>
      <c r="Y586" s="278"/>
      <c r="Z586" s="278"/>
      <c r="AA586" s="278"/>
      <c r="AB586" s="278"/>
      <c r="AC586" s="278"/>
    </row>
    <row r="587" ht="15.75" customHeight="1">
      <c r="A587" s="290" t="str">
        <f>IFERROR(__xludf.DUMMYFUNCTION("""COMPUTED_VALUE"""),"辰巳出版")</f>
        <v>辰巳出版</v>
      </c>
      <c r="B587" s="291">
        <f>IFERROR(__xludf.DUMMYFUNCTION("""COMPUTED_VALUE"""),45618.0)</f>
        <v>45618</v>
      </c>
      <c r="C587" s="292"/>
      <c r="D587" s="293">
        <f>IFERROR(__xludf.DUMMYFUNCTION("""COMPUTED_VALUE"""),223167.0)</f>
        <v>223167</v>
      </c>
      <c r="E587" s="290" t="str">
        <f>IFERROR(__xludf.DUMMYFUNCTION("""COMPUTED_VALUE"""),"BEASTLY【電子版特典付き】")</f>
        <v>BEASTLY【電子版特典付き】</v>
      </c>
      <c r="F587" s="298" t="str">
        <f>IFERROR(__xludf.DUMMYFUNCTION("""COMPUTED_VALUE"""),"Cuvie")</f>
        <v>Cuvie</v>
      </c>
      <c r="G587" s="298" t="str">
        <f>IFERROR(__xludf.DUMMYFUNCTION("""COMPUTED_VALUE"""),"オトナコミック")</f>
        <v>オトナコミック</v>
      </c>
      <c r="H587" s="298" t="str">
        <f>IFERROR(__xludf.DUMMYFUNCTION("""COMPUTED_VALUE"""),"2024/11/25～）クレジットカードでの購入のみ停止")</f>
        <v>2024/11/25～）クレジットカードでの購入のみ停止</v>
      </c>
      <c r="I587" s="283"/>
      <c r="J587" s="283"/>
      <c r="K587" s="283"/>
      <c r="L587" s="283"/>
      <c r="M587" s="283"/>
      <c r="N587" s="283"/>
      <c r="O587" s="283"/>
      <c r="P587" s="283"/>
      <c r="Q587" s="278"/>
      <c r="R587" s="278"/>
      <c r="S587" s="278"/>
      <c r="T587" s="278"/>
      <c r="U587" s="278"/>
      <c r="V587" s="278"/>
      <c r="W587" s="278"/>
      <c r="X587" s="278"/>
      <c r="Y587" s="278"/>
      <c r="Z587" s="278"/>
      <c r="AA587" s="278"/>
      <c r="AB587" s="278"/>
      <c r="AC587" s="278"/>
    </row>
    <row r="588" ht="15.75" customHeight="1">
      <c r="A588" s="290" t="str">
        <f>IFERROR(__xludf.DUMMYFUNCTION("""COMPUTED_VALUE"""),"辰巳出版")</f>
        <v>辰巳出版</v>
      </c>
      <c r="B588" s="291">
        <f>IFERROR(__xludf.DUMMYFUNCTION("""COMPUTED_VALUE"""),45618.0)</f>
        <v>45618</v>
      </c>
      <c r="C588" s="292"/>
      <c r="D588" s="293">
        <f>IFERROR(__xludf.DUMMYFUNCTION("""COMPUTED_VALUE"""),244515.0)</f>
        <v>244515</v>
      </c>
      <c r="E588" s="290" t="str">
        <f>IFERROR(__xludf.DUMMYFUNCTION("""COMPUTED_VALUE"""),"堕（お）とされ疼き妻【電子版特典付き】")</f>
        <v>堕（お）とされ疼き妻【電子版特典付き】</v>
      </c>
      <c r="F588" s="298" t="str">
        <f>IFERROR(__xludf.DUMMYFUNCTION("""COMPUTED_VALUE"""),"甲斐ひろゆき")</f>
        <v>甲斐ひろゆき</v>
      </c>
      <c r="G588" s="298" t="str">
        <f>IFERROR(__xludf.DUMMYFUNCTION("""COMPUTED_VALUE"""),"オトナコミック")</f>
        <v>オトナコミック</v>
      </c>
      <c r="H588" s="298" t="str">
        <f>IFERROR(__xludf.DUMMYFUNCTION("""COMPUTED_VALUE"""),"2024/11/25～）クレジットカードでの購入のみ停止")</f>
        <v>2024/11/25～）クレジットカードでの購入のみ停止</v>
      </c>
      <c r="I588" s="283"/>
      <c r="J588" s="283"/>
      <c r="K588" s="283"/>
      <c r="L588" s="283"/>
      <c r="M588" s="283"/>
      <c r="N588" s="283"/>
      <c r="O588" s="283"/>
      <c r="P588" s="283"/>
      <c r="Q588" s="278"/>
      <c r="R588" s="278"/>
      <c r="S588" s="278"/>
      <c r="T588" s="278"/>
      <c r="U588" s="278"/>
      <c r="V588" s="278"/>
      <c r="W588" s="278"/>
      <c r="X588" s="278"/>
      <c r="Y588" s="278"/>
      <c r="Z588" s="278"/>
      <c r="AA588" s="278"/>
      <c r="AB588" s="278"/>
      <c r="AC588" s="278"/>
    </row>
    <row r="589" ht="15.75" customHeight="1">
      <c r="A589" s="290" t="str">
        <f>IFERROR(__xludf.DUMMYFUNCTION("""COMPUTED_VALUE"""),"辰巳出版")</f>
        <v>辰巳出版</v>
      </c>
      <c r="B589" s="291">
        <f>IFERROR(__xludf.DUMMYFUNCTION("""COMPUTED_VALUE"""),45618.0)</f>
        <v>45618</v>
      </c>
      <c r="C589" s="292"/>
      <c r="D589" s="293">
        <f>IFERROR(__xludf.DUMMYFUNCTION("""COMPUTED_VALUE"""),269552.0)</f>
        <v>269552</v>
      </c>
      <c r="E589" s="290" t="str">
        <f>IFERROR(__xludf.DUMMYFUNCTION("""COMPUTED_VALUE"""),"私の全部捧げます【デジタル版】")</f>
        <v>私の全部捧げます【デジタル版】</v>
      </c>
      <c r="F589" s="298" t="str">
        <f>IFERROR(__xludf.DUMMYFUNCTION("""COMPUTED_VALUE"""),"くまのとおる")</f>
        <v>くまのとおる</v>
      </c>
      <c r="G589" s="298" t="str">
        <f>IFERROR(__xludf.DUMMYFUNCTION("""COMPUTED_VALUE"""),"オトナコミック")</f>
        <v>オトナコミック</v>
      </c>
      <c r="H589" s="298" t="str">
        <f>IFERROR(__xludf.DUMMYFUNCTION("""COMPUTED_VALUE"""),"2024/11/25～）クレジットカードでの購入のみ停止")</f>
        <v>2024/11/25～）クレジットカードでの購入のみ停止</v>
      </c>
      <c r="I589" s="283"/>
      <c r="J589" s="283"/>
      <c r="K589" s="283"/>
      <c r="L589" s="283"/>
      <c r="M589" s="283"/>
      <c r="N589" s="283"/>
      <c r="O589" s="283"/>
      <c r="P589" s="283"/>
      <c r="Q589" s="278"/>
      <c r="R589" s="278"/>
      <c r="S589" s="278"/>
      <c r="T589" s="278"/>
      <c r="U589" s="278"/>
      <c r="V589" s="278"/>
      <c r="W589" s="278"/>
      <c r="X589" s="278"/>
      <c r="Y589" s="278"/>
      <c r="Z589" s="278"/>
      <c r="AA589" s="278"/>
      <c r="AB589" s="278"/>
      <c r="AC589" s="278"/>
    </row>
    <row r="590" ht="15.75" customHeight="1">
      <c r="A590" s="290" t="str">
        <f>IFERROR(__xludf.DUMMYFUNCTION("""COMPUTED_VALUE"""),"辰巳出版")</f>
        <v>辰巳出版</v>
      </c>
      <c r="B590" s="291">
        <f>IFERROR(__xludf.DUMMYFUNCTION("""COMPUTED_VALUE"""),45618.0)</f>
        <v>45618</v>
      </c>
      <c r="C590" s="292"/>
      <c r="D590" s="293">
        <f>IFERROR(__xludf.DUMMYFUNCTION("""COMPUTED_VALUE"""),276811.0)</f>
        <v>276811</v>
      </c>
      <c r="E590" s="290" t="str">
        <f>IFERROR(__xludf.DUMMYFUNCTION("""COMPUTED_VALUE"""),"エッチな従姉妹が女騎士でくっ殺なVRMMO記【デジタル特装版】")</f>
        <v>エッチな従姉妹が女騎士でくっ殺なVRMMO記【デジタル特装版】</v>
      </c>
      <c r="F590" s="298" t="str">
        <f>IFERROR(__xludf.DUMMYFUNCTION("""COMPUTED_VALUE"""),"甲斐ひろゆき")</f>
        <v>甲斐ひろゆき</v>
      </c>
      <c r="G590" s="298" t="str">
        <f>IFERROR(__xludf.DUMMYFUNCTION("""COMPUTED_VALUE"""),"オトナコミック")</f>
        <v>オトナコミック</v>
      </c>
      <c r="H590" s="298" t="str">
        <f>IFERROR(__xludf.DUMMYFUNCTION("""COMPUTED_VALUE"""),"2024/11/25～）クレジットカードでの購入のみ停止")</f>
        <v>2024/11/25～）クレジットカードでの購入のみ停止</v>
      </c>
      <c r="I590" s="283"/>
      <c r="J590" s="283"/>
      <c r="K590" s="283"/>
      <c r="L590" s="283"/>
      <c r="M590" s="283"/>
      <c r="N590" s="283"/>
      <c r="O590" s="283"/>
      <c r="P590" s="283"/>
      <c r="Q590" s="278"/>
      <c r="R590" s="278"/>
      <c r="S590" s="278"/>
      <c r="T590" s="278"/>
      <c r="U590" s="278"/>
      <c r="V590" s="278"/>
      <c r="W590" s="278"/>
      <c r="X590" s="278"/>
      <c r="Y590" s="278"/>
      <c r="Z590" s="278"/>
      <c r="AA590" s="278"/>
      <c r="AB590" s="278"/>
      <c r="AC590" s="278"/>
    </row>
    <row r="591" ht="15.75" customHeight="1">
      <c r="A591" s="290" t="str">
        <f>IFERROR(__xludf.DUMMYFUNCTION("""COMPUTED_VALUE"""),"辰巳出版")</f>
        <v>辰巳出版</v>
      </c>
      <c r="B591" s="291">
        <f>IFERROR(__xludf.DUMMYFUNCTION("""COMPUTED_VALUE"""),45618.0)</f>
        <v>45618</v>
      </c>
      <c r="C591" s="292"/>
      <c r="D591" s="293">
        <f>IFERROR(__xludf.DUMMYFUNCTION("""COMPUTED_VALUE"""),284788.0)</f>
        <v>284788</v>
      </c>
      <c r="E591" s="290" t="str">
        <f>IFERROR(__xludf.DUMMYFUNCTION("""COMPUTED_VALUE"""),"テニス部の後輩秋葉ちゃんは淫乱（チョロ）ビッチ【デジタル特装版】")</f>
        <v>テニス部の後輩秋葉ちゃんは淫乱（チョロ）ビッチ【デジタル特装版】</v>
      </c>
      <c r="F591" s="298" t="str">
        <f>IFERROR(__xludf.DUMMYFUNCTION("""COMPUTED_VALUE"""),"一本杭")</f>
        <v>一本杭</v>
      </c>
      <c r="G591" s="298" t="str">
        <f>IFERROR(__xludf.DUMMYFUNCTION("""COMPUTED_VALUE"""),"オトナコミック")</f>
        <v>オトナコミック</v>
      </c>
      <c r="H591" s="298" t="str">
        <f>IFERROR(__xludf.DUMMYFUNCTION("""COMPUTED_VALUE"""),"2024/11/25～）クレジットカードでの購入のみ停止")</f>
        <v>2024/11/25～）クレジットカードでの購入のみ停止</v>
      </c>
      <c r="I591" s="283"/>
      <c r="J591" s="283"/>
      <c r="K591" s="283"/>
      <c r="L591" s="283"/>
      <c r="M591" s="283"/>
      <c r="N591" s="283"/>
      <c r="O591" s="283"/>
      <c r="P591" s="283"/>
      <c r="Q591" s="278"/>
      <c r="R591" s="278"/>
      <c r="S591" s="278"/>
      <c r="T591" s="278"/>
      <c r="U591" s="278"/>
      <c r="V591" s="278"/>
      <c r="W591" s="278"/>
      <c r="X591" s="278"/>
      <c r="Y591" s="278"/>
      <c r="Z591" s="278"/>
      <c r="AA591" s="278"/>
      <c r="AB591" s="278"/>
      <c r="AC591" s="278"/>
    </row>
    <row r="592" ht="15.75" customHeight="1">
      <c r="A592" s="290" t="str">
        <f>IFERROR(__xludf.DUMMYFUNCTION("""COMPUTED_VALUE"""),"辰巳出版")</f>
        <v>辰巳出版</v>
      </c>
      <c r="B592" s="291">
        <f>IFERROR(__xludf.DUMMYFUNCTION("""COMPUTED_VALUE"""),45618.0)</f>
        <v>45618</v>
      </c>
      <c r="C592" s="292"/>
      <c r="D592" s="293">
        <f>IFERROR(__xludf.DUMMYFUNCTION("""COMPUTED_VALUE"""),300082.0)</f>
        <v>300082</v>
      </c>
      <c r="E592" s="290" t="str">
        <f>IFERROR(__xludf.DUMMYFUNCTION("""COMPUTED_VALUE"""),"調教学園 リマスター超合本【デジタル版】")</f>
        <v>調教学園 リマスター超合本【デジタル版】</v>
      </c>
      <c r="F592" s="298" t="str">
        <f>IFERROR(__xludf.DUMMYFUNCTION("""COMPUTED_VALUE"""),"夢咲三十郎")</f>
        <v>夢咲三十郎</v>
      </c>
      <c r="G592" s="298" t="str">
        <f>IFERROR(__xludf.DUMMYFUNCTION("""COMPUTED_VALUE"""),"オトナコミック")</f>
        <v>オトナコミック</v>
      </c>
      <c r="H592" s="298" t="str">
        <f>IFERROR(__xludf.DUMMYFUNCTION("""COMPUTED_VALUE"""),"2024/11/25～）クレジットカードでの購入のみ停止")</f>
        <v>2024/11/25～）クレジットカードでの購入のみ停止</v>
      </c>
      <c r="I592" s="283"/>
      <c r="J592" s="283"/>
      <c r="K592" s="283"/>
      <c r="L592" s="283"/>
      <c r="M592" s="283"/>
      <c r="N592" s="283"/>
      <c r="O592" s="283"/>
      <c r="P592" s="283"/>
      <c r="Q592" s="278"/>
      <c r="R592" s="278"/>
      <c r="S592" s="278"/>
      <c r="T592" s="278"/>
      <c r="U592" s="278"/>
      <c r="V592" s="278"/>
      <c r="W592" s="278"/>
      <c r="X592" s="278"/>
      <c r="Y592" s="278"/>
      <c r="Z592" s="278"/>
      <c r="AA592" s="278"/>
      <c r="AB592" s="278"/>
      <c r="AC592" s="278"/>
    </row>
    <row r="593" ht="15.75" customHeight="1">
      <c r="A593" s="290" t="str">
        <f>IFERROR(__xludf.DUMMYFUNCTION("""COMPUTED_VALUE"""),"天海社")</f>
        <v>天海社</v>
      </c>
      <c r="B593" s="291">
        <f>IFERROR(__xludf.DUMMYFUNCTION("""COMPUTED_VALUE"""),45618.0)</f>
        <v>45618</v>
      </c>
      <c r="C593" s="292"/>
      <c r="D593" s="293">
        <f>IFERROR(__xludf.DUMMYFUNCTION("""COMPUTED_VALUE"""),142212.0)</f>
        <v>142212</v>
      </c>
      <c r="E593" s="290" t="str">
        <f>IFERROR(__xludf.DUMMYFUNCTION("""COMPUTED_VALUE"""),"淫魔契約！ 清楚JKを強制ビッチ化させちゃいました")</f>
        <v>淫魔契約！ 清楚JKを強制ビッチ化させちゃいました</v>
      </c>
      <c r="F593" s="298" t="str">
        <f>IFERROR(__xludf.DUMMYFUNCTION("""COMPUTED_VALUE"""),"ばりあんと")</f>
        <v>ばりあんと</v>
      </c>
      <c r="G593" s="298" t="str">
        <f>IFERROR(__xludf.DUMMYFUNCTION("""COMPUTED_VALUE"""),"オトナコミック")</f>
        <v>オトナコミック</v>
      </c>
      <c r="H593" s="298" t="str">
        <f>IFERROR(__xludf.DUMMYFUNCTION("""COMPUTED_VALUE"""),"2024/11/25～）クレジットカードでの購入のみ停止")</f>
        <v>2024/11/25～）クレジットカードでの購入のみ停止</v>
      </c>
      <c r="I593" s="283"/>
      <c r="J593" s="283"/>
      <c r="K593" s="283"/>
      <c r="L593" s="283"/>
      <c r="M593" s="283"/>
      <c r="N593" s="283"/>
      <c r="O593" s="283"/>
      <c r="P593" s="283"/>
      <c r="Q593" s="278"/>
      <c r="R593" s="278"/>
      <c r="S593" s="278"/>
      <c r="T593" s="278"/>
      <c r="U593" s="278"/>
      <c r="V593" s="278"/>
      <c r="W593" s="278"/>
      <c r="X593" s="278"/>
      <c r="Y593" s="278"/>
      <c r="Z593" s="278"/>
      <c r="AA593" s="278"/>
      <c r="AB593" s="278"/>
      <c r="AC593" s="278"/>
    </row>
    <row r="594" ht="15.75" customHeight="1">
      <c r="A594" s="290" t="str">
        <f>IFERROR(__xludf.DUMMYFUNCTION("""COMPUTED_VALUE"""),"天海社")</f>
        <v>天海社</v>
      </c>
      <c r="B594" s="291">
        <f>IFERROR(__xludf.DUMMYFUNCTION("""COMPUTED_VALUE"""),45618.0)</f>
        <v>45618</v>
      </c>
      <c r="C594" s="292"/>
      <c r="D594" s="293">
        <f>IFERROR(__xludf.DUMMYFUNCTION("""COMPUTED_VALUE"""),154302.0)</f>
        <v>154302</v>
      </c>
      <c r="E594" s="290" t="str">
        <f>IFERROR(__xludf.DUMMYFUNCTION("""COMPUTED_VALUE"""),"淫魔契約！ 清楚JKを強制ビッチ化させちゃいました [合本版]")</f>
        <v>淫魔契約！ 清楚JKを強制ビッチ化させちゃいました [合本版]</v>
      </c>
      <c r="F594" s="298" t="str">
        <f>IFERROR(__xludf.DUMMYFUNCTION("""COMPUTED_VALUE"""),"ばりあんと")</f>
        <v>ばりあんと</v>
      </c>
      <c r="G594" s="298" t="str">
        <f>IFERROR(__xludf.DUMMYFUNCTION("""COMPUTED_VALUE"""),"オトナコミック")</f>
        <v>オトナコミック</v>
      </c>
      <c r="H594" s="298" t="str">
        <f>IFERROR(__xludf.DUMMYFUNCTION("""COMPUTED_VALUE"""),"2024/11/25～）クレジットカードでの購入のみ停止")</f>
        <v>2024/11/25～）クレジットカードでの購入のみ停止</v>
      </c>
      <c r="I594" s="283"/>
      <c r="J594" s="283"/>
      <c r="K594" s="283"/>
      <c r="L594" s="283"/>
      <c r="M594" s="283"/>
      <c r="N594" s="283"/>
      <c r="O594" s="283"/>
      <c r="P594" s="283"/>
      <c r="Q594" s="278"/>
      <c r="R594" s="278"/>
      <c r="S594" s="278"/>
      <c r="T594" s="278"/>
      <c r="U594" s="278"/>
      <c r="V594" s="278"/>
      <c r="W594" s="278"/>
      <c r="X594" s="278"/>
      <c r="Y594" s="278"/>
      <c r="Z594" s="278"/>
      <c r="AA594" s="278"/>
      <c r="AB594" s="278"/>
      <c r="AC594" s="278"/>
    </row>
    <row r="595" ht="15.75" customHeight="1">
      <c r="A595" s="290" t="str">
        <f>IFERROR(__xludf.DUMMYFUNCTION("""COMPUTED_VALUE"""),"文苑堂")</f>
        <v>文苑堂</v>
      </c>
      <c r="B595" s="291">
        <f>IFERROR(__xludf.DUMMYFUNCTION("""COMPUTED_VALUE"""),45618.0)</f>
        <v>45618</v>
      </c>
      <c r="C595" s="292"/>
      <c r="D595" s="293">
        <f>IFERROR(__xludf.DUMMYFUNCTION("""COMPUTED_VALUE"""),116620.0)</f>
        <v>116620</v>
      </c>
      <c r="E595" s="290" t="str">
        <f>IFERROR(__xludf.DUMMYFUNCTION("""COMPUTED_VALUE"""),"ぎゃんぐばんぐ")</f>
        <v>ぎゃんぐばんぐ</v>
      </c>
      <c r="F595" s="298" t="str">
        <f>IFERROR(__xludf.DUMMYFUNCTION("""COMPUTED_VALUE"""),"伴カズヤス / コミックバベル編集部")</f>
        <v>伴カズヤス / コミックバベル編集部</v>
      </c>
      <c r="G595" s="298" t="str">
        <f>IFERROR(__xludf.DUMMYFUNCTION("""COMPUTED_VALUE"""),"オトナコミック")</f>
        <v>オトナコミック</v>
      </c>
      <c r="H595" s="298" t="str">
        <f>IFERROR(__xludf.DUMMYFUNCTION("""COMPUTED_VALUE"""),"2024/11/25～）クレジットカードでの購入のみ停止")</f>
        <v>2024/11/25～）クレジットカードでの購入のみ停止</v>
      </c>
      <c r="I595" s="283"/>
      <c r="J595" s="283"/>
      <c r="K595" s="283"/>
      <c r="L595" s="283"/>
      <c r="M595" s="283"/>
      <c r="N595" s="283"/>
      <c r="O595" s="283"/>
      <c r="P595" s="283"/>
      <c r="Q595" s="278"/>
      <c r="R595" s="278"/>
      <c r="S595" s="278"/>
      <c r="T595" s="278"/>
      <c r="U595" s="278"/>
      <c r="V595" s="278"/>
      <c r="W595" s="278"/>
      <c r="X595" s="278"/>
      <c r="Y595" s="278"/>
      <c r="Z595" s="278"/>
      <c r="AA595" s="278"/>
      <c r="AB595" s="278"/>
      <c r="AC595" s="278"/>
    </row>
    <row r="596" ht="15.75" customHeight="1">
      <c r="A596" s="290" t="str">
        <f>IFERROR(__xludf.DUMMYFUNCTION("""COMPUTED_VALUE"""),"文苑堂")</f>
        <v>文苑堂</v>
      </c>
      <c r="B596" s="291">
        <f>IFERROR(__xludf.DUMMYFUNCTION("""COMPUTED_VALUE"""),45618.0)</f>
        <v>45618</v>
      </c>
      <c r="C596" s="292"/>
      <c r="D596" s="293">
        <f>IFERROR(__xludf.DUMMYFUNCTION("""COMPUTED_VALUE"""),169777.0)</f>
        <v>169777</v>
      </c>
      <c r="E596" s="290" t="str">
        <f>IFERROR(__xludf.DUMMYFUNCTION("""COMPUTED_VALUE"""),"エロすぎて何回中出ししても治らない")</f>
        <v>エロすぎて何回中出ししても治らない</v>
      </c>
      <c r="F596" s="298" t="str">
        <f>IFERROR(__xludf.DUMMYFUNCTION("""COMPUTED_VALUE"""),"コミックバベル編集部 / 辛口しゅーくりーむ")</f>
        <v>コミックバベル編集部 / 辛口しゅーくりーむ</v>
      </c>
      <c r="G596" s="298" t="str">
        <f>IFERROR(__xludf.DUMMYFUNCTION("""COMPUTED_VALUE"""),"オトナコミック")</f>
        <v>オトナコミック</v>
      </c>
      <c r="H596" s="298" t="str">
        <f>IFERROR(__xludf.DUMMYFUNCTION("""COMPUTED_VALUE"""),"2024/11/25～）クレジットカードでの購入のみ停止")</f>
        <v>2024/11/25～）クレジットカードでの購入のみ停止</v>
      </c>
      <c r="I596" s="283"/>
      <c r="J596" s="283"/>
      <c r="K596" s="283"/>
      <c r="L596" s="283"/>
      <c r="M596" s="283"/>
      <c r="N596" s="283"/>
      <c r="O596" s="283"/>
      <c r="P596" s="283"/>
      <c r="Q596" s="278"/>
      <c r="R596" s="278"/>
      <c r="S596" s="278"/>
      <c r="T596" s="278"/>
      <c r="U596" s="278"/>
      <c r="V596" s="278"/>
      <c r="W596" s="278"/>
      <c r="X596" s="278"/>
      <c r="Y596" s="278"/>
      <c r="Z596" s="278"/>
      <c r="AA596" s="278"/>
      <c r="AB596" s="278"/>
      <c r="AC596" s="278"/>
    </row>
    <row r="597" ht="15.75" customHeight="1">
      <c r="A597" s="290" t="str">
        <f>IFERROR(__xludf.DUMMYFUNCTION("""COMPUTED_VALUE"""),"文苑堂")</f>
        <v>文苑堂</v>
      </c>
      <c r="B597" s="291">
        <f>IFERROR(__xludf.DUMMYFUNCTION("""COMPUTED_VALUE"""),45618.0)</f>
        <v>45618</v>
      </c>
      <c r="C597" s="292"/>
      <c r="D597" s="293">
        <f>IFERROR(__xludf.DUMMYFUNCTION("""COMPUTED_VALUE"""),176546.0)</f>
        <v>176546</v>
      </c>
      <c r="E597" s="290" t="str">
        <f>IFERROR(__xludf.DUMMYFUNCTION("""COMPUTED_VALUE"""),"ダスコミ")</f>
        <v>ダスコミ</v>
      </c>
      <c r="F597" s="298" t="str">
        <f>IFERROR(__xludf.DUMMYFUNCTION("""COMPUTED_VALUE"""),"松波留美 / ドウモウ / 伴カズヤス / まれお / 牧だいきち / 京極燈弥 / コミックバベル編集部 / はざくらさつき / 小中えみ / 荒居栂美 / おはら誠 / すみよし / 低空飛行 / ゆっ栗栖 / 矢倉わか / 真柴志摩")</f>
        <v>松波留美 / ドウモウ / 伴カズヤス / まれお / 牧だいきち / 京極燈弥 / コミックバベル編集部 / はざくらさつき / 小中えみ / 荒居栂美 / おはら誠 / すみよし / 低空飛行 / ゆっ栗栖 / 矢倉わか / 真柴志摩</v>
      </c>
      <c r="G597" s="298" t="str">
        <f>IFERROR(__xludf.DUMMYFUNCTION("""COMPUTED_VALUE"""),"コミック誌")</f>
        <v>コミック誌</v>
      </c>
      <c r="H597" s="298" t="str">
        <f>IFERROR(__xludf.DUMMYFUNCTION("""COMPUTED_VALUE"""),"2024/11/25～）クレジットカードでの購入のみ停止")</f>
        <v>2024/11/25～）クレジットカードでの購入のみ停止</v>
      </c>
      <c r="I597" s="283"/>
      <c r="J597" s="283"/>
      <c r="K597" s="283"/>
      <c r="L597" s="283"/>
      <c r="M597" s="283"/>
      <c r="N597" s="283"/>
      <c r="O597" s="283"/>
      <c r="P597" s="283"/>
      <c r="Q597" s="278"/>
      <c r="R597" s="278"/>
      <c r="S597" s="278"/>
      <c r="T597" s="278"/>
      <c r="U597" s="278"/>
      <c r="V597" s="278"/>
      <c r="W597" s="278"/>
      <c r="X597" s="278"/>
      <c r="Y597" s="278"/>
      <c r="Z597" s="278"/>
      <c r="AA597" s="278"/>
      <c r="AB597" s="278"/>
      <c r="AC597" s="278"/>
    </row>
    <row r="598" ht="15.75" customHeight="1">
      <c r="A598" s="290" t="str">
        <f>IFERROR(__xludf.DUMMYFUNCTION("""COMPUTED_VALUE"""),"文苑堂")</f>
        <v>文苑堂</v>
      </c>
      <c r="B598" s="291">
        <f>IFERROR(__xludf.DUMMYFUNCTION("""COMPUTED_VALUE"""),45618.0)</f>
        <v>45618</v>
      </c>
      <c r="C598" s="292"/>
      <c r="D598" s="293">
        <f>IFERROR(__xludf.DUMMYFUNCTION("""COMPUTED_VALUE"""),179744.0)</f>
        <v>179744</v>
      </c>
      <c r="E598" s="290" t="str">
        <f>IFERROR(__xludf.DUMMYFUNCTION("""COMPUTED_VALUE"""),"SEX中毒ッ！マジヤバ超絶ビッチ！")</f>
        <v>SEX中毒ッ！マジヤバ超絶ビッチ！</v>
      </c>
      <c r="F598" s="298" t="str">
        <f>IFERROR(__xludf.DUMMYFUNCTION("""COMPUTED_VALUE"""),"伴カズヤス / 夢乃狸 / 牧だいきち / コミックバベル編集部 / ぷよちゃ / まうめん")</f>
        <v>伴カズヤス / 夢乃狸 / 牧だいきち / コミックバベル編集部 / ぷよちゃ / まうめん</v>
      </c>
      <c r="G598" s="298" t="str">
        <f>IFERROR(__xludf.DUMMYFUNCTION("""COMPUTED_VALUE"""),"オトナコミック")</f>
        <v>オトナコミック</v>
      </c>
      <c r="H598" s="298" t="str">
        <f>IFERROR(__xludf.DUMMYFUNCTION("""COMPUTED_VALUE"""),"2024/11/25～）クレジットカードでの購入のみ停止")</f>
        <v>2024/11/25～）クレジットカードでの購入のみ停止</v>
      </c>
      <c r="I598" s="283"/>
      <c r="J598" s="283"/>
      <c r="K598" s="283"/>
      <c r="L598" s="283"/>
      <c r="M598" s="283"/>
      <c r="N598" s="283"/>
      <c r="O598" s="283"/>
      <c r="P598" s="283"/>
      <c r="Q598" s="278"/>
      <c r="R598" s="278"/>
      <c r="S598" s="278"/>
      <c r="T598" s="278"/>
      <c r="U598" s="278"/>
      <c r="V598" s="278"/>
      <c r="W598" s="278"/>
      <c r="X598" s="278"/>
      <c r="Y598" s="278"/>
      <c r="Z598" s="278"/>
      <c r="AA598" s="278"/>
      <c r="AB598" s="278"/>
      <c r="AC598" s="278"/>
    </row>
    <row r="599" ht="15.75" customHeight="1">
      <c r="A599" s="290" t="str">
        <f>IFERROR(__xludf.DUMMYFUNCTION("""COMPUTED_VALUE"""),"文苑堂")</f>
        <v>文苑堂</v>
      </c>
      <c r="B599" s="291">
        <f>IFERROR(__xludf.DUMMYFUNCTION("""COMPUTED_VALUE"""),45618.0)</f>
        <v>45618</v>
      </c>
      <c r="C599" s="292"/>
      <c r="D599" s="293">
        <f>IFERROR(__xludf.DUMMYFUNCTION("""COMPUTED_VALUE"""),197685.0)</f>
        <v>197685</v>
      </c>
      <c r="E599" s="290" t="str">
        <f>IFERROR(__xludf.DUMMYFUNCTION("""COMPUTED_VALUE"""),"JKマニュアル")</f>
        <v>JKマニュアル</v>
      </c>
      <c r="F599" s="298" t="str">
        <f>IFERROR(__xludf.DUMMYFUNCTION("""COMPUTED_VALUE"""),"ｙｕｍｏｔｅｌｉｕｃｅ / コミックバベル編集部")</f>
        <v>ｙｕｍｏｔｅｌｉｕｃｅ / コミックバベル編集部</v>
      </c>
      <c r="G599" s="298" t="str">
        <f>IFERROR(__xludf.DUMMYFUNCTION("""COMPUTED_VALUE"""),"オトナコミック")</f>
        <v>オトナコミック</v>
      </c>
      <c r="H599" s="298" t="str">
        <f>IFERROR(__xludf.DUMMYFUNCTION("""COMPUTED_VALUE"""),"2024/11/25～）クレジットカードでの購入のみ停止")</f>
        <v>2024/11/25～）クレジットカードでの購入のみ停止</v>
      </c>
      <c r="I599" s="283"/>
      <c r="J599" s="283"/>
      <c r="K599" s="283"/>
      <c r="L599" s="283"/>
      <c r="M599" s="283"/>
      <c r="N599" s="283"/>
      <c r="O599" s="283"/>
      <c r="P599" s="283"/>
      <c r="Q599" s="278"/>
      <c r="R599" s="278"/>
      <c r="S599" s="278"/>
      <c r="T599" s="278"/>
      <c r="U599" s="278"/>
      <c r="V599" s="278"/>
      <c r="W599" s="278"/>
      <c r="X599" s="278"/>
      <c r="Y599" s="278"/>
      <c r="Z599" s="278"/>
      <c r="AA599" s="278"/>
      <c r="AB599" s="278"/>
      <c r="AC599" s="278"/>
    </row>
    <row r="600" ht="15.75" customHeight="1">
      <c r="A600" s="290" t="str">
        <f>IFERROR(__xludf.DUMMYFUNCTION("""COMPUTED_VALUE"""),"文苑堂")</f>
        <v>文苑堂</v>
      </c>
      <c r="B600" s="291">
        <f>IFERROR(__xludf.DUMMYFUNCTION("""COMPUTED_VALUE"""),45618.0)</f>
        <v>45618</v>
      </c>
      <c r="C600" s="292"/>
      <c r="D600" s="293">
        <f>IFERROR(__xludf.DUMMYFUNCTION("""COMPUTED_VALUE"""),198807.0)</f>
        <v>198807</v>
      </c>
      <c r="E600" s="290" t="str">
        <f>IFERROR(__xludf.DUMMYFUNCTION("""COMPUTED_VALUE"""),"JKマニュアル【電子限定特装版】")</f>
        <v>JKマニュアル【電子限定特装版】</v>
      </c>
      <c r="F600" s="298" t="str">
        <f>IFERROR(__xludf.DUMMYFUNCTION("""COMPUTED_VALUE"""),"ｙｕｍｏｔｅｌｉｕｃｅ / コミックバベル編集部")</f>
        <v>ｙｕｍｏｔｅｌｉｕｃｅ / コミックバベル編集部</v>
      </c>
      <c r="G600" s="298" t="str">
        <f>IFERROR(__xludf.DUMMYFUNCTION("""COMPUTED_VALUE"""),"オトナコミック")</f>
        <v>オトナコミック</v>
      </c>
      <c r="H600" s="298" t="str">
        <f>IFERROR(__xludf.DUMMYFUNCTION("""COMPUTED_VALUE"""),"2024/11/25～）クレジットカードでの購入のみ停止")</f>
        <v>2024/11/25～）クレジットカードでの購入のみ停止</v>
      </c>
      <c r="I600" s="283"/>
      <c r="J600" s="283"/>
      <c r="K600" s="283"/>
      <c r="L600" s="283"/>
      <c r="M600" s="283"/>
      <c r="N600" s="283"/>
      <c r="O600" s="283"/>
      <c r="P600" s="283"/>
      <c r="Q600" s="278"/>
      <c r="R600" s="278"/>
      <c r="S600" s="278"/>
      <c r="T600" s="278"/>
      <c r="U600" s="278"/>
      <c r="V600" s="278"/>
      <c r="W600" s="278"/>
      <c r="X600" s="278"/>
      <c r="Y600" s="278"/>
      <c r="Z600" s="278"/>
      <c r="AA600" s="278"/>
      <c r="AB600" s="278"/>
      <c r="AC600" s="278"/>
    </row>
    <row r="601" ht="15.75" customHeight="1">
      <c r="A601" s="290" t="str">
        <f>IFERROR(__xludf.DUMMYFUNCTION("""COMPUTED_VALUE"""),"文苑堂")</f>
        <v>文苑堂</v>
      </c>
      <c r="B601" s="291">
        <f>IFERROR(__xludf.DUMMYFUNCTION("""COMPUTED_VALUE"""),45618.0)</f>
        <v>45618</v>
      </c>
      <c r="C601" s="292"/>
      <c r="D601" s="293">
        <f>IFERROR(__xludf.DUMMYFUNCTION("""COMPUTED_VALUE"""),212679.0)</f>
        <v>212679</v>
      </c>
      <c r="E601" s="290" t="str">
        <f>IFERROR(__xludf.DUMMYFUNCTION("""COMPUTED_VALUE"""),"悶々スイーツ")</f>
        <v>悶々スイーツ</v>
      </c>
      <c r="F601" s="298" t="str">
        <f>IFERROR(__xludf.DUMMYFUNCTION("""COMPUTED_VALUE"""),"コミックバベル編集部 / 荒居栂美")</f>
        <v>コミックバベル編集部 / 荒居栂美</v>
      </c>
      <c r="G601" s="298" t="str">
        <f>IFERROR(__xludf.DUMMYFUNCTION("""COMPUTED_VALUE"""),"オトナコミック")</f>
        <v>オトナコミック</v>
      </c>
      <c r="H601" s="298" t="str">
        <f>IFERROR(__xludf.DUMMYFUNCTION("""COMPUTED_VALUE"""),"2024/11/25～）クレジットカードでの購入のみ停止")</f>
        <v>2024/11/25～）クレジットカードでの購入のみ停止</v>
      </c>
      <c r="I601" s="283"/>
      <c r="J601" s="283"/>
      <c r="K601" s="283"/>
      <c r="L601" s="283"/>
      <c r="M601" s="283"/>
      <c r="N601" s="283"/>
      <c r="O601" s="283"/>
      <c r="P601" s="283"/>
      <c r="Q601" s="278"/>
      <c r="R601" s="278"/>
      <c r="S601" s="278"/>
      <c r="T601" s="278"/>
      <c r="U601" s="278"/>
      <c r="V601" s="278"/>
      <c r="W601" s="278"/>
      <c r="X601" s="278"/>
      <c r="Y601" s="278"/>
      <c r="Z601" s="278"/>
      <c r="AA601" s="278"/>
      <c r="AB601" s="278"/>
      <c r="AC601" s="278"/>
    </row>
    <row r="602" ht="15.75" customHeight="1">
      <c r="A602" s="290" t="str">
        <f>IFERROR(__xludf.DUMMYFUNCTION("""COMPUTED_VALUE"""),"文苑堂")</f>
        <v>文苑堂</v>
      </c>
      <c r="B602" s="291">
        <f>IFERROR(__xludf.DUMMYFUNCTION("""COMPUTED_VALUE"""),45618.0)</f>
        <v>45618</v>
      </c>
      <c r="C602" s="292"/>
      <c r="D602" s="293">
        <f>IFERROR(__xludf.DUMMYFUNCTION("""COMPUTED_VALUE"""),216424.0)</f>
        <v>216424</v>
      </c>
      <c r="E602" s="290" t="str">
        <f>IFERROR(__xludf.DUMMYFUNCTION("""COMPUTED_VALUE"""),"SEX中毒ッ！ マジヤバ超絶ビッチ！ VOL.10")</f>
        <v>SEX中毒ッ！ マジヤバ超絶ビッチ！ VOL.10</v>
      </c>
      <c r="F602" s="298" t="str">
        <f>IFERROR(__xludf.DUMMYFUNCTION("""COMPUTED_VALUE"""),"大嘘 / コミックバベル編集部 / ねむ / きょくちょ / わいら / そら豆さん")</f>
        <v>大嘘 / コミックバベル編集部 / ねむ / きょくちょ / わいら / そら豆さん</v>
      </c>
      <c r="G602" s="298" t="str">
        <f>IFERROR(__xludf.DUMMYFUNCTION("""COMPUTED_VALUE"""),"オトナコミック")</f>
        <v>オトナコミック</v>
      </c>
      <c r="H602" s="298" t="str">
        <f>IFERROR(__xludf.DUMMYFUNCTION("""COMPUTED_VALUE"""),"2024/11/25～）クレジットカードでの購入のみ停止")</f>
        <v>2024/11/25～）クレジットカードでの購入のみ停止</v>
      </c>
      <c r="I602" s="283"/>
      <c r="J602" s="283"/>
      <c r="K602" s="283"/>
      <c r="L602" s="283"/>
      <c r="M602" s="283"/>
      <c r="N602" s="283"/>
      <c r="O602" s="283"/>
      <c r="P602" s="283"/>
      <c r="Q602" s="278"/>
      <c r="R602" s="278"/>
      <c r="S602" s="278"/>
      <c r="T602" s="278"/>
      <c r="U602" s="278"/>
      <c r="V602" s="278"/>
      <c r="W602" s="278"/>
      <c r="X602" s="278"/>
      <c r="Y602" s="278"/>
      <c r="Z602" s="278"/>
      <c r="AA602" s="278"/>
      <c r="AB602" s="278"/>
      <c r="AC602" s="278"/>
    </row>
    <row r="603" ht="15.75" customHeight="1">
      <c r="A603" s="290" t="str">
        <f>IFERROR(__xludf.DUMMYFUNCTION("""COMPUTED_VALUE"""),"文苑堂")</f>
        <v>文苑堂</v>
      </c>
      <c r="B603" s="291">
        <f>IFERROR(__xludf.DUMMYFUNCTION("""COMPUTED_VALUE"""),45618.0)</f>
        <v>45618</v>
      </c>
      <c r="C603" s="292"/>
      <c r="D603" s="293">
        <f>IFERROR(__xludf.DUMMYFUNCTION("""COMPUTED_VALUE"""),231328.0)</f>
        <v>231328</v>
      </c>
      <c r="E603" s="290" t="str">
        <f>IFERROR(__xludf.DUMMYFUNCTION("""COMPUTED_VALUE"""),"催眠アプリ～平凡社畜がハーレムを手に入れるまで～")</f>
        <v>催眠アプリ～平凡社畜がハーレムを手に入れるまで～</v>
      </c>
      <c r="F603" s="298" t="str">
        <f>IFERROR(__xludf.DUMMYFUNCTION("""COMPUTED_VALUE"""),"コミックバベル編集部 / はざくらさつき")</f>
        <v>コミックバベル編集部 / はざくらさつき</v>
      </c>
      <c r="G603" s="298" t="str">
        <f>IFERROR(__xludf.DUMMYFUNCTION("""COMPUTED_VALUE"""),"オトナコミック")</f>
        <v>オトナコミック</v>
      </c>
      <c r="H603" s="298" t="str">
        <f>IFERROR(__xludf.DUMMYFUNCTION("""COMPUTED_VALUE"""),"2024/11/25～）クレジットカードでの購入のみ停止")</f>
        <v>2024/11/25～）クレジットカードでの購入のみ停止</v>
      </c>
      <c r="I603" s="283"/>
      <c r="J603" s="283"/>
      <c r="K603" s="283"/>
      <c r="L603" s="283"/>
      <c r="M603" s="283"/>
      <c r="N603" s="283"/>
      <c r="O603" s="283"/>
      <c r="P603" s="283"/>
      <c r="Q603" s="278"/>
      <c r="R603" s="278"/>
      <c r="S603" s="278"/>
      <c r="T603" s="278"/>
      <c r="U603" s="278"/>
      <c r="V603" s="278"/>
      <c r="W603" s="278"/>
      <c r="X603" s="278"/>
      <c r="Y603" s="278"/>
      <c r="Z603" s="278"/>
      <c r="AA603" s="278"/>
      <c r="AB603" s="278"/>
      <c r="AC603" s="278"/>
    </row>
    <row r="604" ht="15.75" customHeight="1">
      <c r="A604" s="290" t="str">
        <f>IFERROR(__xludf.DUMMYFUNCTION("""COMPUTED_VALUE"""),"文苑堂")</f>
        <v>文苑堂</v>
      </c>
      <c r="B604" s="291">
        <f>IFERROR(__xludf.DUMMYFUNCTION("""COMPUTED_VALUE"""),45618.0)</f>
        <v>45618</v>
      </c>
      <c r="C604" s="292"/>
      <c r="D604" s="293">
        <f>IFERROR(__xludf.DUMMYFUNCTION("""COMPUTED_VALUE"""),246764.0)</f>
        <v>246764</v>
      </c>
      <c r="E604" s="290" t="str">
        <f>IFERROR(__xludf.DUMMYFUNCTION("""COMPUTED_VALUE"""),"オナホ教室-新学期-女生徒妊娠仕置計画【電子限定版】")</f>
        <v>オナホ教室-新学期-女生徒妊娠仕置計画【電子限定版】</v>
      </c>
      <c r="F604" s="298" t="str">
        <f>IFERROR(__xludf.DUMMYFUNCTION("""COMPUTED_VALUE"""),"大嘘 / コミックバベル編集部")</f>
        <v>大嘘 / コミックバベル編集部</v>
      </c>
      <c r="G604" s="298" t="str">
        <f>IFERROR(__xludf.DUMMYFUNCTION("""COMPUTED_VALUE"""),"オトナコミック")</f>
        <v>オトナコミック</v>
      </c>
      <c r="H604" s="298" t="str">
        <f>IFERROR(__xludf.DUMMYFUNCTION("""COMPUTED_VALUE"""),"2024/11/25～）クレジットカードでの購入のみ停止")</f>
        <v>2024/11/25～）クレジットカードでの購入のみ停止</v>
      </c>
      <c r="I604" s="283"/>
      <c r="J604" s="283"/>
      <c r="K604" s="283"/>
      <c r="L604" s="283"/>
      <c r="M604" s="283"/>
      <c r="N604" s="283"/>
      <c r="O604" s="283"/>
      <c r="P604" s="283"/>
      <c r="Q604" s="278"/>
      <c r="R604" s="278"/>
      <c r="S604" s="278"/>
      <c r="T604" s="278"/>
      <c r="U604" s="278"/>
      <c r="V604" s="278"/>
      <c r="W604" s="278"/>
      <c r="X604" s="278"/>
      <c r="Y604" s="278"/>
      <c r="Z604" s="278"/>
      <c r="AA604" s="278"/>
      <c r="AB604" s="278"/>
      <c r="AC604" s="278"/>
    </row>
    <row r="605" ht="15.75" customHeight="1">
      <c r="A605" s="290" t="str">
        <f>IFERROR(__xludf.DUMMYFUNCTION("""COMPUTED_VALUE"""),"文苑堂")</f>
        <v>文苑堂</v>
      </c>
      <c r="B605" s="291">
        <f>IFERROR(__xludf.DUMMYFUNCTION("""COMPUTED_VALUE"""),45618.0)</f>
        <v>45618</v>
      </c>
      <c r="C605" s="292"/>
      <c r="D605" s="293">
        <f>IFERROR(__xludf.DUMMYFUNCTION("""COMPUTED_VALUE"""),250139.0)</f>
        <v>250139</v>
      </c>
      <c r="E605" s="290" t="str">
        <f>IFERROR(__xludf.DUMMYFUNCTION("""COMPUTED_VALUE"""),"地味コの裏垢を発見したらビッチだった！？合本版")</f>
        <v>地味コの裏垢を発見したらビッチだった！？合本版</v>
      </c>
      <c r="F605" s="298" t="str">
        <f>IFERROR(__xludf.DUMMYFUNCTION("""COMPUTED_VALUE"""),"まれお / コミックバベル編集部 / 土橋楓")</f>
        <v>まれお / コミックバベル編集部 / 土橋楓</v>
      </c>
      <c r="G605" s="298" t="str">
        <f>IFERROR(__xludf.DUMMYFUNCTION("""COMPUTED_VALUE"""),"オトナコミック")</f>
        <v>オトナコミック</v>
      </c>
      <c r="H605" s="298" t="str">
        <f>IFERROR(__xludf.DUMMYFUNCTION("""COMPUTED_VALUE"""),"2024/11/25～）クレジットカードでの購入のみ停止")</f>
        <v>2024/11/25～）クレジットカードでの購入のみ停止</v>
      </c>
      <c r="I605" s="283"/>
      <c r="J605" s="283"/>
      <c r="K605" s="283"/>
      <c r="L605" s="283"/>
      <c r="M605" s="283"/>
      <c r="N605" s="283"/>
      <c r="O605" s="283"/>
      <c r="P605" s="283"/>
      <c r="Q605" s="278"/>
      <c r="R605" s="278"/>
      <c r="S605" s="278"/>
      <c r="T605" s="278"/>
      <c r="U605" s="278"/>
      <c r="V605" s="278"/>
      <c r="W605" s="278"/>
      <c r="X605" s="278"/>
      <c r="Y605" s="278"/>
      <c r="Z605" s="278"/>
      <c r="AA605" s="278"/>
      <c r="AB605" s="278"/>
      <c r="AC605" s="278"/>
    </row>
    <row r="606" ht="15.75" customHeight="1">
      <c r="A606" s="290" t="str">
        <f>IFERROR(__xludf.DUMMYFUNCTION("""COMPUTED_VALUE"""),"文苑堂")</f>
        <v>文苑堂</v>
      </c>
      <c r="B606" s="291">
        <f>IFERROR(__xludf.DUMMYFUNCTION("""COMPUTED_VALUE"""),45618.0)</f>
        <v>45618</v>
      </c>
      <c r="C606" s="292"/>
      <c r="D606" s="293">
        <f>IFERROR(__xludf.DUMMYFUNCTION("""COMPUTED_VALUE"""),262479.0)</f>
        <v>262479</v>
      </c>
      <c r="E606" s="290" t="str">
        <f>IFERROR(__xludf.DUMMYFUNCTION("""COMPUTED_VALUE"""),"らぶりーあいなちゃん")</f>
        <v>らぶりーあいなちゃん</v>
      </c>
      <c r="F606" s="298" t="str">
        <f>IFERROR(__xludf.DUMMYFUNCTION("""COMPUTED_VALUE"""),"コミックバベル編集部 / きょくちょ")</f>
        <v>コミックバベル編集部 / きょくちょ</v>
      </c>
      <c r="G606" s="298" t="str">
        <f>IFERROR(__xludf.DUMMYFUNCTION("""COMPUTED_VALUE"""),"オトナコミック")</f>
        <v>オトナコミック</v>
      </c>
      <c r="H606" s="298" t="str">
        <f>IFERROR(__xludf.DUMMYFUNCTION("""COMPUTED_VALUE"""),"2024/11/25～）クレジットカードでの購入のみ停止")</f>
        <v>2024/11/25～）クレジットカードでの購入のみ停止</v>
      </c>
      <c r="I606" s="283"/>
      <c r="J606" s="283"/>
      <c r="K606" s="283"/>
      <c r="L606" s="283"/>
      <c r="M606" s="283"/>
      <c r="N606" s="283"/>
      <c r="O606" s="283"/>
      <c r="P606" s="283"/>
      <c r="Q606" s="278"/>
      <c r="R606" s="278"/>
      <c r="S606" s="278"/>
      <c r="T606" s="278"/>
      <c r="U606" s="278"/>
      <c r="V606" s="278"/>
      <c r="W606" s="278"/>
      <c r="X606" s="278"/>
      <c r="Y606" s="278"/>
      <c r="Z606" s="278"/>
      <c r="AA606" s="278"/>
      <c r="AB606" s="278"/>
      <c r="AC606" s="278"/>
    </row>
    <row r="607" ht="15.75" customHeight="1">
      <c r="A607" s="290" t="str">
        <f>IFERROR(__xludf.DUMMYFUNCTION("""COMPUTED_VALUE"""),"文苑堂")</f>
        <v>文苑堂</v>
      </c>
      <c r="B607" s="291">
        <f>IFERROR(__xludf.DUMMYFUNCTION("""COMPUTED_VALUE"""),45618.0)</f>
        <v>45618</v>
      </c>
      <c r="C607" s="292"/>
      <c r="D607" s="293">
        <f>IFERROR(__xludf.DUMMYFUNCTION("""COMPUTED_VALUE"""),265739.0)</f>
        <v>265739</v>
      </c>
      <c r="E607" s="290" t="str">
        <f>IFERROR(__xludf.DUMMYFUNCTION("""COMPUTED_VALUE"""),"依子")</f>
        <v>依子</v>
      </c>
      <c r="F607" s="298" t="str">
        <f>IFERROR(__xludf.DUMMYFUNCTION("""COMPUTED_VALUE"""),"コミックバベル編集部 / 岩崎ユウキ")</f>
        <v>コミックバベル編集部 / 岩崎ユウキ</v>
      </c>
      <c r="G607" s="298" t="str">
        <f>IFERROR(__xludf.DUMMYFUNCTION("""COMPUTED_VALUE"""),"オトナコミック")</f>
        <v>オトナコミック</v>
      </c>
      <c r="H607" s="298" t="str">
        <f>IFERROR(__xludf.DUMMYFUNCTION("""COMPUTED_VALUE"""),"2024/11/25～）クレジットカードでの購入のみ停止")</f>
        <v>2024/11/25～）クレジットカードでの購入のみ停止</v>
      </c>
      <c r="I607" s="283"/>
      <c r="J607" s="283"/>
      <c r="K607" s="283"/>
      <c r="L607" s="283"/>
      <c r="M607" s="283"/>
      <c r="N607" s="283"/>
      <c r="O607" s="283"/>
      <c r="P607" s="283"/>
      <c r="Q607" s="278"/>
      <c r="R607" s="278"/>
      <c r="S607" s="278"/>
      <c r="T607" s="278"/>
      <c r="U607" s="278"/>
      <c r="V607" s="278"/>
      <c r="W607" s="278"/>
      <c r="X607" s="278"/>
      <c r="Y607" s="278"/>
      <c r="Z607" s="278"/>
      <c r="AA607" s="278"/>
      <c r="AB607" s="278"/>
      <c r="AC607" s="278"/>
    </row>
    <row r="608" ht="15.75" customHeight="1">
      <c r="A608" s="290" t="str">
        <f>IFERROR(__xludf.DUMMYFUNCTION("""COMPUTED_VALUE"""),"文苑堂")</f>
        <v>文苑堂</v>
      </c>
      <c r="B608" s="291">
        <f>IFERROR(__xludf.DUMMYFUNCTION("""COMPUTED_VALUE"""),45618.0)</f>
        <v>45618</v>
      </c>
      <c r="C608" s="292"/>
      <c r="D608" s="293">
        <f>IFERROR(__xludf.DUMMYFUNCTION("""COMPUTED_VALUE"""),271386.0)</f>
        <v>271386</v>
      </c>
      <c r="E608" s="290" t="str">
        <f>IFERROR(__xludf.DUMMYFUNCTION("""COMPUTED_VALUE"""),"催眠言いなりガール")</f>
        <v>催眠言いなりガール</v>
      </c>
      <c r="F608" s="298" t="str">
        <f>IFERROR(__xludf.DUMMYFUNCTION("""COMPUTED_VALUE"""),"コミックバベル編集部 / ＩＮＡＧＯ")</f>
        <v>コミックバベル編集部 / ＩＮＡＧＯ</v>
      </c>
      <c r="G608" s="298" t="str">
        <f>IFERROR(__xludf.DUMMYFUNCTION("""COMPUTED_VALUE"""),"オトナコミック")</f>
        <v>オトナコミック</v>
      </c>
      <c r="H608" s="298" t="str">
        <f>IFERROR(__xludf.DUMMYFUNCTION("""COMPUTED_VALUE"""),"2024/11/25～）クレジットカードでの購入のみ停止")</f>
        <v>2024/11/25～）クレジットカードでの購入のみ停止</v>
      </c>
      <c r="I608" s="283"/>
      <c r="J608" s="283"/>
      <c r="K608" s="283"/>
      <c r="L608" s="283"/>
      <c r="M608" s="283"/>
      <c r="N608" s="283"/>
      <c r="O608" s="283"/>
      <c r="P608" s="283"/>
      <c r="Q608" s="278"/>
      <c r="R608" s="278"/>
      <c r="S608" s="278"/>
      <c r="T608" s="278"/>
      <c r="U608" s="278"/>
      <c r="V608" s="278"/>
      <c r="W608" s="278"/>
      <c r="X608" s="278"/>
      <c r="Y608" s="278"/>
      <c r="Z608" s="278"/>
      <c r="AA608" s="278"/>
      <c r="AB608" s="278"/>
      <c r="AC608" s="278"/>
    </row>
    <row r="609" ht="15.75" customHeight="1">
      <c r="A609" s="290" t="str">
        <f>IFERROR(__xludf.DUMMYFUNCTION("""COMPUTED_VALUE"""),"文苑堂")</f>
        <v>文苑堂</v>
      </c>
      <c r="B609" s="291">
        <f>IFERROR(__xludf.DUMMYFUNCTION("""COMPUTED_VALUE"""),45618.0)</f>
        <v>45618</v>
      </c>
      <c r="C609" s="292"/>
      <c r="D609" s="293">
        <f>IFERROR(__xludf.DUMMYFUNCTION("""COMPUTED_VALUE"""),282050.0)</f>
        <v>282050</v>
      </c>
      <c r="E609" s="290" t="str">
        <f>IFERROR(__xludf.DUMMYFUNCTION("""COMPUTED_VALUE"""),"Anon")</f>
        <v>Anon</v>
      </c>
      <c r="F609" s="298" t="str">
        <f>IFERROR(__xludf.DUMMYFUNCTION("""COMPUTED_VALUE"""),"コミックバベル編集部 / 絢乃ばる")</f>
        <v>コミックバベル編集部 / 絢乃ばる</v>
      </c>
      <c r="G609" s="298" t="str">
        <f>IFERROR(__xludf.DUMMYFUNCTION("""COMPUTED_VALUE"""),"オトナコミック")</f>
        <v>オトナコミック</v>
      </c>
      <c r="H609" s="298" t="str">
        <f>IFERROR(__xludf.DUMMYFUNCTION("""COMPUTED_VALUE"""),"2024/11/25～）クレジットカードでの購入のみ停止")</f>
        <v>2024/11/25～）クレジットカードでの購入のみ停止</v>
      </c>
      <c r="I609" s="283"/>
      <c r="J609" s="283"/>
      <c r="K609" s="283"/>
      <c r="L609" s="283"/>
      <c r="M609" s="283"/>
      <c r="N609" s="283"/>
      <c r="O609" s="283"/>
      <c r="P609" s="283"/>
      <c r="Q609" s="278"/>
      <c r="R609" s="278"/>
      <c r="S609" s="278"/>
      <c r="T609" s="278"/>
      <c r="U609" s="278"/>
      <c r="V609" s="278"/>
      <c r="W609" s="278"/>
      <c r="X609" s="278"/>
      <c r="Y609" s="278"/>
      <c r="Z609" s="278"/>
      <c r="AA609" s="278"/>
      <c r="AB609" s="278"/>
      <c r="AC609" s="278"/>
    </row>
    <row r="610" ht="15.75" customHeight="1">
      <c r="A610" s="290" t="str">
        <f>IFERROR(__xludf.DUMMYFUNCTION("""COMPUTED_VALUE"""),"文苑堂")</f>
        <v>文苑堂</v>
      </c>
      <c r="B610" s="291">
        <f>IFERROR(__xludf.DUMMYFUNCTION("""COMPUTED_VALUE"""),45618.0)</f>
        <v>45618</v>
      </c>
      <c r="C610" s="292"/>
      <c r="D610" s="293">
        <f>IFERROR(__xludf.DUMMYFUNCTION("""COMPUTED_VALUE"""),284218.0)</f>
        <v>284218</v>
      </c>
      <c r="E610" s="290" t="str">
        <f>IFERROR(__xludf.DUMMYFUNCTION("""COMPUTED_VALUE"""),"学校の七不思議…！？")</f>
        <v>学校の七不思議…！？</v>
      </c>
      <c r="F610" s="298" t="str">
        <f>IFERROR(__xludf.DUMMYFUNCTION("""COMPUTED_VALUE"""),"コミックバベル編集部 / うのせろ")</f>
        <v>コミックバベル編集部 / うのせろ</v>
      </c>
      <c r="G610" s="298" t="str">
        <f>IFERROR(__xludf.DUMMYFUNCTION("""COMPUTED_VALUE"""),"オトナコミック")</f>
        <v>オトナコミック</v>
      </c>
      <c r="H610" s="298" t="str">
        <f>IFERROR(__xludf.DUMMYFUNCTION("""COMPUTED_VALUE"""),"2024/11/25～）クレジットカードでの購入のみ停止")</f>
        <v>2024/11/25～）クレジットカードでの購入のみ停止</v>
      </c>
      <c r="I610" s="283"/>
      <c r="J610" s="283"/>
      <c r="K610" s="283"/>
      <c r="L610" s="283"/>
      <c r="M610" s="283"/>
      <c r="N610" s="283"/>
      <c r="O610" s="283"/>
      <c r="P610" s="283"/>
      <c r="Q610" s="278"/>
      <c r="R610" s="278"/>
      <c r="S610" s="278"/>
      <c r="T610" s="278"/>
      <c r="U610" s="278"/>
      <c r="V610" s="278"/>
      <c r="W610" s="278"/>
      <c r="X610" s="278"/>
      <c r="Y610" s="278"/>
      <c r="Z610" s="278"/>
      <c r="AA610" s="278"/>
      <c r="AB610" s="278"/>
      <c r="AC610" s="278"/>
    </row>
    <row r="611" ht="15.75" customHeight="1">
      <c r="A611" s="290" t="str">
        <f>IFERROR(__xludf.DUMMYFUNCTION("""COMPUTED_VALUE"""),"文苑堂")</f>
        <v>文苑堂</v>
      </c>
      <c r="B611" s="291">
        <f>IFERROR(__xludf.DUMMYFUNCTION("""COMPUTED_VALUE"""),45618.0)</f>
        <v>45618</v>
      </c>
      <c r="C611" s="292"/>
      <c r="D611" s="293">
        <f>IFERROR(__xludf.DUMMYFUNCTION("""COMPUTED_VALUE"""),290783.0)</f>
        <v>290783</v>
      </c>
      <c r="E611" s="290" t="str">
        <f>IFERROR(__xludf.DUMMYFUNCTION("""COMPUTED_VALUE"""),"いっぱいのナニかにメチャメチャにされる【デジタル特装版】")</f>
        <v>いっぱいのナニかにメチャメチャにされる【デジタル特装版】</v>
      </c>
      <c r="F611" s="298" t="str">
        <f>IFERROR(__xludf.DUMMYFUNCTION("""COMPUTED_VALUE"""),"コミックバベル編集部 / うのせろ")</f>
        <v>コミックバベル編集部 / うのせろ</v>
      </c>
      <c r="G611" s="298" t="str">
        <f>IFERROR(__xludf.DUMMYFUNCTION("""COMPUTED_VALUE"""),"オトナコミック")</f>
        <v>オトナコミック</v>
      </c>
      <c r="H611" s="298" t="str">
        <f>IFERROR(__xludf.DUMMYFUNCTION("""COMPUTED_VALUE"""),"2024/11/25～）クレジットカードでの購入のみ停止")</f>
        <v>2024/11/25～）クレジットカードでの購入のみ停止</v>
      </c>
      <c r="I611" s="283"/>
      <c r="J611" s="283"/>
      <c r="K611" s="283"/>
      <c r="L611" s="283"/>
      <c r="M611" s="283"/>
      <c r="N611" s="283"/>
      <c r="O611" s="283"/>
      <c r="P611" s="283"/>
      <c r="Q611" s="278"/>
      <c r="R611" s="278"/>
      <c r="S611" s="278"/>
      <c r="T611" s="278"/>
      <c r="U611" s="278"/>
      <c r="V611" s="278"/>
      <c r="W611" s="278"/>
      <c r="X611" s="278"/>
      <c r="Y611" s="278"/>
      <c r="Z611" s="278"/>
      <c r="AA611" s="278"/>
      <c r="AB611" s="278"/>
      <c r="AC611" s="278"/>
    </row>
    <row r="612" ht="15.75" customHeight="1">
      <c r="A612" s="290" t="str">
        <f>IFERROR(__xludf.DUMMYFUNCTION("""COMPUTED_VALUE"""),"文苑堂")</f>
        <v>文苑堂</v>
      </c>
      <c r="B612" s="291">
        <f>IFERROR(__xludf.DUMMYFUNCTION("""COMPUTED_VALUE"""),45618.0)</f>
        <v>45618</v>
      </c>
      <c r="C612" s="292"/>
      <c r="D612" s="293">
        <f>IFERROR(__xludf.DUMMYFUNCTION("""COMPUTED_VALUE"""),291843.0)</f>
        <v>291843</v>
      </c>
      <c r="E612" s="290" t="str">
        <f>IFERROR(__xludf.DUMMYFUNCTION("""COMPUTED_VALUE"""),"いっぱいのナニかにメチャメチャにされる【通常版】")</f>
        <v>いっぱいのナニかにメチャメチャにされる【通常版】</v>
      </c>
      <c r="F612" s="298" t="str">
        <f>IFERROR(__xludf.DUMMYFUNCTION("""COMPUTED_VALUE"""),"コミックバベル編集部 / うのせろ")</f>
        <v>コミックバベル編集部 / うのせろ</v>
      </c>
      <c r="G612" s="298" t="str">
        <f>IFERROR(__xludf.DUMMYFUNCTION("""COMPUTED_VALUE"""),"オトナコミック")</f>
        <v>オトナコミック</v>
      </c>
      <c r="H612" s="298" t="str">
        <f>IFERROR(__xludf.DUMMYFUNCTION("""COMPUTED_VALUE"""),"2024/11/25～）クレジットカードでの購入のみ停止")</f>
        <v>2024/11/25～）クレジットカードでの購入のみ停止</v>
      </c>
      <c r="I612" s="283"/>
      <c r="J612" s="283"/>
      <c r="K612" s="283"/>
      <c r="L612" s="283"/>
      <c r="M612" s="283"/>
      <c r="N612" s="283"/>
      <c r="O612" s="283"/>
      <c r="P612" s="283"/>
      <c r="Q612" s="278"/>
      <c r="R612" s="278"/>
      <c r="S612" s="278"/>
      <c r="T612" s="278"/>
      <c r="U612" s="278"/>
      <c r="V612" s="278"/>
      <c r="W612" s="278"/>
      <c r="X612" s="278"/>
      <c r="Y612" s="278"/>
      <c r="Z612" s="278"/>
      <c r="AA612" s="278"/>
      <c r="AB612" s="278"/>
      <c r="AC612" s="278"/>
    </row>
    <row r="613" ht="15.75" customHeight="1">
      <c r="A613" s="290" t="str">
        <f>IFERROR(__xludf.DUMMYFUNCTION("""COMPUTED_VALUE"""),"文苑堂")</f>
        <v>文苑堂</v>
      </c>
      <c r="B613" s="291">
        <f>IFERROR(__xludf.DUMMYFUNCTION("""COMPUTED_VALUE"""),45618.0)</f>
        <v>45618</v>
      </c>
      <c r="C613" s="292"/>
      <c r="D613" s="293">
        <f>IFERROR(__xludf.DUMMYFUNCTION("""COMPUTED_VALUE"""),294578.0)</f>
        <v>294578</v>
      </c>
      <c r="E613" s="290" t="str">
        <f>IFERROR(__xludf.DUMMYFUNCTION("""COMPUTED_VALUE"""),"家賃、滞納、体にて。")</f>
        <v>家賃、滞納、体にて。</v>
      </c>
      <c r="F613" s="298" t="str">
        <f>IFERROR(__xludf.DUMMYFUNCTION("""COMPUTED_VALUE"""),"コミックバベル編集部 / 紅葉みも")</f>
        <v>コミックバベル編集部 / 紅葉みも</v>
      </c>
      <c r="G613" s="298" t="str">
        <f>IFERROR(__xludf.DUMMYFUNCTION("""COMPUTED_VALUE"""),"オトナコミック")</f>
        <v>オトナコミック</v>
      </c>
      <c r="H613" s="298" t="str">
        <f>IFERROR(__xludf.DUMMYFUNCTION("""COMPUTED_VALUE"""),"2024/11/25～）クレジットカードでの購入のみ停止")</f>
        <v>2024/11/25～）クレジットカードでの購入のみ停止</v>
      </c>
      <c r="I613" s="283"/>
      <c r="J613" s="283"/>
      <c r="K613" s="283"/>
      <c r="L613" s="283"/>
      <c r="M613" s="283"/>
      <c r="N613" s="283"/>
      <c r="O613" s="283"/>
      <c r="P613" s="283"/>
      <c r="Q613" s="278"/>
      <c r="R613" s="278"/>
      <c r="S613" s="278"/>
      <c r="T613" s="278"/>
      <c r="U613" s="278"/>
      <c r="V613" s="278"/>
      <c r="W613" s="278"/>
      <c r="X613" s="278"/>
      <c r="Y613" s="278"/>
      <c r="Z613" s="278"/>
      <c r="AA613" s="278"/>
      <c r="AB613" s="278"/>
      <c r="AC613" s="278"/>
    </row>
    <row r="614" ht="15.75" customHeight="1">
      <c r="A614" s="290" t="str">
        <f>IFERROR(__xludf.DUMMYFUNCTION("""COMPUTED_VALUE"""),"文苑堂")</f>
        <v>文苑堂</v>
      </c>
      <c r="B614" s="291">
        <f>IFERROR(__xludf.DUMMYFUNCTION("""COMPUTED_VALUE"""),45618.0)</f>
        <v>45618</v>
      </c>
      <c r="C614" s="292"/>
      <c r="D614" s="293">
        <f>IFERROR(__xludf.DUMMYFUNCTION("""COMPUTED_VALUE"""),296566.0)</f>
        <v>296566</v>
      </c>
      <c r="E614" s="290" t="str">
        <f>IFERROR(__xludf.DUMMYFUNCTION("""COMPUTED_VALUE"""),"姪姉妹は俺の恋人オナホ～催眠JK調教～")</f>
        <v>姪姉妹は俺の恋人オナホ～催眠JK調教～</v>
      </c>
      <c r="F614" s="298" t="str">
        <f>IFERROR(__xludf.DUMMYFUNCTION("""COMPUTED_VALUE"""),"コミックバベル編集部 / 団地の")</f>
        <v>コミックバベル編集部 / 団地の</v>
      </c>
      <c r="G614" s="298" t="str">
        <f>IFERROR(__xludf.DUMMYFUNCTION("""COMPUTED_VALUE"""),"オトナコミック")</f>
        <v>オトナコミック</v>
      </c>
      <c r="H614" s="298" t="str">
        <f>IFERROR(__xludf.DUMMYFUNCTION("""COMPUTED_VALUE"""),"2024/11/25～）クレジットカードでの購入のみ停止")</f>
        <v>2024/11/25～）クレジットカードでの購入のみ停止</v>
      </c>
      <c r="I614" s="283"/>
      <c r="J614" s="283"/>
      <c r="K614" s="283"/>
      <c r="L614" s="283"/>
      <c r="M614" s="283"/>
      <c r="N614" s="283"/>
      <c r="O614" s="283"/>
      <c r="P614" s="283"/>
      <c r="Q614" s="278"/>
      <c r="R614" s="278"/>
      <c r="S614" s="278"/>
      <c r="T614" s="278"/>
      <c r="U614" s="278"/>
      <c r="V614" s="278"/>
      <c r="W614" s="278"/>
      <c r="X614" s="278"/>
      <c r="Y614" s="278"/>
      <c r="Z614" s="278"/>
      <c r="AA614" s="278"/>
      <c r="AB614" s="278"/>
      <c r="AC614" s="278"/>
    </row>
    <row r="615" ht="15.75" customHeight="1">
      <c r="A615" s="290" t="str">
        <f>IFERROR(__xludf.DUMMYFUNCTION("""COMPUTED_VALUE"""),"悶々堂")</f>
        <v>悶々堂</v>
      </c>
      <c r="B615" s="291">
        <f>IFERROR(__xludf.DUMMYFUNCTION("""COMPUTED_VALUE"""),45618.0)</f>
        <v>45618</v>
      </c>
      <c r="C615" s="292"/>
      <c r="D615" s="293">
        <f>IFERROR(__xludf.DUMMYFUNCTION("""COMPUTED_VALUE"""),100443.0)</f>
        <v>100443</v>
      </c>
      <c r="E615" s="290" t="str">
        <f>IFERROR(__xludf.DUMMYFUNCTION("""COMPUTED_VALUE"""),"清く正しくいやらしく！ ～役得バイトでエロ三昧～(フルカラー)")</f>
        <v>清く正しくいやらしく！ ～役得バイトでエロ三昧～(フルカラー)</v>
      </c>
      <c r="F615" s="298" t="str">
        <f>IFERROR(__xludf.DUMMYFUNCTION("""COMPUTED_VALUE"""),"悶々堂")</f>
        <v>悶々堂</v>
      </c>
      <c r="G615" s="298" t="str">
        <f>IFERROR(__xludf.DUMMYFUNCTION("""COMPUTED_VALUE"""),"オトナコミック")</f>
        <v>オトナコミック</v>
      </c>
      <c r="H615" s="298" t="str">
        <f>IFERROR(__xludf.DUMMYFUNCTION("""COMPUTED_VALUE"""),"2024/11/25～）クレジットカードでの購入のみ停止")</f>
        <v>2024/11/25～）クレジットカードでの購入のみ停止</v>
      </c>
      <c r="I615" s="283"/>
      <c r="J615" s="283"/>
      <c r="K615" s="283"/>
      <c r="L615" s="283"/>
      <c r="M615" s="283"/>
      <c r="N615" s="283"/>
      <c r="O615" s="283"/>
      <c r="P615" s="283"/>
      <c r="Q615" s="278"/>
      <c r="R615" s="278"/>
      <c r="S615" s="278"/>
      <c r="T615" s="278"/>
      <c r="U615" s="278"/>
      <c r="V615" s="278"/>
      <c r="W615" s="278"/>
      <c r="X615" s="278"/>
      <c r="Y615" s="278"/>
      <c r="Z615" s="278"/>
      <c r="AA615" s="278"/>
      <c r="AB615" s="278"/>
      <c r="AC615" s="278"/>
    </row>
    <row r="616" ht="15.75" customHeight="1">
      <c r="A616" s="290" t="str">
        <f>IFERROR(__xludf.DUMMYFUNCTION("""COMPUTED_VALUE"""),"悶々堂")</f>
        <v>悶々堂</v>
      </c>
      <c r="B616" s="291">
        <f>IFERROR(__xludf.DUMMYFUNCTION("""COMPUTED_VALUE"""),45618.0)</f>
        <v>45618</v>
      </c>
      <c r="C616" s="292"/>
      <c r="D616" s="293">
        <f>IFERROR(__xludf.DUMMYFUNCTION("""COMPUTED_VALUE"""),101474.0)</f>
        <v>101474</v>
      </c>
      <c r="E616" s="290" t="str">
        <f>IFERROR(__xludf.DUMMYFUNCTION("""COMPUTED_VALUE"""),"生活指導代理委員 ～教師の代わりに性的体罰～(フルカラー)")</f>
        <v>生活指導代理委員 ～教師の代わりに性的体罰～(フルカラー)</v>
      </c>
      <c r="F616" s="298" t="str">
        <f>IFERROR(__xludf.DUMMYFUNCTION("""COMPUTED_VALUE"""),"悶々堂")</f>
        <v>悶々堂</v>
      </c>
      <c r="G616" s="298" t="str">
        <f>IFERROR(__xludf.DUMMYFUNCTION("""COMPUTED_VALUE"""),"オトナコミック")</f>
        <v>オトナコミック</v>
      </c>
      <c r="H616" s="298" t="str">
        <f>IFERROR(__xludf.DUMMYFUNCTION("""COMPUTED_VALUE"""),"2024/11/25～）クレジットカードでの購入のみ停止")</f>
        <v>2024/11/25～）クレジットカードでの購入のみ停止</v>
      </c>
      <c r="I616" s="283"/>
      <c r="J616" s="283"/>
      <c r="K616" s="283"/>
      <c r="L616" s="283"/>
      <c r="M616" s="283"/>
      <c r="N616" s="283"/>
      <c r="O616" s="283"/>
      <c r="P616" s="283"/>
      <c r="Q616" s="278"/>
      <c r="R616" s="278"/>
      <c r="S616" s="278"/>
      <c r="T616" s="278"/>
      <c r="U616" s="278"/>
      <c r="V616" s="278"/>
      <c r="W616" s="278"/>
      <c r="X616" s="278"/>
      <c r="Y616" s="278"/>
      <c r="Z616" s="278"/>
      <c r="AA616" s="278"/>
      <c r="AB616" s="278"/>
      <c r="AC616" s="278"/>
    </row>
    <row r="617" ht="15.75" customHeight="1">
      <c r="A617" s="290" t="str">
        <f>IFERROR(__xludf.DUMMYFUNCTION("""COMPUTED_VALUE"""),"悶々堂")</f>
        <v>悶々堂</v>
      </c>
      <c r="B617" s="291">
        <f>IFERROR(__xludf.DUMMYFUNCTION("""COMPUTED_VALUE"""),45618.0)</f>
        <v>45618</v>
      </c>
      <c r="C617" s="292"/>
      <c r="D617" s="293">
        <f>IFERROR(__xludf.DUMMYFUNCTION("""COMPUTED_VALUE"""),133130.0)</f>
        <v>133130</v>
      </c>
      <c r="E617" s="290" t="str">
        <f>IFERROR(__xludf.DUMMYFUNCTION("""COMPUTED_VALUE"""),"【新装版】生活指導代理委員 ～教師の代わりに性的体罰～")</f>
        <v>【新装版】生活指導代理委員 ～教師の代わりに性的体罰～</v>
      </c>
      <c r="F617" s="298" t="str">
        <f>IFERROR(__xludf.DUMMYFUNCTION("""COMPUTED_VALUE"""),"悶々堂")</f>
        <v>悶々堂</v>
      </c>
      <c r="G617" s="298" t="str">
        <f>IFERROR(__xludf.DUMMYFUNCTION("""COMPUTED_VALUE"""),"オトナコミック")</f>
        <v>オトナコミック</v>
      </c>
      <c r="H617" s="298" t="str">
        <f>IFERROR(__xludf.DUMMYFUNCTION("""COMPUTED_VALUE"""),"2024/11/25～）クレジットカードでの購入のみ停止")</f>
        <v>2024/11/25～）クレジットカードでの購入のみ停止</v>
      </c>
      <c r="I617" s="283"/>
      <c r="J617" s="283"/>
      <c r="K617" s="283"/>
      <c r="L617" s="283"/>
      <c r="M617" s="283"/>
      <c r="N617" s="283"/>
      <c r="O617" s="283"/>
      <c r="P617" s="283"/>
      <c r="Q617" s="278"/>
      <c r="R617" s="278"/>
      <c r="S617" s="278"/>
      <c r="T617" s="278"/>
      <c r="U617" s="278"/>
      <c r="V617" s="278"/>
      <c r="W617" s="278"/>
      <c r="X617" s="278"/>
      <c r="Y617" s="278"/>
      <c r="Z617" s="278"/>
      <c r="AA617" s="278"/>
      <c r="AB617" s="278"/>
      <c r="AC617" s="278"/>
    </row>
    <row r="618" ht="15.75" customHeight="1">
      <c r="A618" s="290" t="str">
        <f>IFERROR(__xludf.DUMMYFUNCTION("""COMPUTED_VALUE"""),"悶々堂")</f>
        <v>悶々堂</v>
      </c>
      <c r="B618" s="291">
        <f>IFERROR(__xludf.DUMMYFUNCTION("""COMPUTED_VALUE"""),45618.0)</f>
        <v>45618</v>
      </c>
      <c r="C618" s="292"/>
      <c r="D618" s="293">
        <f>IFERROR(__xludf.DUMMYFUNCTION("""COMPUTED_VALUE"""),133904.0)</f>
        <v>133904</v>
      </c>
      <c r="E618" s="290" t="str">
        <f>IFERROR(__xludf.DUMMYFUNCTION("""COMPUTED_VALUE"""),"生活指導代理委員 ～教師の代わりに性的体罰～ 【合冊版】")</f>
        <v>生活指導代理委員 ～教師の代わりに性的体罰～ 【合冊版】</v>
      </c>
      <c r="F618" s="298" t="str">
        <f>IFERROR(__xludf.DUMMYFUNCTION("""COMPUTED_VALUE"""),"悶々堂")</f>
        <v>悶々堂</v>
      </c>
      <c r="G618" s="298" t="str">
        <f>IFERROR(__xludf.DUMMYFUNCTION("""COMPUTED_VALUE"""),"オトナコミック")</f>
        <v>オトナコミック</v>
      </c>
      <c r="H618" s="298" t="str">
        <f>IFERROR(__xludf.DUMMYFUNCTION("""COMPUTED_VALUE"""),"2024/11/25～）クレジットカードでの購入のみ停止")</f>
        <v>2024/11/25～）クレジットカードでの購入のみ停止</v>
      </c>
      <c r="I618" s="283"/>
      <c r="J618" s="283"/>
      <c r="K618" s="283"/>
      <c r="L618" s="283"/>
      <c r="M618" s="283"/>
      <c r="N618" s="283"/>
      <c r="O618" s="283"/>
      <c r="P618" s="283"/>
      <c r="Q618" s="278"/>
      <c r="R618" s="278"/>
      <c r="S618" s="278"/>
      <c r="T618" s="278"/>
      <c r="U618" s="278"/>
      <c r="V618" s="278"/>
      <c r="W618" s="278"/>
      <c r="X618" s="278"/>
      <c r="Y618" s="278"/>
      <c r="Z618" s="278"/>
      <c r="AA618" s="278"/>
      <c r="AB618" s="278"/>
      <c r="AC618" s="278"/>
    </row>
    <row r="619" ht="15.75" customHeight="1">
      <c r="A619" s="290" t="str">
        <f>IFERROR(__xludf.DUMMYFUNCTION("""COMPUTED_VALUE"""),"悶々堂")</f>
        <v>悶々堂</v>
      </c>
      <c r="B619" s="291">
        <f>IFERROR(__xludf.DUMMYFUNCTION("""COMPUTED_VALUE"""),45618.0)</f>
        <v>45618</v>
      </c>
      <c r="C619" s="292"/>
      <c r="D619" s="293">
        <f>IFERROR(__xludf.DUMMYFUNCTION("""COMPUTED_VALUE"""),161533.0)</f>
        <v>161533</v>
      </c>
      <c r="E619" s="290" t="str">
        <f>IFERROR(__xludf.DUMMYFUNCTION("""COMPUTED_VALUE"""),"【新装版】3泊4日無人島報復ツアー ～生徒会の女子達に日頃の恨みをぶちまけろ～")</f>
        <v>【新装版】3泊4日無人島報復ツアー ～生徒会の女子達に日頃の恨みをぶちまけろ～</v>
      </c>
      <c r="F619" s="298" t="str">
        <f>IFERROR(__xludf.DUMMYFUNCTION("""COMPUTED_VALUE"""),"悶々堂")</f>
        <v>悶々堂</v>
      </c>
      <c r="G619" s="298" t="str">
        <f>IFERROR(__xludf.DUMMYFUNCTION("""COMPUTED_VALUE"""),"オトナコミック")</f>
        <v>オトナコミック</v>
      </c>
      <c r="H619" s="298" t="str">
        <f>IFERROR(__xludf.DUMMYFUNCTION("""COMPUTED_VALUE"""),"2024/11/25～）クレジットカードでの購入のみ停止")</f>
        <v>2024/11/25～）クレジットカードでの購入のみ停止</v>
      </c>
      <c r="I619" s="283"/>
      <c r="J619" s="283"/>
      <c r="K619" s="283"/>
      <c r="L619" s="283"/>
      <c r="M619" s="283"/>
      <c r="N619" s="283"/>
      <c r="O619" s="283"/>
      <c r="P619" s="283"/>
      <c r="Q619" s="278"/>
      <c r="R619" s="278"/>
      <c r="S619" s="278"/>
      <c r="T619" s="278"/>
      <c r="U619" s="278"/>
      <c r="V619" s="278"/>
      <c r="W619" s="278"/>
      <c r="X619" s="278"/>
      <c r="Y619" s="278"/>
      <c r="Z619" s="278"/>
      <c r="AA619" s="278"/>
      <c r="AB619" s="278"/>
      <c r="AC619" s="278"/>
    </row>
    <row r="620" ht="15.75" customHeight="1">
      <c r="A620" s="290" t="str">
        <f>IFERROR(__xludf.DUMMYFUNCTION("""COMPUTED_VALUE"""),"悶々堂")</f>
        <v>悶々堂</v>
      </c>
      <c r="B620" s="291">
        <f>IFERROR(__xludf.DUMMYFUNCTION("""COMPUTED_VALUE"""),45618.0)</f>
        <v>45618</v>
      </c>
      <c r="C620" s="292"/>
      <c r="D620" s="293">
        <f>IFERROR(__xludf.DUMMYFUNCTION("""COMPUTED_VALUE"""),161534.0)</f>
        <v>161534</v>
      </c>
      <c r="E620" s="290" t="str">
        <f>IFERROR(__xludf.DUMMYFUNCTION("""COMPUTED_VALUE"""),"【新装版】3泊4日無人島報復ツアー ～生徒会の女子達に日頃の恨みをぶちまけろ～ （単話）")</f>
        <v>【新装版】3泊4日無人島報復ツアー ～生徒会の女子達に日頃の恨みをぶちまけろ～ （単話）</v>
      </c>
      <c r="F620" s="298" t="str">
        <f>IFERROR(__xludf.DUMMYFUNCTION("""COMPUTED_VALUE"""),"悶々堂")</f>
        <v>悶々堂</v>
      </c>
      <c r="G620" s="298" t="str">
        <f>IFERROR(__xludf.DUMMYFUNCTION("""COMPUTED_VALUE"""),"オトナコミック")</f>
        <v>オトナコミック</v>
      </c>
      <c r="H620" s="298" t="str">
        <f>IFERROR(__xludf.DUMMYFUNCTION("""COMPUTED_VALUE"""),"2024/11/25～）クレジットカードでの購入のみ停止")</f>
        <v>2024/11/25～）クレジットカードでの購入のみ停止</v>
      </c>
      <c r="I620" s="283"/>
      <c r="J620" s="283"/>
      <c r="K620" s="283"/>
      <c r="L620" s="283"/>
      <c r="M620" s="283"/>
      <c r="N620" s="283"/>
      <c r="O620" s="283"/>
      <c r="P620" s="283"/>
      <c r="Q620" s="278"/>
      <c r="R620" s="278"/>
      <c r="S620" s="278"/>
      <c r="T620" s="278"/>
      <c r="U620" s="278"/>
      <c r="V620" s="278"/>
      <c r="W620" s="278"/>
      <c r="X620" s="278"/>
      <c r="Y620" s="278"/>
      <c r="Z620" s="278"/>
      <c r="AA620" s="278"/>
      <c r="AB620" s="278"/>
      <c r="AC620" s="278"/>
    </row>
    <row r="621" ht="15.75" customHeight="1">
      <c r="A621" s="290" t="str">
        <f>IFERROR(__xludf.DUMMYFUNCTION("""COMPUTED_VALUE"""),"悶々堂")</f>
        <v>悶々堂</v>
      </c>
      <c r="B621" s="291">
        <f>IFERROR(__xludf.DUMMYFUNCTION("""COMPUTED_VALUE"""),45618.0)</f>
        <v>45618</v>
      </c>
      <c r="C621" s="292"/>
      <c r="D621" s="293">
        <f>IFERROR(__xludf.DUMMYFUNCTION("""COMPUTED_VALUE"""),181439.0)</f>
        <v>181439</v>
      </c>
      <c r="E621" s="290" t="str">
        <f>IFERROR(__xludf.DUMMYFUNCTION("""COMPUTED_VALUE"""),"【新装版】清く正しくいやらしく！ ～役得バイトでエロ三昧～")</f>
        <v>【新装版】清く正しくいやらしく！ ～役得バイトでエロ三昧～</v>
      </c>
      <c r="F621" s="298" t="str">
        <f>IFERROR(__xludf.DUMMYFUNCTION("""COMPUTED_VALUE"""),"悶々堂")</f>
        <v>悶々堂</v>
      </c>
      <c r="G621" s="298" t="str">
        <f>IFERROR(__xludf.DUMMYFUNCTION("""COMPUTED_VALUE"""),"オトナコミック")</f>
        <v>オトナコミック</v>
      </c>
      <c r="H621" s="298" t="str">
        <f>IFERROR(__xludf.DUMMYFUNCTION("""COMPUTED_VALUE"""),"2024/11/25～）クレジットカードでの購入のみ停止")</f>
        <v>2024/11/25～）クレジットカードでの購入のみ停止</v>
      </c>
      <c r="I621" s="283"/>
      <c r="J621" s="283"/>
      <c r="K621" s="283"/>
      <c r="L621" s="283"/>
      <c r="M621" s="283"/>
      <c r="N621" s="283"/>
      <c r="O621" s="283"/>
      <c r="P621" s="283"/>
      <c r="Q621" s="278"/>
      <c r="R621" s="278"/>
      <c r="S621" s="278"/>
      <c r="T621" s="278"/>
      <c r="U621" s="278"/>
      <c r="V621" s="278"/>
      <c r="W621" s="278"/>
      <c r="X621" s="278"/>
      <c r="Y621" s="278"/>
      <c r="Z621" s="278"/>
      <c r="AA621" s="278"/>
      <c r="AB621" s="278"/>
      <c r="AC621" s="278"/>
    </row>
    <row r="622" ht="15.75" customHeight="1">
      <c r="A622" s="290" t="str">
        <f>IFERROR(__xludf.DUMMYFUNCTION("""COMPUTED_VALUE"""),"悶々堂")</f>
        <v>悶々堂</v>
      </c>
      <c r="B622" s="291">
        <f>IFERROR(__xludf.DUMMYFUNCTION("""COMPUTED_VALUE"""),45618.0)</f>
        <v>45618</v>
      </c>
      <c r="C622" s="292"/>
      <c r="D622" s="293">
        <f>IFERROR(__xludf.DUMMYFUNCTION("""COMPUTED_VALUE"""),181440.0)</f>
        <v>181440</v>
      </c>
      <c r="E622" s="290" t="str">
        <f>IFERROR(__xludf.DUMMYFUNCTION("""COMPUTED_VALUE"""),"【新装版】清く正しくいやらしく！ ～役得バイトでエロ三昧～ （単話）")</f>
        <v>【新装版】清く正しくいやらしく！ ～役得バイトでエロ三昧～ （単話）</v>
      </c>
      <c r="F622" s="298" t="str">
        <f>IFERROR(__xludf.DUMMYFUNCTION("""COMPUTED_VALUE"""),"悶々堂")</f>
        <v>悶々堂</v>
      </c>
      <c r="G622" s="298" t="str">
        <f>IFERROR(__xludf.DUMMYFUNCTION("""COMPUTED_VALUE"""),"オトナコミック")</f>
        <v>オトナコミック</v>
      </c>
      <c r="H622" s="298" t="str">
        <f>IFERROR(__xludf.DUMMYFUNCTION("""COMPUTED_VALUE"""),"2024/11/25～）クレジットカードでの購入のみ停止")</f>
        <v>2024/11/25～）クレジットカードでの購入のみ停止</v>
      </c>
      <c r="I622" s="283"/>
      <c r="J622" s="283"/>
      <c r="K622" s="283"/>
      <c r="L622" s="283"/>
      <c r="M622" s="283"/>
      <c r="N622" s="283"/>
      <c r="O622" s="283"/>
      <c r="P622" s="283"/>
      <c r="Q622" s="278"/>
      <c r="R622" s="278"/>
      <c r="S622" s="278"/>
      <c r="T622" s="278"/>
      <c r="U622" s="278"/>
      <c r="V622" s="278"/>
      <c r="W622" s="278"/>
      <c r="X622" s="278"/>
      <c r="Y622" s="278"/>
      <c r="Z622" s="278"/>
      <c r="AA622" s="278"/>
      <c r="AB622" s="278"/>
      <c r="AC622" s="278"/>
    </row>
    <row r="623" ht="15.75" customHeight="1">
      <c r="A623" s="290" t="str">
        <f>IFERROR(__xludf.DUMMYFUNCTION("""COMPUTED_VALUE"""),"アド・グッド")</f>
        <v>アド・グッド</v>
      </c>
      <c r="B623" s="291">
        <f>IFERROR(__xludf.DUMMYFUNCTION("""COMPUTED_VALUE"""),45618.0)</f>
        <v>45618</v>
      </c>
      <c r="C623" s="292"/>
      <c r="D623" s="293">
        <f>IFERROR(__xludf.DUMMYFUNCTION("""COMPUTED_VALUE"""),98810.0)</f>
        <v>98810</v>
      </c>
      <c r="E623" s="290" t="str">
        <f>IFERROR(__xludf.DUMMYFUNCTION("""COMPUTED_VALUE"""),"発育の良い巨乳JK姉妹をビッチ化してやるぜ フハハ")</f>
        <v>発育の良い巨乳JK姉妹をビッチ化してやるぜ フハハ</v>
      </c>
      <c r="F623" s="298" t="str">
        <f>IFERROR(__xludf.DUMMYFUNCTION("""COMPUTED_VALUE"""),"もえまん / 鳥居姫")</f>
        <v>もえまん / 鳥居姫</v>
      </c>
      <c r="G623" s="298" t="str">
        <f>IFERROR(__xludf.DUMMYFUNCTION("""COMPUTED_VALUE"""),"オトナコミック")</f>
        <v>オトナコミック</v>
      </c>
      <c r="H623" s="298" t="str">
        <f>IFERROR(__xludf.DUMMYFUNCTION("""COMPUTED_VALUE"""),"2024/11/25～）クレジットカードでの購入のみ停止")</f>
        <v>2024/11/25～）クレジットカードでの購入のみ停止</v>
      </c>
      <c r="I623" s="283"/>
      <c r="J623" s="283"/>
      <c r="K623" s="283"/>
      <c r="L623" s="283"/>
      <c r="M623" s="283"/>
      <c r="N623" s="283"/>
      <c r="O623" s="283"/>
      <c r="P623" s="283"/>
      <c r="Q623" s="278"/>
      <c r="R623" s="278"/>
      <c r="S623" s="278"/>
      <c r="T623" s="278"/>
      <c r="U623" s="278"/>
      <c r="V623" s="278"/>
      <c r="W623" s="278"/>
      <c r="X623" s="278"/>
      <c r="Y623" s="278"/>
      <c r="Z623" s="278"/>
      <c r="AA623" s="278"/>
      <c r="AB623" s="278"/>
      <c r="AC623" s="278"/>
    </row>
    <row r="624" ht="15.75" customHeight="1">
      <c r="A624" s="290" t="str">
        <f>IFERROR(__xludf.DUMMYFUNCTION("""COMPUTED_VALUE"""),"アド・グッド")</f>
        <v>アド・グッド</v>
      </c>
      <c r="B624" s="291">
        <f>IFERROR(__xludf.DUMMYFUNCTION("""COMPUTED_VALUE"""),45618.0)</f>
        <v>45618</v>
      </c>
      <c r="C624" s="292"/>
      <c r="D624" s="293">
        <f>IFERROR(__xludf.DUMMYFUNCTION("""COMPUTED_VALUE"""),109063.0)</f>
        <v>109063</v>
      </c>
      <c r="E624" s="290" t="str">
        <f>IFERROR(__xludf.DUMMYFUNCTION("""COMPUTED_VALUE"""),"時間停止 あの生意気な女達に復讐レ●プ！")</f>
        <v>時間停止 あの生意気な女達に復讐レ●プ！</v>
      </c>
      <c r="F624" s="298" t="str">
        <f>IFERROR(__xludf.DUMMYFUNCTION("""COMPUTED_VALUE"""),"もえまん / どうしょく")</f>
        <v>もえまん / どうしょく</v>
      </c>
      <c r="G624" s="298" t="str">
        <f>IFERROR(__xludf.DUMMYFUNCTION("""COMPUTED_VALUE"""),"オトナコミック")</f>
        <v>オトナコミック</v>
      </c>
      <c r="H624" s="298" t="str">
        <f>IFERROR(__xludf.DUMMYFUNCTION("""COMPUTED_VALUE"""),"2024/11/25～）クレジットカードでの購入のみ停止")</f>
        <v>2024/11/25～）クレジットカードでの購入のみ停止</v>
      </c>
      <c r="I624" s="283"/>
      <c r="J624" s="283"/>
      <c r="K624" s="283"/>
      <c r="L624" s="283"/>
      <c r="M624" s="283"/>
      <c r="N624" s="283"/>
      <c r="O624" s="283"/>
      <c r="P624" s="283"/>
      <c r="Q624" s="278"/>
      <c r="R624" s="278"/>
      <c r="S624" s="278"/>
      <c r="T624" s="278"/>
      <c r="U624" s="278"/>
      <c r="V624" s="278"/>
      <c r="W624" s="278"/>
      <c r="X624" s="278"/>
      <c r="Y624" s="278"/>
      <c r="Z624" s="278"/>
      <c r="AA624" s="278"/>
      <c r="AB624" s="278"/>
      <c r="AC624" s="278"/>
    </row>
    <row r="625" ht="15.75" customHeight="1">
      <c r="A625" s="290" t="str">
        <f>IFERROR(__xludf.DUMMYFUNCTION("""COMPUTED_VALUE"""),"ライブコミックス")</f>
        <v>ライブコミックス</v>
      </c>
      <c r="B625" s="291">
        <f>IFERROR(__xludf.DUMMYFUNCTION("""COMPUTED_VALUE"""),45685.0)</f>
        <v>45685</v>
      </c>
      <c r="C625" s="292"/>
      <c r="D625" s="293">
        <f>IFERROR(__xludf.DUMMYFUNCTION("""COMPUTED_VALUE"""),314728.0)</f>
        <v>314728</v>
      </c>
      <c r="E625" s="290" t="str">
        <f>IFERROR(__xludf.DUMMYFUNCTION("""COMPUTED_VALUE"""),"花ちゃんと玲くん")</f>
        <v>花ちゃんと玲くん</v>
      </c>
      <c r="F625" s="298" t="str">
        <f>IFERROR(__xludf.DUMMYFUNCTION("""COMPUTED_VALUE"""),"和野うみ┴ロティス編集部
")</f>
        <v>和野うみ┴ロティス編集部
</v>
      </c>
      <c r="G625" s="298" t="str">
        <f>IFERROR(__xludf.DUMMYFUNCTION("""COMPUTED_VALUE"""),"TL")</f>
        <v>TL</v>
      </c>
      <c r="H625" s="298" t="str">
        <f>IFERROR(__xludf.DUMMYFUNCTION("""COMPUTED_VALUE"""),"ソル判定　キャラ見た目年齢NG")</f>
        <v>ソル判定　キャラ見た目年齢NG</v>
      </c>
      <c r="I625" s="283"/>
      <c r="J625" s="283"/>
      <c r="K625" s="283"/>
      <c r="L625" s="283"/>
      <c r="M625" s="283"/>
      <c r="N625" s="283"/>
      <c r="O625" s="283"/>
      <c r="P625" s="283"/>
      <c r="Q625" s="278"/>
      <c r="R625" s="278"/>
      <c r="S625" s="278"/>
      <c r="T625" s="278"/>
      <c r="U625" s="278"/>
      <c r="V625" s="278"/>
      <c r="W625" s="278"/>
      <c r="X625" s="278"/>
      <c r="Y625" s="278"/>
      <c r="Z625" s="278"/>
      <c r="AA625" s="278"/>
      <c r="AB625" s="278"/>
      <c r="AC625" s="278"/>
    </row>
    <row r="626" ht="15.75" customHeight="1">
      <c r="A626" s="290" t="str">
        <f>IFERROR(__xludf.DUMMYFUNCTION("""COMPUTED_VALUE"""),"KATTS")</f>
        <v>KATTS</v>
      </c>
      <c r="B626" s="291">
        <f>IFERROR(__xludf.DUMMYFUNCTION("""COMPUTED_VALUE"""),45685.0)</f>
        <v>45685</v>
      </c>
      <c r="C626" s="292"/>
      <c r="D626" s="293">
        <f>IFERROR(__xludf.DUMMYFUNCTION("""COMPUTED_VALUE"""),314721.0)</f>
        <v>314721</v>
      </c>
      <c r="E626" s="290" t="str">
        <f>IFERROR(__xludf.DUMMYFUNCTION("""COMPUTED_VALUE"""),"花ちゃんと玲くん【R版】
")</f>
        <v>花ちゃんと玲くん【R版】
</v>
      </c>
      <c r="F626" s="298" t="str">
        <f>IFERROR(__xludf.DUMMYFUNCTION("""COMPUTED_VALUE"""),"和野うみ┴穴乱
")</f>
        <v>和野うみ┴穴乱
</v>
      </c>
      <c r="G626" s="298" t="str">
        <f>IFERROR(__xludf.DUMMYFUNCTION("""COMPUTED_VALUE"""),"アダルトマンガ")</f>
        <v>アダルトマンガ</v>
      </c>
      <c r="H626" s="298" t="str">
        <f>IFERROR(__xludf.DUMMYFUNCTION("""COMPUTED_VALUE"""),"ソル判定　キャラ見た目年齢NG")</f>
        <v>ソル判定　キャラ見た目年齢NG</v>
      </c>
      <c r="I626" s="283"/>
      <c r="J626" s="283"/>
      <c r="K626" s="283"/>
      <c r="L626" s="283"/>
      <c r="M626" s="283"/>
      <c r="N626" s="283"/>
      <c r="O626" s="283"/>
      <c r="P626" s="283"/>
      <c r="Q626" s="278"/>
      <c r="R626" s="278"/>
      <c r="S626" s="278"/>
      <c r="T626" s="278"/>
      <c r="U626" s="278"/>
      <c r="V626" s="278"/>
      <c r="W626" s="278"/>
      <c r="X626" s="278"/>
      <c r="Y626" s="278"/>
      <c r="Z626" s="278"/>
      <c r="AA626" s="278"/>
      <c r="AB626" s="278"/>
      <c r="AC626" s="278"/>
    </row>
    <row r="627" ht="15.75" customHeight="1">
      <c r="A627" s="290" t="str">
        <f>IFERROR(__xludf.DUMMYFUNCTION("""COMPUTED_VALUE"""),"一迅社")</f>
        <v>一迅社</v>
      </c>
      <c r="B627" s="291">
        <f>IFERROR(__xludf.DUMMYFUNCTION("""COMPUTED_VALUE"""),45727.0)</f>
        <v>45727</v>
      </c>
      <c r="C627" s="292"/>
      <c r="D627" s="293">
        <f>IFERROR(__xludf.DUMMYFUNCTION("""COMPUTED_VALUE"""),121863.0)</f>
        <v>121863</v>
      </c>
      <c r="E627" s="290" t="str">
        <f>IFERROR(__xludf.DUMMYFUNCTION("""COMPUTED_VALUE"""),"マクロスΔ 黒き翼の白騎")</f>
        <v>マクロスΔ 黒き翼の白騎</v>
      </c>
      <c r="F627" s="298" t="str">
        <f>IFERROR(__xludf.DUMMYFUNCTION("""COMPUTED_VALUE"""),"藤小豆")</f>
        <v>藤小豆</v>
      </c>
      <c r="G627" s="298" t="str">
        <f>IFERROR(__xludf.DUMMYFUNCTION("""COMPUTED_VALUE"""),"少女")</f>
        <v>少女</v>
      </c>
      <c r="H627" s="298" t="str">
        <f>IFERROR(__xludf.DUMMYFUNCTION("""COMPUTED_VALUE"""),"このタイトルは許諾確認が難しいため使用NG")</f>
        <v>このタイトルは許諾確認が難しいため使用NG</v>
      </c>
      <c r="I627" s="283"/>
      <c r="J627" s="283"/>
      <c r="K627" s="283"/>
      <c r="L627" s="283"/>
      <c r="M627" s="283"/>
      <c r="N627" s="283"/>
      <c r="O627" s="283"/>
      <c r="P627" s="283"/>
      <c r="Q627" s="278"/>
      <c r="R627" s="278"/>
      <c r="S627" s="278"/>
      <c r="T627" s="278"/>
      <c r="U627" s="278"/>
      <c r="V627" s="278"/>
      <c r="W627" s="278"/>
      <c r="X627" s="278"/>
      <c r="Y627" s="278"/>
      <c r="Z627" s="278"/>
      <c r="AA627" s="278"/>
      <c r="AB627" s="278"/>
      <c r="AC627" s="278"/>
    </row>
    <row r="628" ht="15.75" customHeight="1">
      <c r="A628" s="290" t="str">
        <f>IFERROR(__xludf.DUMMYFUNCTION("""COMPUTED_VALUE"""),"大誠社")</f>
        <v>大誠社</v>
      </c>
      <c r="B628" s="291">
        <f>IFERROR(__xludf.DUMMYFUNCTION("""COMPUTED_VALUE"""),45763.0)</f>
        <v>45763</v>
      </c>
      <c r="C628" s="292"/>
      <c r="D628" s="293">
        <f>IFERROR(__xludf.DUMMYFUNCTION("""COMPUTED_VALUE"""),321336.0)</f>
        <v>321336</v>
      </c>
      <c r="E628" s="290" t="str">
        <f>IFERROR(__xludf.DUMMYFUNCTION("""COMPUTED_VALUE"""),"【ラブコフレ】鬼といけにえの蜜月")</f>
        <v>【ラブコフレ】鬼といけにえの蜜月</v>
      </c>
      <c r="F628" s="298" t="str">
        <f>IFERROR(__xludf.DUMMYFUNCTION("""COMPUTED_VALUE"""),"雨浅ひゆ")</f>
        <v>雨浅ひゆ</v>
      </c>
      <c r="G628" s="298" t="str">
        <f>IFERROR(__xludf.DUMMYFUNCTION("""COMPUTED_VALUE"""),"TL")</f>
        <v>TL</v>
      </c>
      <c r="H628" s="298" t="str">
        <f>IFERROR(__xludf.DUMMYFUNCTION("""COMPUTED_VALUE"""),"ソル判定　キャラ見た目年齢NG　※事前検討時のチェック")</f>
        <v>ソル判定　キャラ見た目年齢NG　※事前検討時のチェック</v>
      </c>
      <c r="I628" s="283"/>
      <c r="J628" s="283"/>
      <c r="K628" s="283"/>
      <c r="L628" s="283"/>
      <c r="M628" s="283"/>
      <c r="N628" s="283"/>
      <c r="O628" s="283"/>
      <c r="P628" s="283"/>
      <c r="Q628" s="278"/>
      <c r="R628" s="278"/>
      <c r="S628" s="278"/>
      <c r="T628" s="278"/>
      <c r="U628" s="278"/>
      <c r="V628" s="278"/>
      <c r="W628" s="278"/>
      <c r="X628" s="278"/>
      <c r="Y628" s="278"/>
      <c r="Z628" s="278"/>
      <c r="AA628" s="278"/>
      <c r="AB628" s="278"/>
      <c r="AC628" s="278"/>
    </row>
    <row r="629" ht="15.75" customHeight="1">
      <c r="A629" s="290" t="str">
        <f>IFERROR(__xludf.DUMMYFUNCTION("""COMPUTED_VALUE"""),"集英社")</f>
        <v>集英社</v>
      </c>
      <c r="B629" s="291">
        <f>IFERROR(__xludf.DUMMYFUNCTION("""COMPUTED_VALUE"""),45807.0)</f>
        <v>45807</v>
      </c>
      <c r="C629" s="292"/>
      <c r="D629" s="293">
        <f>IFERROR(__xludf.DUMMYFUNCTION("""COMPUTED_VALUE"""),325450.0)</f>
        <v>325450</v>
      </c>
      <c r="E629" s="290" t="str">
        <f>IFERROR(__xludf.DUMMYFUNCTION("""COMPUTED_VALUE"""),"SLAM DUNK")</f>
        <v>SLAM DUNK</v>
      </c>
      <c r="F629" s="298" t="str">
        <f>IFERROR(__xludf.DUMMYFUNCTION("""COMPUTED_VALUE"""),"井上雄彦")</f>
        <v>井上雄彦</v>
      </c>
      <c r="G629" s="298" t="str">
        <f>IFERROR(__xludf.DUMMYFUNCTION("""COMPUTED_VALUE"""),"少年")</f>
        <v>少年</v>
      </c>
      <c r="H629" s="298" t="str">
        <f>IFERROR(__xludf.DUMMYFUNCTION("""COMPUTED_VALUE"""),"作家・出版社の意向")</f>
        <v>作家・出版社の意向</v>
      </c>
      <c r="I629" s="283"/>
      <c r="J629" s="283"/>
      <c r="K629" s="283"/>
      <c r="L629" s="283"/>
      <c r="M629" s="283"/>
      <c r="N629" s="283"/>
      <c r="O629" s="283"/>
      <c r="P629" s="283"/>
      <c r="Q629" s="278"/>
      <c r="R629" s="278"/>
      <c r="S629" s="278"/>
      <c r="T629" s="278"/>
      <c r="U629" s="278"/>
      <c r="V629" s="278"/>
      <c r="W629" s="278"/>
      <c r="X629" s="278"/>
      <c r="Y629" s="278"/>
      <c r="Z629" s="278"/>
      <c r="AA629" s="278"/>
      <c r="AB629" s="278"/>
      <c r="AC629" s="278"/>
    </row>
    <row r="630" ht="15.75" customHeight="1">
      <c r="A630" s="290" t="str">
        <f>IFERROR(__xludf.DUMMYFUNCTION("""COMPUTED_VALUE"""),"キャスラブ")</f>
        <v>キャスラブ</v>
      </c>
      <c r="B630" s="291">
        <f>IFERROR(__xludf.DUMMYFUNCTION("""COMPUTED_VALUE"""),45813.0)</f>
        <v>45813</v>
      </c>
      <c r="C630" s="292"/>
      <c r="D630" s="293">
        <f>IFERROR(__xludf.DUMMYFUNCTION("""COMPUTED_VALUE"""),289123.0)</f>
        <v>289123</v>
      </c>
      <c r="E630" s="290" t="str">
        <f>IFERROR(__xludf.DUMMYFUNCTION("""COMPUTED_VALUE"""),"欲望テレビ-おとうさんとおかあさんにはナイショの…-")</f>
        <v>欲望テレビ-おとうさんとおかあさんにはナイショの…-</v>
      </c>
      <c r="F630" s="298" t="str">
        <f>IFERROR(__xludf.DUMMYFUNCTION("""COMPUTED_VALUE"""),"つくも号")</f>
        <v>つくも号</v>
      </c>
      <c r="G630" s="298" t="str">
        <f>IFERROR(__xludf.DUMMYFUNCTION("""COMPUTED_VALUE"""),"BL")</f>
        <v>BL</v>
      </c>
      <c r="H630" s="298" t="str">
        <f>IFERROR(__xludf.DUMMYFUNCTION("""COMPUTED_VALUE"""),"ソル判定　キャラ見た目年齢NG")</f>
        <v>ソル判定　キャラ見た目年齢NG</v>
      </c>
      <c r="I630" s="283"/>
      <c r="J630" s="283"/>
      <c r="K630" s="283"/>
      <c r="L630" s="283"/>
      <c r="M630" s="283"/>
      <c r="N630" s="283"/>
      <c r="O630" s="283"/>
      <c r="P630" s="283"/>
      <c r="Q630" s="278"/>
      <c r="R630" s="278"/>
      <c r="S630" s="278"/>
      <c r="T630" s="278"/>
      <c r="U630" s="278"/>
      <c r="V630" s="278"/>
      <c r="W630" s="278"/>
      <c r="X630" s="278"/>
      <c r="Y630" s="278"/>
      <c r="Z630" s="278"/>
      <c r="AA630" s="278"/>
      <c r="AB630" s="278"/>
      <c r="AC630" s="278"/>
    </row>
    <row r="631" ht="15.75" customHeight="1">
      <c r="A631" s="290" t="str">
        <f>IFERROR(__xludf.DUMMYFUNCTION("""COMPUTED_VALUE"""),"DEEPER-ZERO")</f>
        <v>DEEPER-ZERO</v>
      </c>
      <c r="B631" s="291">
        <f>IFERROR(__xludf.DUMMYFUNCTION("""COMPUTED_VALUE"""),45813.0)</f>
        <v>45813</v>
      </c>
      <c r="C631" s="292"/>
      <c r="D631" s="293">
        <f>IFERROR(__xludf.DUMMYFUNCTION("""COMPUTED_VALUE"""),294262.0)</f>
        <v>294262</v>
      </c>
      <c r="E631" s="290" t="str">
        <f>IFERROR(__xludf.DUMMYFUNCTION("""COMPUTED_VALUE"""),"爆乳人妻あさ美さんの混浴温泉体験記【フルカラー】")</f>
        <v>爆乳人妻あさ美さんの混浴温泉体験記【フルカラー】</v>
      </c>
      <c r="F631" s="298" t="str">
        <f>IFERROR(__xludf.DUMMYFUNCTION("""COMPUTED_VALUE"""),"ごまどうふ")</f>
        <v>ごまどうふ</v>
      </c>
      <c r="G631" s="298" t="str">
        <f>IFERROR(__xludf.DUMMYFUNCTION("""COMPUTED_VALUE"""),"アダルトマンガ")</f>
        <v>アダルトマンガ</v>
      </c>
      <c r="H631" s="298" t="str">
        <f>IFERROR(__xludf.DUMMYFUNCTION("""COMPUTED_VALUE"""),"ソル判定　中学生以下とみられる男児の性行為が含まれるため")</f>
        <v>ソル判定　中学生以下とみられる男児の性行為が含まれるため</v>
      </c>
      <c r="I631" s="283"/>
      <c r="J631" s="283"/>
      <c r="K631" s="283"/>
      <c r="L631" s="283"/>
      <c r="M631" s="283"/>
      <c r="N631" s="283"/>
      <c r="O631" s="283"/>
      <c r="P631" s="283"/>
      <c r="Q631" s="278"/>
      <c r="R631" s="278"/>
      <c r="S631" s="278"/>
      <c r="T631" s="278"/>
      <c r="U631" s="278"/>
      <c r="V631" s="278"/>
      <c r="W631" s="278"/>
      <c r="X631" s="278"/>
      <c r="Y631" s="278"/>
      <c r="Z631" s="278"/>
      <c r="AA631" s="278"/>
      <c r="AB631" s="278"/>
      <c r="AC631" s="278"/>
    </row>
    <row r="632" ht="15.75" customHeight="1">
      <c r="A632" s="290" t="str">
        <f>IFERROR(__xludf.DUMMYFUNCTION("""COMPUTED_VALUE"""),"ビーグリー")</f>
        <v>ビーグリー</v>
      </c>
      <c r="B632" s="291">
        <f>IFERROR(__xludf.DUMMYFUNCTION("""COMPUTED_VALUE"""),45819.0)</f>
        <v>45819</v>
      </c>
      <c r="C632" s="292"/>
      <c r="D632" s="293">
        <f>IFERROR(__xludf.DUMMYFUNCTION("""COMPUTED_VALUE"""),321005.0)</f>
        <v>321005</v>
      </c>
      <c r="E632" s="290" t="str">
        <f>IFERROR(__xludf.DUMMYFUNCTION("""COMPUTED_VALUE"""),"ぬきたしR")</f>
        <v>ぬきたしR</v>
      </c>
      <c r="F632" s="298" t="str">
        <f>IFERROR(__xludf.DUMMYFUNCTION("""COMPUTED_VALUE"""),"Qruppo まめおじたん")</f>
        <v>Qruppo まめおじたん</v>
      </c>
      <c r="G632" s="298" t="str">
        <f>IFERROR(__xludf.DUMMYFUNCTION("""COMPUTED_VALUE"""),"青年")</f>
        <v>青年</v>
      </c>
      <c r="H632" s="298" t="str">
        <f>IFERROR(__xludf.DUMMYFUNCTION("""COMPUTED_VALUE"""),"ソル判定　中学生以下に見えるキャラが裸になったり脱がされたりしてる描写があるうえに周囲で性行為が日常化している為")</f>
        <v>ソル判定　中学生以下に見えるキャラが裸になったり脱がされたりしてる描写があるうえに周囲で性行為が日常化している為</v>
      </c>
      <c r="I632" s="283"/>
      <c r="J632" s="283"/>
      <c r="K632" s="283"/>
      <c r="L632" s="283"/>
      <c r="M632" s="283"/>
      <c r="N632" s="283"/>
      <c r="O632" s="283"/>
      <c r="P632" s="283"/>
      <c r="Q632" s="278"/>
      <c r="R632" s="278"/>
      <c r="S632" s="278"/>
      <c r="T632" s="278"/>
      <c r="U632" s="278"/>
      <c r="V632" s="278"/>
      <c r="W632" s="278"/>
      <c r="X632" s="278"/>
      <c r="Y632" s="278"/>
      <c r="Z632" s="278"/>
      <c r="AA632" s="278"/>
      <c r="AB632" s="278"/>
      <c r="AC632" s="278"/>
    </row>
    <row r="633" ht="15.75" customHeight="1">
      <c r="A633" s="290" t="str">
        <f>IFERROR(__xludf.DUMMYFUNCTION("""COMPUTED_VALUE"""),"ナンバーナイン")</f>
        <v>ナンバーナイン</v>
      </c>
      <c r="B633" s="291">
        <f>IFERROR(__xludf.DUMMYFUNCTION("""COMPUTED_VALUE"""),45819.0)</f>
        <v>45819</v>
      </c>
      <c r="C633" s="292"/>
      <c r="D633" s="293">
        <f>IFERROR(__xludf.DUMMYFUNCTION("""COMPUTED_VALUE"""),279530.0)</f>
        <v>279530</v>
      </c>
      <c r="E633" s="290" t="str">
        <f>IFERROR(__xludf.DUMMYFUNCTION("""COMPUTED_VALUE"""),"奴隷を調教してハーレム作る【連載版】")</f>
        <v>奴隷を調教してハーレム作る【連載版】</v>
      </c>
      <c r="F633" s="298" t="str">
        <f>IFERROR(__xludf.DUMMYFUNCTION("""COMPUTED_VALUE"""),"アルデヒド")</f>
        <v>アルデヒド</v>
      </c>
      <c r="G633" s="298" t="str">
        <f>IFERROR(__xludf.DUMMYFUNCTION("""COMPUTED_VALUE"""),"少年")</f>
        <v>少年</v>
      </c>
      <c r="H633" s="298" t="str">
        <f>IFERROR(__xludf.DUMMYFUNCTION("""COMPUTED_VALUE"""),"ソル判定　中学生以下に見えるキャラが裸になったり脱がされたりしてる描写があるため")</f>
        <v>ソル判定　中学生以下に見えるキャラが裸になったり脱がされたりしてる描写があるため</v>
      </c>
      <c r="I633" s="283"/>
      <c r="J633" s="283"/>
      <c r="K633" s="283"/>
      <c r="L633" s="283"/>
      <c r="M633" s="283"/>
      <c r="N633" s="283"/>
      <c r="O633" s="283"/>
      <c r="P633" s="283"/>
      <c r="Q633" s="278"/>
      <c r="R633" s="278"/>
      <c r="S633" s="278"/>
      <c r="T633" s="278"/>
      <c r="U633" s="278"/>
      <c r="V633" s="278"/>
      <c r="W633" s="278"/>
      <c r="X633" s="278"/>
      <c r="Y633" s="278"/>
      <c r="Z633" s="278"/>
      <c r="AA633" s="278"/>
      <c r="AB633" s="278"/>
      <c r="AC633" s="278"/>
    </row>
    <row r="634" ht="15.75" customHeight="1">
      <c r="A634" s="290" t="str">
        <f>IFERROR(__xludf.DUMMYFUNCTION("""COMPUTED_VALUE"""),"ライドオン（セ・キララ文庫）	")</f>
        <v>ライドオン（セ・キララ文庫）	</v>
      </c>
      <c r="B634" s="291">
        <f>IFERROR(__xludf.DUMMYFUNCTION("""COMPUTED_VALUE"""),45826.0)</f>
        <v>45826</v>
      </c>
      <c r="C634" s="292"/>
      <c r="D634" s="293" t="str">
        <f>IFERROR(__xludf.DUMMYFUNCTION("""COMPUTED_VALUE"""),"未発番")</f>
        <v>未発番</v>
      </c>
      <c r="E634" s="290" t="str">
        <f>IFERROR(__xludf.DUMMYFUNCTION("""COMPUTED_VALUE"""),"乳とりどり【分冊版】")</f>
        <v>乳とりどり【分冊版】</v>
      </c>
      <c r="F634" s="298" t="str">
        <f>IFERROR(__xludf.DUMMYFUNCTION("""COMPUTED_VALUE"""),"実々みみず")</f>
        <v>実々みみず</v>
      </c>
      <c r="G634" s="298" t="str">
        <f>IFERROR(__xludf.DUMMYFUNCTION("""COMPUTED_VALUE"""),"アダルト")</f>
        <v>アダルト</v>
      </c>
      <c r="H634" s="298" t="str">
        <f>IFERROR(__xludf.DUMMYFUNCTION("""COMPUTED_VALUE"""),"ソル判定　中学生以下とみられる男児の性行為が含まれるため")</f>
        <v>ソル判定　中学生以下とみられる男児の性行為が含まれるため</v>
      </c>
      <c r="I634" s="283"/>
      <c r="J634" s="283"/>
      <c r="K634" s="283"/>
      <c r="L634" s="283"/>
      <c r="M634" s="283"/>
      <c r="N634" s="283"/>
      <c r="O634" s="283"/>
      <c r="P634" s="283"/>
      <c r="Q634" s="278"/>
      <c r="R634" s="278"/>
      <c r="S634" s="278"/>
      <c r="T634" s="278"/>
      <c r="U634" s="278"/>
      <c r="V634" s="278"/>
      <c r="W634" s="278"/>
      <c r="X634" s="278"/>
      <c r="Y634" s="278"/>
      <c r="Z634" s="278"/>
      <c r="AA634" s="278"/>
      <c r="AB634" s="278"/>
      <c r="AC634" s="278"/>
    </row>
    <row r="635" ht="15.75" customHeight="1">
      <c r="A635" s="290" t="str">
        <f>IFERROR(__xludf.DUMMYFUNCTION("""COMPUTED_VALUE"""),"アイプロダクション")</f>
        <v>アイプロダクション</v>
      </c>
      <c r="B635" s="291">
        <f>IFERROR(__xludf.DUMMYFUNCTION("""COMPUTED_VALUE"""),45842.0)</f>
        <v>45842</v>
      </c>
      <c r="C635" s="292"/>
      <c r="D635" s="293">
        <f>IFERROR(__xludf.DUMMYFUNCTION("""COMPUTED_VALUE"""),322229.0)</f>
        <v>322229</v>
      </c>
      <c r="E635" s="290" t="str">
        <f>IFERROR(__xludf.DUMMYFUNCTION("""COMPUTED_VALUE"""),"心音【電子単話版】")</f>
        <v>心音【電子単話版】</v>
      </c>
      <c r="F635" s="298" t="str">
        <f>IFERROR(__xludf.DUMMYFUNCTION("""COMPUTED_VALUE"""),"あすかむ")</f>
        <v>あすかむ</v>
      </c>
      <c r="G635" s="298" t="str">
        <f>IFERROR(__xludf.DUMMYFUNCTION("""COMPUTED_VALUE"""),"青年")</f>
        <v>青年</v>
      </c>
      <c r="H635" s="298" t="str">
        <f>IFERROR(__xludf.DUMMYFUNCTION("""COMPUTED_VALUE"""),"作家先生都合")</f>
        <v>作家先生都合</v>
      </c>
      <c r="I635" s="283"/>
      <c r="J635" s="283"/>
      <c r="K635" s="283"/>
      <c r="L635" s="283"/>
      <c r="M635" s="283"/>
      <c r="N635" s="283"/>
      <c r="O635" s="283"/>
      <c r="P635" s="283"/>
      <c r="Q635" s="278"/>
      <c r="R635" s="278"/>
      <c r="S635" s="278"/>
      <c r="T635" s="278"/>
      <c r="U635" s="278"/>
      <c r="V635" s="278"/>
      <c r="W635" s="278"/>
      <c r="X635" s="278"/>
      <c r="Y635" s="278"/>
      <c r="Z635" s="278"/>
      <c r="AA635" s="278"/>
      <c r="AB635" s="278"/>
      <c r="AC635" s="278"/>
    </row>
    <row r="636" ht="15.75" customHeight="1">
      <c r="A636" s="290" t="str">
        <f>IFERROR(__xludf.DUMMYFUNCTION("""COMPUTED_VALUE"""),"アイプロダクション")</f>
        <v>アイプロダクション</v>
      </c>
      <c r="B636" s="291">
        <f>IFERROR(__xludf.DUMMYFUNCTION("""COMPUTED_VALUE"""),45842.0)</f>
        <v>45842</v>
      </c>
      <c r="C636" s="292"/>
      <c r="D636" s="293">
        <f>IFERROR(__xludf.DUMMYFUNCTION("""COMPUTED_VALUE"""),322230.0)</f>
        <v>322230</v>
      </c>
      <c r="E636" s="290" t="str">
        <f>IFERROR(__xludf.DUMMYFUNCTION("""COMPUTED_VALUE"""),"心音【電子合本版】")</f>
        <v>心音【電子合本版】</v>
      </c>
      <c r="F636" s="298" t="str">
        <f>IFERROR(__xludf.DUMMYFUNCTION("""COMPUTED_VALUE"""),"あすかむ")</f>
        <v>あすかむ</v>
      </c>
      <c r="G636" s="298" t="str">
        <f>IFERROR(__xludf.DUMMYFUNCTION("""COMPUTED_VALUE"""),"青年")</f>
        <v>青年</v>
      </c>
      <c r="H636" s="298" t="str">
        <f>IFERROR(__xludf.DUMMYFUNCTION("""COMPUTED_VALUE"""),"作家先生都合")</f>
        <v>作家先生都合</v>
      </c>
      <c r="I636" s="283"/>
      <c r="J636" s="283"/>
      <c r="K636" s="283"/>
      <c r="L636" s="283"/>
      <c r="M636" s="283"/>
      <c r="N636" s="283"/>
      <c r="O636" s="283"/>
      <c r="P636" s="283"/>
      <c r="Q636" s="278"/>
      <c r="R636" s="278"/>
      <c r="S636" s="278"/>
      <c r="T636" s="278"/>
      <c r="U636" s="278"/>
      <c r="V636" s="278"/>
      <c r="W636" s="278"/>
      <c r="X636" s="278"/>
      <c r="Y636" s="278"/>
      <c r="Z636" s="278"/>
      <c r="AA636" s="278"/>
      <c r="AB636" s="278"/>
      <c r="AC636" s="278"/>
    </row>
    <row r="637" ht="15.75" customHeight="1">
      <c r="A637" s="290" t="str">
        <f>IFERROR(__xludf.DUMMYFUNCTION("""COMPUTED_VALUE"""),"アイプロダクション")</f>
        <v>アイプロダクション</v>
      </c>
      <c r="B637" s="291">
        <f>IFERROR(__xludf.DUMMYFUNCTION("""COMPUTED_VALUE"""),45842.0)</f>
        <v>45842</v>
      </c>
      <c r="C637" s="292"/>
      <c r="D637" s="293">
        <f>IFERROR(__xludf.DUMMYFUNCTION("""COMPUTED_VALUE"""),322231.0)</f>
        <v>322231</v>
      </c>
      <c r="E637" s="290" t="str">
        <f>IFERROR(__xludf.DUMMYFUNCTION("""COMPUTED_VALUE"""),"右頬のきずな【電子単話版】")</f>
        <v>右頬のきずな【電子単話版】</v>
      </c>
      <c r="F637" s="298" t="str">
        <f>IFERROR(__xludf.DUMMYFUNCTION("""COMPUTED_VALUE"""),"あすかむ")</f>
        <v>あすかむ</v>
      </c>
      <c r="G637" s="298" t="str">
        <f>IFERROR(__xludf.DUMMYFUNCTION("""COMPUTED_VALUE"""),"青年")</f>
        <v>青年</v>
      </c>
      <c r="H637" s="298" t="str">
        <f>IFERROR(__xludf.DUMMYFUNCTION("""COMPUTED_VALUE"""),"作家先生都合")</f>
        <v>作家先生都合</v>
      </c>
      <c r="I637" s="283"/>
      <c r="J637" s="283"/>
      <c r="K637" s="283"/>
      <c r="L637" s="283"/>
      <c r="M637" s="283"/>
      <c r="N637" s="283"/>
      <c r="O637" s="283"/>
      <c r="P637" s="283"/>
      <c r="Q637" s="278"/>
      <c r="R637" s="278"/>
      <c r="S637" s="278"/>
      <c r="T637" s="278"/>
      <c r="U637" s="278"/>
      <c r="V637" s="278"/>
      <c r="W637" s="278"/>
      <c r="X637" s="278"/>
      <c r="Y637" s="278"/>
      <c r="Z637" s="278"/>
      <c r="AA637" s="278"/>
      <c r="AB637" s="278"/>
      <c r="AC637" s="278"/>
    </row>
    <row r="638" ht="15.75" customHeight="1">
      <c r="A638" s="290" t="str">
        <f>IFERROR(__xludf.DUMMYFUNCTION("""COMPUTED_VALUE"""),"アイプロダクション")</f>
        <v>アイプロダクション</v>
      </c>
      <c r="B638" s="291">
        <f>IFERROR(__xludf.DUMMYFUNCTION("""COMPUTED_VALUE"""),45842.0)</f>
        <v>45842</v>
      </c>
      <c r="C638" s="292"/>
      <c r="D638" s="293">
        <f>IFERROR(__xludf.DUMMYFUNCTION("""COMPUTED_VALUE"""),322232.0)</f>
        <v>322232</v>
      </c>
      <c r="E638" s="290" t="str">
        <f>IFERROR(__xludf.DUMMYFUNCTION("""COMPUTED_VALUE"""),"右頬のきずな【電子合本版】")</f>
        <v>右頬のきずな【電子合本版】</v>
      </c>
      <c r="F638" s="298" t="str">
        <f>IFERROR(__xludf.DUMMYFUNCTION("""COMPUTED_VALUE"""),"あすかむ")</f>
        <v>あすかむ</v>
      </c>
      <c r="G638" s="298" t="str">
        <f>IFERROR(__xludf.DUMMYFUNCTION("""COMPUTED_VALUE"""),"青年")</f>
        <v>青年</v>
      </c>
      <c r="H638" s="298" t="str">
        <f>IFERROR(__xludf.DUMMYFUNCTION("""COMPUTED_VALUE"""),"作家先生都合")</f>
        <v>作家先生都合</v>
      </c>
      <c r="I638" s="283"/>
      <c r="J638" s="283"/>
      <c r="K638" s="283"/>
      <c r="L638" s="283"/>
      <c r="M638" s="283"/>
      <c r="N638" s="283"/>
      <c r="O638" s="283"/>
      <c r="P638" s="283"/>
      <c r="Q638" s="278"/>
      <c r="R638" s="278"/>
      <c r="S638" s="278"/>
      <c r="T638" s="278"/>
      <c r="U638" s="278"/>
      <c r="V638" s="278"/>
      <c r="W638" s="278"/>
      <c r="X638" s="278"/>
      <c r="Y638" s="278"/>
      <c r="Z638" s="278"/>
      <c r="AA638" s="278"/>
      <c r="AB638" s="278"/>
      <c r="AC638" s="278"/>
    </row>
    <row r="639" ht="15.75" customHeight="1">
      <c r="A639" s="290" t="str">
        <f>IFERROR(__xludf.DUMMYFUNCTION("""COMPUTED_VALUE"""),"ファンギルド")</f>
        <v>ファンギルド</v>
      </c>
      <c r="B639" s="291">
        <f>IFERROR(__xludf.DUMMYFUNCTION("""COMPUTED_VALUE"""),45860.0)</f>
        <v>45860</v>
      </c>
      <c r="C639" s="292"/>
      <c r="D639" s="293">
        <f>IFERROR(__xludf.DUMMYFUNCTION("""COMPUTED_VALUE"""),293731.0)</f>
        <v>293731</v>
      </c>
      <c r="E639" s="290" t="str">
        <f>IFERROR(__xludf.DUMMYFUNCTION("""COMPUTED_VALUE"""),"バラバラ夫婦～手足をなくした夫はまだ生きてる")</f>
        <v>バラバラ夫婦～手足をなくした夫はまだ生きてる</v>
      </c>
      <c r="F639" s="298" t="str">
        <f>IFERROR(__xludf.DUMMYFUNCTION("""COMPUTED_VALUE"""),"野生くずり")</f>
        <v>野生くずり</v>
      </c>
      <c r="G639" s="298" t="str">
        <f>IFERROR(__xludf.DUMMYFUNCTION("""COMPUTED_VALUE"""),"青年")</f>
        <v>青年</v>
      </c>
      <c r="H639" s="298" t="str">
        <f>IFERROR(__xludf.DUMMYFUNCTION("""COMPUTED_VALUE"""),"ソル判定　倫理的にNG")</f>
        <v>ソル判定　倫理的にNG</v>
      </c>
      <c r="I639" s="283"/>
      <c r="J639" s="283"/>
      <c r="K639" s="283"/>
      <c r="L639" s="283"/>
      <c r="M639" s="283"/>
      <c r="N639" s="283"/>
      <c r="O639" s="283"/>
      <c r="P639" s="283"/>
      <c r="Q639" s="278"/>
      <c r="R639" s="278"/>
      <c r="S639" s="278"/>
      <c r="T639" s="278"/>
      <c r="U639" s="278"/>
      <c r="V639" s="278"/>
      <c r="W639" s="278"/>
      <c r="X639" s="278"/>
      <c r="Y639" s="278"/>
      <c r="Z639" s="278"/>
      <c r="AA639" s="278"/>
      <c r="AB639" s="278"/>
      <c r="AC639" s="278"/>
    </row>
    <row r="640" ht="15.75" customHeight="1">
      <c r="A640" s="290" t="str">
        <f>IFERROR(__xludf.DUMMYFUNCTION("""COMPUTED_VALUE"""),"DEEPER-ZERO")</f>
        <v>DEEPER-ZERO</v>
      </c>
      <c r="B640" s="291">
        <f>IFERROR(__xludf.DUMMYFUNCTION("""COMPUTED_VALUE"""),45863.0)</f>
        <v>45863</v>
      </c>
      <c r="C640" s="292"/>
      <c r="D640" s="293">
        <f>IFERROR(__xludf.DUMMYFUNCTION("""COMPUTED_VALUE"""),250801.0)</f>
        <v>250801</v>
      </c>
      <c r="E640" s="290" t="str">
        <f>IFERROR(__xludf.DUMMYFUNCTION("""COMPUTED_VALUE"""),"ギャルママと店長の息子～過ちの代償は育児で熟れたカラダ～（フルカラー）")</f>
        <v>ギャルママと店長の息子～過ちの代償は育児で熟れたカラダ～（フルカラー）</v>
      </c>
      <c r="F640" s="298" t="str">
        <f>IFERROR(__xludf.DUMMYFUNCTION("""COMPUTED_VALUE"""),"水無月三日")</f>
        <v>水無月三日</v>
      </c>
      <c r="G640" s="298" t="str">
        <f>IFERROR(__xludf.DUMMYFUNCTION("""COMPUTED_VALUE"""),"アダルト")</f>
        <v>アダルト</v>
      </c>
      <c r="H640" s="298" t="str">
        <f>IFERROR(__xludf.DUMMYFUNCTION("""COMPUTED_VALUE"""),"ソル判定　中学生以下とみられる男児の性行為が含まれるため")</f>
        <v>ソル判定　中学生以下とみられる男児の性行為が含まれるため</v>
      </c>
      <c r="I640" s="283"/>
      <c r="J640" s="283"/>
      <c r="K640" s="283"/>
      <c r="L640" s="283"/>
      <c r="M640" s="283"/>
      <c r="N640" s="283"/>
      <c r="O640" s="283"/>
      <c r="P640" s="283"/>
      <c r="Q640" s="278"/>
      <c r="R640" s="278"/>
      <c r="S640" s="278"/>
      <c r="T640" s="278"/>
      <c r="U640" s="278"/>
      <c r="V640" s="278"/>
      <c r="W640" s="278"/>
      <c r="X640" s="278"/>
      <c r="Y640" s="278"/>
      <c r="Z640" s="278"/>
      <c r="AA640" s="278"/>
      <c r="AB640" s="278"/>
      <c r="AC640" s="278"/>
    </row>
    <row r="641" ht="15.75" customHeight="1">
      <c r="A641" s="290" t="str">
        <f>IFERROR(__xludf.DUMMYFUNCTION("""COMPUTED_VALUE"""),"DEEPER-ZERO")</f>
        <v>DEEPER-ZERO</v>
      </c>
      <c r="B641" s="291">
        <f>IFERROR(__xludf.DUMMYFUNCTION("""COMPUTED_VALUE"""),45863.0)</f>
        <v>45863</v>
      </c>
      <c r="C641" s="292"/>
      <c r="D641" s="293" t="str">
        <f>IFERROR(__xludf.DUMMYFUNCTION("""COMPUTED_VALUE"""),"未発番")</f>
        <v>未発番</v>
      </c>
      <c r="E641" s="290" t="str">
        <f>IFERROR(__xludf.DUMMYFUNCTION("""COMPUTED_VALUE"""),"人妻スパイとマフィアの息子～最強のエージェントがカラダを貪られて…～【フルカラー】")</f>
        <v>人妻スパイとマフィアの息子～最強のエージェントがカラダを貪られて…～【フルカラー】</v>
      </c>
      <c r="F641" s="298" t="str">
        <f>IFERROR(__xludf.DUMMYFUNCTION("""COMPUTED_VALUE"""),"水無月三日")</f>
        <v>水無月三日</v>
      </c>
      <c r="G641" s="298" t="str">
        <f>IFERROR(__xludf.DUMMYFUNCTION("""COMPUTED_VALUE"""),"アダルト")</f>
        <v>アダルト</v>
      </c>
      <c r="H641" s="298" t="str">
        <f>IFERROR(__xludf.DUMMYFUNCTION("""COMPUTED_VALUE"""),"ソル判定　中学生以下とみられる男児の性行為が含まれるため")</f>
        <v>ソル判定　中学生以下とみられる男児の性行為が含まれるため</v>
      </c>
      <c r="I641" s="283"/>
      <c r="J641" s="283"/>
      <c r="K641" s="283"/>
      <c r="L641" s="283"/>
      <c r="M641" s="283"/>
      <c r="N641" s="283"/>
      <c r="O641" s="283"/>
      <c r="P641" s="283"/>
      <c r="Q641" s="278"/>
      <c r="R641" s="278"/>
      <c r="S641" s="278"/>
      <c r="T641" s="278"/>
      <c r="U641" s="278"/>
      <c r="V641" s="278"/>
      <c r="W641" s="278"/>
      <c r="X641" s="278"/>
      <c r="Y641" s="278"/>
      <c r="Z641" s="278"/>
      <c r="AA641" s="278"/>
      <c r="AB641" s="278"/>
      <c r="AC641" s="278"/>
    </row>
    <row r="642" ht="15.75" customHeight="1">
      <c r="A642" s="290" t="str">
        <f>IFERROR(__xludf.DUMMYFUNCTION("""COMPUTED_VALUE"""),"日本文芸社")</f>
        <v>日本文芸社</v>
      </c>
      <c r="B642" s="291">
        <f>IFERROR(__xludf.DUMMYFUNCTION("""COMPUTED_VALUE"""),45896.0)</f>
        <v>45896</v>
      </c>
      <c r="C642" s="292"/>
      <c r="D642" s="293">
        <f>IFERROR(__xludf.DUMMYFUNCTION("""COMPUTED_VALUE"""),333931.0)</f>
        <v>333931</v>
      </c>
      <c r="E642" s="290" t="str">
        <f>IFERROR(__xludf.DUMMYFUNCTION("""COMPUTED_VALUE"""),"そして、ミナになった。")</f>
        <v>そして、ミナになった。</v>
      </c>
      <c r="F642" s="298" t="str">
        <f>IFERROR(__xludf.DUMMYFUNCTION("""COMPUTED_VALUE"""),"のざわたけし ナンジョウヨシミ")</f>
        <v>のざわたけし ナンジョウヨシミ</v>
      </c>
      <c r="G642" s="298" t="str">
        <f>IFERROR(__xludf.DUMMYFUNCTION("""COMPUTED_VALUE"""),"青年")</f>
        <v>青年</v>
      </c>
      <c r="H642" s="298" t="str">
        <f>IFERROR(__xludf.DUMMYFUNCTION("""COMPUTED_VALUE"""),"ソル判定　実際の事件を想起させる内容のため")</f>
        <v>ソル判定　実際の事件を想起させる内容のため</v>
      </c>
      <c r="I642" s="283"/>
      <c r="J642" s="283"/>
      <c r="K642" s="283"/>
      <c r="L642" s="283"/>
      <c r="M642" s="283"/>
      <c r="N642" s="283"/>
      <c r="O642" s="283"/>
      <c r="P642" s="283"/>
      <c r="Q642" s="278"/>
      <c r="R642" s="278"/>
      <c r="S642" s="278"/>
      <c r="T642" s="278"/>
      <c r="U642" s="278"/>
      <c r="V642" s="278"/>
      <c r="W642" s="278"/>
      <c r="X642" s="278"/>
      <c r="Y642" s="278"/>
      <c r="Z642" s="278"/>
      <c r="AA642" s="278"/>
      <c r="AB642" s="278"/>
      <c r="AC642" s="278"/>
    </row>
    <row r="643">
      <c r="A643" s="290" t="str">
        <f>IFERROR(__xludf.DUMMYFUNCTION("""COMPUTED_VALUE"""),"マンガボックス	")</f>
        <v>マンガボックス	</v>
      </c>
      <c r="B643" s="291">
        <f>IFERROR(__xludf.DUMMYFUNCTION("""COMPUTED_VALUE"""),45905.0)</f>
        <v>45905</v>
      </c>
      <c r="C643" s="292"/>
      <c r="D643" s="293" t="str">
        <f>IFERROR(__xludf.DUMMYFUNCTION("""COMPUTED_VALUE"""),"未発番")</f>
        <v>未発番</v>
      </c>
      <c r="E643" s="290" t="str">
        <f>IFERROR(__xludf.DUMMYFUNCTION("""COMPUTED_VALUE"""),"事故死屋 ～A fate called coincidence～
")</f>
        <v>事故死屋 ～A fate called coincidence～
</v>
      </c>
      <c r="F643" s="298" t="str">
        <f>IFERROR(__xludf.DUMMYFUNCTION("""COMPUTED_VALUE"""),"岸本聖史	")</f>
        <v>岸本聖史	</v>
      </c>
      <c r="G643" s="298" t="str">
        <f>IFERROR(__xludf.DUMMYFUNCTION("""COMPUTED_VALUE"""),"青年")</f>
        <v>青年</v>
      </c>
      <c r="H643" s="298" t="str">
        <f>IFERROR(__xludf.DUMMYFUNCTION("""COMPUTED_VALUE"""),"ソル判定(事前検討時判断)　初回話数にある「女児のバラバラ遺体」「女子高生レイプ未遂」「女児売春」要素がNG
作品のメインではないがここを使わないとなるとクリエイティブ制作自体難しい内容のため")</f>
        <v>ソル判定(事前検討時判断)　初回話数にある「女児のバラバラ遺体」「女子高生レイプ未遂」「女児売春」要素がNG
作品のメインではないがここを使わないとなるとクリエイティブ制作自体難しい内容のため</v>
      </c>
      <c r="I643" s="283"/>
      <c r="J643" s="283"/>
      <c r="K643" s="283"/>
      <c r="L643" s="283"/>
      <c r="M643" s="283"/>
      <c r="N643" s="283"/>
      <c r="O643" s="283"/>
      <c r="P643" s="283"/>
      <c r="Q643" s="278"/>
      <c r="R643" s="278"/>
      <c r="S643" s="278"/>
      <c r="T643" s="278"/>
      <c r="U643" s="278"/>
      <c r="V643" s="278"/>
      <c r="W643" s="278"/>
      <c r="X643" s="278"/>
      <c r="Y643" s="278"/>
      <c r="Z643" s="278"/>
      <c r="AA643" s="278"/>
      <c r="AB643" s="278"/>
      <c r="AC643" s="278"/>
    </row>
    <row r="644" ht="15.75" customHeight="1">
      <c r="A644" s="290" t="str">
        <f>IFERROR(__xludf.DUMMYFUNCTION("""COMPUTED_VALUE"""),"RapidBrain")</f>
        <v>RapidBrain</v>
      </c>
      <c r="B644" s="291">
        <f>IFERROR(__xludf.DUMMYFUNCTION("""COMPUTED_VALUE"""),45931.0)</f>
        <v>45931</v>
      </c>
      <c r="C644" s="292"/>
      <c r="D644" s="293">
        <f>IFERROR(__xludf.DUMMYFUNCTION("""COMPUTED_VALUE"""),337723.0)</f>
        <v>337723</v>
      </c>
      <c r="E644" s="290" t="str">
        <f>IFERROR(__xludf.DUMMYFUNCTION("""COMPUTED_VALUE"""),"異世界駆除おじさん")</f>
        <v>異世界駆除おじさん</v>
      </c>
      <c r="F644" s="298" t="str">
        <f>IFERROR(__xludf.DUMMYFUNCTION("""COMPUTED_VALUE"""),"四葉夕卜 北田ゆきと")</f>
        <v>四葉夕卜 北田ゆきと</v>
      </c>
      <c r="G644" s="298" t="str">
        <f>IFERROR(__xludf.DUMMYFUNCTION("""COMPUTED_VALUE"""),"青年")</f>
        <v>青年</v>
      </c>
      <c r="H644" s="298" t="str">
        <f>IFERROR(__xludf.DUMMYFUNCTION("""COMPUTED_VALUE"""),"諸般の事情により")</f>
        <v>諸般の事情により</v>
      </c>
      <c r="I644" s="283"/>
      <c r="J644" s="283"/>
      <c r="K644" s="283"/>
      <c r="L644" s="283"/>
      <c r="M644" s="283"/>
      <c r="N644" s="283"/>
      <c r="O644" s="283"/>
      <c r="P644" s="283"/>
      <c r="Q644" s="278"/>
      <c r="R644" s="278"/>
      <c r="S644" s="278"/>
      <c r="T644" s="278"/>
      <c r="U644" s="278"/>
      <c r="V644" s="278"/>
      <c r="W644" s="278"/>
      <c r="X644" s="278"/>
      <c r="Y644" s="278"/>
      <c r="Z644" s="278"/>
      <c r="AA644" s="278"/>
      <c r="AB644" s="278"/>
      <c r="AC644" s="278"/>
    </row>
    <row r="645">
      <c r="A645" s="290" t="str">
        <f>IFERROR(__xludf.DUMMYFUNCTION("""COMPUTED_VALUE"""),"講談社")</f>
        <v>講談社</v>
      </c>
      <c r="B645" s="291">
        <f>IFERROR(__xludf.DUMMYFUNCTION("""COMPUTED_VALUE"""),45938.0)</f>
        <v>45938</v>
      </c>
      <c r="C645" s="292"/>
      <c r="D645" s="293">
        <f>IFERROR(__xludf.DUMMYFUNCTION("""COMPUTED_VALUE"""),324235.0)</f>
        <v>324235</v>
      </c>
      <c r="E645" s="290" t="str">
        <f>IFERROR(__xludf.DUMMYFUNCTION("""COMPUTED_VALUE"""),"澱の中")</f>
        <v>澱の中</v>
      </c>
      <c r="F645" s="298" t="str">
        <f>IFERROR(__xludf.DUMMYFUNCTION("""COMPUTED_VALUE"""),"あむ")</f>
        <v>あむ</v>
      </c>
      <c r="G645" s="298" t="str">
        <f>IFERROR(__xludf.DUMMYFUNCTION("""COMPUTED_VALUE"""),"青年")</f>
        <v>青年</v>
      </c>
      <c r="H645" s="335" t="str">
        <f>IFERROR(__xludf.DUMMYFUNCTION("""COMPUTED_VALUE"""),"ソル判定　使用済みナプキンを持ち帰る主人公の描写が女性にとって強い不快感を覚えるため。またずっとその内容が付きまとうため。合わせてトイレ清掃の方への風評被害にもつながりそうな内容のため")</f>
        <v>ソル判定　使用済みナプキンを持ち帰る主人公の描写が女性にとって強い不快感を覚えるため。またずっとその内容が付きまとうため。合わせてトイレ清掃の方への風評被害にもつながりそうな内容のため</v>
      </c>
      <c r="I645" s="283"/>
      <c r="J645" s="283"/>
      <c r="K645" s="283"/>
      <c r="L645" s="283"/>
      <c r="M645" s="283"/>
      <c r="N645" s="283"/>
      <c r="O645" s="283"/>
      <c r="P645" s="283"/>
      <c r="Q645" s="278"/>
      <c r="R645" s="278"/>
      <c r="S645" s="278"/>
      <c r="T645" s="278"/>
      <c r="U645" s="278"/>
      <c r="V645" s="278"/>
      <c r="W645" s="278"/>
      <c r="X645" s="278"/>
      <c r="Y645" s="278"/>
      <c r="Z645" s="278"/>
      <c r="AA645" s="278"/>
      <c r="AB645" s="278"/>
      <c r="AC645" s="278"/>
    </row>
    <row r="646" ht="15.75" customHeight="1">
      <c r="A646" s="290" t="str">
        <f>IFERROR(__xludf.DUMMYFUNCTION("""COMPUTED_VALUE"""),"ライブコミックス")</f>
        <v>ライブコミックス</v>
      </c>
      <c r="B646" s="291">
        <f>IFERROR(__xludf.DUMMYFUNCTION("""COMPUTED_VALUE"""),45982.0)</f>
        <v>45982</v>
      </c>
      <c r="C646" s="292"/>
      <c r="D646" s="293" t="str">
        <f>IFERROR(__xludf.DUMMYFUNCTION("""COMPUTED_VALUE"""),"未発番")</f>
        <v>未発番</v>
      </c>
      <c r="E646" s="290" t="str">
        <f>IFERROR(__xludf.DUMMYFUNCTION("""COMPUTED_VALUE"""),"大好きなムチムチママ先輩はめちゃめちゃドスケベ！")</f>
        <v>大好きなムチムチママ先輩はめちゃめちゃドスケベ！</v>
      </c>
      <c r="F646" s="298" t="str">
        <f>IFERROR(__xludf.DUMMYFUNCTION("""COMPUTED_VALUE"""),"牛☆丼子┴アスティル編集部")</f>
        <v>牛☆丼子┴アスティル編集部</v>
      </c>
      <c r="G646" s="298" t="str">
        <f>IFERROR(__xludf.DUMMYFUNCTION("""COMPUTED_VALUE"""),"BL")</f>
        <v>BL</v>
      </c>
      <c r="H646" s="298" t="str">
        <f>IFERROR(__xludf.DUMMYFUNCTION("""COMPUTED_VALUE"""),"ソル判定　ＢＬジャンルで出稿するにはアダルト要素が強すぎる内容の為、ＢＬジャンル版は出稿ＮＧ")</f>
        <v>ソル判定　ＢＬジャンルで出稿するにはアダルト要素が強すぎる内容の為、ＢＬジャンル版は出稿ＮＧ</v>
      </c>
      <c r="I646" s="283"/>
      <c r="J646" s="283"/>
      <c r="K646" s="283"/>
      <c r="L646" s="283"/>
      <c r="M646" s="283"/>
      <c r="N646" s="283"/>
      <c r="O646" s="283"/>
      <c r="P646" s="283"/>
      <c r="Q646" s="278"/>
      <c r="R646" s="278"/>
      <c r="S646" s="278"/>
      <c r="T646" s="278"/>
      <c r="U646" s="278"/>
      <c r="V646" s="278"/>
      <c r="W646" s="278"/>
      <c r="X646" s="278"/>
      <c r="Y646" s="278"/>
      <c r="Z646" s="278"/>
      <c r="AA646" s="278"/>
      <c r="AB646" s="278"/>
      <c r="AC646" s="278"/>
    </row>
    <row r="647" ht="15.75" customHeight="1">
      <c r="A647" s="290" t="str">
        <f>IFERROR(__xludf.DUMMYFUNCTION("""COMPUTED_VALUE"""),"セ・キララ文庫")</f>
        <v>セ・キララ文庫</v>
      </c>
      <c r="B647" s="291">
        <f>IFERROR(__xludf.DUMMYFUNCTION("""COMPUTED_VALUE"""),46042.0)</f>
        <v>46042</v>
      </c>
      <c r="C647" s="292"/>
      <c r="D647" s="293" t="str">
        <f>IFERROR(__xludf.DUMMYFUNCTION("""COMPUTED_VALUE"""),"未発番")</f>
        <v>未発番</v>
      </c>
      <c r="E647" s="290" t="str">
        <f>IFERROR(__xludf.DUMMYFUNCTION("""COMPUTED_VALUE"""),"19cmが挿入るまで～NTR拡張指導～")</f>
        <v>19cmが挿入るまで～NTR拡張指導～</v>
      </c>
      <c r="F647" s="298" t="str">
        <f>IFERROR(__xludf.DUMMYFUNCTION("""COMPUTED_VALUE"""),"仔じら園")</f>
        <v>仔じら園</v>
      </c>
      <c r="G647" s="298" t="str">
        <f>IFERROR(__xludf.DUMMYFUNCTION("""COMPUTED_VALUE"""),"アダルト")</f>
        <v>アダルト</v>
      </c>
      <c r="H647" s="298" t="str">
        <f>IFERROR(__xludf.DUMMYFUNCTION("""COMPUTED_VALUE"""),"ソル判定　制服の女生徒×おじさんの性行為描写が大半のため、出稿NG")</f>
        <v>ソル判定　制服の女生徒×おじさんの性行為描写が大半のため、出稿NG</v>
      </c>
      <c r="I647" s="283"/>
      <c r="J647" s="283"/>
      <c r="K647" s="283"/>
      <c r="L647" s="283"/>
      <c r="M647" s="283"/>
      <c r="N647" s="283"/>
      <c r="O647" s="283"/>
      <c r="P647" s="283"/>
      <c r="Q647" s="278"/>
      <c r="R647" s="278"/>
      <c r="S647" s="278"/>
      <c r="T647" s="278"/>
      <c r="U647" s="278"/>
      <c r="V647" s="278"/>
      <c r="W647" s="278"/>
      <c r="X647" s="278"/>
      <c r="Y647" s="278"/>
      <c r="Z647" s="278"/>
      <c r="AA647" s="278"/>
      <c r="AB647" s="278"/>
      <c r="AC647" s="278"/>
    </row>
    <row r="648" ht="15.75" customHeight="1">
      <c r="A648" s="290" t="str">
        <f>IFERROR(__xludf.DUMMYFUNCTION("""COMPUTED_VALUE"""),"秋水社ORIGINAL")</f>
        <v>秋水社ORIGINAL</v>
      </c>
      <c r="B648" s="291">
        <f>IFERROR(__xludf.DUMMYFUNCTION("""COMPUTED_VALUE"""),46043.0)</f>
        <v>46043</v>
      </c>
      <c r="C648" s="292"/>
      <c r="D648" s="293">
        <f>IFERROR(__xludf.DUMMYFUNCTION("""COMPUTED_VALUE"""),143584.0)</f>
        <v>143584</v>
      </c>
      <c r="E648" s="290" t="str">
        <f>IFERROR(__xludf.DUMMYFUNCTION("""COMPUTED_VALUE"""),"終電で熟睡はヤッていいってことだよね～妹を起きるまでハメ倒し～")</f>
        <v>終電で熟睡はヤッていいってことだよね～妹を起きるまでハメ倒し～</v>
      </c>
      <c r="F648" s="298" t="str">
        <f>IFERROR(__xludf.DUMMYFUNCTION("""COMPUTED_VALUE"""),"来須眠")</f>
        <v>来須眠</v>
      </c>
      <c r="G648" s="298" t="str">
        <f>IFERROR(__xludf.DUMMYFUNCTION("""COMPUTED_VALUE"""),"アダルト")</f>
        <v>アダルト</v>
      </c>
      <c r="H648" s="298" t="str">
        <f>IFERROR(__xludf.DUMMYFUNCTION("""COMPUTED_VALUE"""),"ソル判定　1話に犯罪行為の描写があるため出稿NG（電車内で寝てる女性への痴漢行為）")</f>
        <v>ソル判定　1話に犯罪行為の描写があるため出稿NG（電車内で寝てる女性への痴漢行為）</v>
      </c>
      <c r="I648" s="283"/>
      <c r="J648" s="283"/>
      <c r="K648" s="283"/>
      <c r="L648" s="283"/>
      <c r="M648" s="283"/>
      <c r="N648" s="283"/>
      <c r="O648" s="283"/>
      <c r="P648" s="283"/>
      <c r="Q648" s="278"/>
      <c r="R648" s="278"/>
      <c r="S648" s="278"/>
      <c r="T648" s="278"/>
      <c r="U648" s="278"/>
      <c r="V648" s="278"/>
      <c r="W648" s="278"/>
      <c r="X648" s="278"/>
      <c r="Y648" s="278"/>
      <c r="Z648" s="278"/>
      <c r="AA648" s="278"/>
      <c r="AB648" s="278"/>
      <c r="AC648" s="278"/>
    </row>
    <row r="649" ht="15.75" customHeight="1">
      <c r="A649" s="290" t="str">
        <f>IFERROR(__xludf.DUMMYFUNCTION("""COMPUTED_VALUE"""),"クロスフォリオ出版")</f>
        <v>クロスフォリオ出版</v>
      </c>
      <c r="B649" s="291">
        <f>IFERROR(__xludf.DUMMYFUNCTION("""COMPUTED_VALUE"""),46055.0)</f>
        <v>46055</v>
      </c>
      <c r="C649" s="292"/>
      <c r="D649" s="293" t="str">
        <f>IFERROR(__xludf.DUMMYFUNCTION("""COMPUTED_VALUE"""),"未発番")</f>
        <v>未発番</v>
      </c>
      <c r="E649" s="290" t="str">
        <f>IFERROR(__xludf.DUMMYFUNCTION("""COMPUTED_VALUE"""),"こっくりさん～堕ちた教室～【TL版】")</f>
        <v>こっくりさん～堕ちた教室～【TL版】</v>
      </c>
      <c r="F649" s="298" t="str">
        <f>IFERROR(__xludf.DUMMYFUNCTION("""COMPUTED_VALUE"""),"メイドキメラ")</f>
        <v>メイドキメラ</v>
      </c>
      <c r="G649" s="298" t="str">
        <f>IFERROR(__xludf.DUMMYFUNCTION("""COMPUTED_VALUE"""),"TL")</f>
        <v>TL</v>
      </c>
      <c r="H649" s="298" t="str">
        <f>IFERROR(__xludf.DUMMYFUNCTION("""COMPUTED_VALUE"""),"ソル判定　冒頭に制服でのレイプシーンがあるため、出稿NG")</f>
        <v>ソル判定　冒頭に制服でのレイプシーンがあるため、出稿NG</v>
      </c>
      <c r="I649" s="283"/>
      <c r="J649" s="283"/>
      <c r="K649" s="283"/>
      <c r="L649" s="283"/>
      <c r="M649" s="283"/>
      <c r="N649" s="283"/>
      <c r="O649" s="283"/>
      <c r="P649" s="283"/>
      <c r="Q649" s="278"/>
      <c r="R649" s="278"/>
      <c r="S649" s="278"/>
      <c r="T649" s="278"/>
      <c r="U649" s="278"/>
      <c r="V649" s="278"/>
      <c r="W649" s="278"/>
      <c r="X649" s="278"/>
      <c r="Y649" s="278"/>
      <c r="Z649" s="278"/>
      <c r="AA649" s="278"/>
      <c r="AB649" s="278"/>
      <c r="AC649" s="278"/>
    </row>
    <row r="650" ht="15.75" customHeight="1">
      <c r="A650" s="336" t="str">
        <f>IFERROR(__xludf.DUMMYFUNCTION("""COMPUTED_VALUE"""),"DEEPER-ZERO")</f>
        <v>DEEPER-ZERO</v>
      </c>
      <c r="B650" s="291">
        <f>IFERROR(__xludf.DUMMYFUNCTION("""COMPUTED_VALUE"""),46069.0)</f>
        <v>46069</v>
      </c>
      <c r="C650" s="292"/>
      <c r="D650" s="293" t="str">
        <f>IFERROR(__xludf.DUMMYFUNCTION("""COMPUTED_VALUE"""),"未発番")</f>
        <v>未発番</v>
      </c>
      <c r="E650" s="290" t="str">
        <f>IFERROR(__xludf.DUMMYFUNCTION("""COMPUTED_VALUE"""),"むっつり陰キャ、性欲エグすぎ～弱みを握られトイレでドスケベセックス～")</f>
        <v>むっつり陰キャ、性欲エグすぎ～弱みを握られトイレでドスケベセックス～</v>
      </c>
      <c r="F650" s="298" t="str">
        <f>IFERROR(__xludf.DUMMYFUNCTION("""COMPUTED_VALUE"""),"璃乃コウ")</f>
        <v>璃乃コウ</v>
      </c>
      <c r="G650" s="298" t="str">
        <f>IFERROR(__xludf.DUMMYFUNCTION("""COMPUTED_VALUE"""),"アダルト")</f>
        <v>アダルト</v>
      </c>
      <c r="H650" s="298" t="str">
        <f>IFERROR(__xludf.DUMMYFUNCTION("""COMPUTED_VALUE"""),"ソル判定　2巻で制服着用で先生との性行為が描かれているためNG")</f>
        <v>ソル判定　2巻で制服着用で先生との性行為が描かれているためNG</v>
      </c>
      <c r="I650" s="283"/>
      <c r="J650" s="283"/>
      <c r="K650" s="283"/>
      <c r="L650" s="283"/>
      <c r="M650" s="283"/>
      <c r="N650" s="283"/>
      <c r="O650" s="283"/>
      <c r="P650" s="283"/>
      <c r="Q650" s="278"/>
      <c r="R650" s="278"/>
      <c r="S650" s="278"/>
      <c r="T650" s="278"/>
      <c r="U650" s="278"/>
      <c r="V650" s="278"/>
      <c r="W650" s="278"/>
      <c r="X650" s="278"/>
      <c r="Y650" s="278"/>
      <c r="Z650" s="278"/>
      <c r="AA650" s="278"/>
      <c r="AB650" s="278"/>
      <c r="AC650" s="278"/>
    </row>
    <row r="651" ht="15.75" customHeight="1">
      <c r="A651" s="290" t="str">
        <f>IFERROR(__xludf.DUMMYFUNCTION("""COMPUTED_VALUE"""),"ナイトコミック")</f>
        <v>ナイトコミック</v>
      </c>
      <c r="B651" s="291">
        <f>IFERROR(__xludf.DUMMYFUNCTION("""COMPUTED_VALUE"""),46072.0)</f>
        <v>46072</v>
      </c>
      <c r="C651" s="292"/>
      <c r="D651" s="293" t="str">
        <f>IFERROR(__xludf.DUMMYFUNCTION("""COMPUTED_VALUE"""),"未発番")</f>
        <v>未発番</v>
      </c>
      <c r="E651" s="290" t="str">
        <f>IFERROR(__xludf.DUMMYFUNCTION("""COMPUTED_VALUE"""),"君のこと、大人にしてあげよっか？")</f>
        <v>君のこと、大人にしてあげよっか？</v>
      </c>
      <c r="F651" s="298" t="str">
        <f>IFERROR(__xludf.DUMMYFUNCTION("""COMPUTED_VALUE"""),"鳥居ヨシツナ")</f>
        <v>鳥居ヨシツナ</v>
      </c>
      <c r="G651" s="298" t="str">
        <f>IFERROR(__xludf.DUMMYFUNCTION("""COMPUTED_VALUE"""),"アダルト")</f>
        <v>アダルト</v>
      </c>
      <c r="H651" s="298" t="str">
        <f>IFERROR(__xludf.DUMMYFUNCTION("""COMPUTED_VALUE"""),"ソル判定　小学生くらいの幼い少年が性行為をしている描写がメインのためポリシー違反で出稿NG")</f>
        <v>ソル判定　小学生くらいの幼い少年が性行為をしている描写がメインのためポリシー違反で出稿NG</v>
      </c>
      <c r="I651" s="283"/>
      <c r="J651" s="283"/>
      <c r="K651" s="283"/>
      <c r="L651" s="283"/>
      <c r="M651" s="283"/>
      <c r="N651" s="283"/>
      <c r="O651" s="283"/>
      <c r="P651" s="283"/>
      <c r="Q651" s="278"/>
      <c r="R651" s="278"/>
      <c r="S651" s="278"/>
      <c r="T651" s="278"/>
      <c r="U651" s="278"/>
      <c r="V651" s="278"/>
      <c r="W651" s="278"/>
      <c r="X651" s="278"/>
      <c r="Y651" s="278"/>
      <c r="Z651" s="278"/>
      <c r="AA651" s="278"/>
      <c r="AB651" s="278"/>
      <c r="AC651" s="278"/>
    </row>
    <row r="652" ht="15.75" customHeight="1">
      <c r="A652" s="337" t="str">
        <f>IFERROR(__xludf.DUMMYFUNCTION("""COMPUTED_VALUE"""),"ナイトコミック")</f>
        <v>ナイトコミック</v>
      </c>
      <c r="B652" s="291">
        <f>IFERROR(__xludf.DUMMYFUNCTION("""COMPUTED_VALUE"""),46077.0)</f>
        <v>46077</v>
      </c>
      <c r="C652" s="292"/>
      <c r="D652" s="293" t="str">
        <f>IFERROR(__xludf.DUMMYFUNCTION("""COMPUTED_VALUE"""),"未発番")</f>
        <v>未発番</v>
      </c>
      <c r="E652" s="337" t="str">
        <f>IFERROR(__xludf.DUMMYFUNCTION("""COMPUTED_VALUE"""),"体育祭")</f>
        <v>体育祭</v>
      </c>
      <c r="F652" s="298" t="str">
        <f>IFERROR(__xludf.DUMMYFUNCTION("""COMPUTED_VALUE"""),"ひっさつくん")</f>
        <v>ひっさつくん</v>
      </c>
      <c r="G652" s="298" t="str">
        <f>IFERROR(__xludf.DUMMYFUNCTION("""COMPUTED_VALUE"""),"アダルト")</f>
        <v>アダルト</v>
      </c>
      <c r="H652" s="298" t="str">
        <f>IFERROR(__xludf.DUMMYFUNCTION("""COMPUTED_VALUE"""),"ソル判定　体育祭中に女子高生を成人男性がレイプするという内容で、体操服の女子高生は終始嫌がり恐怖していて未成年に対する性犯罪の内容の為出稿NG")</f>
        <v>ソル判定　体育祭中に女子高生を成人男性がレイプするという内容で、体操服の女子高生は終始嫌がり恐怖していて未成年に対する性犯罪の内容の為出稿NG</v>
      </c>
      <c r="I652" s="283"/>
      <c r="J652" s="283"/>
      <c r="K652" s="283"/>
      <c r="L652" s="283"/>
      <c r="M652" s="283"/>
      <c r="N652" s="283"/>
      <c r="O652" s="283"/>
      <c r="P652" s="283"/>
      <c r="Q652" s="278"/>
      <c r="R652" s="278"/>
      <c r="S652" s="278"/>
      <c r="T652" s="278"/>
      <c r="U652" s="278"/>
      <c r="V652" s="278"/>
      <c r="W652" s="278"/>
      <c r="X652" s="278"/>
      <c r="Y652" s="278"/>
      <c r="Z652" s="278"/>
      <c r="AA652" s="278"/>
      <c r="AB652" s="278"/>
      <c r="AC652" s="278"/>
    </row>
    <row r="653" ht="15.75" customHeight="1">
      <c r="A653" s="290" t="str">
        <f>IFERROR(__xludf.DUMMYFUNCTION("""COMPUTED_VALUE"""),"STUDIO ZOON")</f>
        <v>STUDIO ZOON</v>
      </c>
      <c r="B653" s="291">
        <f>IFERROR(__xludf.DUMMYFUNCTION("""COMPUTED_VALUE"""),46091.0)</f>
        <v>46091</v>
      </c>
      <c r="C653" s="292"/>
      <c r="D653" s="293">
        <f>IFERROR(__xludf.DUMMYFUNCTION("""COMPUTED_VALUE"""),322849.0)</f>
        <v>322849</v>
      </c>
      <c r="E653" s="290" t="str">
        <f>IFERROR(__xludf.DUMMYFUNCTION("""COMPUTED_VALUE"""),"ヒトグイ【タテヨミ】")</f>
        <v>ヒトグイ【タテヨミ】</v>
      </c>
      <c r="F653" s="298" t="str">
        <f>IFERROR(__xludf.DUMMYFUNCTION("""COMPUTED_VALUE"""),"蔵石ユウ イナベカズ 野渡ひい")</f>
        <v>蔵石ユウ イナベカズ 野渡ひい</v>
      </c>
      <c r="G653" s="337" t="str">
        <f>IFERROR(__xludf.DUMMYFUNCTION("""COMPUTED_VALUE"""),"青年")</f>
        <v>青年</v>
      </c>
      <c r="H653" s="298" t="str">
        <f>IFERROR(__xludf.DUMMYFUNCTION("""COMPUTED_VALUE"""),"ソル判定　メインテーマが人を食べる内容であり終始グロい表現が続き嫌悪感のある作品のため")</f>
        <v>ソル判定　メインテーマが人を食べる内容であり終始グロい表現が続き嫌悪感のある作品のため</v>
      </c>
      <c r="I653" s="283"/>
      <c r="J653" s="283"/>
      <c r="K653" s="283"/>
      <c r="L653" s="283"/>
      <c r="M653" s="283"/>
      <c r="N653" s="283"/>
      <c r="O653" s="283"/>
      <c r="P653" s="283"/>
      <c r="Q653" s="278"/>
      <c r="R653" s="278"/>
      <c r="S653" s="278"/>
      <c r="T653" s="278"/>
      <c r="U653" s="278"/>
      <c r="V653" s="278"/>
      <c r="W653" s="278"/>
      <c r="X653" s="278"/>
      <c r="Y653" s="278"/>
      <c r="Z653" s="278"/>
      <c r="AA653" s="278"/>
      <c r="AB653" s="278"/>
      <c r="AC653" s="278"/>
    </row>
    <row r="654" ht="15.75" customHeight="1">
      <c r="A654" s="290" t="str">
        <f>IFERROR(__xludf.DUMMYFUNCTION("""COMPUTED_VALUE"""),"STUDIO ZOON")</f>
        <v>STUDIO ZOON</v>
      </c>
      <c r="B654" s="291">
        <f>IFERROR(__xludf.DUMMYFUNCTION("""COMPUTED_VALUE"""),46091.0)</f>
        <v>46091</v>
      </c>
      <c r="C654" s="292"/>
      <c r="D654" s="293" t="str">
        <f>IFERROR(__xludf.DUMMYFUNCTION("""COMPUTED_VALUE"""),"未発番")</f>
        <v>未発番</v>
      </c>
      <c r="E654" s="290" t="str">
        <f>IFERROR(__xludf.DUMMYFUNCTION("""COMPUTED_VALUE"""),"ヒトグイ")</f>
        <v>ヒトグイ</v>
      </c>
      <c r="F654" s="298" t="str">
        <f>IFERROR(__xludf.DUMMYFUNCTION("""COMPUTED_VALUE"""),"蔵石ユウ イナベカズ 野渡ひい")</f>
        <v>蔵石ユウ イナベカズ 野渡ひい</v>
      </c>
      <c r="G654" s="338" t="str">
        <f>IFERROR(__xludf.DUMMYFUNCTION("""COMPUTED_VALUE"""),"青年")</f>
        <v>青年</v>
      </c>
      <c r="H654" s="298" t="str">
        <f>IFERROR(__xludf.DUMMYFUNCTION("""COMPUTED_VALUE"""),"ソル判定　メインテーマが人を食べる内容であり終始グロい表現が続き嫌悪感のある作品のため")</f>
        <v>ソル判定　メインテーマが人を食べる内容であり終始グロい表現が続き嫌悪感のある作品のため</v>
      </c>
      <c r="I654" s="283"/>
      <c r="J654" s="283"/>
      <c r="K654" s="283"/>
      <c r="L654" s="283"/>
      <c r="M654" s="283"/>
      <c r="N654" s="283"/>
      <c r="O654" s="283"/>
      <c r="P654" s="283"/>
      <c r="Q654" s="278"/>
      <c r="R654" s="278"/>
      <c r="S654" s="278"/>
      <c r="T654" s="278"/>
      <c r="U654" s="278"/>
      <c r="V654" s="278"/>
      <c r="W654" s="278"/>
      <c r="X654" s="278"/>
      <c r="Y654" s="278"/>
      <c r="Z654" s="278"/>
      <c r="AA654" s="278"/>
      <c r="AB654" s="278"/>
      <c r="AC654" s="278"/>
    </row>
    <row r="655" ht="15.75" customHeight="1">
      <c r="A655" s="290" t="str">
        <f>IFERROR(__xludf.DUMMYFUNCTION("""COMPUTED_VALUE"""),"クロスフォリオ出版")</f>
        <v>クロスフォリオ出版</v>
      </c>
      <c r="B655" s="291">
        <f>IFERROR(__xludf.DUMMYFUNCTION("""COMPUTED_VALUE"""),46099.0)</f>
        <v>46099</v>
      </c>
      <c r="C655" s="292"/>
      <c r="D655" s="293" t="str">
        <f>IFERROR(__xludf.DUMMYFUNCTION("""COMPUTED_VALUE"""),"未発番")</f>
        <v>未発番</v>
      </c>
      <c r="E655" s="290" t="str">
        <f>IFERROR(__xludf.DUMMYFUNCTION("""COMPUTED_VALUE"""),"おやすみせっくす【原作漫画版】")</f>
        <v>おやすみせっくす【原作漫画版】</v>
      </c>
      <c r="F655" s="298" t="str">
        <f>IFERROR(__xludf.DUMMYFUNCTION("""COMPUTED_VALUE"""),"三上ミカ┴アクアドロップ")</f>
        <v>三上ミカ┴アクアドロップ</v>
      </c>
      <c r="G655" s="298" t="str">
        <f>IFERROR(__xludf.DUMMYFUNCTION("""COMPUTED_VALUE"""),"アダルト")</f>
        <v>アダルト</v>
      </c>
      <c r="H655" s="298" t="str">
        <f>IFERROR(__xludf.DUMMYFUNCTION("""COMPUTED_VALUE"""),"ソル判定　中学生らしき女の子が性対象のため出稿NG")</f>
        <v>ソル判定　中学生らしき女の子が性対象のため出稿NG</v>
      </c>
      <c r="I655" s="283"/>
      <c r="J655" s="283"/>
      <c r="K655" s="283"/>
      <c r="L655" s="283"/>
      <c r="M655" s="283"/>
      <c r="N655" s="283"/>
      <c r="O655" s="283"/>
      <c r="P655" s="283"/>
      <c r="Q655" s="278"/>
      <c r="R655" s="278"/>
      <c r="S655" s="278"/>
      <c r="T655" s="278"/>
      <c r="U655" s="278"/>
      <c r="V655" s="278"/>
      <c r="W655" s="278"/>
      <c r="X655" s="278"/>
      <c r="Y655" s="278"/>
      <c r="Z655" s="278"/>
      <c r="AA655" s="278"/>
      <c r="AB655" s="278"/>
      <c r="AC655" s="278"/>
    </row>
    <row r="656" ht="15.75" customHeight="1">
      <c r="A656" s="290" t="str">
        <f>IFERROR(__xludf.DUMMYFUNCTION("""COMPUTED_VALUE"""),"クロスフォリオ出版")</f>
        <v>クロスフォリオ出版</v>
      </c>
      <c r="B656" s="291">
        <f>IFERROR(__xludf.DUMMYFUNCTION("""COMPUTED_VALUE"""),46099.0)</f>
        <v>46099</v>
      </c>
      <c r="C656" s="292"/>
      <c r="D656" s="293" t="str">
        <f>IFERROR(__xludf.DUMMYFUNCTION("""COMPUTED_VALUE"""),"未発番")</f>
        <v>未発番</v>
      </c>
      <c r="E656" s="290" t="str">
        <f>IFERROR(__xludf.DUMMYFUNCTION("""COMPUTED_VALUE"""),"おやすみせっくす【原作漫画版】18禁版")</f>
        <v>おやすみせっくす【原作漫画版】18禁版</v>
      </c>
      <c r="F656" s="298" t="str">
        <f>IFERROR(__xludf.DUMMYFUNCTION("""COMPUTED_VALUE"""),"三上ミカ┴アクアドロップ")</f>
        <v>三上ミカ┴アクアドロップ</v>
      </c>
      <c r="G656" s="298" t="str">
        <f>IFERROR(__xludf.DUMMYFUNCTION("""COMPUTED_VALUE"""),"アダルト")</f>
        <v>アダルト</v>
      </c>
      <c r="H656" s="298" t="str">
        <f>IFERROR(__xludf.DUMMYFUNCTION("""COMPUTED_VALUE"""),"ソル判定　中学生らしき女の子が性対象のため出稿NG")</f>
        <v>ソル判定　中学生らしき女の子が性対象のため出稿NG</v>
      </c>
      <c r="I656" s="283"/>
      <c r="J656" s="283"/>
      <c r="K656" s="283"/>
      <c r="L656" s="283"/>
      <c r="M656" s="283"/>
      <c r="N656" s="283"/>
      <c r="O656" s="283"/>
      <c r="P656" s="283"/>
      <c r="Q656" s="278"/>
      <c r="R656" s="278"/>
      <c r="S656" s="278"/>
      <c r="T656" s="278"/>
      <c r="U656" s="278"/>
      <c r="V656" s="278"/>
      <c r="W656" s="278"/>
      <c r="X656" s="278"/>
      <c r="Y656" s="278"/>
      <c r="Z656" s="278"/>
      <c r="AA656" s="278"/>
      <c r="AB656" s="278"/>
      <c r="AC656" s="278"/>
    </row>
    <row r="657" ht="15.75" customHeight="1">
      <c r="A657" s="290" t="str">
        <f>IFERROR(__xludf.DUMMYFUNCTION("""COMPUTED_VALUE"""),"クロスフォリオ出版")</f>
        <v>クロスフォリオ出版</v>
      </c>
      <c r="B657" s="291">
        <f>IFERROR(__xludf.DUMMYFUNCTION("""COMPUTED_VALUE"""),46100.0)</f>
        <v>46100</v>
      </c>
      <c r="C657" s="292"/>
      <c r="D657" s="293" t="str">
        <f>IFERROR(__xludf.DUMMYFUNCTION("""COMPUTED_VALUE"""),"未発番")</f>
        <v>未発番</v>
      </c>
      <c r="E657" s="290" t="str">
        <f>IFERROR(__xludf.DUMMYFUNCTION("""COMPUTED_VALUE"""),"Forelsketに溺れたら")</f>
        <v>Forelsketに溺れたら</v>
      </c>
      <c r="F657" s="298" t="str">
        <f>IFERROR(__xludf.DUMMYFUNCTION("""COMPUTED_VALUE"""),"真崎清明┴蓮井子鹿┴parasite garden")</f>
        <v>真崎清明┴蓮井子鹿┴parasite garden</v>
      </c>
      <c r="G657" s="298" t="str">
        <f>IFERROR(__xludf.DUMMYFUNCTION("""COMPUTED_VALUE"""),"TL")</f>
        <v>TL</v>
      </c>
      <c r="H657" s="298" t="str">
        <f>IFERROR(__xludf.DUMMYFUNCTION("""COMPUTED_VALUE"""),"ソル判定　ストーカー行為、ナイフで脅し強姦、薬を使い強姦の描写があり、ヒロインが本気で嫌がっているため嫌悪感強いと判断、出稿ＮＧ")</f>
        <v>ソル判定　ストーカー行為、ナイフで脅し強姦、薬を使い強姦の描写があり、ヒロインが本気で嫌がっているため嫌悪感強いと判断、出稿ＮＧ</v>
      </c>
      <c r="I657" s="283"/>
      <c r="J657" s="283"/>
      <c r="K657" s="283"/>
      <c r="L657" s="283"/>
      <c r="M657" s="283"/>
      <c r="N657" s="283"/>
      <c r="O657" s="283"/>
      <c r="P657" s="283"/>
      <c r="Q657" s="278"/>
      <c r="R657" s="278"/>
      <c r="S657" s="278"/>
      <c r="T657" s="278"/>
      <c r="U657" s="278"/>
      <c r="V657" s="278"/>
      <c r="W657" s="278"/>
      <c r="X657" s="278"/>
      <c r="Y657" s="278"/>
      <c r="Z657" s="278"/>
      <c r="AA657" s="278"/>
      <c r="AB657" s="278"/>
      <c r="AC657" s="278"/>
    </row>
    <row r="658" ht="15.75" customHeight="1">
      <c r="A658" s="290" t="str">
        <f>IFERROR(__xludf.DUMMYFUNCTION("""COMPUTED_VALUE"""),"クロスフォリオ出版")</f>
        <v>クロスフォリオ出版</v>
      </c>
      <c r="B658" s="291">
        <f>IFERROR(__xludf.DUMMYFUNCTION("""COMPUTED_VALUE"""),46100.0)</f>
        <v>46100</v>
      </c>
      <c r="C658" s="292"/>
      <c r="D658" s="293" t="str">
        <f>IFERROR(__xludf.DUMMYFUNCTION("""COMPUTED_VALUE"""),"未発番")</f>
        <v>未発番</v>
      </c>
      <c r="E658" s="290" t="str">
        <f>IFERROR(__xludf.DUMMYFUNCTION("""COMPUTED_VALUE"""),"Forelsketに溺れたら【R版】")</f>
        <v>Forelsketに溺れたら【R版】</v>
      </c>
      <c r="F658" s="298" t="str">
        <f>IFERROR(__xludf.DUMMYFUNCTION("""COMPUTED_VALUE"""),"真崎清明┴蓮井子鹿┴parasite garden")</f>
        <v>真崎清明┴蓮井子鹿┴parasite garden</v>
      </c>
      <c r="G658" s="298" t="str">
        <f>IFERROR(__xludf.DUMMYFUNCTION("""COMPUTED_VALUE"""),"アダルト")</f>
        <v>アダルト</v>
      </c>
      <c r="H658" s="298" t="str">
        <f>IFERROR(__xludf.DUMMYFUNCTION("""COMPUTED_VALUE"""),"ソル判定　ストーカー行為、ナイフで脅し強姦、薬を使い強姦の描写があり、ヒロインが本気で嫌がっているため嫌悪感強いと判断、出稿ＮＧ")</f>
        <v>ソル判定　ストーカー行為、ナイフで脅し強姦、薬を使い強姦の描写があり、ヒロインが本気で嫌がっているため嫌悪感強いと判断、出稿ＮＧ</v>
      </c>
      <c r="I658" s="283"/>
      <c r="J658" s="283"/>
      <c r="K658" s="283"/>
      <c r="L658" s="283"/>
      <c r="M658" s="283"/>
      <c r="N658" s="283"/>
      <c r="O658" s="283"/>
      <c r="P658" s="283"/>
      <c r="Q658" s="278"/>
      <c r="R658" s="278"/>
      <c r="S658" s="278"/>
      <c r="T658" s="278"/>
      <c r="U658" s="278"/>
      <c r="V658" s="278"/>
      <c r="W658" s="278"/>
      <c r="X658" s="278"/>
      <c r="Y658" s="278"/>
      <c r="Z658" s="278"/>
      <c r="AA658" s="278"/>
      <c r="AB658" s="278"/>
      <c r="AC658" s="278"/>
    </row>
    <row r="659" ht="15.75" customHeight="1">
      <c r="A659" s="290" t="str">
        <f>IFERROR(__xludf.DUMMYFUNCTION("""COMPUTED_VALUE"""),"クロスフォリオ出版")</f>
        <v>クロスフォリオ出版</v>
      </c>
      <c r="B659" s="291">
        <f>IFERROR(__xludf.DUMMYFUNCTION("""COMPUTED_VALUE"""),46107.0)</f>
        <v>46107</v>
      </c>
      <c r="C659" s="292"/>
      <c r="D659" s="293" t="str">
        <f>IFERROR(__xludf.DUMMYFUNCTION("""COMPUTED_VALUE"""),"未発番")</f>
        <v>未発番</v>
      </c>
      <c r="E659" s="290" t="str">
        <f>IFERROR(__xludf.DUMMYFUNCTION("""COMPUTED_VALUE"""),"俺達と飯を喰わないか？博多グルメ旅 快楽負け編")</f>
        <v>俺達と飯を喰わないか？博多グルメ旅 快楽負け編</v>
      </c>
      <c r="F659" s="339" t="str">
        <f>IFERROR(__xludf.DUMMYFUNCTION("""COMPUTED_VALUE"""),"カドウ＆ふぁん+TICK┴STUDIOふあん")</f>
        <v>カドウ＆ふぁん+TICK┴STUDIOふあん</v>
      </c>
      <c r="G659" s="298" t="str">
        <f>IFERROR(__xludf.DUMMYFUNCTION("""COMPUTED_VALUE"""),"TL")</f>
        <v>TL</v>
      </c>
      <c r="H659" s="298" t="str">
        <f>IFERROR(__xludf.DUMMYFUNCTION("""COMPUTED_VALUE"""),"ソル判定　女子高生を車で拉致しレイプする内容なのでポリシーNG")</f>
        <v>ソル判定　女子高生を車で拉致しレイプする内容なのでポリシーNG</v>
      </c>
      <c r="I659" s="283"/>
      <c r="J659" s="283"/>
      <c r="K659" s="283"/>
      <c r="L659" s="283"/>
      <c r="M659" s="283"/>
      <c r="N659" s="283"/>
      <c r="O659" s="283"/>
      <c r="P659" s="283"/>
      <c r="Q659" s="278"/>
      <c r="R659" s="278"/>
      <c r="S659" s="278"/>
      <c r="T659" s="278"/>
      <c r="U659" s="278"/>
      <c r="V659" s="278"/>
      <c r="W659" s="278"/>
      <c r="X659" s="278"/>
      <c r="Y659" s="278"/>
      <c r="Z659" s="278"/>
      <c r="AA659" s="278"/>
      <c r="AB659" s="278"/>
      <c r="AC659" s="278"/>
    </row>
    <row r="660" ht="15.75" customHeight="1">
      <c r="A660" s="290" t="str">
        <f>IFERROR(__xludf.DUMMYFUNCTION("""COMPUTED_VALUE"""),"クロスフォリオ出版")</f>
        <v>クロスフォリオ出版</v>
      </c>
      <c r="B660" s="291">
        <f>IFERROR(__xludf.DUMMYFUNCTION("""COMPUTED_VALUE"""),46107.0)</f>
        <v>46107</v>
      </c>
      <c r="C660" s="292"/>
      <c r="D660" s="293">
        <f>IFERROR(__xludf.DUMMYFUNCTION("""COMPUTED_VALUE"""),209581.0)</f>
        <v>209581</v>
      </c>
      <c r="E660" s="290" t="str">
        <f>IFERROR(__xludf.DUMMYFUNCTION("""COMPUTED_VALUE"""),"飯犯トラベラーズ【フルカラー版】")</f>
        <v>飯犯トラベラーズ【フルカラー版】</v>
      </c>
      <c r="F660" s="298" t="str">
        <f>IFERROR(__xludf.DUMMYFUNCTION("""COMPUTED_VALUE"""),"STUDIOふあん")</f>
        <v>STUDIOふあん</v>
      </c>
      <c r="G660" s="298" t="str">
        <f>IFERROR(__xludf.DUMMYFUNCTION("""COMPUTED_VALUE"""),"アダルト")</f>
        <v>アダルト</v>
      </c>
      <c r="H660" s="298" t="str">
        <f>IFERROR(__xludf.DUMMYFUNCTION("""COMPUTED_VALUE"""),"ソル判定　女子高生を車で拉致しレイプする内容なのでポリシーNG")</f>
        <v>ソル判定　女子高生を車で拉致しレイプする内容なのでポリシーNG</v>
      </c>
      <c r="I660" s="283"/>
      <c r="J660" s="283"/>
      <c r="K660" s="283"/>
      <c r="L660" s="283"/>
      <c r="M660" s="283"/>
      <c r="N660" s="283"/>
      <c r="O660" s="283"/>
      <c r="P660" s="283"/>
      <c r="Q660" s="278"/>
      <c r="R660" s="278"/>
      <c r="S660" s="278"/>
      <c r="T660" s="278"/>
      <c r="U660" s="278"/>
      <c r="V660" s="278"/>
      <c r="W660" s="278"/>
      <c r="X660" s="278"/>
      <c r="Y660" s="278"/>
      <c r="Z660" s="278"/>
      <c r="AA660" s="278"/>
      <c r="AB660" s="278"/>
      <c r="AC660" s="278"/>
    </row>
    <row r="661" ht="15.75" customHeight="1">
      <c r="A661" s="340" t="str">
        <f>IFERROR(__xludf.DUMMYFUNCTION("""COMPUTED_VALUE"""),"セ・キララ文庫")</f>
        <v>セ・キララ文庫</v>
      </c>
      <c r="B661" s="291">
        <f>IFERROR(__xludf.DUMMYFUNCTION("""COMPUTED_VALUE"""),46112.0)</f>
        <v>46112</v>
      </c>
      <c r="C661" s="292"/>
      <c r="D661" s="293" t="str">
        <f>IFERROR(__xludf.DUMMYFUNCTION("""COMPUTED_VALUE"""),"未発番")</f>
        <v>未発番</v>
      </c>
      <c r="E661" s="290" t="str">
        <f>IFERROR(__xludf.DUMMYFUNCTION("""COMPUTED_VALUE"""),"トモイキ。～ボーイッシュな田舎少女とヤりなおす性春～")</f>
        <v>トモイキ。～ボーイッシュな田舎少女とヤりなおす性春～</v>
      </c>
      <c r="F661" s="298" t="str">
        <f>IFERROR(__xludf.DUMMYFUNCTION("""COMPUTED_VALUE"""),"なだソルト")</f>
        <v>なだソルト</v>
      </c>
      <c r="G661" s="298" t="str">
        <f>IFERROR(__xludf.DUMMYFUNCTION("""COMPUTED_VALUE"""),"アダルト")</f>
        <v>アダルト</v>
      </c>
      <c r="H661" s="298" t="str">
        <f>IFERROR(__xludf.DUMMYFUNCTION("""COMPUTED_VALUE"""),"子供と性行為している作品の為、出稿ポリシーNG")</f>
        <v>子供と性行為している作品の為、出稿ポリシーNG</v>
      </c>
      <c r="I661" s="283"/>
      <c r="J661" s="283"/>
      <c r="K661" s="283"/>
      <c r="L661" s="283"/>
      <c r="M661" s="283"/>
      <c r="N661" s="283"/>
      <c r="O661" s="283"/>
      <c r="P661" s="283"/>
      <c r="Q661" s="278"/>
      <c r="R661" s="278"/>
      <c r="S661" s="278"/>
      <c r="T661" s="278"/>
      <c r="U661" s="278"/>
      <c r="V661" s="278"/>
      <c r="W661" s="278"/>
      <c r="X661" s="278"/>
      <c r="Y661" s="278"/>
      <c r="Z661" s="278"/>
      <c r="AA661" s="278"/>
      <c r="AB661" s="278"/>
      <c r="AC661" s="278"/>
    </row>
    <row r="662" ht="15.75" customHeight="1">
      <c r="A662" s="340" t="str">
        <f>IFERROR(__xludf.DUMMYFUNCTION("""COMPUTED_VALUE"""),"セ・キララ文庫")</f>
        <v>セ・キララ文庫</v>
      </c>
      <c r="B662" s="291">
        <f>IFERROR(__xludf.DUMMYFUNCTION("""COMPUTED_VALUE"""),46112.0)</f>
        <v>46112</v>
      </c>
      <c r="C662" s="292"/>
      <c r="D662" s="293" t="str">
        <f>IFERROR(__xludf.DUMMYFUNCTION("""COMPUTED_VALUE"""),"未発番")</f>
        <v>未発番</v>
      </c>
      <c r="E662" s="290" t="str">
        <f>IFERROR(__xludf.DUMMYFUNCTION("""COMPUTED_VALUE"""),"性芯注入 オレっ娘嬌声指導")</f>
        <v>性芯注入 オレっ娘嬌声指導</v>
      </c>
      <c r="F662" s="298" t="str">
        <f>IFERROR(__xludf.DUMMYFUNCTION("""COMPUTED_VALUE"""),"無望菜志")</f>
        <v>無望菜志</v>
      </c>
      <c r="G662" s="298" t="str">
        <f>IFERROR(__xludf.DUMMYFUNCTION("""COMPUTED_VALUE"""),"アダルト")</f>
        <v>アダルト</v>
      </c>
      <c r="H662" s="298" t="str">
        <f>IFERROR(__xludf.DUMMYFUNCTION("""COMPUTED_VALUE"""),"制服で成人男性と性行為を行っており、成人男性×学生の性行為だと分かるコマしかない為出稿ポリシーNG")</f>
        <v>制服で成人男性と性行為を行っており、成人男性×学生の性行為だと分かるコマしかない為出稿ポリシーNG</v>
      </c>
      <c r="I662" s="283"/>
      <c r="J662" s="283"/>
      <c r="K662" s="283"/>
      <c r="L662" s="283"/>
      <c r="M662" s="283"/>
      <c r="N662" s="283"/>
      <c r="O662" s="283"/>
      <c r="P662" s="283"/>
      <c r="Q662" s="278"/>
      <c r="R662" s="278"/>
      <c r="S662" s="278"/>
      <c r="T662" s="278"/>
      <c r="U662" s="278"/>
      <c r="V662" s="278"/>
      <c r="W662" s="278"/>
      <c r="X662" s="278"/>
      <c r="Y662" s="278"/>
      <c r="Z662" s="278"/>
      <c r="AA662" s="278"/>
      <c r="AB662" s="278"/>
      <c r="AC662" s="278"/>
    </row>
    <row r="663" ht="15.75" customHeight="1">
      <c r="A663" s="290" t="str">
        <f>IFERROR(__xludf.DUMMYFUNCTION("""COMPUTED_VALUE"""),"徳間書店")</f>
        <v>徳間書店</v>
      </c>
      <c r="B663" s="291">
        <f>IFERROR(__xludf.DUMMYFUNCTION("""COMPUTED_VALUE"""),46119.0)</f>
        <v>46119</v>
      </c>
      <c r="C663" s="292"/>
      <c r="D663" s="293" t="str">
        <f>IFERROR(__xludf.DUMMYFUNCTION("""COMPUTED_VALUE"""),"未発番")</f>
        <v>未発番</v>
      </c>
      <c r="E663" s="290" t="str">
        <f>IFERROR(__xludf.DUMMYFUNCTION("""COMPUTED_VALUE"""),"藻屑蟹【コミック単話版】")</f>
        <v>藻屑蟹【コミック単話版】</v>
      </c>
      <c r="F663" s="298" t="str">
        <f>IFERROR(__xludf.DUMMYFUNCTION("""COMPUTED_VALUE"""),"赤松利市（原作）・たなか亜希夫（作画）")</f>
        <v>赤松利市（原作）・たなか亜希夫（作画）</v>
      </c>
      <c r="G663" s="298" t="str">
        <f>IFERROR(__xludf.DUMMYFUNCTION("""COMPUTED_VALUE"""),"青年")</f>
        <v>青年</v>
      </c>
      <c r="H663" s="298" t="str">
        <f>IFERROR(__xludf.DUMMYFUNCTION("""COMPUTED_VALUE"""),"ソル判定　震災や原発がメインテーマで当時の方々が悪く表現されていてかなりセンシティブな内容のため")</f>
        <v>ソル判定　震災や原発がメインテーマで当時の方々が悪く表現されていてかなりセンシティブな内容のため</v>
      </c>
      <c r="I663" s="283"/>
      <c r="J663" s="283"/>
      <c r="K663" s="283"/>
      <c r="L663" s="283"/>
      <c r="M663" s="283"/>
      <c r="N663" s="283"/>
      <c r="O663" s="283"/>
      <c r="P663" s="283"/>
      <c r="Q663" s="278"/>
      <c r="R663" s="278"/>
      <c r="S663" s="278"/>
      <c r="T663" s="278"/>
      <c r="U663" s="278"/>
      <c r="V663" s="278"/>
      <c r="W663" s="278"/>
      <c r="X663" s="278"/>
      <c r="Y663" s="278"/>
      <c r="Z663" s="278"/>
      <c r="AA663" s="278"/>
      <c r="AB663" s="278"/>
      <c r="AC663" s="278"/>
    </row>
    <row r="664" ht="15.75" customHeight="1">
      <c r="A664" s="290" t="str">
        <f>IFERROR(__xludf.DUMMYFUNCTION("""COMPUTED_VALUE"""),"アド・グッド
")</f>
        <v>アド・グッド
</v>
      </c>
      <c r="B664" s="291">
        <f>IFERROR(__xludf.DUMMYFUNCTION("""COMPUTED_VALUE"""),46122.0)</f>
        <v>46122</v>
      </c>
      <c r="C664" s="292"/>
      <c r="D664" s="293" t="str">
        <f>IFERROR(__xludf.DUMMYFUNCTION("""COMPUTED_VALUE"""),"未発番")</f>
        <v>未発番</v>
      </c>
      <c r="E664" s="290" t="str">
        <f>IFERROR(__xludf.DUMMYFUNCTION("""COMPUTED_VALUE"""),"【18禁】生意気パパ活JKに制裁SEX～ハメられた少女がおじさん専用のメスになるまで～
")</f>
        <v>【18禁】生意気パパ活JKに制裁SEX～ハメられた少女がおじさん専用のメスになるまで～
</v>
      </c>
      <c r="F664" s="298" t="str">
        <f>IFERROR(__xludf.DUMMYFUNCTION("""COMPUTED_VALUE"""),"どうしょく┴一宮夕羽┴もえまんR")</f>
        <v>どうしょく┴一宮夕羽┴もえまんR</v>
      </c>
      <c r="G664" s="298" t="str">
        <f>IFERROR(__xludf.DUMMYFUNCTION("""COMPUTED_VALUE"""),"アダルト")</f>
        <v>アダルト</v>
      </c>
      <c r="H664" s="298" t="str">
        <f>IFERROR(__xludf.DUMMYFUNCTION("""COMPUTED_VALUE"""),"ソル判定　制服を着たままおじさんと性行為するため")</f>
        <v>ソル判定　制服を着たままおじさんと性行為するため</v>
      </c>
      <c r="I664" s="283"/>
      <c r="J664" s="283"/>
      <c r="K664" s="283"/>
      <c r="L664" s="283"/>
      <c r="M664" s="283"/>
      <c r="N664" s="283"/>
      <c r="O664" s="283"/>
      <c r="P664" s="283"/>
      <c r="Q664" s="278"/>
      <c r="R664" s="278"/>
      <c r="S664" s="278"/>
      <c r="T664" s="278"/>
      <c r="U664" s="278"/>
      <c r="V664" s="278"/>
      <c r="W664" s="278"/>
      <c r="X664" s="278"/>
      <c r="Y664" s="278"/>
      <c r="Z664" s="278"/>
      <c r="AA664" s="278"/>
      <c r="AB664" s="278"/>
      <c r="AC664" s="278"/>
    </row>
    <row r="665" ht="15.75" customHeight="1">
      <c r="A665" s="290" t="str">
        <f>IFERROR(__xludf.DUMMYFUNCTION("""COMPUTED_VALUE"""),"セ・キララ文庫")</f>
        <v>セ・キララ文庫</v>
      </c>
      <c r="B665" s="291">
        <f>IFERROR(__xludf.DUMMYFUNCTION("""COMPUTED_VALUE"""),46129.0)</f>
        <v>46129</v>
      </c>
      <c r="C665" s="292"/>
      <c r="D665" s="293" t="str">
        <f>IFERROR(__xludf.DUMMYFUNCTION("""COMPUTED_VALUE"""),"未発番")</f>
        <v>未発番</v>
      </c>
      <c r="E665" s="340" t="str">
        <f>IFERROR(__xludf.DUMMYFUNCTION("""COMPUTED_VALUE"""),"サイコーサイアクテラスハウス～カスの男女が6人いたらセックスしかしない～")</f>
        <v>サイコーサイアクテラスハウス～カスの男女が6人いたらセックスしかしない～</v>
      </c>
      <c r="F665" s="298" t="str">
        <f>IFERROR(__xludf.DUMMYFUNCTION("""COMPUTED_VALUE"""),"なだソルト")</f>
        <v>なだソルト</v>
      </c>
      <c r="G665" s="298" t="str">
        <f>IFERROR(__xludf.DUMMYFUNCTION("""COMPUTED_VALUE"""),"アダルト")</f>
        <v>アダルト</v>
      </c>
      <c r="H665" s="298" t="str">
        <f>IFERROR(__xludf.DUMMYFUNCTION("""COMPUTED_VALUE"""),"ソル判定　中学生以下に見える女の子が性対象のため出稿NG")</f>
        <v>ソル判定　中学生以下に見える女の子が性対象のため出稿NG</v>
      </c>
      <c r="I665" s="283"/>
      <c r="J665" s="283"/>
      <c r="K665" s="283"/>
      <c r="L665" s="283"/>
      <c r="M665" s="283"/>
      <c r="N665" s="283"/>
      <c r="O665" s="283"/>
      <c r="P665" s="283"/>
      <c r="Q665" s="278"/>
      <c r="R665" s="278"/>
      <c r="S665" s="278"/>
      <c r="T665" s="278"/>
      <c r="U665" s="278"/>
      <c r="V665" s="278"/>
      <c r="W665" s="278"/>
      <c r="X665" s="278"/>
      <c r="Y665" s="278"/>
      <c r="Z665" s="278"/>
      <c r="AA665" s="278"/>
      <c r="AB665" s="278"/>
      <c r="AC665" s="278"/>
    </row>
    <row r="666" ht="15.75" customHeight="1">
      <c r="A666" s="290" t="str">
        <f>IFERROR(__xludf.DUMMYFUNCTION("""COMPUTED_VALUE"""),"セ・キララ文庫")</f>
        <v>セ・キララ文庫</v>
      </c>
      <c r="B666" s="291">
        <f>IFERROR(__xludf.DUMMYFUNCTION("""COMPUTED_VALUE"""),46129.0)</f>
        <v>46129</v>
      </c>
      <c r="C666" s="292"/>
      <c r="D666" s="293" t="str">
        <f>IFERROR(__xludf.DUMMYFUNCTION("""COMPUTED_VALUE"""),"未発番")</f>
        <v>未発番</v>
      </c>
      <c r="E666" s="340" t="str">
        <f>IFERROR(__xludf.DUMMYFUNCTION("""COMPUTED_VALUE"""),"彼女が僕を壊した～初恋の従姉妹は僕の家族とセックスしてる～")</f>
        <v>彼女が僕を壊した～初恋の従姉妹は僕の家族とセックスしてる～</v>
      </c>
      <c r="F666" s="298" t="str">
        <f>IFERROR(__xludf.DUMMYFUNCTION("""COMPUTED_VALUE"""),"なだソルト")</f>
        <v>なだソルト</v>
      </c>
      <c r="G666" s="298" t="str">
        <f>IFERROR(__xludf.DUMMYFUNCTION("""COMPUTED_VALUE"""),"アダルト")</f>
        <v>アダルト</v>
      </c>
      <c r="H666" s="298" t="str">
        <f>IFERROR(__xludf.DUMMYFUNCTION("""COMPUTED_VALUE"""),"ソル判定　中学生らしき女の子が性対象のため出稿NG")</f>
        <v>ソル判定　中学生らしき女の子が性対象のため出稿NG</v>
      </c>
      <c r="I666" s="283"/>
      <c r="J666" s="283"/>
      <c r="K666" s="283"/>
      <c r="L666" s="283"/>
      <c r="M666" s="283"/>
      <c r="N666" s="283"/>
      <c r="O666" s="283"/>
      <c r="P666" s="283"/>
      <c r="Q666" s="278"/>
      <c r="R666" s="278"/>
      <c r="S666" s="278"/>
      <c r="T666" s="278"/>
      <c r="U666" s="278"/>
      <c r="V666" s="278"/>
      <c r="W666" s="278"/>
      <c r="X666" s="278"/>
      <c r="Y666" s="278"/>
      <c r="Z666" s="278"/>
      <c r="AA666" s="278"/>
      <c r="AB666" s="278"/>
      <c r="AC666" s="278"/>
    </row>
    <row r="667" ht="15.75" customHeight="1">
      <c r="A667" s="290" t="str">
        <f>IFERROR(__xludf.DUMMYFUNCTION("""COMPUTED_VALUE"""),"アムコミ")</f>
        <v>アムコミ</v>
      </c>
      <c r="B667" s="291">
        <f>IFERROR(__xludf.DUMMYFUNCTION("""COMPUTED_VALUE"""),46164.0)</f>
        <v>46164</v>
      </c>
      <c r="C667" s="292"/>
      <c r="D667" s="293">
        <f>IFERROR(__xludf.DUMMYFUNCTION("""COMPUTED_VALUE"""),353200.0)</f>
        <v>353200</v>
      </c>
      <c r="E667" s="341" t="str">
        <f>IFERROR(__xludf.DUMMYFUNCTION("""COMPUTED_VALUE"""),"シタ女、サレ妻と入れ替わる～クズ夫に代理で復讐しまーす～")</f>
        <v>シタ女、サレ妻と入れ替わる～クズ夫に代理で復讐しまーす～</v>
      </c>
      <c r="F667" s="298" t="str">
        <f>IFERROR(__xludf.DUMMYFUNCTION("""COMPUTED_VALUE"""),"大久保ニュー")</f>
        <v>大久保ニュー</v>
      </c>
      <c r="G667" s="298" t="str">
        <f>IFERROR(__xludf.DUMMYFUNCTION("""COMPUTED_VALUE"""),"女性")</f>
        <v>女性</v>
      </c>
      <c r="H667" s="298" t="str">
        <f>IFERROR(__xludf.DUMMYFUNCTION("""COMPUTED_VALUE"""),"出版社都合でNG")</f>
        <v>出版社都合でNG</v>
      </c>
      <c r="I667" s="283"/>
      <c r="J667" s="283"/>
      <c r="K667" s="283"/>
      <c r="L667" s="283"/>
      <c r="M667" s="283"/>
      <c r="N667" s="283"/>
      <c r="O667" s="283"/>
      <c r="P667" s="283"/>
      <c r="Q667" s="278"/>
      <c r="R667" s="278"/>
      <c r="S667" s="278"/>
      <c r="T667" s="278"/>
      <c r="U667" s="278"/>
      <c r="V667" s="278"/>
      <c r="W667" s="278"/>
      <c r="X667" s="278"/>
      <c r="Y667" s="278"/>
      <c r="Z667" s="278"/>
      <c r="AA667" s="278"/>
      <c r="AB667" s="278"/>
      <c r="AC667" s="278"/>
    </row>
    <row r="668" ht="15.75" customHeight="1">
      <c r="A668" s="290" t="str">
        <f>IFERROR(__xludf.DUMMYFUNCTION("""COMPUTED_VALUE"""),"セ・キララ文庫")</f>
        <v>セ・キララ文庫</v>
      </c>
      <c r="B668" s="291">
        <f>IFERROR(__xludf.DUMMYFUNCTION("""COMPUTED_VALUE"""),46167.0)</f>
        <v>46167</v>
      </c>
      <c r="C668" s="292"/>
      <c r="D668" s="293" t="str">
        <f>IFERROR(__xludf.DUMMYFUNCTION("""COMPUTED_VALUE"""),"未発番")</f>
        <v>未発番</v>
      </c>
      <c r="E668" s="290" t="str">
        <f>IFERROR(__xludf.DUMMYFUNCTION("""COMPUTED_VALUE"""),"ナマイキ彼女は今日もアイツに抱かれる。")</f>
        <v>ナマイキ彼女は今日もアイツに抱かれる。</v>
      </c>
      <c r="F668" s="298" t="str">
        <f>IFERROR(__xludf.DUMMYFUNCTION("""COMPUTED_VALUE"""),"ティラヌー")</f>
        <v>ティラヌー</v>
      </c>
      <c r="G668" s="298" t="str">
        <f>IFERROR(__xludf.DUMMYFUNCTION("""COMPUTED_VALUE"""),"アダルト")</f>
        <v>アダルト</v>
      </c>
      <c r="H668" s="298" t="str">
        <f>IFERROR(__xludf.DUMMYFUNCTION("""COMPUTED_VALUE"""),"ソル判定　制服の女生徒×先生の性行為描写が大半のため、出稿NG")</f>
        <v>ソル判定　制服の女生徒×先生の性行為描写が大半のため、出稿NG</v>
      </c>
      <c r="I668" s="283"/>
      <c r="J668" s="283"/>
      <c r="K668" s="283"/>
      <c r="L668" s="283"/>
      <c r="M668" s="283"/>
      <c r="N668" s="283"/>
      <c r="O668" s="283"/>
      <c r="P668" s="283"/>
      <c r="Q668" s="278"/>
      <c r="R668" s="278"/>
      <c r="S668" s="278"/>
      <c r="T668" s="278"/>
      <c r="U668" s="278"/>
      <c r="V668" s="278"/>
      <c r="W668" s="278"/>
      <c r="X668" s="278"/>
      <c r="Y668" s="278"/>
      <c r="Z668" s="278"/>
      <c r="AA668" s="278"/>
      <c r="AB668" s="278"/>
      <c r="AC668" s="278"/>
    </row>
    <row r="669" ht="15.75" customHeight="1">
      <c r="A669" s="290" t="str">
        <f>IFERROR(__xludf.DUMMYFUNCTION("""COMPUTED_VALUE"""),"ナンバーナイン")</f>
        <v>ナンバーナイン</v>
      </c>
      <c r="B669" s="291">
        <f>IFERROR(__xludf.DUMMYFUNCTION("""COMPUTED_VALUE"""),46176.0)</f>
        <v>46176</v>
      </c>
      <c r="C669" s="292"/>
      <c r="D669" s="293" t="str">
        <f>IFERROR(__xludf.DUMMYFUNCTION("""COMPUTED_VALUE"""),"未発番")</f>
        <v>未発番</v>
      </c>
      <c r="E669" s="290" t="str">
        <f>IFERROR(__xludf.DUMMYFUNCTION("""COMPUTED_VALUE"""),"ボーイッシュ幼馴染がギャル化してから勃起が止まらない！")</f>
        <v>ボーイッシュ幼馴染がギャル化してから勃起が止まらない！</v>
      </c>
      <c r="F669" s="310"/>
      <c r="G669" s="298" t="str">
        <f>IFERROR(__xludf.DUMMYFUNCTION("""COMPUTED_VALUE"""),"アダルト")</f>
        <v>アダルト</v>
      </c>
      <c r="H669" s="298" t="str">
        <f>IFERROR(__xludf.DUMMYFUNCTION("""COMPUTED_VALUE"""),"ソル判定　子供を性的な対象として描いていると見える描写がある為ポリシーＮＧ")</f>
        <v>ソル判定　子供を性的な対象として描いていると見える描写がある為ポリシーＮＧ</v>
      </c>
      <c r="I669" s="283"/>
      <c r="J669" s="283"/>
      <c r="K669" s="283"/>
      <c r="L669" s="283"/>
      <c r="M669" s="283"/>
      <c r="N669" s="283"/>
      <c r="O669" s="283"/>
      <c r="P669" s="283"/>
      <c r="Q669" s="278"/>
      <c r="R669" s="278"/>
      <c r="S669" s="278"/>
      <c r="T669" s="278"/>
      <c r="U669" s="278"/>
      <c r="V669" s="278"/>
      <c r="W669" s="278"/>
      <c r="X669" s="278"/>
      <c r="Y669" s="278"/>
      <c r="Z669" s="278"/>
      <c r="AA669" s="278"/>
      <c r="AB669" s="278"/>
      <c r="AC669" s="278"/>
    </row>
    <row r="670" ht="15.75" customHeight="1">
      <c r="A670" s="290" t="str">
        <f>IFERROR(__xludf.DUMMYFUNCTION("""COMPUTED_VALUE"""),"ナンバーナイン")</f>
        <v>ナンバーナイン</v>
      </c>
      <c r="B670" s="291">
        <f>IFERROR(__xludf.DUMMYFUNCTION("""COMPUTED_VALUE"""),46176.0)</f>
        <v>46176</v>
      </c>
      <c r="C670" s="292"/>
      <c r="D670" s="293" t="str">
        <f>IFERROR(__xludf.DUMMYFUNCTION("""COMPUTED_VALUE"""),"未発番")</f>
        <v>未発番</v>
      </c>
      <c r="E670" s="290" t="str">
        <f>IFERROR(__xludf.DUMMYFUNCTION("""COMPUTED_VALUE"""),"ボーイッシュ幼馴染がギャル化してから勃起が止まらない！【分冊版】")</f>
        <v>ボーイッシュ幼馴染がギャル化してから勃起が止まらない！【分冊版】</v>
      </c>
      <c r="F670" s="310"/>
      <c r="G670" s="298" t="str">
        <f>IFERROR(__xludf.DUMMYFUNCTION("""COMPUTED_VALUE"""),"アダルト")</f>
        <v>アダルト</v>
      </c>
      <c r="H670" s="298" t="str">
        <f>IFERROR(__xludf.DUMMYFUNCTION("""COMPUTED_VALUE"""),"ソル判定　子供を性的な対象として描いていると見える描写がある為ポリシーＮＧ")</f>
        <v>ソル判定　子供を性的な対象として描いていると見える描写がある為ポリシーＮＧ</v>
      </c>
      <c r="I670" s="283"/>
      <c r="J670" s="283"/>
      <c r="K670" s="283"/>
      <c r="L670" s="283"/>
      <c r="M670" s="283"/>
      <c r="N670" s="283"/>
      <c r="O670" s="283"/>
      <c r="P670" s="283"/>
      <c r="Q670" s="278"/>
      <c r="R670" s="278"/>
      <c r="S670" s="278"/>
      <c r="T670" s="278"/>
      <c r="U670" s="278"/>
      <c r="V670" s="278"/>
      <c r="W670" s="278"/>
      <c r="X670" s="278"/>
      <c r="Y670" s="278"/>
      <c r="Z670" s="278"/>
      <c r="AA670" s="278"/>
      <c r="AB670" s="278"/>
      <c r="AC670" s="278"/>
    </row>
    <row r="671" ht="15.75" customHeight="1">
      <c r="A671" s="290" t="str">
        <f>IFERROR(__xludf.DUMMYFUNCTION("""COMPUTED_VALUE"""),"ナイトコミック")</f>
        <v>ナイトコミック</v>
      </c>
      <c r="B671" s="291">
        <f>IFERROR(__xludf.DUMMYFUNCTION("""COMPUTED_VALUE"""),46190.0)</f>
        <v>46190</v>
      </c>
      <c r="C671" s="292"/>
      <c r="D671" s="293" t="str">
        <f>IFERROR(__xludf.DUMMYFUNCTION("""COMPUTED_VALUE"""),"未発番")</f>
        <v>未発番</v>
      </c>
      <c r="E671" s="290" t="str">
        <f>IFERROR(__xludf.DUMMYFUNCTION("""COMPUTED_VALUE"""),"教え子キスハメ日記")</f>
        <v>教え子キスハメ日記</v>
      </c>
      <c r="F671" s="310"/>
      <c r="G671" s="298" t="str">
        <f>IFERROR(__xludf.DUMMYFUNCTION("""COMPUTED_VALUE"""),"アダルト")</f>
        <v>アダルト</v>
      </c>
      <c r="H671" s="298" t="str">
        <f>IFERROR(__xludf.DUMMYFUNCTION("""COMPUTED_VALUE"""),"ソル判定　担任の中年男性が未成年の女子高生に飲酒させてレイプする話の為ポリシーNG")</f>
        <v>ソル判定　担任の中年男性が未成年の女子高生に飲酒させてレイプする話の為ポリシーNG</v>
      </c>
      <c r="I671" s="283"/>
      <c r="J671" s="283"/>
      <c r="K671" s="283"/>
      <c r="L671" s="283"/>
      <c r="M671" s="283"/>
      <c r="N671" s="283"/>
      <c r="O671" s="283"/>
      <c r="P671" s="283"/>
      <c r="Q671" s="278"/>
      <c r="R671" s="278"/>
      <c r="S671" s="278"/>
      <c r="T671" s="278"/>
      <c r="U671" s="278"/>
      <c r="V671" s="278"/>
      <c r="W671" s="278"/>
      <c r="X671" s="278"/>
      <c r="Y671" s="278"/>
      <c r="Z671" s="278"/>
      <c r="AA671" s="278"/>
      <c r="AB671" s="278"/>
      <c r="AC671" s="278"/>
    </row>
    <row r="672" ht="15.75" customHeight="1">
      <c r="A672" s="290" t="str">
        <f>IFERROR(__xludf.DUMMYFUNCTION("""COMPUTED_VALUE"""),"日本文芸社")</f>
        <v>日本文芸社</v>
      </c>
      <c r="B672" s="291">
        <f>IFERROR(__xludf.DUMMYFUNCTION("""COMPUTED_VALUE"""),46191.0)</f>
        <v>46191</v>
      </c>
      <c r="C672" s="292"/>
      <c r="D672" s="293">
        <f>IFERROR(__xludf.DUMMYFUNCTION("""COMPUTED_VALUE"""),290131.0)</f>
        <v>290131</v>
      </c>
      <c r="E672" s="290" t="str">
        <f>IFERROR(__xludf.DUMMYFUNCTION("""COMPUTED_VALUE"""),"ヒグマグマ【単話版】")</f>
        <v>ヒグマグマ【単話版】</v>
      </c>
      <c r="F672" s="298" t="str">
        <f>IFERROR(__xludf.DUMMYFUNCTION("""COMPUTED_VALUE"""),"奥谷通教")</f>
        <v>奥谷通教</v>
      </c>
      <c r="G672" s="298" t="str">
        <f>IFERROR(__xludf.DUMMYFUNCTION("""COMPUTED_VALUE"""),"青年")</f>
        <v>青年</v>
      </c>
      <c r="H672" s="298" t="str">
        <f>IFERROR(__xludf.DUMMYFUNCTION("""COMPUTED_VALUE"""),"熊被害が発生しているため出稿NG")</f>
        <v>熊被害が発生しているため出稿NG</v>
      </c>
      <c r="I672" s="283"/>
      <c r="J672" s="283"/>
      <c r="K672" s="283"/>
      <c r="L672" s="283"/>
      <c r="M672" s="283"/>
      <c r="N672" s="283"/>
      <c r="O672" s="283"/>
      <c r="P672" s="283"/>
      <c r="Q672" s="278"/>
      <c r="R672" s="278"/>
      <c r="S672" s="278"/>
      <c r="T672" s="278"/>
      <c r="U672" s="278"/>
      <c r="V672" s="278"/>
      <c r="W672" s="278"/>
      <c r="X672" s="278"/>
      <c r="Y672" s="278"/>
      <c r="Z672" s="278"/>
      <c r="AA672" s="278"/>
      <c r="AB672" s="278"/>
      <c r="AC672" s="278"/>
    </row>
    <row r="673" ht="15.75" customHeight="1">
      <c r="A673" s="290" t="str">
        <f>IFERROR(__xludf.DUMMYFUNCTION("""COMPUTED_VALUE"""),"レジンエンターテインメント")</f>
        <v>レジンエンターテインメント</v>
      </c>
      <c r="B673" s="291">
        <f>IFERROR(__xludf.DUMMYFUNCTION("""COMPUTED_VALUE"""),46202.0)</f>
        <v>46202</v>
      </c>
      <c r="C673" s="292"/>
      <c r="D673" s="293" t="str">
        <f>IFERROR(__xludf.DUMMYFUNCTION("""COMPUTED_VALUE"""),"未発番")</f>
        <v>未発番</v>
      </c>
      <c r="E673" s="290" t="str">
        <f>IFERROR(__xludf.DUMMYFUNCTION("""COMPUTED_VALUE"""),"奴隷日誌〜後戻りのできない快楽の底へ〜【タテヨミ】")</f>
        <v>奴隷日誌〜後戻りのできない快楽の底へ〜【タテヨミ】</v>
      </c>
      <c r="F673" s="310"/>
      <c r="G673" s="298" t="str">
        <f>IFERROR(__xludf.DUMMYFUNCTION("""COMPUTED_VALUE"""),"青年")</f>
        <v>青年</v>
      </c>
      <c r="H673" s="298" t="str">
        <f>IFERROR(__xludf.DUMMYFUNCTION("""COMPUTED_VALUE"""),"ソル判定　3~4話にかけてレイプ描写で女性が嫌がっている様子がリアル＋フルカラーなためポリシーＮＧ")</f>
        <v>ソル判定　3~4話にかけてレイプ描写で女性が嫌がっている様子がリアル＋フルカラーなためポリシーＮＧ</v>
      </c>
      <c r="I673" s="283"/>
      <c r="J673" s="283"/>
      <c r="K673" s="283"/>
      <c r="L673" s="283"/>
      <c r="M673" s="283"/>
      <c r="N673" s="283"/>
      <c r="O673" s="283"/>
      <c r="P673" s="283"/>
      <c r="Q673" s="278"/>
      <c r="R673" s="278"/>
      <c r="S673" s="278"/>
      <c r="T673" s="278"/>
      <c r="U673" s="278"/>
      <c r="V673" s="278"/>
      <c r="W673" s="278"/>
      <c r="X673" s="278"/>
      <c r="Y673" s="278"/>
      <c r="Z673" s="278"/>
      <c r="AA673" s="278"/>
      <c r="AB673" s="278"/>
      <c r="AC673" s="278"/>
    </row>
    <row r="674" ht="15.75" customHeight="1">
      <c r="A674" s="302"/>
      <c r="B674" s="301"/>
      <c r="C674" s="292"/>
      <c r="D674" s="297"/>
      <c r="E674" s="302"/>
      <c r="F674" s="310"/>
      <c r="G674" s="310"/>
      <c r="H674" s="310"/>
      <c r="I674" s="283"/>
      <c r="J674" s="283"/>
      <c r="K674" s="283"/>
      <c r="L674" s="283"/>
      <c r="M674" s="283"/>
      <c r="N674" s="283"/>
      <c r="O674" s="283"/>
      <c r="P674" s="283"/>
      <c r="Q674" s="278"/>
      <c r="R674" s="278"/>
      <c r="S674" s="278"/>
      <c r="T674" s="278"/>
      <c r="U674" s="278"/>
      <c r="V674" s="278"/>
      <c r="W674" s="278"/>
      <c r="X674" s="278"/>
      <c r="Y674" s="278"/>
      <c r="Z674" s="278"/>
      <c r="AA674" s="278"/>
      <c r="AB674" s="278"/>
      <c r="AC674" s="278"/>
    </row>
    <row r="675" ht="15.75" customHeight="1">
      <c r="A675" s="302"/>
      <c r="B675" s="301"/>
      <c r="C675" s="292"/>
      <c r="D675" s="297"/>
      <c r="E675" s="302"/>
      <c r="F675" s="310"/>
      <c r="G675" s="310"/>
      <c r="H675" s="310"/>
      <c r="I675" s="283"/>
      <c r="J675" s="283"/>
      <c r="K675" s="283"/>
      <c r="L675" s="283"/>
      <c r="M675" s="283"/>
      <c r="N675" s="283"/>
      <c r="O675" s="283"/>
      <c r="P675" s="283"/>
      <c r="Q675" s="278"/>
      <c r="R675" s="278"/>
      <c r="S675" s="278"/>
      <c r="T675" s="278"/>
      <c r="U675" s="278"/>
      <c r="V675" s="278"/>
      <c r="W675" s="278"/>
      <c r="X675" s="278"/>
      <c r="Y675" s="278"/>
      <c r="Z675" s="278"/>
      <c r="AA675" s="278"/>
      <c r="AB675" s="278"/>
      <c r="AC675" s="278"/>
    </row>
    <row r="676" ht="15.75" customHeight="1">
      <c r="A676" s="302"/>
      <c r="B676" s="301"/>
      <c r="C676" s="292"/>
      <c r="D676" s="297"/>
      <c r="E676" s="302"/>
      <c r="F676" s="310"/>
      <c r="G676" s="310"/>
      <c r="H676" s="310"/>
      <c r="I676" s="283"/>
      <c r="J676" s="283"/>
      <c r="K676" s="283"/>
      <c r="L676" s="283"/>
      <c r="M676" s="283"/>
      <c r="N676" s="283"/>
      <c r="O676" s="283"/>
      <c r="P676" s="283"/>
      <c r="Q676" s="278"/>
      <c r="R676" s="278"/>
      <c r="S676" s="278"/>
      <c r="T676" s="278"/>
      <c r="U676" s="278"/>
      <c r="V676" s="278"/>
      <c r="W676" s="278"/>
      <c r="X676" s="278"/>
      <c r="Y676" s="278"/>
      <c r="Z676" s="278"/>
      <c r="AA676" s="278"/>
      <c r="AB676" s="278"/>
      <c r="AC676" s="278"/>
    </row>
    <row r="677" ht="15.75" customHeight="1">
      <c r="A677" s="302"/>
      <c r="B677" s="301"/>
      <c r="C677" s="292"/>
      <c r="D677" s="297"/>
      <c r="E677" s="302"/>
      <c r="F677" s="310"/>
      <c r="G677" s="310"/>
      <c r="H677" s="310"/>
      <c r="I677" s="283"/>
      <c r="J677" s="283"/>
      <c r="K677" s="283"/>
      <c r="L677" s="283"/>
      <c r="M677" s="283"/>
      <c r="N677" s="283"/>
      <c r="O677" s="283"/>
      <c r="P677" s="283"/>
      <c r="Q677" s="278"/>
      <c r="R677" s="278"/>
      <c r="S677" s="278"/>
      <c r="T677" s="278"/>
      <c r="U677" s="278"/>
      <c r="V677" s="278"/>
      <c r="W677" s="278"/>
      <c r="X677" s="278"/>
      <c r="Y677" s="278"/>
      <c r="Z677" s="278"/>
      <c r="AA677" s="278"/>
      <c r="AB677" s="278"/>
      <c r="AC677" s="278"/>
    </row>
    <row r="678" ht="15.75" customHeight="1">
      <c r="A678" s="302"/>
      <c r="B678" s="301"/>
      <c r="C678" s="292"/>
      <c r="D678" s="297"/>
      <c r="E678" s="302"/>
      <c r="F678" s="310"/>
      <c r="G678" s="310"/>
      <c r="H678" s="310"/>
      <c r="I678" s="283"/>
      <c r="J678" s="283"/>
      <c r="K678" s="283"/>
      <c r="L678" s="283"/>
      <c r="M678" s="283"/>
      <c r="N678" s="283"/>
      <c r="O678" s="283"/>
      <c r="P678" s="283"/>
      <c r="Q678" s="278"/>
      <c r="R678" s="278"/>
      <c r="S678" s="278"/>
      <c r="T678" s="278"/>
      <c r="U678" s="278"/>
      <c r="V678" s="278"/>
      <c r="W678" s="278"/>
      <c r="X678" s="278"/>
      <c r="Y678" s="278"/>
      <c r="Z678" s="278"/>
      <c r="AA678" s="278"/>
      <c r="AB678" s="278"/>
      <c r="AC678" s="278"/>
    </row>
    <row r="679" ht="15.75" customHeight="1">
      <c r="A679" s="302"/>
      <c r="B679" s="301"/>
      <c r="C679" s="292"/>
      <c r="D679" s="297"/>
      <c r="E679" s="302"/>
      <c r="F679" s="310"/>
      <c r="G679" s="310"/>
      <c r="H679" s="310"/>
      <c r="I679" s="283"/>
      <c r="J679" s="283"/>
      <c r="K679" s="283"/>
      <c r="L679" s="283"/>
      <c r="M679" s="283"/>
      <c r="N679" s="283"/>
      <c r="O679" s="283"/>
      <c r="P679" s="283"/>
      <c r="Q679" s="278"/>
      <c r="R679" s="278"/>
      <c r="S679" s="278"/>
      <c r="T679" s="278"/>
      <c r="U679" s="278"/>
      <c r="V679" s="278"/>
      <c r="W679" s="278"/>
      <c r="X679" s="278"/>
      <c r="Y679" s="278"/>
      <c r="Z679" s="278"/>
      <c r="AA679" s="278"/>
      <c r="AB679" s="278"/>
      <c r="AC679" s="278"/>
    </row>
    <row r="680" ht="15.75" customHeight="1">
      <c r="A680" s="302"/>
      <c r="B680" s="301"/>
      <c r="C680" s="292"/>
      <c r="D680" s="297"/>
      <c r="E680" s="302"/>
      <c r="F680" s="310"/>
      <c r="G680" s="310"/>
      <c r="H680" s="310"/>
      <c r="I680" s="283"/>
      <c r="J680" s="283"/>
      <c r="K680" s="283"/>
      <c r="L680" s="283"/>
      <c r="M680" s="283"/>
      <c r="N680" s="283"/>
      <c r="O680" s="283"/>
      <c r="P680" s="283"/>
      <c r="Q680" s="278"/>
      <c r="R680" s="278"/>
      <c r="S680" s="278"/>
      <c r="T680" s="278"/>
      <c r="U680" s="278"/>
      <c r="V680" s="278"/>
      <c r="W680" s="278"/>
      <c r="X680" s="278"/>
      <c r="Y680" s="278"/>
      <c r="Z680" s="278"/>
      <c r="AA680" s="278"/>
      <c r="AB680" s="278"/>
      <c r="AC680" s="278"/>
    </row>
    <row r="681" ht="15.75" customHeight="1">
      <c r="A681" s="302"/>
      <c r="B681" s="301"/>
      <c r="C681" s="292"/>
      <c r="D681" s="297"/>
      <c r="E681" s="302"/>
      <c r="F681" s="310"/>
      <c r="G681" s="310"/>
      <c r="H681" s="310"/>
      <c r="I681" s="283"/>
      <c r="J681" s="283"/>
      <c r="K681" s="283"/>
      <c r="L681" s="283"/>
      <c r="M681" s="283"/>
      <c r="N681" s="283"/>
      <c r="O681" s="283"/>
      <c r="P681" s="283"/>
      <c r="Q681" s="278"/>
      <c r="R681" s="278"/>
      <c r="S681" s="278"/>
      <c r="T681" s="278"/>
      <c r="U681" s="278"/>
      <c r="V681" s="278"/>
      <c r="W681" s="278"/>
      <c r="X681" s="278"/>
      <c r="Y681" s="278"/>
      <c r="Z681" s="278"/>
      <c r="AA681" s="278"/>
      <c r="AB681" s="278"/>
      <c r="AC681" s="278"/>
    </row>
    <row r="682" ht="15.75" customHeight="1">
      <c r="A682" s="302"/>
      <c r="B682" s="301"/>
      <c r="C682" s="292"/>
      <c r="D682" s="297"/>
      <c r="E682" s="302"/>
      <c r="F682" s="310"/>
      <c r="G682" s="310"/>
      <c r="H682" s="310"/>
      <c r="I682" s="283"/>
      <c r="J682" s="283"/>
      <c r="K682" s="283"/>
      <c r="L682" s="283"/>
      <c r="M682" s="283"/>
      <c r="N682" s="283"/>
      <c r="O682" s="283"/>
      <c r="P682" s="283"/>
      <c r="Q682" s="278"/>
      <c r="R682" s="278"/>
      <c r="S682" s="278"/>
      <c r="T682" s="278"/>
      <c r="U682" s="278"/>
      <c r="V682" s="278"/>
      <c r="W682" s="278"/>
      <c r="X682" s="278"/>
      <c r="Y682" s="278"/>
      <c r="Z682" s="278"/>
      <c r="AA682" s="278"/>
      <c r="AB682" s="278"/>
      <c r="AC682" s="278"/>
    </row>
    <row r="683" ht="15.75" customHeight="1">
      <c r="A683" s="302"/>
      <c r="B683" s="301"/>
      <c r="C683" s="292"/>
      <c r="D683" s="297"/>
      <c r="E683" s="302"/>
      <c r="F683" s="310"/>
      <c r="G683" s="310"/>
      <c r="H683" s="310"/>
      <c r="I683" s="283"/>
      <c r="J683" s="283"/>
      <c r="K683" s="283"/>
      <c r="L683" s="283"/>
      <c r="M683" s="283"/>
      <c r="N683" s="283"/>
      <c r="O683" s="283"/>
      <c r="P683" s="283"/>
      <c r="Q683" s="278"/>
      <c r="R683" s="278"/>
      <c r="S683" s="278"/>
      <c r="T683" s="278"/>
      <c r="U683" s="278"/>
      <c r="V683" s="278"/>
      <c r="W683" s="278"/>
      <c r="X683" s="278"/>
      <c r="Y683" s="278"/>
      <c r="Z683" s="278"/>
      <c r="AA683" s="278"/>
      <c r="AB683" s="278"/>
      <c r="AC683" s="278"/>
    </row>
    <row r="684" ht="15.75" customHeight="1">
      <c r="A684" s="302"/>
      <c r="B684" s="301"/>
      <c r="C684" s="292"/>
      <c r="D684" s="297"/>
      <c r="E684" s="302"/>
      <c r="F684" s="310"/>
      <c r="G684" s="310"/>
      <c r="H684" s="310"/>
      <c r="I684" s="283"/>
      <c r="J684" s="283"/>
      <c r="K684" s="283"/>
      <c r="L684" s="283"/>
      <c r="M684" s="283"/>
      <c r="N684" s="283"/>
      <c r="O684" s="283"/>
      <c r="P684" s="283"/>
      <c r="Q684" s="278"/>
      <c r="R684" s="278"/>
      <c r="S684" s="278"/>
      <c r="T684" s="278"/>
      <c r="U684" s="278"/>
      <c r="V684" s="278"/>
      <c r="W684" s="278"/>
      <c r="X684" s="278"/>
      <c r="Y684" s="278"/>
      <c r="Z684" s="278"/>
      <c r="AA684" s="278"/>
      <c r="AB684" s="278"/>
      <c r="AC684" s="278"/>
    </row>
    <row r="685" ht="15.75" customHeight="1">
      <c r="A685" s="302"/>
      <c r="B685" s="301"/>
      <c r="C685" s="292"/>
      <c r="D685" s="297"/>
      <c r="E685" s="302"/>
      <c r="F685" s="310"/>
      <c r="G685" s="310"/>
      <c r="H685" s="310"/>
      <c r="I685" s="283"/>
      <c r="J685" s="283"/>
      <c r="K685" s="283"/>
      <c r="L685" s="283"/>
      <c r="M685" s="283"/>
      <c r="N685" s="283"/>
      <c r="O685" s="283"/>
      <c r="P685" s="283"/>
      <c r="Q685" s="278"/>
      <c r="R685" s="278"/>
      <c r="S685" s="278"/>
      <c r="T685" s="278"/>
      <c r="U685" s="278"/>
      <c r="V685" s="278"/>
      <c r="W685" s="278"/>
      <c r="X685" s="278"/>
      <c r="Y685" s="278"/>
      <c r="Z685" s="278"/>
      <c r="AA685" s="278"/>
      <c r="AB685" s="278"/>
      <c r="AC685" s="278"/>
    </row>
    <row r="686" ht="15.75" customHeight="1">
      <c r="A686" s="302"/>
      <c r="B686" s="301"/>
      <c r="C686" s="292"/>
      <c r="D686" s="297"/>
      <c r="E686" s="302"/>
      <c r="F686" s="310"/>
      <c r="G686" s="310"/>
      <c r="H686" s="310"/>
      <c r="I686" s="283"/>
      <c r="J686" s="283"/>
      <c r="K686" s="283"/>
      <c r="L686" s="283"/>
      <c r="M686" s="283"/>
      <c r="N686" s="283"/>
      <c r="O686" s="283"/>
      <c r="P686" s="283"/>
      <c r="Q686" s="278"/>
      <c r="R686" s="278"/>
      <c r="S686" s="278"/>
      <c r="T686" s="278"/>
      <c r="U686" s="278"/>
      <c r="V686" s="278"/>
      <c r="W686" s="278"/>
      <c r="X686" s="278"/>
      <c r="Y686" s="278"/>
      <c r="Z686" s="278"/>
      <c r="AA686" s="278"/>
      <c r="AB686" s="278"/>
      <c r="AC686" s="278"/>
    </row>
    <row r="687" ht="15.75" customHeight="1">
      <c r="A687" s="302"/>
      <c r="B687" s="301"/>
      <c r="C687" s="292"/>
      <c r="D687" s="297"/>
      <c r="E687" s="302"/>
      <c r="F687" s="310"/>
      <c r="G687" s="310"/>
      <c r="H687" s="310"/>
      <c r="I687" s="283"/>
      <c r="J687" s="283"/>
      <c r="K687" s="283"/>
      <c r="L687" s="283"/>
      <c r="M687" s="283"/>
      <c r="N687" s="283"/>
      <c r="O687" s="283"/>
      <c r="P687" s="283"/>
      <c r="Q687" s="278"/>
      <c r="R687" s="278"/>
      <c r="S687" s="278"/>
      <c r="T687" s="278"/>
      <c r="U687" s="278"/>
      <c r="V687" s="278"/>
      <c r="W687" s="278"/>
      <c r="X687" s="278"/>
      <c r="Y687" s="278"/>
      <c r="Z687" s="278"/>
      <c r="AA687" s="278"/>
      <c r="AB687" s="278"/>
      <c r="AC687" s="278"/>
    </row>
    <row r="688" ht="15.75" customHeight="1">
      <c r="A688" s="302"/>
      <c r="B688" s="301"/>
      <c r="C688" s="292"/>
      <c r="D688" s="297"/>
      <c r="E688" s="302"/>
      <c r="F688" s="310"/>
      <c r="G688" s="310"/>
      <c r="H688" s="310"/>
      <c r="I688" s="283"/>
      <c r="J688" s="283"/>
      <c r="K688" s="283"/>
      <c r="L688" s="283"/>
      <c r="M688" s="283"/>
      <c r="N688" s="283"/>
      <c r="O688" s="283"/>
      <c r="P688" s="283"/>
      <c r="Q688" s="278"/>
      <c r="R688" s="278"/>
      <c r="S688" s="278"/>
      <c r="T688" s="278"/>
      <c r="U688" s="278"/>
      <c r="V688" s="278"/>
      <c r="W688" s="278"/>
      <c r="X688" s="278"/>
      <c r="Y688" s="278"/>
      <c r="Z688" s="278"/>
      <c r="AA688" s="278"/>
      <c r="AB688" s="278"/>
      <c r="AC688" s="278"/>
    </row>
    <row r="689" ht="15.75" customHeight="1">
      <c r="A689" s="302"/>
      <c r="B689" s="301"/>
      <c r="C689" s="292"/>
      <c r="D689" s="297"/>
      <c r="E689" s="302"/>
      <c r="F689" s="310"/>
      <c r="G689" s="310"/>
      <c r="H689" s="310"/>
      <c r="I689" s="283"/>
      <c r="J689" s="283"/>
      <c r="K689" s="283"/>
      <c r="L689" s="283"/>
      <c r="M689" s="283"/>
      <c r="N689" s="283"/>
      <c r="O689" s="283"/>
      <c r="P689" s="283"/>
      <c r="Q689" s="278"/>
      <c r="R689" s="278"/>
      <c r="S689" s="278"/>
      <c r="T689" s="278"/>
      <c r="U689" s="278"/>
      <c r="V689" s="278"/>
      <c r="W689" s="278"/>
      <c r="X689" s="278"/>
      <c r="Y689" s="278"/>
      <c r="Z689" s="278"/>
      <c r="AA689" s="278"/>
      <c r="AB689" s="278"/>
      <c r="AC689" s="278"/>
    </row>
    <row r="690" ht="15.75" customHeight="1">
      <c r="A690" s="302"/>
      <c r="B690" s="301"/>
      <c r="C690" s="292"/>
      <c r="D690" s="297"/>
      <c r="E690" s="302"/>
      <c r="F690" s="310"/>
      <c r="G690" s="310"/>
      <c r="H690" s="310"/>
      <c r="I690" s="283"/>
      <c r="J690" s="283"/>
      <c r="K690" s="283"/>
      <c r="L690" s="283"/>
      <c r="M690" s="283"/>
      <c r="N690" s="283"/>
      <c r="O690" s="283"/>
      <c r="P690" s="283"/>
      <c r="Q690" s="278"/>
      <c r="R690" s="278"/>
      <c r="S690" s="278"/>
      <c r="T690" s="278"/>
      <c r="U690" s="278"/>
      <c r="V690" s="278"/>
      <c r="W690" s="278"/>
      <c r="X690" s="278"/>
      <c r="Y690" s="278"/>
      <c r="Z690" s="278"/>
      <c r="AA690" s="278"/>
      <c r="AB690" s="278"/>
      <c r="AC690" s="278"/>
    </row>
    <row r="691" ht="15.75" customHeight="1">
      <c r="A691" s="302"/>
      <c r="B691" s="301"/>
      <c r="C691" s="292"/>
      <c r="D691" s="297"/>
      <c r="E691" s="302"/>
      <c r="F691" s="310"/>
      <c r="G691" s="310"/>
      <c r="H691" s="310"/>
      <c r="I691" s="283"/>
      <c r="J691" s="283"/>
      <c r="K691" s="283"/>
      <c r="L691" s="283"/>
      <c r="M691" s="283"/>
      <c r="N691" s="283"/>
      <c r="O691" s="283"/>
      <c r="P691" s="283"/>
      <c r="Q691" s="278"/>
      <c r="R691" s="278"/>
      <c r="S691" s="278"/>
      <c r="T691" s="278"/>
      <c r="U691" s="278"/>
      <c r="V691" s="278"/>
      <c r="W691" s="278"/>
      <c r="X691" s="278"/>
      <c r="Y691" s="278"/>
      <c r="Z691" s="278"/>
      <c r="AA691" s="278"/>
      <c r="AB691" s="278"/>
      <c r="AC691" s="278"/>
    </row>
    <row r="692" ht="15.75" customHeight="1">
      <c r="A692" s="302"/>
      <c r="B692" s="301"/>
      <c r="C692" s="292"/>
      <c r="D692" s="297"/>
      <c r="E692" s="302"/>
      <c r="F692" s="310"/>
      <c r="G692" s="310"/>
      <c r="H692" s="310"/>
      <c r="I692" s="283"/>
      <c r="J692" s="283"/>
      <c r="K692" s="283"/>
      <c r="L692" s="283"/>
      <c r="M692" s="283"/>
      <c r="N692" s="283"/>
      <c r="O692" s="283"/>
      <c r="P692" s="283"/>
      <c r="Q692" s="278"/>
      <c r="R692" s="278"/>
      <c r="S692" s="278"/>
      <c r="T692" s="278"/>
      <c r="U692" s="278"/>
      <c r="V692" s="278"/>
      <c r="W692" s="278"/>
      <c r="X692" s="278"/>
      <c r="Y692" s="278"/>
      <c r="Z692" s="278"/>
      <c r="AA692" s="278"/>
      <c r="AB692" s="278"/>
      <c r="AC692" s="278"/>
    </row>
    <row r="693" ht="15.75" customHeight="1">
      <c r="A693" s="302"/>
      <c r="B693" s="301"/>
      <c r="C693" s="292"/>
      <c r="D693" s="297"/>
      <c r="E693" s="302"/>
      <c r="F693" s="310"/>
      <c r="G693" s="310"/>
      <c r="H693" s="310"/>
      <c r="I693" s="283"/>
      <c r="J693" s="283"/>
      <c r="K693" s="283"/>
      <c r="L693" s="283"/>
      <c r="M693" s="283"/>
      <c r="N693" s="283"/>
      <c r="O693" s="283"/>
      <c r="P693" s="283"/>
      <c r="Q693" s="278"/>
      <c r="R693" s="278"/>
      <c r="S693" s="278"/>
      <c r="T693" s="278"/>
      <c r="U693" s="278"/>
      <c r="V693" s="278"/>
      <c r="W693" s="278"/>
      <c r="X693" s="278"/>
      <c r="Y693" s="278"/>
      <c r="Z693" s="278"/>
      <c r="AA693" s="278"/>
      <c r="AB693" s="278"/>
      <c r="AC693" s="278"/>
    </row>
    <row r="694" ht="15.75" customHeight="1">
      <c r="A694" s="302"/>
      <c r="B694" s="301"/>
      <c r="C694" s="292"/>
      <c r="D694" s="297"/>
      <c r="E694" s="302"/>
      <c r="F694" s="310"/>
      <c r="G694" s="310"/>
      <c r="H694" s="310"/>
      <c r="I694" s="283"/>
      <c r="J694" s="283"/>
      <c r="K694" s="283"/>
      <c r="L694" s="283"/>
      <c r="M694" s="283"/>
      <c r="N694" s="283"/>
      <c r="O694" s="283"/>
      <c r="P694" s="283"/>
      <c r="Q694" s="278"/>
      <c r="R694" s="278"/>
      <c r="S694" s="278"/>
      <c r="T694" s="278"/>
      <c r="U694" s="278"/>
      <c r="V694" s="278"/>
      <c r="W694" s="278"/>
      <c r="X694" s="278"/>
      <c r="Y694" s="278"/>
      <c r="Z694" s="278"/>
      <c r="AA694" s="278"/>
      <c r="AB694" s="278"/>
      <c r="AC694" s="278"/>
    </row>
    <row r="695" ht="15.75" customHeight="1">
      <c r="A695" s="302"/>
      <c r="B695" s="301"/>
      <c r="C695" s="292"/>
      <c r="D695" s="297"/>
      <c r="E695" s="302"/>
      <c r="F695" s="310"/>
      <c r="G695" s="310"/>
      <c r="H695" s="310"/>
      <c r="I695" s="283"/>
      <c r="J695" s="283"/>
      <c r="K695" s="283"/>
      <c r="L695" s="283"/>
      <c r="M695" s="283"/>
      <c r="N695" s="283"/>
      <c r="O695" s="283"/>
      <c r="P695" s="283"/>
      <c r="Q695" s="278"/>
      <c r="R695" s="278"/>
      <c r="S695" s="278"/>
      <c r="T695" s="278"/>
      <c r="U695" s="278"/>
      <c r="V695" s="278"/>
      <c r="W695" s="278"/>
      <c r="X695" s="278"/>
      <c r="Y695" s="278"/>
      <c r="Z695" s="278"/>
      <c r="AA695" s="278"/>
      <c r="AB695" s="278"/>
      <c r="AC695" s="278"/>
    </row>
    <row r="696" ht="15.75" customHeight="1">
      <c r="A696" s="302"/>
      <c r="B696" s="301"/>
      <c r="C696" s="292"/>
      <c r="D696" s="297"/>
      <c r="E696" s="302"/>
      <c r="F696" s="310"/>
      <c r="G696" s="310"/>
      <c r="H696" s="310"/>
      <c r="I696" s="283"/>
      <c r="J696" s="283"/>
      <c r="K696" s="283"/>
      <c r="L696" s="283"/>
      <c r="M696" s="283"/>
      <c r="N696" s="283"/>
      <c r="O696" s="283"/>
      <c r="P696" s="283"/>
      <c r="Q696" s="278"/>
      <c r="R696" s="278"/>
      <c r="S696" s="278"/>
      <c r="T696" s="278"/>
      <c r="U696" s="278"/>
      <c r="V696" s="278"/>
      <c r="W696" s="278"/>
      <c r="X696" s="278"/>
      <c r="Y696" s="278"/>
      <c r="Z696" s="278"/>
      <c r="AA696" s="278"/>
      <c r="AB696" s="278"/>
      <c r="AC696" s="278"/>
    </row>
    <row r="697" ht="15.75" customHeight="1">
      <c r="A697" s="302"/>
      <c r="B697" s="301"/>
      <c r="C697" s="292"/>
      <c r="D697" s="297"/>
      <c r="E697" s="302"/>
      <c r="F697" s="310"/>
      <c r="G697" s="310"/>
      <c r="H697" s="310"/>
      <c r="I697" s="283"/>
      <c r="J697" s="283"/>
      <c r="K697" s="283"/>
      <c r="L697" s="283"/>
      <c r="M697" s="283"/>
      <c r="N697" s="283"/>
      <c r="O697" s="283"/>
      <c r="P697" s="283"/>
      <c r="Q697" s="278"/>
      <c r="R697" s="278"/>
      <c r="S697" s="278"/>
      <c r="T697" s="278"/>
      <c r="U697" s="278"/>
      <c r="V697" s="278"/>
      <c r="W697" s="278"/>
      <c r="X697" s="278"/>
      <c r="Y697" s="278"/>
      <c r="Z697" s="278"/>
      <c r="AA697" s="278"/>
      <c r="AB697" s="278"/>
      <c r="AC697" s="278"/>
    </row>
    <row r="698" ht="15.75" customHeight="1">
      <c r="A698" s="302"/>
      <c r="B698" s="301"/>
      <c r="C698" s="292"/>
      <c r="D698" s="297"/>
      <c r="E698" s="302"/>
      <c r="F698" s="310"/>
      <c r="G698" s="310"/>
      <c r="H698" s="310"/>
      <c r="I698" s="283"/>
      <c r="J698" s="283"/>
      <c r="K698" s="283"/>
      <c r="L698" s="283"/>
      <c r="M698" s="283"/>
      <c r="N698" s="283"/>
      <c r="O698" s="283"/>
      <c r="P698" s="283"/>
      <c r="Q698" s="278"/>
      <c r="R698" s="278"/>
      <c r="S698" s="278"/>
      <c r="T698" s="278"/>
      <c r="U698" s="278"/>
      <c r="V698" s="278"/>
      <c r="W698" s="278"/>
      <c r="X698" s="278"/>
      <c r="Y698" s="278"/>
      <c r="Z698" s="278"/>
      <c r="AA698" s="278"/>
      <c r="AB698" s="278"/>
      <c r="AC698" s="278"/>
    </row>
    <row r="699" ht="15.75" customHeight="1">
      <c r="A699" s="302"/>
      <c r="B699" s="301"/>
      <c r="C699" s="292"/>
      <c r="D699" s="297"/>
      <c r="E699" s="302"/>
      <c r="F699" s="310"/>
      <c r="G699" s="310"/>
      <c r="H699" s="310"/>
      <c r="I699" s="283"/>
      <c r="J699" s="283"/>
      <c r="K699" s="283"/>
      <c r="L699" s="283"/>
      <c r="M699" s="283"/>
      <c r="N699" s="283"/>
      <c r="O699" s="283"/>
      <c r="P699" s="283"/>
      <c r="Q699" s="278"/>
      <c r="R699" s="278"/>
      <c r="S699" s="278"/>
      <c r="T699" s="278"/>
      <c r="U699" s="278"/>
      <c r="V699" s="278"/>
      <c r="W699" s="278"/>
      <c r="X699" s="278"/>
      <c r="Y699" s="278"/>
      <c r="Z699" s="278"/>
      <c r="AA699" s="278"/>
      <c r="AB699" s="278"/>
      <c r="AC699" s="278"/>
    </row>
    <row r="700" ht="15.75" customHeight="1">
      <c r="A700" s="302"/>
      <c r="B700" s="301"/>
      <c r="C700" s="292"/>
      <c r="D700" s="297"/>
      <c r="E700" s="302"/>
      <c r="F700" s="310"/>
      <c r="G700" s="310"/>
      <c r="H700" s="310"/>
      <c r="I700" s="283"/>
      <c r="J700" s="283"/>
      <c r="K700" s="283"/>
      <c r="L700" s="283"/>
      <c r="M700" s="283"/>
      <c r="N700" s="283"/>
      <c r="O700" s="283"/>
      <c r="P700" s="283"/>
      <c r="Q700" s="278"/>
      <c r="R700" s="278"/>
      <c r="S700" s="278"/>
      <c r="T700" s="278"/>
      <c r="U700" s="278"/>
      <c r="V700" s="278"/>
      <c r="W700" s="278"/>
      <c r="X700" s="278"/>
      <c r="Y700" s="278"/>
      <c r="Z700" s="278"/>
      <c r="AA700" s="278"/>
      <c r="AB700" s="278"/>
      <c r="AC700" s="278"/>
    </row>
    <row r="701" ht="15.75" customHeight="1">
      <c r="A701" s="302"/>
      <c r="B701" s="301"/>
      <c r="C701" s="292"/>
      <c r="D701" s="297"/>
      <c r="E701" s="302"/>
      <c r="F701" s="310"/>
      <c r="G701" s="310"/>
      <c r="H701" s="310"/>
      <c r="I701" s="283"/>
      <c r="J701" s="283"/>
      <c r="K701" s="283"/>
      <c r="L701" s="283"/>
      <c r="M701" s="283"/>
      <c r="N701" s="283"/>
      <c r="O701" s="283"/>
      <c r="P701" s="283"/>
      <c r="Q701" s="278"/>
      <c r="R701" s="278"/>
      <c r="S701" s="278"/>
      <c r="T701" s="278"/>
      <c r="U701" s="278"/>
      <c r="V701" s="278"/>
      <c r="W701" s="278"/>
      <c r="X701" s="278"/>
      <c r="Y701" s="278"/>
      <c r="Z701" s="278"/>
      <c r="AA701" s="278"/>
      <c r="AB701" s="278"/>
      <c r="AC701" s="278"/>
    </row>
    <row r="702" ht="15.75" customHeight="1">
      <c r="A702" s="302"/>
      <c r="B702" s="301"/>
      <c r="C702" s="292"/>
      <c r="D702" s="297"/>
      <c r="E702" s="302"/>
      <c r="F702" s="310"/>
      <c r="G702" s="310"/>
      <c r="H702" s="310"/>
      <c r="I702" s="283"/>
      <c r="J702" s="283"/>
      <c r="K702" s="283"/>
      <c r="L702" s="283"/>
      <c r="M702" s="283"/>
      <c r="N702" s="283"/>
      <c r="O702" s="283"/>
      <c r="P702" s="283"/>
      <c r="Q702" s="278"/>
      <c r="R702" s="278"/>
      <c r="S702" s="278"/>
      <c r="T702" s="278"/>
      <c r="U702" s="278"/>
      <c r="V702" s="278"/>
      <c r="W702" s="278"/>
      <c r="X702" s="278"/>
      <c r="Y702" s="278"/>
      <c r="Z702" s="278"/>
      <c r="AA702" s="278"/>
      <c r="AB702" s="278"/>
      <c r="AC702" s="278"/>
    </row>
    <row r="703" ht="15.75" customHeight="1">
      <c r="A703" s="302"/>
      <c r="B703" s="301"/>
      <c r="C703" s="292"/>
      <c r="D703" s="297"/>
      <c r="E703" s="302"/>
      <c r="F703" s="310"/>
      <c r="G703" s="310"/>
      <c r="H703" s="310"/>
      <c r="I703" s="283"/>
      <c r="J703" s="283"/>
      <c r="K703" s="283"/>
      <c r="L703" s="283"/>
      <c r="M703" s="283"/>
      <c r="N703" s="283"/>
      <c r="O703" s="283"/>
      <c r="P703" s="283"/>
      <c r="Q703" s="278"/>
      <c r="R703" s="278"/>
      <c r="S703" s="278"/>
      <c r="T703" s="278"/>
      <c r="U703" s="278"/>
      <c r="V703" s="278"/>
      <c r="W703" s="278"/>
      <c r="X703" s="278"/>
      <c r="Y703" s="278"/>
      <c r="Z703" s="278"/>
      <c r="AA703" s="278"/>
      <c r="AB703" s="278"/>
      <c r="AC703" s="278"/>
    </row>
    <row r="704" ht="15.75" customHeight="1">
      <c r="A704" s="302"/>
      <c r="B704" s="301"/>
      <c r="C704" s="292"/>
      <c r="D704" s="297"/>
      <c r="E704" s="302"/>
      <c r="F704" s="310"/>
      <c r="G704" s="310"/>
      <c r="H704" s="310"/>
      <c r="I704" s="283"/>
      <c r="J704" s="283"/>
      <c r="K704" s="283"/>
      <c r="L704" s="283"/>
      <c r="M704" s="283"/>
      <c r="N704" s="283"/>
      <c r="O704" s="283"/>
      <c r="P704" s="283"/>
      <c r="Q704" s="278"/>
      <c r="R704" s="278"/>
      <c r="S704" s="278"/>
      <c r="T704" s="278"/>
      <c r="U704" s="278"/>
      <c r="V704" s="278"/>
      <c r="W704" s="278"/>
      <c r="X704" s="278"/>
      <c r="Y704" s="278"/>
      <c r="Z704" s="278"/>
      <c r="AA704" s="278"/>
      <c r="AB704" s="278"/>
      <c r="AC704" s="278"/>
    </row>
    <row r="705" ht="15.75" customHeight="1">
      <c r="A705" s="302"/>
      <c r="B705" s="301"/>
      <c r="C705" s="292"/>
      <c r="D705" s="297"/>
      <c r="E705" s="302"/>
      <c r="F705" s="310"/>
      <c r="G705" s="310"/>
      <c r="H705" s="310"/>
      <c r="I705" s="283"/>
      <c r="J705" s="283"/>
      <c r="K705" s="283"/>
      <c r="L705" s="283"/>
      <c r="M705" s="283"/>
      <c r="N705" s="283"/>
      <c r="O705" s="283"/>
      <c r="P705" s="283"/>
      <c r="Q705" s="278"/>
      <c r="R705" s="278"/>
      <c r="S705" s="278"/>
      <c r="T705" s="278"/>
      <c r="U705" s="278"/>
      <c r="V705" s="278"/>
      <c r="W705" s="278"/>
      <c r="X705" s="278"/>
      <c r="Y705" s="278"/>
      <c r="Z705" s="278"/>
      <c r="AA705" s="278"/>
      <c r="AB705" s="278"/>
      <c r="AC705" s="278"/>
    </row>
    <row r="706" ht="15.75" customHeight="1">
      <c r="A706" s="302"/>
      <c r="B706" s="301"/>
      <c r="C706" s="292"/>
      <c r="D706" s="297"/>
      <c r="E706" s="302"/>
      <c r="F706" s="310"/>
      <c r="G706" s="310"/>
      <c r="H706" s="310"/>
      <c r="I706" s="283"/>
      <c r="J706" s="283"/>
      <c r="K706" s="283"/>
      <c r="L706" s="283"/>
      <c r="M706" s="283"/>
      <c r="N706" s="283"/>
      <c r="O706" s="283"/>
      <c r="P706" s="283"/>
      <c r="Q706" s="278"/>
      <c r="R706" s="278"/>
      <c r="S706" s="278"/>
      <c r="T706" s="278"/>
      <c r="U706" s="278"/>
      <c r="V706" s="278"/>
      <c r="W706" s="278"/>
      <c r="X706" s="278"/>
      <c r="Y706" s="278"/>
      <c r="Z706" s="278"/>
      <c r="AA706" s="278"/>
      <c r="AB706" s="278"/>
      <c r="AC706" s="278"/>
    </row>
    <row r="707" ht="15.75" customHeight="1">
      <c r="A707" s="302"/>
      <c r="B707" s="301"/>
      <c r="C707" s="292"/>
      <c r="D707" s="297"/>
      <c r="E707" s="302"/>
      <c r="F707" s="310"/>
      <c r="G707" s="310"/>
      <c r="H707" s="310"/>
      <c r="I707" s="283"/>
      <c r="J707" s="283"/>
      <c r="K707" s="283"/>
      <c r="L707" s="283"/>
      <c r="M707" s="283"/>
      <c r="N707" s="283"/>
      <c r="O707" s="283"/>
      <c r="P707" s="283"/>
      <c r="Q707" s="278"/>
      <c r="R707" s="278"/>
      <c r="S707" s="278"/>
      <c r="T707" s="278"/>
      <c r="U707" s="278"/>
      <c r="V707" s="278"/>
      <c r="W707" s="278"/>
      <c r="X707" s="278"/>
      <c r="Y707" s="278"/>
      <c r="Z707" s="278"/>
      <c r="AA707" s="278"/>
      <c r="AB707" s="278"/>
      <c r="AC707" s="278"/>
    </row>
    <row r="708" ht="15.75" customHeight="1">
      <c r="A708" s="302"/>
      <c r="B708" s="301"/>
      <c r="C708" s="292"/>
      <c r="D708" s="297"/>
      <c r="E708" s="302"/>
      <c r="F708" s="310"/>
      <c r="G708" s="310"/>
      <c r="H708" s="310"/>
      <c r="I708" s="283"/>
      <c r="J708" s="283"/>
      <c r="K708" s="283"/>
      <c r="L708" s="283"/>
      <c r="M708" s="283"/>
      <c r="N708" s="283"/>
      <c r="O708" s="283"/>
      <c r="P708" s="283"/>
      <c r="Q708" s="278"/>
      <c r="R708" s="278"/>
      <c r="S708" s="278"/>
      <c r="T708" s="278"/>
      <c r="U708" s="278"/>
      <c r="V708" s="278"/>
      <c r="W708" s="278"/>
      <c r="X708" s="278"/>
      <c r="Y708" s="278"/>
      <c r="Z708" s="278"/>
      <c r="AA708" s="278"/>
      <c r="AB708" s="278"/>
      <c r="AC708" s="278"/>
    </row>
    <row r="709" ht="15.75" customHeight="1">
      <c r="A709" s="302"/>
      <c r="B709" s="301"/>
      <c r="C709" s="292"/>
      <c r="D709" s="297"/>
      <c r="E709" s="302"/>
      <c r="F709" s="310"/>
      <c r="G709" s="310"/>
      <c r="H709" s="310"/>
      <c r="I709" s="283"/>
      <c r="J709" s="283"/>
      <c r="K709" s="283"/>
      <c r="L709" s="283"/>
      <c r="M709" s="283"/>
      <c r="N709" s="283"/>
      <c r="O709" s="283"/>
      <c r="P709" s="283"/>
      <c r="Q709" s="278"/>
      <c r="R709" s="278"/>
      <c r="S709" s="278"/>
      <c r="T709" s="278"/>
      <c r="U709" s="278"/>
      <c r="V709" s="278"/>
      <c r="W709" s="278"/>
      <c r="X709" s="278"/>
      <c r="Y709" s="278"/>
      <c r="Z709" s="278"/>
      <c r="AA709" s="278"/>
      <c r="AB709" s="278"/>
      <c r="AC709" s="278"/>
    </row>
    <row r="710" ht="15.75" customHeight="1">
      <c r="A710" s="302"/>
      <c r="B710" s="301"/>
      <c r="C710" s="292"/>
      <c r="D710" s="297"/>
      <c r="E710" s="302"/>
      <c r="F710" s="310"/>
      <c r="G710" s="310"/>
      <c r="H710" s="310"/>
      <c r="I710" s="283"/>
      <c r="J710" s="283"/>
      <c r="K710" s="283"/>
      <c r="L710" s="283"/>
      <c r="M710" s="283"/>
      <c r="N710" s="283"/>
      <c r="O710" s="283"/>
      <c r="P710" s="283"/>
      <c r="Q710" s="278"/>
      <c r="R710" s="278"/>
      <c r="S710" s="278"/>
      <c r="T710" s="278"/>
      <c r="U710" s="278"/>
      <c r="V710" s="278"/>
      <c r="W710" s="278"/>
      <c r="X710" s="278"/>
      <c r="Y710" s="278"/>
      <c r="Z710" s="278"/>
      <c r="AA710" s="278"/>
      <c r="AB710" s="278"/>
      <c r="AC710" s="278"/>
    </row>
    <row r="711" ht="15.75" customHeight="1">
      <c r="A711" s="302"/>
      <c r="B711" s="301"/>
      <c r="C711" s="292"/>
      <c r="D711" s="297"/>
      <c r="E711" s="302"/>
      <c r="F711" s="310"/>
      <c r="G711" s="310"/>
      <c r="H711" s="310"/>
      <c r="I711" s="283"/>
      <c r="J711" s="283"/>
      <c r="K711" s="283"/>
      <c r="L711" s="283"/>
      <c r="M711" s="283"/>
      <c r="N711" s="283"/>
      <c r="O711" s="283"/>
      <c r="P711" s="283"/>
      <c r="Q711" s="278"/>
      <c r="R711" s="278"/>
      <c r="S711" s="278"/>
      <c r="T711" s="278"/>
      <c r="U711" s="278"/>
      <c r="V711" s="278"/>
      <c r="W711" s="278"/>
      <c r="X711" s="278"/>
      <c r="Y711" s="278"/>
      <c r="Z711" s="278"/>
      <c r="AA711" s="278"/>
      <c r="AB711" s="278"/>
      <c r="AC711" s="278"/>
    </row>
    <row r="712" ht="15.75" customHeight="1">
      <c r="A712" s="302"/>
      <c r="B712" s="301"/>
      <c r="C712" s="292"/>
      <c r="D712" s="297"/>
      <c r="E712" s="302"/>
      <c r="F712" s="310"/>
      <c r="G712" s="310"/>
      <c r="H712" s="310"/>
      <c r="I712" s="283"/>
      <c r="J712" s="283"/>
      <c r="K712" s="283"/>
      <c r="L712" s="283"/>
      <c r="M712" s="283"/>
      <c r="N712" s="283"/>
      <c r="O712" s="283"/>
      <c r="P712" s="283"/>
      <c r="Q712" s="278"/>
      <c r="R712" s="278"/>
      <c r="S712" s="278"/>
      <c r="T712" s="278"/>
      <c r="U712" s="278"/>
      <c r="V712" s="278"/>
      <c r="W712" s="278"/>
      <c r="X712" s="278"/>
      <c r="Y712" s="278"/>
      <c r="Z712" s="278"/>
      <c r="AA712" s="278"/>
      <c r="AB712" s="278"/>
      <c r="AC712" s="278"/>
    </row>
    <row r="713" ht="15.75" customHeight="1">
      <c r="A713" s="302"/>
      <c r="B713" s="301"/>
      <c r="C713" s="292"/>
      <c r="D713" s="297"/>
      <c r="E713" s="302"/>
      <c r="F713" s="310"/>
      <c r="G713" s="310"/>
      <c r="H713" s="310"/>
      <c r="I713" s="283"/>
      <c r="J713" s="283"/>
      <c r="K713" s="283"/>
      <c r="L713" s="283"/>
      <c r="M713" s="283"/>
      <c r="N713" s="283"/>
      <c r="O713" s="283"/>
      <c r="P713" s="283"/>
      <c r="Q713" s="278"/>
      <c r="R713" s="278"/>
      <c r="S713" s="278"/>
      <c r="T713" s="278"/>
      <c r="U713" s="278"/>
      <c r="V713" s="278"/>
      <c r="W713" s="278"/>
      <c r="X713" s="278"/>
      <c r="Y713" s="278"/>
      <c r="Z713" s="278"/>
      <c r="AA713" s="278"/>
      <c r="AB713" s="278"/>
      <c r="AC713" s="278"/>
    </row>
    <row r="714" ht="15.75" customHeight="1">
      <c r="A714" s="302"/>
      <c r="B714" s="301"/>
      <c r="C714" s="292"/>
      <c r="D714" s="297"/>
      <c r="E714" s="302"/>
      <c r="F714" s="310"/>
      <c r="G714" s="310"/>
      <c r="H714" s="310"/>
      <c r="I714" s="283"/>
      <c r="J714" s="283"/>
      <c r="K714" s="283"/>
      <c r="L714" s="283"/>
      <c r="M714" s="283"/>
      <c r="N714" s="283"/>
      <c r="O714" s="283"/>
      <c r="P714" s="283"/>
      <c r="Q714" s="278"/>
      <c r="R714" s="278"/>
      <c r="S714" s="278"/>
      <c r="T714" s="278"/>
      <c r="U714" s="278"/>
      <c r="V714" s="278"/>
      <c r="W714" s="278"/>
      <c r="X714" s="278"/>
      <c r="Y714" s="278"/>
      <c r="Z714" s="278"/>
      <c r="AA714" s="278"/>
      <c r="AB714" s="278"/>
      <c r="AC714" s="278"/>
    </row>
    <row r="715" ht="15.75" customHeight="1">
      <c r="A715" s="302"/>
      <c r="B715" s="301"/>
      <c r="C715" s="292"/>
      <c r="D715" s="297"/>
      <c r="E715" s="302"/>
      <c r="F715" s="310"/>
      <c r="G715" s="310"/>
      <c r="H715" s="310"/>
      <c r="I715" s="283"/>
      <c r="J715" s="283"/>
      <c r="K715" s="283"/>
      <c r="L715" s="283"/>
      <c r="M715" s="283"/>
      <c r="N715" s="283"/>
      <c r="O715" s="283"/>
      <c r="P715" s="283"/>
      <c r="Q715" s="278"/>
      <c r="R715" s="278"/>
      <c r="S715" s="278"/>
      <c r="T715" s="278"/>
      <c r="U715" s="278"/>
      <c r="V715" s="278"/>
      <c r="W715" s="278"/>
      <c r="X715" s="278"/>
      <c r="Y715" s="278"/>
      <c r="Z715" s="278"/>
      <c r="AA715" s="278"/>
      <c r="AB715" s="278"/>
      <c r="AC715" s="278"/>
    </row>
    <row r="716" ht="15.75" customHeight="1">
      <c r="A716" s="302"/>
      <c r="B716" s="301"/>
      <c r="C716" s="292"/>
      <c r="D716" s="297"/>
      <c r="E716" s="302"/>
      <c r="F716" s="310"/>
      <c r="G716" s="310"/>
      <c r="H716" s="310"/>
      <c r="I716" s="283"/>
      <c r="J716" s="283"/>
      <c r="K716" s="283"/>
      <c r="L716" s="283"/>
      <c r="M716" s="283"/>
      <c r="N716" s="283"/>
      <c r="O716" s="283"/>
      <c r="P716" s="283"/>
      <c r="Q716" s="278"/>
      <c r="R716" s="278"/>
      <c r="S716" s="278"/>
      <c r="T716" s="278"/>
      <c r="U716" s="278"/>
      <c r="V716" s="278"/>
      <c r="W716" s="278"/>
      <c r="X716" s="278"/>
      <c r="Y716" s="278"/>
      <c r="Z716" s="278"/>
      <c r="AA716" s="278"/>
      <c r="AB716" s="278"/>
      <c r="AC716" s="278"/>
    </row>
    <row r="717" ht="15.75" customHeight="1">
      <c r="A717" s="302"/>
      <c r="B717" s="301"/>
      <c r="C717" s="292"/>
      <c r="D717" s="297"/>
      <c r="E717" s="302"/>
      <c r="F717" s="310"/>
      <c r="G717" s="310"/>
      <c r="H717" s="310"/>
      <c r="I717" s="283"/>
      <c r="J717" s="283"/>
      <c r="K717" s="283"/>
      <c r="L717" s="283"/>
      <c r="M717" s="283"/>
      <c r="N717" s="283"/>
      <c r="O717" s="283"/>
      <c r="P717" s="283"/>
      <c r="Q717" s="278"/>
      <c r="R717" s="278"/>
      <c r="S717" s="278"/>
      <c r="T717" s="278"/>
      <c r="U717" s="278"/>
      <c r="V717" s="278"/>
      <c r="W717" s="278"/>
      <c r="X717" s="278"/>
      <c r="Y717" s="278"/>
      <c r="Z717" s="278"/>
      <c r="AA717" s="278"/>
      <c r="AB717" s="278"/>
      <c r="AC717" s="278"/>
    </row>
    <row r="718" ht="15.75" customHeight="1">
      <c r="A718" s="302"/>
      <c r="B718" s="301"/>
      <c r="C718" s="292"/>
      <c r="D718" s="297"/>
      <c r="E718" s="302"/>
      <c r="F718" s="310"/>
      <c r="G718" s="310"/>
      <c r="H718" s="310"/>
      <c r="I718" s="283"/>
      <c r="J718" s="283"/>
      <c r="K718" s="283"/>
      <c r="L718" s="283"/>
      <c r="M718" s="283"/>
      <c r="N718" s="283"/>
      <c r="O718" s="283"/>
      <c r="P718" s="283"/>
      <c r="Q718" s="278"/>
      <c r="R718" s="278"/>
      <c r="S718" s="278"/>
      <c r="T718" s="278"/>
      <c r="U718" s="278"/>
      <c r="V718" s="278"/>
      <c r="W718" s="278"/>
      <c r="X718" s="278"/>
      <c r="Y718" s="278"/>
      <c r="Z718" s="278"/>
      <c r="AA718" s="278"/>
      <c r="AB718" s="278"/>
      <c r="AC718" s="278"/>
    </row>
    <row r="719" ht="15.75" customHeight="1">
      <c r="A719" s="302"/>
      <c r="B719" s="301"/>
      <c r="C719" s="292"/>
      <c r="D719" s="297"/>
      <c r="E719" s="302"/>
      <c r="F719" s="310"/>
      <c r="G719" s="310"/>
      <c r="H719" s="310"/>
      <c r="I719" s="283"/>
      <c r="J719" s="283"/>
      <c r="K719" s="283"/>
      <c r="L719" s="283"/>
      <c r="M719" s="283"/>
      <c r="N719" s="283"/>
      <c r="O719" s="283"/>
      <c r="P719" s="283"/>
      <c r="Q719" s="278"/>
      <c r="R719" s="278"/>
      <c r="S719" s="278"/>
      <c r="T719" s="278"/>
      <c r="U719" s="278"/>
      <c r="V719" s="278"/>
      <c r="W719" s="278"/>
      <c r="X719" s="278"/>
      <c r="Y719" s="278"/>
      <c r="Z719" s="278"/>
      <c r="AA719" s="278"/>
      <c r="AB719" s="278"/>
      <c r="AC719" s="278"/>
    </row>
    <row r="720" ht="15.75" customHeight="1">
      <c r="A720" s="302"/>
      <c r="B720" s="301"/>
      <c r="C720" s="292"/>
      <c r="D720" s="297"/>
      <c r="E720" s="302"/>
      <c r="F720" s="310"/>
      <c r="G720" s="310"/>
      <c r="H720" s="310"/>
      <c r="I720" s="283"/>
      <c r="J720" s="283"/>
      <c r="K720" s="283"/>
      <c r="L720" s="283"/>
      <c r="M720" s="283"/>
      <c r="N720" s="283"/>
      <c r="O720" s="283"/>
      <c r="P720" s="283"/>
      <c r="Q720" s="278"/>
      <c r="R720" s="278"/>
      <c r="S720" s="278"/>
      <c r="T720" s="278"/>
      <c r="U720" s="278"/>
      <c r="V720" s="278"/>
      <c r="W720" s="278"/>
      <c r="X720" s="278"/>
      <c r="Y720" s="278"/>
      <c r="Z720" s="278"/>
      <c r="AA720" s="278"/>
      <c r="AB720" s="278"/>
      <c r="AC720" s="278"/>
    </row>
    <row r="721" ht="15.75" customHeight="1">
      <c r="A721" s="302"/>
      <c r="B721" s="301"/>
      <c r="C721" s="292"/>
      <c r="D721" s="297"/>
      <c r="E721" s="302"/>
      <c r="F721" s="310"/>
      <c r="G721" s="310"/>
      <c r="H721" s="310"/>
      <c r="I721" s="283"/>
      <c r="J721" s="283"/>
      <c r="K721" s="283"/>
      <c r="L721" s="283"/>
      <c r="M721" s="283"/>
      <c r="N721" s="283"/>
      <c r="O721" s="283"/>
      <c r="P721" s="283"/>
      <c r="Q721" s="278"/>
      <c r="R721" s="278"/>
      <c r="S721" s="278"/>
      <c r="T721" s="278"/>
      <c r="U721" s="278"/>
      <c r="V721" s="278"/>
      <c r="W721" s="278"/>
      <c r="X721" s="278"/>
      <c r="Y721" s="278"/>
      <c r="Z721" s="278"/>
      <c r="AA721" s="278"/>
      <c r="AB721" s="278"/>
      <c r="AC721" s="278"/>
    </row>
    <row r="722" ht="15.75" customHeight="1">
      <c r="A722" s="302"/>
      <c r="B722" s="301"/>
      <c r="C722" s="292"/>
      <c r="D722" s="297"/>
      <c r="E722" s="302"/>
      <c r="F722" s="310"/>
      <c r="G722" s="310"/>
      <c r="H722" s="310"/>
      <c r="I722" s="283"/>
      <c r="J722" s="283"/>
      <c r="K722" s="283"/>
      <c r="L722" s="283"/>
      <c r="M722" s="283"/>
      <c r="N722" s="283"/>
      <c r="O722" s="283"/>
      <c r="P722" s="283"/>
      <c r="Q722" s="278"/>
      <c r="R722" s="278"/>
      <c r="S722" s="278"/>
      <c r="T722" s="278"/>
      <c r="U722" s="278"/>
      <c r="V722" s="278"/>
      <c r="W722" s="278"/>
      <c r="X722" s="278"/>
      <c r="Y722" s="278"/>
      <c r="Z722" s="278"/>
      <c r="AA722" s="278"/>
      <c r="AB722" s="278"/>
      <c r="AC722" s="278"/>
    </row>
    <row r="723" ht="15.75" customHeight="1">
      <c r="A723" s="302"/>
      <c r="B723" s="301"/>
      <c r="C723" s="292"/>
      <c r="D723" s="297"/>
      <c r="E723" s="302"/>
      <c r="F723" s="310"/>
      <c r="G723" s="310"/>
      <c r="H723" s="310"/>
      <c r="I723" s="283"/>
      <c r="J723" s="283"/>
      <c r="K723" s="283"/>
      <c r="L723" s="283"/>
      <c r="M723" s="283"/>
      <c r="N723" s="283"/>
      <c r="O723" s="283"/>
      <c r="P723" s="283"/>
      <c r="Q723" s="278"/>
      <c r="R723" s="278"/>
      <c r="S723" s="278"/>
      <c r="T723" s="278"/>
      <c r="U723" s="278"/>
      <c r="V723" s="278"/>
      <c r="W723" s="278"/>
      <c r="X723" s="278"/>
      <c r="Y723" s="278"/>
      <c r="Z723" s="278"/>
      <c r="AA723" s="278"/>
      <c r="AB723" s="278"/>
      <c r="AC723" s="278"/>
    </row>
    <row r="724" ht="15.75" customHeight="1">
      <c r="A724" s="302"/>
      <c r="B724" s="301"/>
      <c r="C724" s="292"/>
      <c r="D724" s="297"/>
      <c r="E724" s="302"/>
      <c r="F724" s="310"/>
      <c r="G724" s="310"/>
      <c r="H724" s="310"/>
      <c r="I724" s="283"/>
      <c r="J724" s="283"/>
      <c r="K724" s="283"/>
      <c r="L724" s="283"/>
      <c r="M724" s="283"/>
      <c r="N724" s="283"/>
      <c r="O724" s="283"/>
      <c r="P724" s="283"/>
      <c r="Q724" s="278"/>
      <c r="R724" s="278"/>
      <c r="S724" s="278"/>
      <c r="T724" s="278"/>
      <c r="U724" s="278"/>
      <c r="V724" s="278"/>
      <c r="W724" s="278"/>
      <c r="X724" s="278"/>
      <c r="Y724" s="278"/>
      <c r="Z724" s="278"/>
      <c r="AA724" s="278"/>
      <c r="AB724" s="278"/>
      <c r="AC724" s="278"/>
    </row>
    <row r="725" ht="15.75" customHeight="1">
      <c r="A725" s="302"/>
      <c r="B725" s="301"/>
      <c r="C725" s="292"/>
      <c r="D725" s="297"/>
      <c r="E725" s="302"/>
      <c r="F725" s="310"/>
      <c r="G725" s="310"/>
      <c r="H725" s="310"/>
      <c r="I725" s="283"/>
      <c r="J725" s="283"/>
      <c r="K725" s="283"/>
      <c r="L725" s="283"/>
      <c r="M725" s="283"/>
      <c r="N725" s="283"/>
      <c r="O725" s="283"/>
      <c r="P725" s="283"/>
      <c r="Q725" s="278"/>
      <c r="R725" s="278"/>
      <c r="S725" s="278"/>
      <c r="T725" s="278"/>
      <c r="U725" s="278"/>
      <c r="V725" s="278"/>
      <c r="W725" s="278"/>
      <c r="X725" s="278"/>
      <c r="Y725" s="278"/>
      <c r="Z725" s="278"/>
      <c r="AA725" s="278"/>
      <c r="AB725" s="278"/>
      <c r="AC725" s="278"/>
    </row>
    <row r="726" ht="15.75" customHeight="1">
      <c r="A726" s="302"/>
      <c r="B726" s="301"/>
      <c r="C726" s="292"/>
      <c r="D726" s="297"/>
      <c r="E726" s="302"/>
      <c r="F726" s="310"/>
      <c r="G726" s="310"/>
      <c r="H726" s="310"/>
      <c r="I726" s="283"/>
      <c r="J726" s="283"/>
      <c r="K726" s="283"/>
      <c r="L726" s="283"/>
      <c r="M726" s="283"/>
      <c r="N726" s="283"/>
      <c r="O726" s="283"/>
      <c r="P726" s="283"/>
      <c r="Q726" s="278"/>
      <c r="R726" s="278"/>
      <c r="S726" s="278"/>
      <c r="T726" s="278"/>
      <c r="U726" s="278"/>
      <c r="V726" s="278"/>
      <c r="W726" s="278"/>
      <c r="X726" s="278"/>
      <c r="Y726" s="278"/>
      <c r="Z726" s="278"/>
      <c r="AA726" s="278"/>
      <c r="AB726" s="278"/>
      <c r="AC726" s="278"/>
    </row>
    <row r="727" ht="15.75" customHeight="1">
      <c r="A727" s="302"/>
      <c r="B727" s="301"/>
      <c r="C727" s="292"/>
      <c r="D727" s="297"/>
      <c r="E727" s="302"/>
      <c r="F727" s="310"/>
      <c r="G727" s="310"/>
      <c r="H727" s="310"/>
      <c r="I727" s="283"/>
      <c r="J727" s="283"/>
      <c r="K727" s="283"/>
      <c r="L727" s="283"/>
      <c r="M727" s="283"/>
      <c r="N727" s="283"/>
      <c r="O727" s="283"/>
      <c r="P727" s="283"/>
      <c r="Q727" s="278"/>
      <c r="R727" s="278"/>
      <c r="S727" s="278"/>
      <c r="T727" s="278"/>
      <c r="U727" s="278"/>
      <c r="V727" s="278"/>
      <c r="W727" s="278"/>
      <c r="X727" s="278"/>
      <c r="Y727" s="278"/>
      <c r="Z727" s="278"/>
      <c r="AA727" s="278"/>
      <c r="AB727" s="278"/>
      <c r="AC727" s="278"/>
    </row>
    <row r="728" ht="15.75" customHeight="1">
      <c r="A728" s="302"/>
      <c r="B728" s="301"/>
      <c r="C728" s="292"/>
      <c r="D728" s="297"/>
      <c r="E728" s="302"/>
      <c r="F728" s="310"/>
      <c r="G728" s="310"/>
      <c r="H728" s="310"/>
      <c r="I728" s="283"/>
      <c r="J728" s="283"/>
      <c r="K728" s="283"/>
      <c r="L728" s="283"/>
      <c r="M728" s="283"/>
      <c r="N728" s="283"/>
      <c r="O728" s="283"/>
      <c r="P728" s="283"/>
      <c r="Q728" s="278"/>
      <c r="R728" s="278"/>
      <c r="S728" s="278"/>
      <c r="T728" s="278"/>
      <c r="U728" s="278"/>
      <c r="V728" s="278"/>
      <c r="W728" s="278"/>
      <c r="X728" s="278"/>
      <c r="Y728" s="278"/>
      <c r="Z728" s="278"/>
      <c r="AA728" s="278"/>
      <c r="AB728" s="278"/>
      <c r="AC728" s="278"/>
    </row>
    <row r="729" ht="15.75" customHeight="1">
      <c r="A729" s="302"/>
      <c r="B729" s="301"/>
      <c r="C729" s="292"/>
      <c r="D729" s="297"/>
      <c r="E729" s="302"/>
      <c r="F729" s="310"/>
      <c r="G729" s="310"/>
      <c r="H729" s="310"/>
      <c r="I729" s="283"/>
      <c r="J729" s="283"/>
      <c r="K729" s="283"/>
      <c r="L729" s="283"/>
      <c r="M729" s="283"/>
      <c r="N729" s="283"/>
      <c r="O729" s="283"/>
      <c r="P729" s="283"/>
      <c r="Q729" s="278"/>
      <c r="R729" s="278"/>
      <c r="S729" s="278"/>
      <c r="T729" s="278"/>
      <c r="U729" s="278"/>
      <c r="V729" s="278"/>
      <c r="W729" s="278"/>
      <c r="X729" s="278"/>
      <c r="Y729" s="278"/>
      <c r="Z729" s="278"/>
      <c r="AA729" s="278"/>
      <c r="AB729" s="278"/>
      <c r="AC729" s="278"/>
    </row>
    <row r="730" ht="15.75" customHeight="1">
      <c r="A730" s="302"/>
      <c r="B730" s="301"/>
      <c r="C730" s="292"/>
      <c r="D730" s="297"/>
      <c r="E730" s="302"/>
      <c r="F730" s="310"/>
      <c r="G730" s="310"/>
      <c r="H730" s="310"/>
      <c r="I730" s="283"/>
      <c r="J730" s="283"/>
      <c r="K730" s="283"/>
      <c r="L730" s="283"/>
      <c r="M730" s="283"/>
      <c r="N730" s="283"/>
      <c r="O730" s="283"/>
      <c r="P730" s="283"/>
      <c r="Q730" s="278"/>
      <c r="R730" s="278"/>
      <c r="S730" s="278"/>
      <c r="T730" s="278"/>
      <c r="U730" s="278"/>
      <c r="V730" s="278"/>
      <c r="W730" s="278"/>
      <c r="X730" s="278"/>
      <c r="Y730" s="278"/>
      <c r="Z730" s="278"/>
      <c r="AA730" s="278"/>
      <c r="AB730" s="278"/>
      <c r="AC730" s="278"/>
    </row>
    <row r="731" ht="15.75" customHeight="1">
      <c r="A731" s="302"/>
      <c r="B731" s="301"/>
      <c r="C731" s="292"/>
      <c r="D731" s="297"/>
      <c r="E731" s="302"/>
      <c r="F731" s="310"/>
      <c r="G731" s="310"/>
      <c r="H731" s="310"/>
      <c r="I731" s="283"/>
      <c r="J731" s="283"/>
      <c r="K731" s="283"/>
      <c r="L731" s="283"/>
      <c r="M731" s="283"/>
      <c r="N731" s="283"/>
      <c r="O731" s="283"/>
      <c r="P731" s="283"/>
      <c r="Q731" s="278"/>
      <c r="R731" s="278"/>
      <c r="S731" s="278"/>
      <c r="T731" s="278"/>
      <c r="U731" s="278"/>
      <c r="V731" s="278"/>
      <c r="W731" s="278"/>
      <c r="X731" s="278"/>
      <c r="Y731" s="278"/>
      <c r="Z731" s="278"/>
      <c r="AA731" s="278"/>
      <c r="AB731" s="278"/>
      <c r="AC731" s="278"/>
    </row>
    <row r="732" ht="15.75" customHeight="1">
      <c r="A732" s="302"/>
      <c r="B732" s="301"/>
      <c r="C732" s="292"/>
      <c r="D732" s="297"/>
      <c r="E732" s="302"/>
      <c r="F732" s="310"/>
      <c r="G732" s="310"/>
      <c r="H732" s="310"/>
      <c r="I732" s="283"/>
      <c r="J732" s="283"/>
      <c r="K732" s="283"/>
      <c r="L732" s="283"/>
      <c r="M732" s="283"/>
      <c r="N732" s="283"/>
      <c r="O732" s="283"/>
      <c r="P732" s="283"/>
      <c r="Q732" s="278"/>
      <c r="R732" s="278"/>
      <c r="S732" s="278"/>
      <c r="T732" s="278"/>
      <c r="U732" s="278"/>
      <c r="V732" s="278"/>
      <c r="W732" s="278"/>
      <c r="X732" s="278"/>
      <c r="Y732" s="278"/>
      <c r="Z732" s="278"/>
      <c r="AA732" s="278"/>
      <c r="AB732" s="278"/>
      <c r="AC732" s="278"/>
    </row>
    <row r="733" ht="15.75" customHeight="1">
      <c r="A733" s="302"/>
      <c r="B733" s="301"/>
      <c r="C733" s="292"/>
      <c r="D733" s="297"/>
      <c r="E733" s="302"/>
      <c r="F733" s="310"/>
      <c r="G733" s="310"/>
      <c r="H733" s="310"/>
      <c r="I733" s="283"/>
      <c r="J733" s="283"/>
      <c r="K733" s="283"/>
      <c r="L733" s="283"/>
      <c r="M733" s="283"/>
      <c r="N733" s="283"/>
      <c r="O733" s="283"/>
      <c r="P733" s="283"/>
      <c r="Q733" s="278"/>
      <c r="R733" s="278"/>
      <c r="S733" s="278"/>
      <c r="T733" s="278"/>
      <c r="U733" s="278"/>
      <c r="V733" s="278"/>
      <c r="W733" s="278"/>
      <c r="X733" s="278"/>
      <c r="Y733" s="278"/>
      <c r="Z733" s="278"/>
      <c r="AA733" s="278"/>
      <c r="AB733" s="278"/>
      <c r="AC733" s="278"/>
    </row>
    <row r="734" ht="15.75" customHeight="1">
      <c r="A734" s="302"/>
      <c r="B734" s="301"/>
      <c r="C734" s="292"/>
      <c r="D734" s="297"/>
      <c r="E734" s="302"/>
      <c r="F734" s="310"/>
      <c r="G734" s="310"/>
      <c r="H734" s="310"/>
      <c r="I734" s="283"/>
      <c r="J734" s="283"/>
      <c r="K734" s="283"/>
      <c r="L734" s="283"/>
      <c r="M734" s="283"/>
      <c r="N734" s="283"/>
      <c r="O734" s="283"/>
      <c r="P734" s="283"/>
      <c r="Q734" s="278"/>
      <c r="R734" s="278"/>
      <c r="S734" s="278"/>
      <c r="T734" s="278"/>
      <c r="U734" s="278"/>
      <c r="V734" s="278"/>
      <c r="W734" s="278"/>
      <c r="X734" s="278"/>
      <c r="Y734" s="278"/>
      <c r="Z734" s="278"/>
      <c r="AA734" s="278"/>
      <c r="AB734" s="278"/>
      <c r="AC734" s="278"/>
    </row>
    <row r="735" ht="15.75" customHeight="1">
      <c r="A735" s="302"/>
      <c r="B735" s="301"/>
      <c r="C735" s="292"/>
      <c r="D735" s="297"/>
      <c r="E735" s="302"/>
      <c r="F735" s="310"/>
      <c r="G735" s="310"/>
      <c r="H735" s="310"/>
      <c r="I735" s="283"/>
      <c r="J735" s="283"/>
      <c r="K735" s="283"/>
      <c r="L735" s="283"/>
      <c r="M735" s="283"/>
      <c r="N735" s="283"/>
      <c r="O735" s="283"/>
      <c r="P735" s="283"/>
      <c r="Q735" s="278"/>
      <c r="R735" s="278"/>
      <c r="S735" s="278"/>
      <c r="T735" s="278"/>
      <c r="U735" s="278"/>
      <c r="V735" s="278"/>
      <c r="W735" s="278"/>
      <c r="X735" s="278"/>
      <c r="Y735" s="278"/>
      <c r="Z735" s="278"/>
      <c r="AA735" s="278"/>
      <c r="AB735" s="278"/>
      <c r="AC735" s="278"/>
    </row>
    <row r="736" ht="15.75" customHeight="1">
      <c r="A736" s="302"/>
      <c r="B736" s="301"/>
      <c r="C736" s="292"/>
      <c r="D736" s="297"/>
      <c r="E736" s="302"/>
      <c r="F736" s="310"/>
      <c r="G736" s="310"/>
      <c r="H736" s="310"/>
      <c r="I736" s="283"/>
      <c r="J736" s="283"/>
      <c r="K736" s="283"/>
      <c r="L736" s="283"/>
      <c r="M736" s="283"/>
      <c r="N736" s="283"/>
      <c r="O736" s="283"/>
      <c r="P736" s="283"/>
      <c r="Q736" s="278"/>
      <c r="R736" s="278"/>
      <c r="S736" s="278"/>
      <c r="T736" s="278"/>
      <c r="U736" s="278"/>
      <c r="V736" s="278"/>
      <c r="W736" s="278"/>
      <c r="X736" s="278"/>
      <c r="Y736" s="278"/>
      <c r="Z736" s="278"/>
      <c r="AA736" s="278"/>
      <c r="AB736" s="278"/>
      <c r="AC736" s="278"/>
    </row>
    <row r="737" ht="15.75" customHeight="1">
      <c r="A737" s="302"/>
      <c r="B737" s="301"/>
      <c r="C737" s="292"/>
      <c r="D737" s="297"/>
      <c r="E737" s="302"/>
      <c r="F737" s="310"/>
      <c r="G737" s="310"/>
      <c r="H737" s="310"/>
      <c r="I737" s="283"/>
      <c r="J737" s="283"/>
      <c r="K737" s="283"/>
      <c r="L737" s="283"/>
      <c r="M737" s="283"/>
      <c r="N737" s="283"/>
      <c r="O737" s="283"/>
      <c r="P737" s="283"/>
      <c r="Q737" s="278"/>
      <c r="R737" s="278"/>
      <c r="S737" s="278"/>
      <c r="T737" s="278"/>
      <c r="U737" s="278"/>
      <c r="V737" s="278"/>
      <c r="W737" s="278"/>
      <c r="X737" s="278"/>
      <c r="Y737" s="278"/>
      <c r="Z737" s="278"/>
      <c r="AA737" s="278"/>
      <c r="AB737" s="278"/>
      <c r="AC737" s="278"/>
    </row>
    <row r="738" ht="15.75" customHeight="1">
      <c r="A738" s="302"/>
      <c r="B738" s="301"/>
      <c r="C738" s="292"/>
      <c r="D738" s="297"/>
      <c r="E738" s="302"/>
      <c r="F738" s="310"/>
      <c r="G738" s="310"/>
      <c r="H738" s="310"/>
      <c r="I738" s="283"/>
      <c r="J738" s="283"/>
      <c r="K738" s="283"/>
      <c r="L738" s="283"/>
      <c r="M738" s="283"/>
      <c r="N738" s="283"/>
      <c r="O738" s="283"/>
      <c r="P738" s="283"/>
      <c r="Q738" s="278"/>
      <c r="R738" s="278"/>
      <c r="S738" s="278"/>
      <c r="T738" s="278"/>
      <c r="U738" s="278"/>
      <c r="V738" s="278"/>
      <c r="W738" s="278"/>
      <c r="X738" s="278"/>
      <c r="Y738" s="278"/>
      <c r="Z738" s="278"/>
      <c r="AA738" s="278"/>
      <c r="AB738" s="278"/>
      <c r="AC738" s="278"/>
    </row>
    <row r="739" ht="15.75" customHeight="1">
      <c r="A739" s="302"/>
      <c r="B739" s="301"/>
      <c r="C739" s="292"/>
      <c r="D739" s="297"/>
      <c r="E739" s="302"/>
      <c r="F739" s="310"/>
      <c r="G739" s="310"/>
      <c r="H739" s="310"/>
      <c r="I739" s="283"/>
      <c r="J739" s="283"/>
      <c r="K739" s="283"/>
      <c r="L739" s="283"/>
      <c r="M739" s="283"/>
      <c r="N739" s="283"/>
      <c r="O739" s="283"/>
      <c r="P739" s="283"/>
      <c r="Q739" s="278"/>
      <c r="R739" s="278"/>
      <c r="S739" s="278"/>
      <c r="T739" s="278"/>
      <c r="U739" s="278"/>
      <c r="V739" s="278"/>
      <c r="W739" s="278"/>
      <c r="X739" s="278"/>
      <c r="Y739" s="278"/>
      <c r="Z739" s="278"/>
      <c r="AA739" s="278"/>
      <c r="AB739" s="278"/>
      <c r="AC739" s="278"/>
    </row>
    <row r="740" ht="15.75" customHeight="1">
      <c r="A740" s="302"/>
      <c r="B740" s="301"/>
      <c r="C740" s="292"/>
      <c r="D740" s="297"/>
      <c r="E740" s="302"/>
      <c r="F740" s="310"/>
      <c r="G740" s="310"/>
      <c r="H740" s="310"/>
      <c r="I740" s="283"/>
      <c r="J740" s="283"/>
      <c r="K740" s="283"/>
      <c r="L740" s="283"/>
      <c r="M740" s="283"/>
      <c r="N740" s="283"/>
      <c r="O740" s="283"/>
      <c r="P740" s="283"/>
      <c r="Q740" s="278"/>
      <c r="R740" s="278"/>
      <c r="S740" s="278"/>
      <c r="T740" s="278"/>
      <c r="U740" s="278"/>
      <c r="V740" s="278"/>
      <c r="W740" s="278"/>
      <c r="X740" s="278"/>
      <c r="Y740" s="278"/>
      <c r="Z740" s="278"/>
      <c r="AA740" s="278"/>
      <c r="AB740" s="278"/>
      <c r="AC740" s="278"/>
    </row>
    <row r="741" ht="15.75" customHeight="1">
      <c r="A741" s="302"/>
      <c r="B741" s="301"/>
      <c r="C741" s="292"/>
      <c r="D741" s="297"/>
      <c r="E741" s="302"/>
      <c r="F741" s="310"/>
      <c r="G741" s="310"/>
      <c r="H741" s="310"/>
      <c r="I741" s="283"/>
      <c r="J741" s="283"/>
      <c r="K741" s="283"/>
      <c r="L741" s="283"/>
      <c r="M741" s="283"/>
      <c r="N741" s="283"/>
      <c r="O741" s="283"/>
      <c r="P741" s="283"/>
      <c r="Q741" s="278"/>
      <c r="R741" s="278"/>
      <c r="S741" s="278"/>
      <c r="T741" s="278"/>
      <c r="U741" s="278"/>
      <c r="V741" s="278"/>
      <c r="W741" s="278"/>
      <c r="X741" s="278"/>
      <c r="Y741" s="278"/>
      <c r="Z741" s="278"/>
      <c r="AA741" s="278"/>
      <c r="AB741" s="278"/>
      <c r="AC741" s="278"/>
    </row>
    <row r="742" ht="15.75" customHeight="1">
      <c r="A742" s="302"/>
      <c r="B742" s="301"/>
      <c r="C742" s="292"/>
      <c r="D742" s="297"/>
      <c r="E742" s="302"/>
      <c r="F742" s="310"/>
      <c r="G742" s="310"/>
      <c r="H742" s="310"/>
      <c r="I742" s="283"/>
      <c r="J742" s="283"/>
      <c r="K742" s="283"/>
      <c r="L742" s="283"/>
      <c r="M742" s="283"/>
      <c r="N742" s="283"/>
      <c r="O742" s="283"/>
      <c r="P742" s="283"/>
      <c r="Q742" s="278"/>
      <c r="R742" s="278"/>
      <c r="S742" s="278"/>
      <c r="T742" s="278"/>
      <c r="U742" s="278"/>
      <c r="V742" s="278"/>
      <c r="W742" s="278"/>
      <c r="X742" s="278"/>
      <c r="Y742" s="278"/>
      <c r="Z742" s="278"/>
      <c r="AA742" s="278"/>
      <c r="AB742" s="278"/>
      <c r="AC742" s="278"/>
    </row>
    <row r="743" ht="15.75" customHeight="1">
      <c r="A743" s="302"/>
      <c r="B743" s="301"/>
      <c r="C743" s="292"/>
      <c r="D743" s="297"/>
      <c r="E743" s="302"/>
      <c r="F743" s="310"/>
      <c r="G743" s="310"/>
      <c r="H743" s="310"/>
      <c r="I743" s="283"/>
      <c r="J743" s="283"/>
      <c r="K743" s="283"/>
      <c r="L743" s="283"/>
      <c r="M743" s="283"/>
      <c r="N743" s="283"/>
      <c r="O743" s="283"/>
      <c r="P743" s="283"/>
      <c r="Q743" s="278"/>
      <c r="R743" s="278"/>
      <c r="S743" s="278"/>
      <c r="T743" s="278"/>
      <c r="U743" s="278"/>
      <c r="V743" s="278"/>
      <c r="W743" s="278"/>
      <c r="X743" s="278"/>
      <c r="Y743" s="278"/>
      <c r="Z743" s="278"/>
      <c r="AA743" s="278"/>
      <c r="AB743" s="278"/>
      <c r="AC743" s="278"/>
    </row>
    <row r="744" ht="15.75" customHeight="1">
      <c r="A744" s="302"/>
      <c r="B744" s="301"/>
      <c r="C744" s="292"/>
      <c r="D744" s="297"/>
      <c r="E744" s="302"/>
      <c r="F744" s="310"/>
      <c r="G744" s="310"/>
      <c r="H744" s="310"/>
      <c r="I744" s="283"/>
      <c r="J744" s="283"/>
      <c r="K744" s="283"/>
      <c r="L744" s="283"/>
      <c r="M744" s="283"/>
      <c r="N744" s="283"/>
      <c r="O744" s="283"/>
      <c r="P744" s="283"/>
      <c r="Q744" s="278"/>
      <c r="R744" s="278"/>
      <c r="S744" s="278"/>
      <c r="T744" s="278"/>
      <c r="U744" s="278"/>
      <c r="V744" s="278"/>
      <c r="W744" s="278"/>
      <c r="X744" s="278"/>
      <c r="Y744" s="278"/>
      <c r="Z744" s="278"/>
      <c r="AA744" s="278"/>
      <c r="AB744" s="278"/>
      <c r="AC744" s="278"/>
    </row>
    <row r="745" ht="15.75" customHeight="1">
      <c r="A745" s="302"/>
      <c r="B745" s="301"/>
      <c r="C745" s="292"/>
      <c r="D745" s="297"/>
      <c r="E745" s="302"/>
      <c r="F745" s="310"/>
      <c r="G745" s="310"/>
      <c r="H745" s="310"/>
      <c r="I745" s="283"/>
      <c r="J745" s="283"/>
      <c r="K745" s="283"/>
      <c r="L745" s="283"/>
      <c r="M745" s="283"/>
      <c r="N745" s="283"/>
      <c r="O745" s="283"/>
      <c r="P745" s="283"/>
      <c r="Q745" s="278"/>
      <c r="R745" s="278"/>
      <c r="S745" s="278"/>
      <c r="T745" s="278"/>
      <c r="U745" s="278"/>
      <c r="V745" s="278"/>
      <c r="W745" s="278"/>
      <c r="X745" s="278"/>
      <c r="Y745" s="278"/>
      <c r="Z745" s="278"/>
      <c r="AA745" s="278"/>
      <c r="AB745" s="278"/>
      <c r="AC745" s="278"/>
    </row>
    <row r="746" ht="15.75" customHeight="1">
      <c r="A746" s="302"/>
      <c r="B746" s="301"/>
      <c r="C746" s="292"/>
      <c r="D746" s="297"/>
      <c r="E746" s="302"/>
      <c r="F746" s="310"/>
      <c r="G746" s="310"/>
      <c r="H746" s="310"/>
      <c r="I746" s="283"/>
      <c r="J746" s="283"/>
      <c r="K746" s="283"/>
      <c r="L746" s="283"/>
      <c r="M746" s="283"/>
      <c r="N746" s="283"/>
      <c r="O746" s="283"/>
      <c r="P746" s="283"/>
      <c r="Q746" s="278"/>
      <c r="R746" s="278"/>
      <c r="S746" s="278"/>
      <c r="T746" s="278"/>
      <c r="U746" s="278"/>
      <c r="V746" s="278"/>
      <c r="W746" s="278"/>
      <c r="X746" s="278"/>
      <c r="Y746" s="278"/>
      <c r="Z746" s="278"/>
      <c r="AA746" s="278"/>
      <c r="AB746" s="278"/>
      <c r="AC746" s="278"/>
    </row>
    <row r="747" ht="15.75" customHeight="1">
      <c r="A747" s="302"/>
      <c r="B747" s="301"/>
      <c r="C747" s="292"/>
      <c r="D747" s="297"/>
      <c r="E747" s="302"/>
      <c r="F747" s="310"/>
      <c r="G747" s="310"/>
      <c r="H747" s="310"/>
      <c r="I747" s="283"/>
      <c r="J747" s="283"/>
      <c r="K747" s="283"/>
      <c r="L747" s="283"/>
      <c r="M747" s="283"/>
      <c r="N747" s="283"/>
      <c r="O747" s="283"/>
      <c r="P747" s="283"/>
      <c r="Q747" s="278"/>
      <c r="R747" s="278"/>
      <c r="S747" s="278"/>
      <c r="T747" s="278"/>
      <c r="U747" s="278"/>
      <c r="V747" s="278"/>
      <c r="W747" s="278"/>
      <c r="X747" s="278"/>
      <c r="Y747" s="278"/>
      <c r="Z747" s="278"/>
      <c r="AA747" s="278"/>
      <c r="AB747" s="278"/>
      <c r="AC747" s="278"/>
    </row>
    <row r="748" ht="15.75" customHeight="1">
      <c r="A748" s="302"/>
      <c r="B748" s="301"/>
      <c r="C748" s="292"/>
      <c r="D748" s="297"/>
      <c r="E748" s="302"/>
      <c r="F748" s="310"/>
      <c r="G748" s="310"/>
      <c r="H748" s="310"/>
      <c r="I748" s="283"/>
      <c r="J748" s="283"/>
      <c r="K748" s="283"/>
      <c r="L748" s="283"/>
      <c r="M748" s="283"/>
      <c r="N748" s="283"/>
      <c r="O748" s="283"/>
      <c r="P748" s="283"/>
      <c r="Q748" s="278"/>
      <c r="R748" s="278"/>
      <c r="S748" s="278"/>
      <c r="T748" s="278"/>
      <c r="U748" s="278"/>
      <c r="V748" s="278"/>
      <c r="W748" s="278"/>
      <c r="X748" s="278"/>
      <c r="Y748" s="278"/>
      <c r="Z748" s="278"/>
      <c r="AA748" s="278"/>
      <c r="AB748" s="278"/>
      <c r="AC748" s="278"/>
    </row>
    <row r="749" ht="15.75" customHeight="1">
      <c r="A749" s="302"/>
      <c r="B749" s="301"/>
      <c r="C749" s="292"/>
      <c r="D749" s="297"/>
      <c r="E749" s="302"/>
      <c r="F749" s="310"/>
      <c r="G749" s="310"/>
      <c r="H749" s="310"/>
      <c r="I749" s="283"/>
      <c r="J749" s="283"/>
      <c r="K749" s="283"/>
      <c r="L749" s="283"/>
      <c r="M749" s="283"/>
      <c r="N749" s="283"/>
      <c r="O749" s="283"/>
      <c r="P749" s="283"/>
      <c r="Q749" s="278"/>
      <c r="R749" s="278"/>
      <c r="S749" s="278"/>
      <c r="T749" s="278"/>
      <c r="U749" s="278"/>
      <c r="V749" s="278"/>
      <c r="W749" s="278"/>
      <c r="X749" s="278"/>
      <c r="Y749" s="278"/>
      <c r="Z749" s="278"/>
      <c r="AA749" s="278"/>
      <c r="AB749" s="278"/>
      <c r="AC749" s="278"/>
    </row>
    <row r="750" ht="15.75" customHeight="1">
      <c r="A750" s="302"/>
      <c r="B750" s="301"/>
      <c r="C750" s="292"/>
      <c r="D750" s="297"/>
      <c r="E750" s="302"/>
      <c r="F750" s="310"/>
      <c r="G750" s="310"/>
      <c r="H750" s="310"/>
      <c r="I750" s="283"/>
      <c r="J750" s="283"/>
      <c r="K750" s="283"/>
      <c r="L750" s="283"/>
      <c r="M750" s="283"/>
      <c r="N750" s="283"/>
      <c r="O750" s="283"/>
      <c r="P750" s="283"/>
      <c r="Q750" s="278"/>
      <c r="R750" s="278"/>
      <c r="S750" s="278"/>
      <c r="T750" s="278"/>
      <c r="U750" s="278"/>
      <c r="V750" s="278"/>
      <c r="W750" s="278"/>
      <c r="X750" s="278"/>
      <c r="Y750" s="278"/>
      <c r="Z750" s="278"/>
      <c r="AA750" s="278"/>
      <c r="AB750" s="278"/>
      <c r="AC750" s="278"/>
    </row>
    <row r="751" ht="15.75" customHeight="1">
      <c r="A751" s="302"/>
      <c r="B751" s="301"/>
      <c r="C751" s="292"/>
      <c r="D751" s="297"/>
      <c r="E751" s="302"/>
      <c r="F751" s="310"/>
      <c r="G751" s="310"/>
      <c r="H751" s="310"/>
      <c r="I751" s="283"/>
      <c r="J751" s="283"/>
      <c r="K751" s="283"/>
      <c r="L751" s="283"/>
      <c r="M751" s="283"/>
      <c r="N751" s="283"/>
      <c r="O751" s="283"/>
      <c r="P751" s="283"/>
      <c r="Q751" s="278"/>
      <c r="R751" s="278"/>
      <c r="S751" s="278"/>
      <c r="T751" s="278"/>
      <c r="U751" s="278"/>
      <c r="V751" s="278"/>
      <c r="W751" s="278"/>
      <c r="X751" s="278"/>
      <c r="Y751" s="278"/>
      <c r="Z751" s="278"/>
      <c r="AA751" s="278"/>
      <c r="AB751" s="278"/>
      <c r="AC751" s="278"/>
    </row>
    <row r="752" ht="15.75" customHeight="1">
      <c r="A752" s="302"/>
      <c r="B752" s="301"/>
      <c r="C752" s="292"/>
      <c r="D752" s="297"/>
      <c r="E752" s="302"/>
      <c r="F752" s="310"/>
      <c r="G752" s="310"/>
      <c r="H752" s="310"/>
      <c r="I752" s="283"/>
      <c r="J752" s="283"/>
      <c r="K752" s="283"/>
      <c r="L752" s="283"/>
      <c r="M752" s="283"/>
      <c r="N752" s="283"/>
      <c r="O752" s="283"/>
      <c r="P752" s="283"/>
      <c r="Q752" s="278"/>
      <c r="R752" s="278"/>
      <c r="S752" s="278"/>
      <c r="T752" s="278"/>
      <c r="U752" s="278"/>
      <c r="V752" s="278"/>
      <c r="W752" s="278"/>
      <c r="X752" s="278"/>
      <c r="Y752" s="278"/>
      <c r="Z752" s="278"/>
      <c r="AA752" s="278"/>
      <c r="AB752" s="278"/>
      <c r="AC752" s="278"/>
    </row>
    <row r="753" ht="15.75" customHeight="1">
      <c r="A753" s="302"/>
      <c r="B753" s="301"/>
      <c r="C753" s="292"/>
      <c r="D753" s="297"/>
      <c r="E753" s="302"/>
      <c r="F753" s="310"/>
      <c r="G753" s="310"/>
      <c r="H753" s="310"/>
      <c r="I753" s="283"/>
      <c r="J753" s="283"/>
      <c r="K753" s="283"/>
      <c r="L753" s="283"/>
      <c r="M753" s="283"/>
      <c r="N753" s="283"/>
      <c r="O753" s="283"/>
      <c r="P753" s="283"/>
      <c r="Q753" s="278"/>
      <c r="R753" s="278"/>
      <c r="S753" s="278"/>
      <c r="T753" s="278"/>
      <c r="U753" s="278"/>
      <c r="V753" s="278"/>
      <c r="W753" s="278"/>
      <c r="X753" s="278"/>
      <c r="Y753" s="278"/>
      <c r="Z753" s="278"/>
      <c r="AA753" s="278"/>
      <c r="AB753" s="278"/>
      <c r="AC753" s="278"/>
    </row>
    <row r="754" ht="15.75" customHeight="1">
      <c r="A754" s="302"/>
      <c r="B754" s="301"/>
      <c r="C754" s="292"/>
      <c r="D754" s="297"/>
      <c r="E754" s="302"/>
      <c r="F754" s="310"/>
      <c r="G754" s="310"/>
      <c r="H754" s="310"/>
      <c r="I754" s="283"/>
      <c r="J754" s="283"/>
      <c r="K754" s="283"/>
      <c r="L754" s="283"/>
      <c r="M754" s="283"/>
      <c r="N754" s="283"/>
      <c r="O754" s="283"/>
      <c r="P754" s="283"/>
      <c r="Q754" s="278"/>
      <c r="R754" s="278"/>
      <c r="S754" s="278"/>
      <c r="T754" s="278"/>
      <c r="U754" s="278"/>
      <c r="V754" s="278"/>
      <c r="W754" s="278"/>
      <c r="X754" s="278"/>
      <c r="Y754" s="278"/>
      <c r="Z754" s="278"/>
      <c r="AA754" s="278"/>
      <c r="AB754" s="278"/>
      <c r="AC754" s="278"/>
    </row>
    <row r="755" ht="15.75" customHeight="1">
      <c r="A755" s="302"/>
      <c r="B755" s="301"/>
      <c r="C755" s="292"/>
      <c r="D755" s="297"/>
      <c r="E755" s="302"/>
      <c r="F755" s="310"/>
      <c r="G755" s="310"/>
      <c r="H755" s="310"/>
      <c r="I755" s="283"/>
      <c r="J755" s="283"/>
      <c r="K755" s="283"/>
      <c r="L755" s="283"/>
      <c r="M755" s="283"/>
      <c r="N755" s="283"/>
      <c r="O755" s="283"/>
      <c r="P755" s="283"/>
      <c r="Q755" s="278"/>
      <c r="R755" s="278"/>
      <c r="S755" s="278"/>
      <c r="T755" s="278"/>
      <c r="U755" s="278"/>
      <c r="V755" s="278"/>
      <c r="W755" s="278"/>
      <c r="X755" s="278"/>
      <c r="Y755" s="278"/>
      <c r="Z755" s="278"/>
      <c r="AA755" s="278"/>
      <c r="AB755" s="278"/>
      <c r="AC755" s="278"/>
    </row>
    <row r="756" ht="15.75" customHeight="1">
      <c r="A756" s="302"/>
      <c r="B756" s="301"/>
      <c r="C756" s="292"/>
      <c r="D756" s="297"/>
      <c r="E756" s="302"/>
      <c r="F756" s="310"/>
      <c r="G756" s="310"/>
      <c r="H756" s="310"/>
      <c r="I756" s="283"/>
      <c r="J756" s="283"/>
      <c r="K756" s="283"/>
      <c r="L756" s="283"/>
      <c r="M756" s="283"/>
      <c r="N756" s="283"/>
      <c r="O756" s="283"/>
      <c r="P756" s="283"/>
      <c r="Q756" s="278"/>
      <c r="R756" s="278"/>
      <c r="S756" s="278"/>
      <c r="T756" s="278"/>
      <c r="U756" s="278"/>
      <c r="V756" s="278"/>
      <c r="W756" s="278"/>
      <c r="X756" s="278"/>
      <c r="Y756" s="278"/>
      <c r="Z756" s="278"/>
      <c r="AA756" s="278"/>
      <c r="AB756" s="278"/>
      <c r="AC756" s="278"/>
    </row>
    <row r="757" ht="15.75" customHeight="1">
      <c r="A757" s="302"/>
      <c r="B757" s="301"/>
      <c r="C757" s="292"/>
      <c r="D757" s="297"/>
      <c r="E757" s="302"/>
      <c r="F757" s="310"/>
      <c r="G757" s="310"/>
      <c r="H757" s="310"/>
      <c r="I757" s="283"/>
      <c r="J757" s="283"/>
      <c r="K757" s="283"/>
      <c r="L757" s="283"/>
      <c r="M757" s="283"/>
      <c r="N757" s="283"/>
      <c r="O757" s="283"/>
      <c r="P757" s="283"/>
      <c r="Q757" s="278"/>
      <c r="R757" s="278"/>
      <c r="S757" s="278"/>
      <c r="T757" s="278"/>
      <c r="U757" s="278"/>
      <c r="V757" s="278"/>
      <c r="W757" s="278"/>
      <c r="X757" s="278"/>
      <c r="Y757" s="278"/>
      <c r="Z757" s="278"/>
      <c r="AA757" s="278"/>
      <c r="AB757" s="278"/>
      <c r="AC757" s="278"/>
    </row>
    <row r="758" ht="15.75" customHeight="1">
      <c r="A758" s="302"/>
      <c r="B758" s="301"/>
      <c r="C758" s="292"/>
      <c r="D758" s="297"/>
      <c r="E758" s="302"/>
      <c r="F758" s="310"/>
      <c r="G758" s="310"/>
      <c r="H758" s="310"/>
      <c r="I758" s="283"/>
      <c r="J758" s="283"/>
      <c r="K758" s="283"/>
      <c r="L758" s="283"/>
      <c r="M758" s="283"/>
      <c r="N758" s="283"/>
      <c r="O758" s="283"/>
      <c r="P758" s="283"/>
      <c r="Q758" s="278"/>
      <c r="R758" s="278"/>
      <c r="S758" s="278"/>
      <c r="T758" s="278"/>
      <c r="U758" s="278"/>
      <c r="V758" s="278"/>
      <c r="W758" s="278"/>
      <c r="X758" s="278"/>
      <c r="Y758" s="278"/>
      <c r="Z758" s="278"/>
      <c r="AA758" s="278"/>
      <c r="AB758" s="278"/>
      <c r="AC758" s="278"/>
    </row>
    <row r="759" ht="15.75" customHeight="1">
      <c r="A759" s="302"/>
      <c r="B759" s="301"/>
      <c r="C759" s="292"/>
      <c r="D759" s="297"/>
      <c r="E759" s="302"/>
      <c r="F759" s="310"/>
      <c r="G759" s="310"/>
      <c r="H759" s="310"/>
      <c r="I759" s="283"/>
      <c r="J759" s="283"/>
      <c r="K759" s="283"/>
      <c r="L759" s="283"/>
      <c r="M759" s="283"/>
      <c r="N759" s="283"/>
      <c r="O759" s="283"/>
      <c r="P759" s="283"/>
      <c r="Q759" s="278"/>
      <c r="R759" s="278"/>
      <c r="S759" s="278"/>
      <c r="T759" s="278"/>
      <c r="U759" s="278"/>
      <c r="V759" s="278"/>
      <c r="W759" s="278"/>
      <c r="X759" s="278"/>
      <c r="Y759" s="278"/>
      <c r="Z759" s="278"/>
      <c r="AA759" s="278"/>
      <c r="AB759" s="278"/>
      <c r="AC759" s="278"/>
    </row>
    <row r="760" ht="15.75" customHeight="1">
      <c r="A760" s="302"/>
      <c r="B760" s="301"/>
      <c r="C760" s="292"/>
      <c r="D760" s="297"/>
      <c r="E760" s="302"/>
      <c r="F760" s="310"/>
      <c r="G760" s="310"/>
      <c r="H760" s="310"/>
      <c r="I760" s="283"/>
      <c r="J760" s="283"/>
      <c r="K760" s="283"/>
      <c r="L760" s="283"/>
      <c r="M760" s="283"/>
      <c r="N760" s="283"/>
      <c r="O760" s="283"/>
      <c r="P760" s="283"/>
      <c r="Q760" s="278"/>
      <c r="R760" s="278"/>
      <c r="S760" s="278"/>
      <c r="T760" s="278"/>
      <c r="U760" s="278"/>
      <c r="V760" s="278"/>
      <c r="W760" s="278"/>
      <c r="X760" s="278"/>
      <c r="Y760" s="278"/>
      <c r="Z760" s="278"/>
      <c r="AA760" s="278"/>
      <c r="AB760" s="278"/>
      <c r="AC760" s="278"/>
    </row>
    <row r="761" ht="15.75" customHeight="1">
      <c r="A761" s="302"/>
      <c r="B761" s="301"/>
      <c r="C761" s="292"/>
      <c r="D761" s="297"/>
      <c r="E761" s="302"/>
      <c r="F761" s="310"/>
      <c r="G761" s="310"/>
      <c r="H761" s="310"/>
      <c r="I761" s="283"/>
      <c r="J761" s="283"/>
      <c r="K761" s="283"/>
      <c r="L761" s="283"/>
      <c r="M761" s="283"/>
      <c r="N761" s="283"/>
      <c r="O761" s="283"/>
      <c r="P761" s="283"/>
      <c r="Q761" s="278"/>
      <c r="R761" s="278"/>
      <c r="S761" s="278"/>
      <c r="T761" s="278"/>
      <c r="U761" s="278"/>
      <c r="V761" s="278"/>
      <c r="W761" s="278"/>
      <c r="X761" s="278"/>
      <c r="Y761" s="278"/>
      <c r="Z761" s="278"/>
      <c r="AA761" s="278"/>
      <c r="AB761" s="278"/>
      <c r="AC761" s="278"/>
    </row>
    <row r="762" ht="15.75" customHeight="1">
      <c r="A762" s="302"/>
      <c r="B762" s="301"/>
      <c r="C762" s="292"/>
      <c r="D762" s="297"/>
      <c r="E762" s="302"/>
      <c r="F762" s="310"/>
      <c r="G762" s="310"/>
      <c r="H762" s="310"/>
      <c r="I762" s="283"/>
      <c r="J762" s="283"/>
      <c r="K762" s="283"/>
      <c r="L762" s="283"/>
      <c r="M762" s="283"/>
      <c r="N762" s="283"/>
      <c r="O762" s="283"/>
      <c r="P762" s="283"/>
      <c r="Q762" s="278"/>
      <c r="R762" s="278"/>
      <c r="S762" s="278"/>
      <c r="T762" s="278"/>
      <c r="U762" s="278"/>
      <c r="V762" s="278"/>
      <c r="W762" s="278"/>
      <c r="X762" s="278"/>
      <c r="Y762" s="278"/>
      <c r="Z762" s="278"/>
      <c r="AA762" s="278"/>
      <c r="AB762" s="278"/>
      <c r="AC762" s="278"/>
    </row>
    <row r="763" ht="15.75" customHeight="1">
      <c r="A763" s="302"/>
      <c r="B763" s="301"/>
      <c r="C763" s="292"/>
      <c r="D763" s="297"/>
      <c r="E763" s="302"/>
      <c r="F763" s="310"/>
      <c r="G763" s="310"/>
      <c r="H763" s="310"/>
      <c r="I763" s="283"/>
      <c r="J763" s="283"/>
      <c r="K763" s="283"/>
      <c r="L763" s="283"/>
      <c r="M763" s="283"/>
      <c r="N763" s="283"/>
      <c r="O763" s="283"/>
      <c r="P763" s="283"/>
      <c r="Q763" s="278"/>
      <c r="R763" s="278"/>
      <c r="S763" s="278"/>
      <c r="T763" s="278"/>
      <c r="U763" s="278"/>
      <c r="V763" s="278"/>
      <c r="W763" s="278"/>
      <c r="X763" s="278"/>
      <c r="Y763" s="278"/>
      <c r="Z763" s="278"/>
      <c r="AA763" s="278"/>
      <c r="AB763" s="278"/>
      <c r="AC763" s="278"/>
    </row>
    <row r="764" ht="15.75" customHeight="1">
      <c r="A764" s="302"/>
      <c r="B764" s="301"/>
      <c r="C764" s="292"/>
      <c r="D764" s="297"/>
      <c r="E764" s="302"/>
      <c r="F764" s="310"/>
      <c r="G764" s="310"/>
      <c r="H764" s="310"/>
      <c r="I764" s="283"/>
      <c r="J764" s="283"/>
      <c r="K764" s="283"/>
      <c r="L764" s="283"/>
      <c r="M764" s="283"/>
      <c r="N764" s="283"/>
      <c r="O764" s="283"/>
      <c r="P764" s="283"/>
      <c r="Q764" s="278"/>
      <c r="R764" s="278"/>
      <c r="S764" s="278"/>
      <c r="T764" s="278"/>
      <c r="U764" s="278"/>
      <c r="V764" s="278"/>
      <c r="W764" s="278"/>
      <c r="X764" s="278"/>
      <c r="Y764" s="278"/>
      <c r="Z764" s="278"/>
      <c r="AA764" s="278"/>
      <c r="AB764" s="278"/>
      <c r="AC764" s="278"/>
    </row>
    <row r="765" ht="15.75" customHeight="1">
      <c r="A765" s="302"/>
      <c r="B765" s="301"/>
      <c r="C765" s="292"/>
      <c r="D765" s="297"/>
      <c r="E765" s="302"/>
      <c r="F765" s="310"/>
      <c r="G765" s="310"/>
      <c r="H765" s="310"/>
      <c r="I765" s="283"/>
      <c r="J765" s="283"/>
      <c r="K765" s="283"/>
      <c r="L765" s="283"/>
      <c r="M765" s="283"/>
      <c r="N765" s="283"/>
      <c r="O765" s="283"/>
      <c r="P765" s="283"/>
      <c r="Q765" s="278"/>
      <c r="R765" s="278"/>
      <c r="S765" s="278"/>
      <c r="T765" s="278"/>
      <c r="U765" s="278"/>
      <c r="V765" s="278"/>
      <c r="W765" s="278"/>
      <c r="X765" s="278"/>
      <c r="Y765" s="278"/>
      <c r="Z765" s="278"/>
      <c r="AA765" s="278"/>
      <c r="AB765" s="278"/>
      <c r="AC765" s="278"/>
    </row>
    <row r="766" ht="15.75" customHeight="1">
      <c r="A766" s="302"/>
      <c r="B766" s="301"/>
      <c r="C766" s="292"/>
      <c r="D766" s="297"/>
      <c r="E766" s="302"/>
      <c r="F766" s="310"/>
      <c r="G766" s="310"/>
      <c r="H766" s="310"/>
      <c r="I766" s="283"/>
      <c r="J766" s="283"/>
      <c r="K766" s="283"/>
      <c r="L766" s="283"/>
      <c r="M766" s="283"/>
      <c r="N766" s="283"/>
      <c r="O766" s="283"/>
      <c r="P766" s="283"/>
      <c r="Q766" s="278"/>
      <c r="R766" s="278"/>
      <c r="S766" s="278"/>
      <c r="T766" s="278"/>
      <c r="U766" s="278"/>
      <c r="V766" s="278"/>
      <c r="W766" s="278"/>
      <c r="X766" s="278"/>
      <c r="Y766" s="278"/>
      <c r="Z766" s="278"/>
      <c r="AA766" s="278"/>
      <c r="AB766" s="278"/>
      <c r="AC766" s="278"/>
    </row>
    <row r="767" ht="15.75" customHeight="1">
      <c r="A767" s="302"/>
      <c r="B767" s="301"/>
      <c r="C767" s="292"/>
      <c r="D767" s="297"/>
      <c r="E767" s="302"/>
      <c r="F767" s="310"/>
      <c r="G767" s="310"/>
      <c r="H767" s="310"/>
      <c r="I767" s="283"/>
      <c r="J767" s="283"/>
      <c r="K767" s="283"/>
      <c r="L767" s="283"/>
      <c r="M767" s="283"/>
      <c r="N767" s="283"/>
      <c r="O767" s="283"/>
      <c r="P767" s="283"/>
      <c r="Q767" s="278"/>
      <c r="R767" s="278"/>
      <c r="S767" s="278"/>
      <c r="T767" s="278"/>
      <c r="U767" s="278"/>
      <c r="V767" s="278"/>
      <c r="W767" s="278"/>
      <c r="X767" s="278"/>
      <c r="Y767" s="278"/>
      <c r="Z767" s="278"/>
      <c r="AA767" s="278"/>
      <c r="AB767" s="278"/>
      <c r="AC767" s="278"/>
    </row>
    <row r="768" ht="15.75" customHeight="1">
      <c r="A768" s="302"/>
      <c r="B768" s="301"/>
      <c r="C768" s="292"/>
      <c r="D768" s="297"/>
      <c r="E768" s="302"/>
      <c r="F768" s="310"/>
      <c r="G768" s="310"/>
      <c r="H768" s="310"/>
      <c r="I768" s="283"/>
      <c r="J768" s="283"/>
      <c r="K768" s="283"/>
      <c r="L768" s="283"/>
      <c r="M768" s="283"/>
      <c r="N768" s="283"/>
      <c r="O768" s="283"/>
      <c r="P768" s="283"/>
      <c r="Q768" s="278"/>
      <c r="R768" s="278"/>
      <c r="S768" s="278"/>
      <c r="T768" s="278"/>
      <c r="U768" s="278"/>
      <c r="V768" s="278"/>
      <c r="W768" s="278"/>
      <c r="X768" s="278"/>
      <c r="Y768" s="278"/>
      <c r="Z768" s="278"/>
      <c r="AA768" s="278"/>
      <c r="AB768" s="278"/>
      <c r="AC768" s="278"/>
    </row>
    <row r="769" ht="15.75" customHeight="1">
      <c r="A769" s="302"/>
      <c r="B769" s="301"/>
      <c r="C769" s="292"/>
      <c r="D769" s="297"/>
      <c r="E769" s="302"/>
      <c r="F769" s="310"/>
      <c r="G769" s="310"/>
      <c r="H769" s="310"/>
      <c r="I769" s="283"/>
      <c r="J769" s="283"/>
      <c r="K769" s="283"/>
      <c r="L769" s="283"/>
      <c r="M769" s="283"/>
      <c r="N769" s="283"/>
      <c r="O769" s="283"/>
      <c r="P769" s="283"/>
      <c r="Q769" s="278"/>
      <c r="R769" s="278"/>
      <c r="S769" s="278"/>
      <c r="T769" s="278"/>
      <c r="U769" s="278"/>
      <c r="V769" s="278"/>
      <c r="W769" s="278"/>
      <c r="X769" s="278"/>
      <c r="Y769" s="278"/>
      <c r="Z769" s="278"/>
      <c r="AA769" s="278"/>
      <c r="AB769" s="278"/>
      <c r="AC769" s="278"/>
    </row>
    <row r="770" ht="15.75" customHeight="1">
      <c r="A770" s="302"/>
      <c r="B770" s="301"/>
      <c r="C770" s="292"/>
      <c r="D770" s="297"/>
      <c r="E770" s="302"/>
      <c r="F770" s="310"/>
      <c r="G770" s="310"/>
      <c r="H770" s="310"/>
      <c r="I770" s="283"/>
      <c r="J770" s="283"/>
      <c r="K770" s="283"/>
      <c r="L770" s="283"/>
      <c r="M770" s="283"/>
      <c r="N770" s="283"/>
      <c r="O770" s="283"/>
      <c r="P770" s="283"/>
      <c r="Q770" s="278"/>
      <c r="R770" s="278"/>
      <c r="S770" s="278"/>
      <c r="T770" s="278"/>
      <c r="U770" s="278"/>
      <c r="V770" s="278"/>
      <c r="W770" s="278"/>
      <c r="X770" s="278"/>
      <c r="Y770" s="278"/>
      <c r="Z770" s="278"/>
      <c r="AA770" s="278"/>
      <c r="AB770" s="278"/>
      <c r="AC770" s="278"/>
    </row>
    <row r="771" ht="15.75" customHeight="1">
      <c r="A771" s="302"/>
      <c r="B771" s="301"/>
      <c r="C771" s="292"/>
      <c r="D771" s="297"/>
      <c r="E771" s="302"/>
      <c r="F771" s="310"/>
      <c r="G771" s="310"/>
      <c r="H771" s="310"/>
      <c r="I771" s="283"/>
      <c r="J771" s="283"/>
      <c r="K771" s="283"/>
      <c r="L771" s="283"/>
      <c r="M771" s="283"/>
      <c r="N771" s="283"/>
      <c r="O771" s="283"/>
      <c r="P771" s="283"/>
      <c r="Q771" s="278"/>
      <c r="R771" s="278"/>
      <c r="S771" s="278"/>
      <c r="T771" s="278"/>
      <c r="U771" s="278"/>
      <c r="V771" s="278"/>
      <c r="W771" s="278"/>
      <c r="X771" s="278"/>
      <c r="Y771" s="278"/>
      <c r="Z771" s="278"/>
      <c r="AA771" s="278"/>
      <c r="AB771" s="278"/>
      <c r="AC771" s="278"/>
    </row>
    <row r="772" ht="15.75" customHeight="1">
      <c r="A772" s="302"/>
      <c r="B772" s="301"/>
      <c r="C772" s="292"/>
      <c r="D772" s="297"/>
      <c r="E772" s="302"/>
      <c r="F772" s="310"/>
      <c r="G772" s="310"/>
      <c r="H772" s="310"/>
      <c r="I772" s="283"/>
      <c r="J772" s="283"/>
      <c r="K772" s="283"/>
      <c r="L772" s="283"/>
      <c r="M772" s="283"/>
      <c r="N772" s="283"/>
      <c r="O772" s="283"/>
      <c r="P772" s="283"/>
      <c r="Q772" s="278"/>
      <c r="R772" s="278"/>
      <c r="S772" s="278"/>
      <c r="T772" s="278"/>
      <c r="U772" s="278"/>
      <c r="V772" s="278"/>
      <c r="W772" s="278"/>
      <c r="X772" s="278"/>
      <c r="Y772" s="278"/>
      <c r="Z772" s="278"/>
      <c r="AA772" s="278"/>
      <c r="AB772" s="278"/>
      <c r="AC772" s="278"/>
    </row>
    <row r="773" ht="15.75" customHeight="1">
      <c r="A773" s="302"/>
      <c r="B773" s="301"/>
      <c r="C773" s="292"/>
      <c r="D773" s="297"/>
      <c r="E773" s="302"/>
      <c r="F773" s="310"/>
      <c r="G773" s="310"/>
      <c r="H773" s="310"/>
      <c r="I773" s="283"/>
      <c r="J773" s="283"/>
      <c r="K773" s="283"/>
      <c r="L773" s="283"/>
      <c r="M773" s="283"/>
      <c r="N773" s="283"/>
      <c r="O773" s="283"/>
      <c r="P773" s="283"/>
      <c r="Q773" s="278"/>
      <c r="R773" s="278"/>
      <c r="S773" s="278"/>
      <c r="T773" s="278"/>
      <c r="U773" s="278"/>
      <c r="V773" s="278"/>
      <c r="W773" s="278"/>
      <c r="X773" s="278"/>
      <c r="Y773" s="278"/>
      <c r="Z773" s="278"/>
      <c r="AA773" s="278"/>
      <c r="AB773" s="278"/>
      <c r="AC773" s="278"/>
    </row>
    <row r="774" ht="15.75" customHeight="1">
      <c r="A774" s="302"/>
      <c r="B774" s="301"/>
      <c r="C774" s="292"/>
      <c r="D774" s="297"/>
      <c r="E774" s="302"/>
      <c r="F774" s="310"/>
      <c r="G774" s="310"/>
      <c r="H774" s="310"/>
      <c r="I774" s="283"/>
      <c r="J774" s="283"/>
      <c r="K774" s="283"/>
      <c r="L774" s="283"/>
      <c r="M774" s="283"/>
      <c r="N774" s="283"/>
      <c r="O774" s="283"/>
      <c r="P774" s="283"/>
      <c r="Q774" s="278"/>
      <c r="R774" s="278"/>
      <c r="S774" s="278"/>
      <c r="T774" s="278"/>
      <c r="U774" s="278"/>
      <c r="V774" s="278"/>
      <c r="W774" s="278"/>
      <c r="X774" s="278"/>
      <c r="Y774" s="278"/>
      <c r="Z774" s="278"/>
      <c r="AA774" s="278"/>
      <c r="AB774" s="278"/>
      <c r="AC774" s="278"/>
    </row>
    <row r="775" ht="15.75" customHeight="1">
      <c r="A775" s="302"/>
      <c r="B775" s="301"/>
      <c r="C775" s="292"/>
      <c r="D775" s="297"/>
      <c r="E775" s="302"/>
      <c r="F775" s="310"/>
      <c r="G775" s="310"/>
      <c r="H775" s="310"/>
      <c r="I775" s="283"/>
      <c r="J775" s="283"/>
      <c r="K775" s="283"/>
      <c r="L775" s="283"/>
      <c r="M775" s="283"/>
      <c r="N775" s="283"/>
      <c r="O775" s="283"/>
      <c r="P775" s="283"/>
      <c r="Q775" s="278"/>
      <c r="R775" s="278"/>
      <c r="S775" s="278"/>
      <c r="T775" s="278"/>
      <c r="U775" s="278"/>
      <c r="V775" s="278"/>
      <c r="W775" s="278"/>
      <c r="X775" s="278"/>
      <c r="Y775" s="278"/>
      <c r="Z775" s="278"/>
      <c r="AA775" s="278"/>
      <c r="AB775" s="278"/>
      <c r="AC775" s="278"/>
    </row>
    <row r="776" ht="15.75" customHeight="1">
      <c r="A776" s="302"/>
      <c r="B776" s="301"/>
      <c r="C776" s="292"/>
      <c r="D776" s="297"/>
      <c r="E776" s="302"/>
      <c r="F776" s="310"/>
      <c r="G776" s="310"/>
      <c r="H776" s="310"/>
      <c r="I776" s="283"/>
      <c r="J776" s="283"/>
      <c r="K776" s="283"/>
      <c r="L776" s="283"/>
      <c r="M776" s="283"/>
      <c r="N776" s="283"/>
      <c r="O776" s="283"/>
      <c r="P776" s="283"/>
      <c r="Q776" s="278"/>
      <c r="R776" s="278"/>
      <c r="S776" s="278"/>
      <c r="T776" s="278"/>
      <c r="U776" s="278"/>
      <c r="V776" s="278"/>
      <c r="W776" s="278"/>
      <c r="X776" s="278"/>
      <c r="Y776" s="278"/>
      <c r="Z776" s="278"/>
      <c r="AA776" s="278"/>
      <c r="AB776" s="278"/>
      <c r="AC776" s="278"/>
    </row>
    <row r="777" ht="15.75" customHeight="1">
      <c r="A777" s="302"/>
      <c r="B777" s="301"/>
      <c r="C777" s="292"/>
      <c r="D777" s="297"/>
      <c r="E777" s="302"/>
      <c r="F777" s="310"/>
      <c r="G777" s="310"/>
      <c r="H777" s="310"/>
      <c r="I777" s="283"/>
      <c r="J777" s="283"/>
      <c r="K777" s="283"/>
      <c r="L777" s="283"/>
      <c r="M777" s="283"/>
      <c r="N777" s="283"/>
      <c r="O777" s="283"/>
      <c r="P777" s="283"/>
      <c r="Q777" s="278"/>
      <c r="R777" s="278"/>
      <c r="S777" s="278"/>
      <c r="T777" s="278"/>
      <c r="U777" s="278"/>
      <c r="V777" s="278"/>
      <c r="W777" s="278"/>
      <c r="X777" s="278"/>
      <c r="Y777" s="278"/>
      <c r="Z777" s="278"/>
      <c r="AA777" s="278"/>
      <c r="AB777" s="278"/>
      <c r="AC777" s="278"/>
    </row>
    <row r="778" ht="15.75" customHeight="1">
      <c r="A778" s="302"/>
      <c r="B778" s="301"/>
      <c r="C778" s="292"/>
      <c r="D778" s="297"/>
      <c r="E778" s="302"/>
      <c r="F778" s="310"/>
      <c r="G778" s="310"/>
      <c r="H778" s="310"/>
      <c r="I778" s="283"/>
      <c r="J778" s="283"/>
      <c r="K778" s="283"/>
      <c r="L778" s="283"/>
      <c r="M778" s="283"/>
      <c r="N778" s="283"/>
      <c r="O778" s="283"/>
      <c r="P778" s="283"/>
      <c r="Q778" s="278"/>
      <c r="R778" s="278"/>
      <c r="S778" s="278"/>
      <c r="T778" s="278"/>
      <c r="U778" s="278"/>
      <c r="V778" s="278"/>
      <c r="W778" s="278"/>
      <c r="X778" s="278"/>
      <c r="Y778" s="278"/>
      <c r="Z778" s="278"/>
      <c r="AA778" s="278"/>
      <c r="AB778" s="278"/>
      <c r="AC778" s="278"/>
    </row>
    <row r="779" ht="15.75" customHeight="1">
      <c r="A779" s="302"/>
      <c r="B779" s="301"/>
      <c r="C779" s="292"/>
      <c r="D779" s="297"/>
      <c r="E779" s="302"/>
      <c r="F779" s="310"/>
      <c r="G779" s="310"/>
      <c r="H779" s="310"/>
      <c r="I779" s="283"/>
      <c r="J779" s="283"/>
      <c r="K779" s="283"/>
      <c r="L779" s="283"/>
      <c r="M779" s="283"/>
      <c r="N779" s="283"/>
      <c r="O779" s="283"/>
      <c r="P779" s="283"/>
      <c r="Q779" s="278"/>
      <c r="R779" s="278"/>
      <c r="S779" s="278"/>
      <c r="T779" s="278"/>
      <c r="U779" s="278"/>
      <c r="V779" s="278"/>
      <c r="W779" s="278"/>
      <c r="X779" s="278"/>
      <c r="Y779" s="278"/>
      <c r="Z779" s="278"/>
      <c r="AA779" s="278"/>
      <c r="AB779" s="278"/>
      <c r="AC779" s="278"/>
    </row>
    <row r="780" ht="15.75" customHeight="1">
      <c r="A780" s="302"/>
      <c r="B780" s="301"/>
      <c r="C780" s="292"/>
      <c r="D780" s="297"/>
      <c r="E780" s="302"/>
      <c r="F780" s="310"/>
      <c r="G780" s="310"/>
      <c r="H780" s="310"/>
      <c r="I780" s="283"/>
      <c r="J780" s="283"/>
      <c r="K780" s="283"/>
      <c r="L780" s="283"/>
      <c r="M780" s="283"/>
      <c r="N780" s="283"/>
      <c r="O780" s="283"/>
      <c r="P780" s="283"/>
      <c r="Q780" s="278"/>
      <c r="R780" s="278"/>
      <c r="S780" s="278"/>
      <c r="T780" s="278"/>
      <c r="U780" s="278"/>
      <c r="V780" s="278"/>
      <c r="W780" s="278"/>
      <c r="X780" s="278"/>
      <c r="Y780" s="278"/>
      <c r="Z780" s="278"/>
      <c r="AA780" s="278"/>
      <c r="AB780" s="278"/>
      <c r="AC780" s="278"/>
    </row>
    <row r="781" ht="15.75" customHeight="1">
      <c r="A781" s="302"/>
      <c r="B781" s="301"/>
      <c r="C781" s="292"/>
      <c r="D781" s="297"/>
      <c r="E781" s="302"/>
      <c r="F781" s="310"/>
      <c r="G781" s="310"/>
      <c r="H781" s="310"/>
      <c r="I781" s="283"/>
      <c r="J781" s="283"/>
      <c r="K781" s="283"/>
      <c r="L781" s="283"/>
      <c r="M781" s="283"/>
      <c r="N781" s="283"/>
      <c r="O781" s="283"/>
      <c r="P781" s="283"/>
      <c r="Q781" s="278"/>
      <c r="R781" s="278"/>
      <c r="S781" s="278"/>
      <c r="T781" s="278"/>
      <c r="U781" s="278"/>
      <c r="V781" s="278"/>
      <c r="W781" s="278"/>
      <c r="X781" s="278"/>
      <c r="Y781" s="278"/>
      <c r="Z781" s="278"/>
      <c r="AA781" s="278"/>
      <c r="AB781" s="278"/>
      <c r="AC781" s="278"/>
    </row>
    <row r="782" ht="15.75" customHeight="1">
      <c r="A782" s="302"/>
      <c r="B782" s="301"/>
      <c r="C782" s="292"/>
      <c r="D782" s="297"/>
      <c r="E782" s="302"/>
      <c r="F782" s="310"/>
      <c r="G782" s="310"/>
      <c r="H782" s="310"/>
      <c r="I782" s="283"/>
      <c r="J782" s="283"/>
      <c r="K782" s="283"/>
      <c r="L782" s="283"/>
      <c r="M782" s="283"/>
      <c r="N782" s="283"/>
      <c r="O782" s="283"/>
      <c r="P782" s="283"/>
      <c r="Q782" s="278"/>
      <c r="R782" s="278"/>
      <c r="S782" s="278"/>
      <c r="T782" s="278"/>
      <c r="U782" s="278"/>
      <c r="V782" s="278"/>
      <c r="W782" s="278"/>
      <c r="X782" s="278"/>
      <c r="Y782" s="278"/>
      <c r="Z782" s="278"/>
      <c r="AA782" s="278"/>
      <c r="AB782" s="278"/>
      <c r="AC782" s="278"/>
    </row>
    <row r="783" ht="15.75" customHeight="1">
      <c r="A783" s="302"/>
      <c r="B783" s="301"/>
      <c r="C783" s="292"/>
      <c r="D783" s="297"/>
      <c r="E783" s="302"/>
      <c r="F783" s="310"/>
      <c r="G783" s="310"/>
      <c r="H783" s="310"/>
      <c r="I783" s="283"/>
      <c r="J783" s="283"/>
      <c r="K783" s="283"/>
      <c r="L783" s="283"/>
      <c r="M783" s="283"/>
      <c r="N783" s="283"/>
      <c r="O783" s="283"/>
      <c r="P783" s="283"/>
      <c r="Q783" s="278"/>
      <c r="R783" s="278"/>
      <c r="S783" s="278"/>
      <c r="T783" s="278"/>
      <c r="U783" s="278"/>
      <c r="V783" s="278"/>
      <c r="W783" s="278"/>
      <c r="X783" s="278"/>
      <c r="Y783" s="278"/>
      <c r="Z783" s="278"/>
      <c r="AA783" s="278"/>
      <c r="AB783" s="278"/>
      <c r="AC783" s="278"/>
    </row>
    <row r="784" ht="15.75" customHeight="1">
      <c r="A784" s="302"/>
      <c r="B784" s="301"/>
      <c r="C784" s="292"/>
      <c r="D784" s="297"/>
      <c r="E784" s="302"/>
      <c r="F784" s="310"/>
      <c r="G784" s="310"/>
      <c r="H784" s="310"/>
      <c r="I784" s="283"/>
      <c r="J784" s="283"/>
      <c r="K784" s="283"/>
      <c r="L784" s="283"/>
      <c r="M784" s="283"/>
      <c r="N784" s="283"/>
      <c r="O784" s="283"/>
      <c r="P784" s="283"/>
      <c r="Q784" s="278"/>
      <c r="R784" s="278"/>
      <c r="S784" s="278"/>
      <c r="T784" s="278"/>
      <c r="U784" s="278"/>
      <c r="V784" s="278"/>
      <c r="W784" s="278"/>
      <c r="X784" s="278"/>
      <c r="Y784" s="278"/>
      <c r="Z784" s="278"/>
      <c r="AA784" s="278"/>
      <c r="AB784" s="278"/>
      <c r="AC784" s="278"/>
    </row>
    <row r="785" ht="15.75" customHeight="1">
      <c r="A785" s="302"/>
      <c r="B785" s="301"/>
      <c r="C785" s="292"/>
      <c r="D785" s="297"/>
      <c r="E785" s="302"/>
      <c r="F785" s="310"/>
      <c r="G785" s="310"/>
      <c r="H785" s="310"/>
      <c r="I785" s="283"/>
      <c r="J785" s="283"/>
      <c r="K785" s="283"/>
      <c r="L785" s="283"/>
      <c r="M785" s="283"/>
      <c r="N785" s="283"/>
      <c r="O785" s="283"/>
      <c r="P785" s="283"/>
      <c r="Q785" s="278"/>
      <c r="R785" s="278"/>
      <c r="S785" s="278"/>
      <c r="T785" s="278"/>
      <c r="U785" s="278"/>
      <c r="V785" s="278"/>
      <c r="W785" s="278"/>
      <c r="X785" s="278"/>
      <c r="Y785" s="278"/>
      <c r="Z785" s="278"/>
      <c r="AA785" s="278"/>
      <c r="AB785" s="278"/>
      <c r="AC785" s="278"/>
    </row>
    <row r="786" ht="15.75" customHeight="1">
      <c r="A786" s="302"/>
      <c r="B786" s="301"/>
      <c r="C786" s="292"/>
      <c r="D786" s="297"/>
      <c r="E786" s="302"/>
      <c r="F786" s="310"/>
      <c r="G786" s="310"/>
      <c r="H786" s="310"/>
      <c r="I786" s="283"/>
      <c r="J786" s="283"/>
      <c r="K786" s="283"/>
      <c r="L786" s="283"/>
      <c r="M786" s="283"/>
      <c r="N786" s="283"/>
      <c r="O786" s="283"/>
      <c r="P786" s="283"/>
      <c r="Q786" s="278"/>
      <c r="R786" s="278"/>
      <c r="S786" s="278"/>
      <c r="T786" s="278"/>
      <c r="U786" s="278"/>
      <c r="V786" s="278"/>
      <c r="W786" s="278"/>
      <c r="X786" s="278"/>
      <c r="Y786" s="278"/>
      <c r="Z786" s="278"/>
      <c r="AA786" s="278"/>
      <c r="AB786" s="278"/>
      <c r="AC786" s="278"/>
    </row>
    <row r="787" ht="15.75" customHeight="1">
      <c r="A787" s="302"/>
      <c r="B787" s="301"/>
      <c r="C787" s="292"/>
      <c r="D787" s="297"/>
      <c r="E787" s="302"/>
      <c r="F787" s="310"/>
      <c r="G787" s="310"/>
      <c r="H787" s="310"/>
      <c r="I787" s="283"/>
      <c r="J787" s="283"/>
      <c r="K787" s="283"/>
      <c r="L787" s="283"/>
      <c r="M787" s="283"/>
      <c r="N787" s="283"/>
      <c r="O787" s="283"/>
      <c r="P787" s="283"/>
      <c r="Q787" s="278"/>
      <c r="R787" s="278"/>
      <c r="S787" s="278"/>
      <c r="T787" s="278"/>
      <c r="U787" s="278"/>
      <c r="V787" s="278"/>
      <c r="W787" s="278"/>
      <c r="X787" s="278"/>
      <c r="Y787" s="278"/>
      <c r="Z787" s="278"/>
      <c r="AA787" s="278"/>
      <c r="AB787" s="278"/>
      <c r="AC787" s="278"/>
    </row>
    <row r="788" ht="15.75" customHeight="1">
      <c r="A788" s="302"/>
      <c r="B788" s="301"/>
      <c r="C788" s="292"/>
      <c r="D788" s="297"/>
      <c r="E788" s="302"/>
      <c r="F788" s="310"/>
      <c r="G788" s="310"/>
      <c r="H788" s="310"/>
      <c r="I788" s="283"/>
      <c r="J788" s="283"/>
      <c r="K788" s="283"/>
      <c r="L788" s="283"/>
      <c r="M788" s="283"/>
      <c r="N788" s="283"/>
      <c r="O788" s="283"/>
      <c r="P788" s="283"/>
      <c r="Q788" s="278"/>
      <c r="R788" s="278"/>
      <c r="S788" s="278"/>
      <c r="T788" s="278"/>
      <c r="U788" s="278"/>
      <c r="V788" s="278"/>
      <c r="W788" s="278"/>
      <c r="X788" s="278"/>
      <c r="Y788" s="278"/>
      <c r="Z788" s="278"/>
      <c r="AA788" s="278"/>
      <c r="AB788" s="278"/>
      <c r="AC788" s="278"/>
    </row>
    <row r="789" ht="15.75" customHeight="1">
      <c r="A789" s="302"/>
      <c r="B789" s="301"/>
      <c r="C789" s="292"/>
      <c r="D789" s="297"/>
      <c r="E789" s="302"/>
      <c r="F789" s="310"/>
      <c r="G789" s="310"/>
      <c r="H789" s="310"/>
      <c r="I789" s="283"/>
      <c r="J789" s="283"/>
      <c r="K789" s="283"/>
      <c r="L789" s="283"/>
      <c r="M789" s="283"/>
      <c r="N789" s="283"/>
      <c r="O789" s="283"/>
      <c r="P789" s="283"/>
      <c r="Q789" s="278"/>
      <c r="R789" s="278"/>
      <c r="S789" s="278"/>
      <c r="T789" s="278"/>
      <c r="U789" s="278"/>
      <c r="V789" s="278"/>
      <c r="W789" s="278"/>
      <c r="X789" s="278"/>
      <c r="Y789" s="278"/>
      <c r="Z789" s="278"/>
      <c r="AA789" s="278"/>
      <c r="AB789" s="278"/>
      <c r="AC789" s="278"/>
    </row>
    <row r="790" ht="15.75" customHeight="1">
      <c r="A790" s="302"/>
      <c r="B790" s="301"/>
      <c r="C790" s="292"/>
      <c r="D790" s="297"/>
      <c r="E790" s="302"/>
      <c r="F790" s="310"/>
      <c r="G790" s="310"/>
      <c r="H790" s="310"/>
      <c r="I790" s="283"/>
      <c r="J790" s="283"/>
      <c r="K790" s="283"/>
      <c r="L790" s="283"/>
      <c r="M790" s="283"/>
      <c r="N790" s="283"/>
      <c r="O790" s="283"/>
      <c r="P790" s="283"/>
      <c r="Q790" s="278"/>
      <c r="R790" s="278"/>
      <c r="S790" s="278"/>
      <c r="T790" s="278"/>
      <c r="U790" s="278"/>
      <c r="V790" s="278"/>
      <c r="W790" s="278"/>
      <c r="X790" s="278"/>
      <c r="Y790" s="278"/>
      <c r="Z790" s="278"/>
      <c r="AA790" s="278"/>
      <c r="AB790" s="278"/>
      <c r="AC790" s="278"/>
    </row>
    <row r="791" ht="15.75" customHeight="1">
      <c r="A791" s="302"/>
      <c r="B791" s="301"/>
      <c r="C791" s="292"/>
      <c r="D791" s="297"/>
      <c r="E791" s="302"/>
      <c r="F791" s="310"/>
      <c r="G791" s="310"/>
      <c r="H791" s="310"/>
      <c r="I791" s="283"/>
      <c r="J791" s="283"/>
      <c r="K791" s="283"/>
      <c r="L791" s="283"/>
      <c r="M791" s="283"/>
      <c r="N791" s="283"/>
      <c r="O791" s="283"/>
      <c r="P791" s="283"/>
      <c r="Q791" s="278"/>
      <c r="R791" s="278"/>
      <c r="S791" s="278"/>
      <c r="T791" s="278"/>
      <c r="U791" s="278"/>
      <c r="V791" s="278"/>
      <c r="W791" s="278"/>
      <c r="X791" s="278"/>
      <c r="Y791" s="278"/>
      <c r="Z791" s="278"/>
      <c r="AA791" s="278"/>
      <c r="AB791" s="278"/>
      <c r="AC791" s="278"/>
    </row>
    <row r="792" ht="15.75" customHeight="1">
      <c r="A792" s="302"/>
      <c r="B792" s="301"/>
      <c r="C792" s="292"/>
      <c r="D792" s="297"/>
      <c r="E792" s="302"/>
      <c r="F792" s="310"/>
      <c r="G792" s="310"/>
      <c r="H792" s="310"/>
      <c r="I792" s="283"/>
      <c r="J792" s="283"/>
      <c r="K792" s="283"/>
      <c r="L792" s="283"/>
      <c r="M792" s="283"/>
      <c r="N792" s="283"/>
      <c r="O792" s="283"/>
      <c r="P792" s="283"/>
      <c r="Q792" s="278"/>
      <c r="R792" s="278"/>
      <c r="S792" s="278"/>
      <c r="T792" s="278"/>
      <c r="U792" s="278"/>
      <c r="V792" s="278"/>
      <c r="W792" s="278"/>
      <c r="X792" s="278"/>
      <c r="Y792" s="278"/>
      <c r="Z792" s="278"/>
      <c r="AA792" s="278"/>
      <c r="AB792" s="278"/>
      <c r="AC792" s="278"/>
    </row>
    <row r="793" ht="15.75" customHeight="1">
      <c r="A793" s="302"/>
      <c r="B793" s="301"/>
      <c r="C793" s="292"/>
      <c r="D793" s="297"/>
      <c r="E793" s="302"/>
      <c r="F793" s="310"/>
      <c r="G793" s="310"/>
      <c r="H793" s="310"/>
      <c r="I793" s="283"/>
      <c r="J793" s="283"/>
      <c r="K793" s="283"/>
      <c r="L793" s="283"/>
      <c r="M793" s="283"/>
      <c r="N793" s="283"/>
      <c r="O793" s="283"/>
      <c r="P793" s="283"/>
      <c r="Q793" s="278"/>
      <c r="R793" s="278"/>
      <c r="S793" s="278"/>
      <c r="T793" s="278"/>
      <c r="U793" s="278"/>
      <c r="V793" s="278"/>
      <c r="W793" s="278"/>
      <c r="X793" s="278"/>
      <c r="Y793" s="278"/>
      <c r="Z793" s="278"/>
      <c r="AA793" s="278"/>
      <c r="AB793" s="278"/>
      <c r="AC793" s="278"/>
    </row>
    <row r="794" ht="15.75" customHeight="1">
      <c r="A794" s="302"/>
      <c r="B794" s="301"/>
      <c r="C794" s="292"/>
      <c r="D794" s="297"/>
      <c r="E794" s="302"/>
      <c r="F794" s="310"/>
      <c r="G794" s="310"/>
      <c r="H794" s="310"/>
      <c r="I794" s="283"/>
      <c r="J794" s="283"/>
      <c r="K794" s="283"/>
      <c r="L794" s="283"/>
      <c r="M794" s="283"/>
      <c r="N794" s="283"/>
      <c r="O794" s="283"/>
      <c r="P794" s="283"/>
      <c r="Q794" s="278"/>
      <c r="R794" s="278"/>
      <c r="S794" s="278"/>
      <c r="T794" s="278"/>
      <c r="U794" s="278"/>
      <c r="V794" s="278"/>
      <c r="W794" s="278"/>
      <c r="X794" s="278"/>
      <c r="Y794" s="278"/>
      <c r="Z794" s="278"/>
      <c r="AA794" s="278"/>
      <c r="AB794" s="278"/>
      <c r="AC794" s="278"/>
    </row>
    <row r="795" ht="15.75" customHeight="1">
      <c r="A795" s="302"/>
      <c r="B795" s="301"/>
      <c r="C795" s="292"/>
      <c r="D795" s="297"/>
      <c r="E795" s="302"/>
      <c r="F795" s="310"/>
      <c r="G795" s="310"/>
      <c r="H795" s="310"/>
      <c r="I795" s="283"/>
      <c r="J795" s="283"/>
      <c r="K795" s="283"/>
      <c r="L795" s="283"/>
      <c r="M795" s="283"/>
      <c r="N795" s="283"/>
      <c r="O795" s="283"/>
      <c r="P795" s="283"/>
      <c r="Q795" s="278"/>
      <c r="R795" s="278"/>
      <c r="S795" s="278"/>
      <c r="T795" s="278"/>
      <c r="U795" s="278"/>
      <c r="V795" s="278"/>
      <c r="W795" s="278"/>
      <c r="X795" s="278"/>
      <c r="Y795" s="278"/>
      <c r="Z795" s="278"/>
      <c r="AA795" s="278"/>
      <c r="AB795" s="278"/>
      <c r="AC795" s="278"/>
    </row>
    <row r="796" ht="15.75" customHeight="1">
      <c r="A796" s="302"/>
      <c r="B796" s="301"/>
      <c r="C796" s="292"/>
      <c r="D796" s="297"/>
      <c r="E796" s="302"/>
      <c r="F796" s="310"/>
      <c r="G796" s="310"/>
      <c r="H796" s="310"/>
      <c r="I796" s="283"/>
      <c r="J796" s="283"/>
      <c r="K796" s="283"/>
      <c r="L796" s="283"/>
      <c r="M796" s="283"/>
      <c r="N796" s="283"/>
      <c r="O796" s="283"/>
      <c r="P796" s="283"/>
      <c r="Q796" s="278"/>
      <c r="R796" s="278"/>
      <c r="S796" s="278"/>
      <c r="T796" s="278"/>
      <c r="U796" s="278"/>
      <c r="V796" s="278"/>
      <c r="W796" s="278"/>
      <c r="X796" s="278"/>
      <c r="Y796" s="278"/>
      <c r="Z796" s="278"/>
      <c r="AA796" s="278"/>
      <c r="AB796" s="278"/>
      <c r="AC796" s="278"/>
    </row>
    <row r="797" ht="15.75" customHeight="1">
      <c r="A797" s="302"/>
      <c r="B797" s="301"/>
      <c r="C797" s="292"/>
      <c r="D797" s="297"/>
      <c r="E797" s="302"/>
      <c r="F797" s="310"/>
      <c r="G797" s="310"/>
      <c r="H797" s="310"/>
      <c r="I797" s="283"/>
      <c r="J797" s="283"/>
      <c r="K797" s="283"/>
      <c r="L797" s="283"/>
      <c r="M797" s="283"/>
      <c r="N797" s="283"/>
      <c r="O797" s="283"/>
      <c r="P797" s="283"/>
      <c r="Q797" s="278"/>
      <c r="R797" s="278"/>
      <c r="S797" s="278"/>
      <c r="T797" s="278"/>
      <c r="U797" s="278"/>
      <c r="V797" s="278"/>
      <c r="W797" s="278"/>
      <c r="X797" s="278"/>
      <c r="Y797" s="278"/>
      <c r="Z797" s="278"/>
      <c r="AA797" s="278"/>
      <c r="AB797" s="278"/>
      <c r="AC797" s="278"/>
    </row>
    <row r="798" ht="15.75" customHeight="1">
      <c r="A798" s="302"/>
      <c r="B798" s="301"/>
      <c r="C798" s="292"/>
      <c r="D798" s="297"/>
      <c r="E798" s="302"/>
      <c r="F798" s="310"/>
      <c r="G798" s="310"/>
      <c r="H798" s="310"/>
      <c r="I798" s="283"/>
      <c r="J798" s="283"/>
      <c r="K798" s="283"/>
      <c r="L798" s="283"/>
      <c r="M798" s="283"/>
      <c r="N798" s="283"/>
      <c r="O798" s="283"/>
      <c r="P798" s="283"/>
      <c r="Q798" s="278"/>
      <c r="R798" s="278"/>
      <c r="S798" s="278"/>
      <c r="T798" s="278"/>
      <c r="U798" s="278"/>
      <c r="V798" s="278"/>
      <c r="W798" s="278"/>
      <c r="X798" s="278"/>
      <c r="Y798" s="278"/>
      <c r="Z798" s="278"/>
      <c r="AA798" s="278"/>
      <c r="AB798" s="278"/>
      <c r="AC798" s="278"/>
    </row>
    <row r="799" ht="15.75" customHeight="1">
      <c r="A799" s="302"/>
      <c r="B799" s="301"/>
      <c r="C799" s="292"/>
      <c r="D799" s="297"/>
      <c r="E799" s="302"/>
      <c r="F799" s="310"/>
      <c r="G799" s="310"/>
      <c r="H799" s="310"/>
      <c r="I799" s="283"/>
      <c r="J799" s="283"/>
      <c r="K799" s="283"/>
      <c r="L799" s="283"/>
      <c r="M799" s="283"/>
      <c r="N799" s="283"/>
      <c r="O799" s="283"/>
      <c r="P799" s="283"/>
      <c r="Q799" s="278"/>
      <c r="R799" s="278"/>
      <c r="S799" s="278"/>
      <c r="T799" s="278"/>
      <c r="U799" s="278"/>
      <c r="V799" s="278"/>
      <c r="W799" s="278"/>
      <c r="X799" s="278"/>
      <c r="Y799" s="278"/>
      <c r="Z799" s="278"/>
      <c r="AA799" s="278"/>
      <c r="AB799" s="278"/>
      <c r="AC799" s="278"/>
    </row>
    <row r="800" ht="15.75" customHeight="1">
      <c r="A800" s="302"/>
      <c r="B800" s="301"/>
      <c r="C800" s="292"/>
      <c r="D800" s="297"/>
      <c r="E800" s="302"/>
      <c r="F800" s="310"/>
      <c r="G800" s="310"/>
      <c r="H800" s="310"/>
      <c r="I800" s="283"/>
      <c r="J800" s="283"/>
      <c r="K800" s="283"/>
      <c r="L800" s="283"/>
      <c r="M800" s="283"/>
      <c r="N800" s="283"/>
      <c r="O800" s="283"/>
      <c r="P800" s="283"/>
      <c r="Q800" s="278"/>
      <c r="R800" s="278"/>
      <c r="S800" s="278"/>
      <c r="T800" s="278"/>
      <c r="U800" s="278"/>
      <c r="V800" s="278"/>
      <c r="W800" s="278"/>
      <c r="X800" s="278"/>
      <c r="Y800" s="278"/>
      <c r="Z800" s="278"/>
      <c r="AA800" s="278"/>
      <c r="AB800" s="278"/>
      <c r="AC800" s="278"/>
    </row>
    <row r="801" ht="15.75" customHeight="1">
      <c r="A801" s="302"/>
      <c r="B801" s="301"/>
      <c r="C801" s="292"/>
      <c r="D801" s="297"/>
      <c r="E801" s="302"/>
      <c r="F801" s="310"/>
      <c r="G801" s="310"/>
      <c r="H801" s="310"/>
      <c r="I801" s="283"/>
      <c r="J801" s="283"/>
      <c r="K801" s="283"/>
      <c r="L801" s="283"/>
      <c r="M801" s="283"/>
      <c r="N801" s="283"/>
      <c r="O801" s="283"/>
      <c r="P801" s="283"/>
      <c r="Q801" s="278"/>
      <c r="R801" s="278"/>
      <c r="S801" s="278"/>
      <c r="T801" s="278"/>
      <c r="U801" s="278"/>
      <c r="V801" s="278"/>
      <c r="W801" s="278"/>
      <c r="X801" s="278"/>
      <c r="Y801" s="278"/>
      <c r="Z801" s="278"/>
      <c r="AA801" s="278"/>
      <c r="AB801" s="278"/>
      <c r="AC801" s="278"/>
    </row>
    <row r="802" ht="15.75" customHeight="1">
      <c r="A802" s="302"/>
      <c r="B802" s="301"/>
      <c r="C802" s="292"/>
      <c r="D802" s="297"/>
      <c r="E802" s="302"/>
      <c r="F802" s="310"/>
      <c r="G802" s="310"/>
      <c r="H802" s="310"/>
      <c r="I802" s="283"/>
      <c r="J802" s="283"/>
      <c r="K802" s="283"/>
      <c r="L802" s="283"/>
      <c r="M802" s="283"/>
      <c r="N802" s="283"/>
      <c r="O802" s="283"/>
      <c r="P802" s="283"/>
      <c r="Q802" s="278"/>
      <c r="R802" s="278"/>
      <c r="S802" s="278"/>
      <c r="T802" s="278"/>
      <c r="U802" s="278"/>
      <c r="V802" s="278"/>
      <c r="W802" s="278"/>
      <c r="X802" s="278"/>
      <c r="Y802" s="278"/>
      <c r="Z802" s="278"/>
      <c r="AA802" s="278"/>
      <c r="AB802" s="278"/>
      <c r="AC802" s="278"/>
    </row>
    <row r="803" ht="15.75" customHeight="1">
      <c r="A803" s="302"/>
      <c r="B803" s="301"/>
      <c r="C803" s="292"/>
      <c r="D803" s="297"/>
      <c r="E803" s="302"/>
      <c r="F803" s="310"/>
      <c r="G803" s="310"/>
      <c r="H803" s="310"/>
      <c r="I803" s="283"/>
      <c r="J803" s="283"/>
      <c r="K803" s="283"/>
      <c r="L803" s="283"/>
      <c r="M803" s="283"/>
      <c r="N803" s="283"/>
      <c r="O803" s="283"/>
      <c r="P803" s="283"/>
      <c r="Q803" s="278"/>
      <c r="R803" s="278"/>
      <c r="S803" s="278"/>
      <c r="T803" s="278"/>
      <c r="U803" s="278"/>
      <c r="V803" s="278"/>
      <c r="W803" s="278"/>
      <c r="X803" s="278"/>
      <c r="Y803" s="278"/>
      <c r="Z803" s="278"/>
      <c r="AA803" s="278"/>
      <c r="AB803" s="278"/>
      <c r="AC803" s="278"/>
    </row>
    <row r="804" ht="15.75" customHeight="1">
      <c r="A804" s="302"/>
      <c r="B804" s="301"/>
      <c r="C804" s="292"/>
      <c r="D804" s="297"/>
      <c r="E804" s="302"/>
      <c r="F804" s="310"/>
      <c r="G804" s="310"/>
      <c r="H804" s="310"/>
      <c r="I804" s="283"/>
      <c r="J804" s="283"/>
      <c r="K804" s="283"/>
      <c r="L804" s="283"/>
      <c r="M804" s="283"/>
      <c r="N804" s="283"/>
      <c r="O804" s="283"/>
      <c r="P804" s="283"/>
      <c r="Q804" s="278"/>
      <c r="R804" s="278"/>
      <c r="S804" s="278"/>
      <c r="T804" s="278"/>
      <c r="U804" s="278"/>
      <c r="V804" s="278"/>
      <c r="W804" s="278"/>
      <c r="X804" s="278"/>
      <c r="Y804" s="278"/>
      <c r="Z804" s="278"/>
      <c r="AA804" s="278"/>
      <c r="AB804" s="278"/>
      <c r="AC804" s="278"/>
    </row>
    <row r="805" ht="15.75" customHeight="1">
      <c r="A805" s="302"/>
      <c r="B805" s="301"/>
      <c r="C805" s="292"/>
      <c r="D805" s="297"/>
      <c r="E805" s="302"/>
      <c r="F805" s="310"/>
      <c r="G805" s="310"/>
      <c r="H805" s="310"/>
      <c r="I805" s="283"/>
      <c r="J805" s="283"/>
      <c r="K805" s="283"/>
      <c r="L805" s="283"/>
      <c r="M805" s="283"/>
      <c r="N805" s="283"/>
      <c r="O805" s="283"/>
      <c r="P805" s="283"/>
      <c r="Q805" s="278"/>
      <c r="R805" s="278"/>
      <c r="S805" s="278"/>
      <c r="T805" s="278"/>
      <c r="U805" s="278"/>
      <c r="V805" s="278"/>
      <c r="W805" s="278"/>
      <c r="X805" s="278"/>
      <c r="Y805" s="278"/>
      <c r="Z805" s="278"/>
      <c r="AA805" s="278"/>
      <c r="AB805" s="278"/>
      <c r="AC805" s="278"/>
    </row>
    <row r="806" ht="15.75" customHeight="1">
      <c r="A806" s="302"/>
      <c r="B806" s="301"/>
      <c r="C806" s="292"/>
      <c r="D806" s="297"/>
      <c r="E806" s="302"/>
      <c r="F806" s="310"/>
      <c r="G806" s="310"/>
      <c r="H806" s="310"/>
      <c r="I806" s="283"/>
      <c r="J806" s="283"/>
      <c r="K806" s="283"/>
      <c r="L806" s="283"/>
      <c r="M806" s="283"/>
      <c r="N806" s="283"/>
      <c r="O806" s="283"/>
      <c r="P806" s="283"/>
      <c r="Q806" s="278"/>
      <c r="R806" s="278"/>
      <c r="S806" s="278"/>
      <c r="T806" s="278"/>
      <c r="U806" s="278"/>
      <c r="V806" s="278"/>
      <c r="W806" s="278"/>
      <c r="X806" s="278"/>
      <c r="Y806" s="278"/>
      <c r="Z806" s="278"/>
      <c r="AA806" s="278"/>
      <c r="AB806" s="278"/>
      <c r="AC806" s="278"/>
    </row>
    <row r="807" ht="15.75" customHeight="1">
      <c r="A807" s="302"/>
      <c r="B807" s="301"/>
      <c r="C807" s="292"/>
      <c r="D807" s="297"/>
      <c r="E807" s="302"/>
      <c r="F807" s="310"/>
      <c r="G807" s="310"/>
      <c r="H807" s="310"/>
      <c r="I807" s="283"/>
      <c r="J807" s="283"/>
      <c r="K807" s="283"/>
      <c r="L807" s="283"/>
      <c r="M807" s="283"/>
      <c r="N807" s="283"/>
      <c r="O807" s="283"/>
      <c r="P807" s="283"/>
      <c r="Q807" s="278"/>
      <c r="R807" s="278"/>
      <c r="S807" s="278"/>
      <c r="T807" s="278"/>
      <c r="U807" s="278"/>
      <c r="V807" s="278"/>
      <c r="W807" s="278"/>
      <c r="X807" s="278"/>
      <c r="Y807" s="278"/>
      <c r="Z807" s="278"/>
      <c r="AA807" s="278"/>
      <c r="AB807" s="278"/>
      <c r="AC807" s="278"/>
    </row>
    <row r="808" ht="15.75" customHeight="1">
      <c r="A808" s="302"/>
      <c r="B808" s="301"/>
      <c r="C808" s="292"/>
      <c r="D808" s="297"/>
      <c r="E808" s="302"/>
      <c r="F808" s="310"/>
      <c r="G808" s="310"/>
      <c r="H808" s="310"/>
      <c r="I808" s="283"/>
      <c r="J808" s="283"/>
      <c r="K808" s="283"/>
      <c r="L808" s="283"/>
      <c r="M808" s="283"/>
      <c r="N808" s="283"/>
      <c r="O808" s="283"/>
      <c r="P808" s="283"/>
      <c r="Q808" s="278"/>
      <c r="R808" s="278"/>
      <c r="S808" s="278"/>
      <c r="T808" s="278"/>
      <c r="U808" s="278"/>
      <c r="V808" s="278"/>
      <c r="W808" s="278"/>
      <c r="X808" s="278"/>
      <c r="Y808" s="278"/>
      <c r="Z808" s="278"/>
      <c r="AA808" s="278"/>
      <c r="AB808" s="278"/>
      <c r="AC808" s="278"/>
    </row>
    <row r="809" ht="15.75" customHeight="1">
      <c r="A809" s="302"/>
      <c r="B809" s="301"/>
      <c r="C809" s="292"/>
      <c r="D809" s="297"/>
      <c r="E809" s="302"/>
      <c r="F809" s="310"/>
      <c r="G809" s="310"/>
      <c r="H809" s="310"/>
      <c r="I809" s="283"/>
      <c r="J809" s="283"/>
      <c r="K809" s="283"/>
      <c r="L809" s="283"/>
      <c r="M809" s="283"/>
      <c r="N809" s="283"/>
      <c r="O809" s="283"/>
      <c r="P809" s="283"/>
      <c r="Q809" s="278"/>
      <c r="R809" s="278"/>
      <c r="S809" s="278"/>
      <c r="T809" s="278"/>
      <c r="U809" s="278"/>
      <c r="V809" s="278"/>
      <c r="W809" s="278"/>
      <c r="X809" s="278"/>
      <c r="Y809" s="278"/>
      <c r="Z809" s="278"/>
      <c r="AA809" s="278"/>
      <c r="AB809" s="278"/>
      <c r="AC809" s="278"/>
    </row>
    <row r="810" ht="15.75" customHeight="1">
      <c r="A810" s="302"/>
      <c r="B810" s="301"/>
      <c r="C810" s="292"/>
      <c r="D810" s="297"/>
      <c r="E810" s="302"/>
      <c r="F810" s="310"/>
      <c r="G810" s="310"/>
      <c r="H810" s="310"/>
      <c r="I810" s="283"/>
      <c r="J810" s="283"/>
      <c r="K810" s="283"/>
      <c r="L810" s="283"/>
      <c r="M810" s="283"/>
      <c r="N810" s="283"/>
      <c r="O810" s="283"/>
      <c r="P810" s="283"/>
      <c r="Q810" s="278"/>
      <c r="R810" s="278"/>
      <c r="S810" s="278"/>
      <c r="T810" s="278"/>
      <c r="U810" s="278"/>
      <c r="V810" s="278"/>
      <c r="W810" s="278"/>
      <c r="X810" s="278"/>
      <c r="Y810" s="278"/>
      <c r="Z810" s="278"/>
      <c r="AA810" s="278"/>
      <c r="AB810" s="278"/>
      <c r="AC810" s="278"/>
    </row>
    <row r="811" ht="15.75" customHeight="1">
      <c r="A811" s="302"/>
      <c r="B811" s="301"/>
      <c r="C811" s="292"/>
      <c r="D811" s="297"/>
      <c r="E811" s="302"/>
      <c r="F811" s="310"/>
      <c r="G811" s="310"/>
      <c r="H811" s="310"/>
      <c r="I811" s="283"/>
      <c r="J811" s="283"/>
      <c r="K811" s="283"/>
      <c r="L811" s="283"/>
      <c r="M811" s="283"/>
      <c r="N811" s="283"/>
      <c r="O811" s="283"/>
      <c r="P811" s="283"/>
      <c r="Q811" s="278"/>
      <c r="R811" s="278"/>
      <c r="S811" s="278"/>
      <c r="T811" s="278"/>
      <c r="U811" s="278"/>
      <c r="V811" s="278"/>
      <c r="W811" s="278"/>
      <c r="X811" s="278"/>
      <c r="Y811" s="278"/>
      <c r="Z811" s="278"/>
      <c r="AA811" s="278"/>
      <c r="AB811" s="278"/>
      <c r="AC811" s="278"/>
    </row>
    <row r="812" ht="15.75" customHeight="1">
      <c r="A812" s="302"/>
      <c r="B812" s="301"/>
      <c r="C812" s="292"/>
      <c r="D812" s="297"/>
      <c r="E812" s="302"/>
      <c r="F812" s="310"/>
      <c r="G812" s="310"/>
      <c r="H812" s="310"/>
      <c r="I812" s="283"/>
      <c r="J812" s="283"/>
      <c r="K812" s="283"/>
      <c r="L812" s="283"/>
      <c r="M812" s="283"/>
      <c r="N812" s="283"/>
      <c r="O812" s="283"/>
      <c r="P812" s="283"/>
      <c r="Q812" s="278"/>
      <c r="R812" s="278"/>
      <c r="S812" s="278"/>
      <c r="T812" s="278"/>
      <c r="U812" s="278"/>
      <c r="V812" s="278"/>
      <c r="W812" s="278"/>
      <c r="X812" s="278"/>
      <c r="Y812" s="278"/>
      <c r="Z812" s="278"/>
      <c r="AA812" s="278"/>
      <c r="AB812" s="278"/>
      <c r="AC812" s="278"/>
    </row>
    <row r="813" ht="15.75" customHeight="1">
      <c r="A813" s="302"/>
      <c r="B813" s="301"/>
      <c r="C813" s="292"/>
      <c r="D813" s="297"/>
      <c r="E813" s="302"/>
      <c r="F813" s="310"/>
      <c r="G813" s="310"/>
      <c r="H813" s="310"/>
      <c r="I813" s="283"/>
      <c r="J813" s="283"/>
      <c r="K813" s="283"/>
      <c r="L813" s="283"/>
      <c r="M813" s="283"/>
      <c r="N813" s="283"/>
      <c r="O813" s="283"/>
      <c r="P813" s="283"/>
      <c r="Q813" s="278"/>
      <c r="R813" s="278"/>
      <c r="S813" s="278"/>
      <c r="T813" s="278"/>
      <c r="U813" s="278"/>
      <c r="V813" s="278"/>
      <c r="W813" s="278"/>
      <c r="X813" s="278"/>
      <c r="Y813" s="278"/>
      <c r="Z813" s="278"/>
      <c r="AA813" s="278"/>
      <c r="AB813" s="278"/>
      <c r="AC813" s="278"/>
    </row>
    <row r="814" ht="15.75" customHeight="1">
      <c r="A814" s="302"/>
      <c r="B814" s="301"/>
      <c r="C814" s="292"/>
      <c r="D814" s="297"/>
      <c r="E814" s="302"/>
      <c r="F814" s="310"/>
      <c r="G814" s="310"/>
      <c r="H814" s="310"/>
      <c r="I814" s="283"/>
      <c r="J814" s="283"/>
      <c r="K814" s="283"/>
      <c r="L814" s="283"/>
      <c r="M814" s="283"/>
      <c r="N814" s="283"/>
      <c r="O814" s="283"/>
      <c r="P814" s="283"/>
      <c r="Q814" s="278"/>
      <c r="R814" s="278"/>
      <c r="S814" s="278"/>
      <c r="T814" s="278"/>
      <c r="U814" s="278"/>
      <c r="V814" s="278"/>
      <c r="W814" s="278"/>
      <c r="X814" s="278"/>
      <c r="Y814" s="278"/>
      <c r="Z814" s="278"/>
      <c r="AA814" s="278"/>
      <c r="AB814" s="278"/>
      <c r="AC814" s="278"/>
    </row>
    <row r="815" ht="15.75" customHeight="1">
      <c r="A815" s="302"/>
      <c r="B815" s="301"/>
      <c r="C815" s="292"/>
      <c r="D815" s="297"/>
      <c r="E815" s="302"/>
      <c r="F815" s="310"/>
      <c r="G815" s="310"/>
      <c r="H815" s="310"/>
      <c r="I815" s="283"/>
      <c r="J815" s="283"/>
      <c r="K815" s="283"/>
      <c r="L815" s="283"/>
      <c r="M815" s="283"/>
      <c r="N815" s="283"/>
      <c r="O815" s="283"/>
      <c r="P815" s="283"/>
      <c r="Q815" s="278"/>
      <c r="R815" s="278"/>
      <c r="S815" s="278"/>
      <c r="T815" s="278"/>
      <c r="U815" s="278"/>
      <c r="V815" s="278"/>
      <c r="W815" s="278"/>
      <c r="X815" s="278"/>
      <c r="Y815" s="278"/>
      <c r="Z815" s="278"/>
      <c r="AA815" s="278"/>
      <c r="AB815" s="278"/>
      <c r="AC815" s="278"/>
    </row>
    <row r="816" ht="15.75" customHeight="1">
      <c r="A816" s="302"/>
      <c r="B816" s="301"/>
      <c r="C816" s="292"/>
      <c r="D816" s="297"/>
      <c r="E816" s="302"/>
      <c r="F816" s="310"/>
      <c r="G816" s="310"/>
      <c r="H816" s="310"/>
      <c r="I816" s="283"/>
      <c r="J816" s="283"/>
      <c r="K816" s="283"/>
      <c r="L816" s="283"/>
      <c r="M816" s="283"/>
      <c r="N816" s="283"/>
      <c r="O816" s="283"/>
      <c r="P816" s="283"/>
      <c r="Q816" s="278"/>
      <c r="R816" s="278"/>
      <c r="S816" s="278"/>
      <c r="T816" s="278"/>
      <c r="U816" s="278"/>
      <c r="V816" s="278"/>
      <c r="W816" s="278"/>
      <c r="X816" s="278"/>
      <c r="Y816" s="278"/>
      <c r="Z816" s="278"/>
      <c r="AA816" s="278"/>
      <c r="AB816" s="278"/>
      <c r="AC816" s="278"/>
    </row>
    <row r="817" ht="15.75" customHeight="1">
      <c r="A817" s="302"/>
      <c r="B817" s="301"/>
      <c r="C817" s="292"/>
      <c r="D817" s="297"/>
      <c r="E817" s="302"/>
      <c r="F817" s="310"/>
      <c r="G817" s="310"/>
      <c r="H817" s="310"/>
      <c r="I817" s="283"/>
      <c r="J817" s="283"/>
      <c r="K817" s="283"/>
      <c r="L817" s="283"/>
      <c r="M817" s="283"/>
      <c r="N817" s="283"/>
      <c r="O817" s="283"/>
      <c r="P817" s="283"/>
      <c r="Q817" s="278"/>
      <c r="R817" s="278"/>
      <c r="S817" s="278"/>
      <c r="T817" s="278"/>
      <c r="U817" s="278"/>
      <c r="V817" s="278"/>
      <c r="W817" s="278"/>
      <c r="X817" s="278"/>
      <c r="Y817" s="278"/>
      <c r="Z817" s="278"/>
      <c r="AA817" s="278"/>
      <c r="AB817" s="278"/>
      <c r="AC817" s="278"/>
    </row>
    <row r="818" ht="15.75" customHeight="1">
      <c r="A818" s="302"/>
      <c r="B818" s="301"/>
      <c r="C818" s="292"/>
      <c r="D818" s="297"/>
      <c r="E818" s="302"/>
      <c r="F818" s="310"/>
      <c r="G818" s="310"/>
      <c r="H818" s="310"/>
      <c r="I818" s="283"/>
      <c r="J818" s="283"/>
      <c r="K818" s="283"/>
      <c r="L818" s="283"/>
      <c r="M818" s="283"/>
      <c r="N818" s="283"/>
      <c r="O818" s="283"/>
      <c r="P818" s="283"/>
      <c r="Q818" s="278"/>
      <c r="R818" s="278"/>
      <c r="S818" s="278"/>
      <c r="T818" s="278"/>
      <c r="U818" s="278"/>
      <c r="V818" s="278"/>
      <c r="W818" s="278"/>
      <c r="X818" s="278"/>
      <c r="Y818" s="278"/>
      <c r="Z818" s="278"/>
      <c r="AA818" s="278"/>
      <c r="AB818" s="278"/>
      <c r="AC818" s="278"/>
    </row>
    <row r="819" ht="15.75" customHeight="1">
      <c r="A819" s="302"/>
      <c r="B819" s="301"/>
      <c r="C819" s="292"/>
      <c r="D819" s="297"/>
      <c r="E819" s="302"/>
      <c r="F819" s="310"/>
      <c r="G819" s="310"/>
      <c r="H819" s="310"/>
      <c r="I819" s="283"/>
      <c r="J819" s="283"/>
      <c r="K819" s="283"/>
      <c r="L819" s="283"/>
      <c r="M819" s="283"/>
      <c r="N819" s="283"/>
      <c r="O819" s="283"/>
      <c r="P819" s="283"/>
      <c r="Q819" s="278"/>
      <c r="R819" s="278"/>
      <c r="S819" s="278"/>
      <c r="T819" s="278"/>
      <c r="U819" s="278"/>
      <c r="V819" s="278"/>
      <c r="W819" s="278"/>
      <c r="X819" s="278"/>
      <c r="Y819" s="278"/>
      <c r="Z819" s="278"/>
      <c r="AA819" s="278"/>
      <c r="AB819" s="278"/>
      <c r="AC819" s="278"/>
    </row>
    <row r="820" ht="15.75" customHeight="1">
      <c r="A820" s="302"/>
      <c r="B820" s="301"/>
      <c r="C820" s="292"/>
      <c r="D820" s="297"/>
      <c r="E820" s="302"/>
      <c r="F820" s="310"/>
      <c r="G820" s="310"/>
      <c r="H820" s="310"/>
      <c r="I820" s="283"/>
      <c r="J820" s="283"/>
      <c r="K820" s="283"/>
      <c r="L820" s="283"/>
      <c r="M820" s="283"/>
      <c r="N820" s="283"/>
      <c r="O820" s="283"/>
      <c r="P820" s="283"/>
      <c r="Q820" s="278"/>
      <c r="R820" s="278"/>
      <c r="S820" s="278"/>
      <c r="T820" s="278"/>
      <c r="U820" s="278"/>
      <c r="V820" s="278"/>
      <c r="W820" s="278"/>
      <c r="X820" s="278"/>
      <c r="Y820" s="278"/>
      <c r="Z820" s="278"/>
      <c r="AA820" s="278"/>
      <c r="AB820" s="278"/>
      <c r="AC820" s="278"/>
    </row>
    <row r="821" ht="15.75" customHeight="1">
      <c r="A821" s="302"/>
      <c r="B821" s="301"/>
      <c r="C821" s="292"/>
      <c r="D821" s="297"/>
      <c r="E821" s="302"/>
      <c r="F821" s="310"/>
      <c r="G821" s="310"/>
      <c r="H821" s="310"/>
      <c r="I821" s="283"/>
      <c r="J821" s="283"/>
      <c r="K821" s="283"/>
      <c r="L821" s="283"/>
      <c r="M821" s="283"/>
      <c r="N821" s="283"/>
      <c r="O821" s="283"/>
      <c r="P821" s="283"/>
      <c r="Q821" s="278"/>
      <c r="R821" s="278"/>
      <c r="S821" s="278"/>
      <c r="T821" s="278"/>
      <c r="U821" s="278"/>
      <c r="V821" s="278"/>
      <c r="W821" s="278"/>
      <c r="X821" s="278"/>
      <c r="Y821" s="278"/>
      <c r="Z821" s="278"/>
      <c r="AA821" s="278"/>
      <c r="AB821" s="278"/>
      <c r="AC821" s="278"/>
    </row>
    <row r="822" ht="15.75" customHeight="1">
      <c r="A822" s="302"/>
      <c r="B822" s="301"/>
      <c r="C822" s="292"/>
      <c r="D822" s="297"/>
      <c r="E822" s="302"/>
      <c r="F822" s="310"/>
      <c r="G822" s="310"/>
      <c r="H822" s="310"/>
      <c r="I822" s="283"/>
      <c r="J822" s="283"/>
      <c r="K822" s="283"/>
      <c r="L822" s="283"/>
      <c r="M822" s="283"/>
      <c r="N822" s="283"/>
      <c r="O822" s="283"/>
      <c r="P822" s="283"/>
      <c r="Q822" s="278"/>
      <c r="R822" s="278"/>
      <c r="S822" s="278"/>
      <c r="T822" s="278"/>
      <c r="U822" s="278"/>
      <c r="V822" s="278"/>
      <c r="W822" s="278"/>
      <c r="X822" s="278"/>
      <c r="Y822" s="278"/>
      <c r="Z822" s="278"/>
      <c r="AA822" s="278"/>
      <c r="AB822" s="278"/>
      <c r="AC822" s="278"/>
    </row>
    <row r="823" ht="15.75" customHeight="1">
      <c r="A823" s="302"/>
      <c r="B823" s="301"/>
      <c r="C823" s="292"/>
      <c r="D823" s="297"/>
      <c r="E823" s="302"/>
      <c r="F823" s="310"/>
      <c r="G823" s="310"/>
      <c r="H823" s="310"/>
      <c r="I823" s="283"/>
      <c r="J823" s="283"/>
      <c r="K823" s="283"/>
      <c r="L823" s="283"/>
      <c r="M823" s="283"/>
      <c r="N823" s="283"/>
      <c r="O823" s="283"/>
      <c r="P823" s="283"/>
      <c r="Q823" s="278"/>
      <c r="R823" s="278"/>
      <c r="S823" s="278"/>
      <c r="T823" s="278"/>
      <c r="U823" s="278"/>
      <c r="V823" s="278"/>
      <c r="W823" s="278"/>
      <c r="X823" s="278"/>
      <c r="Y823" s="278"/>
      <c r="Z823" s="278"/>
      <c r="AA823" s="278"/>
      <c r="AB823" s="278"/>
      <c r="AC823" s="278"/>
    </row>
    <row r="824" ht="15.75" customHeight="1">
      <c r="A824" s="302"/>
      <c r="B824" s="301"/>
      <c r="C824" s="292"/>
      <c r="D824" s="297"/>
      <c r="E824" s="302"/>
      <c r="F824" s="310"/>
      <c r="G824" s="310"/>
      <c r="H824" s="310"/>
      <c r="I824" s="283"/>
      <c r="J824" s="283"/>
      <c r="K824" s="283"/>
      <c r="L824" s="283"/>
      <c r="M824" s="283"/>
      <c r="N824" s="283"/>
      <c r="O824" s="283"/>
      <c r="P824" s="283"/>
      <c r="Q824" s="278"/>
      <c r="R824" s="278"/>
      <c r="S824" s="278"/>
      <c r="T824" s="278"/>
      <c r="U824" s="278"/>
      <c r="V824" s="278"/>
      <c r="W824" s="278"/>
      <c r="X824" s="278"/>
      <c r="Y824" s="278"/>
      <c r="Z824" s="278"/>
      <c r="AA824" s="278"/>
      <c r="AB824" s="278"/>
      <c r="AC824" s="278"/>
    </row>
    <row r="825" ht="15.75" customHeight="1">
      <c r="A825" s="302"/>
      <c r="B825" s="301"/>
      <c r="C825" s="292"/>
      <c r="D825" s="297"/>
      <c r="E825" s="302"/>
      <c r="F825" s="310"/>
      <c r="G825" s="310"/>
      <c r="H825" s="310"/>
      <c r="I825" s="283"/>
      <c r="J825" s="283"/>
      <c r="K825" s="283"/>
      <c r="L825" s="283"/>
      <c r="M825" s="283"/>
      <c r="N825" s="283"/>
      <c r="O825" s="283"/>
      <c r="P825" s="283"/>
      <c r="Q825" s="278"/>
      <c r="R825" s="278"/>
      <c r="S825" s="278"/>
      <c r="T825" s="278"/>
      <c r="U825" s="278"/>
      <c r="V825" s="278"/>
      <c r="W825" s="278"/>
      <c r="X825" s="278"/>
      <c r="Y825" s="278"/>
      <c r="Z825" s="278"/>
      <c r="AA825" s="278"/>
      <c r="AB825" s="278"/>
      <c r="AC825" s="278"/>
    </row>
    <row r="826" ht="15.75" customHeight="1">
      <c r="A826" s="302"/>
      <c r="B826" s="301"/>
      <c r="C826" s="292"/>
      <c r="D826" s="297"/>
      <c r="E826" s="302"/>
      <c r="F826" s="310"/>
      <c r="G826" s="310"/>
      <c r="H826" s="310"/>
      <c r="I826" s="283"/>
      <c r="J826" s="283"/>
      <c r="K826" s="283"/>
      <c r="L826" s="283"/>
      <c r="M826" s="283"/>
      <c r="N826" s="283"/>
      <c r="O826" s="283"/>
      <c r="P826" s="283"/>
      <c r="Q826" s="278"/>
      <c r="R826" s="278"/>
      <c r="S826" s="278"/>
      <c r="T826" s="278"/>
      <c r="U826" s="278"/>
      <c r="V826" s="278"/>
      <c r="W826" s="278"/>
      <c r="X826" s="278"/>
      <c r="Y826" s="278"/>
      <c r="Z826" s="278"/>
      <c r="AA826" s="278"/>
      <c r="AB826" s="278"/>
      <c r="AC826" s="278"/>
    </row>
    <row r="827" ht="15.75" customHeight="1">
      <c r="A827" s="302"/>
      <c r="B827" s="301"/>
      <c r="C827" s="292"/>
      <c r="D827" s="297"/>
      <c r="E827" s="302"/>
      <c r="F827" s="310"/>
      <c r="G827" s="310"/>
      <c r="H827" s="310"/>
      <c r="I827" s="283"/>
      <c r="J827" s="283"/>
      <c r="K827" s="283"/>
      <c r="L827" s="283"/>
      <c r="M827" s="283"/>
      <c r="N827" s="283"/>
      <c r="O827" s="283"/>
      <c r="P827" s="283"/>
      <c r="Q827" s="278"/>
      <c r="R827" s="278"/>
      <c r="S827" s="278"/>
      <c r="T827" s="278"/>
      <c r="U827" s="278"/>
      <c r="V827" s="278"/>
      <c r="W827" s="278"/>
      <c r="X827" s="278"/>
      <c r="Y827" s="278"/>
      <c r="Z827" s="278"/>
      <c r="AA827" s="278"/>
      <c r="AB827" s="278"/>
      <c r="AC827" s="278"/>
    </row>
    <row r="828" ht="15.75" customHeight="1">
      <c r="A828" s="302"/>
      <c r="B828" s="301"/>
      <c r="C828" s="292"/>
      <c r="D828" s="297"/>
      <c r="E828" s="302"/>
      <c r="F828" s="310"/>
      <c r="G828" s="310"/>
      <c r="H828" s="310"/>
      <c r="I828" s="283"/>
      <c r="J828" s="283"/>
      <c r="K828" s="283"/>
      <c r="L828" s="283"/>
      <c r="M828" s="283"/>
      <c r="N828" s="283"/>
      <c r="O828" s="283"/>
      <c r="P828" s="283"/>
      <c r="Q828" s="278"/>
      <c r="R828" s="278"/>
      <c r="S828" s="278"/>
      <c r="T828" s="278"/>
      <c r="U828" s="278"/>
      <c r="V828" s="278"/>
      <c r="W828" s="278"/>
      <c r="X828" s="278"/>
      <c r="Y828" s="278"/>
      <c r="Z828" s="278"/>
      <c r="AA828" s="278"/>
      <c r="AB828" s="278"/>
      <c r="AC828" s="278"/>
    </row>
    <row r="829" ht="15.75" customHeight="1">
      <c r="A829" s="302"/>
      <c r="B829" s="301"/>
      <c r="C829" s="292"/>
      <c r="D829" s="297"/>
      <c r="E829" s="302"/>
      <c r="F829" s="310"/>
      <c r="G829" s="310"/>
      <c r="H829" s="310"/>
      <c r="I829" s="283"/>
      <c r="J829" s="283"/>
      <c r="K829" s="283"/>
      <c r="L829" s="283"/>
      <c r="M829" s="283"/>
      <c r="N829" s="283"/>
      <c r="O829" s="283"/>
      <c r="P829" s="283"/>
      <c r="Q829" s="278"/>
      <c r="R829" s="278"/>
      <c r="S829" s="278"/>
      <c r="T829" s="278"/>
      <c r="U829" s="278"/>
      <c r="V829" s="278"/>
      <c r="W829" s="278"/>
      <c r="X829" s="278"/>
      <c r="Y829" s="278"/>
      <c r="Z829" s="278"/>
      <c r="AA829" s="278"/>
      <c r="AB829" s="278"/>
      <c r="AC829" s="278"/>
    </row>
    <row r="830" ht="15.75" customHeight="1">
      <c r="A830" s="302"/>
      <c r="B830" s="301"/>
      <c r="C830" s="292"/>
      <c r="D830" s="297"/>
      <c r="E830" s="302"/>
      <c r="F830" s="310"/>
      <c r="G830" s="310"/>
      <c r="H830" s="310"/>
      <c r="I830" s="283"/>
      <c r="J830" s="283"/>
      <c r="K830" s="283"/>
      <c r="L830" s="283"/>
      <c r="M830" s="283"/>
      <c r="N830" s="283"/>
      <c r="O830" s="283"/>
      <c r="P830" s="283"/>
      <c r="Q830" s="278"/>
      <c r="R830" s="278"/>
      <c r="S830" s="278"/>
      <c r="T830" s="278"/>
      <c r="U830" s="278"/>
      <c r="V830" s="278"/>
      <c r="W830" s="278"/>
      <c r="X830" s="278"/>
      <c r="Y830" s="278"/>
      <c r="Z830" s="278"/>
      <c r="AA830" s="278"/>
      <c r="AB830" s="278"/>
      <c r="AC830" s="278"/>
    </row>
    <row r="831" ht="15.75" customHeight="1">
      <c r="A831" s="302"/>
      <c r="B831" s="301"/>
      <c r="C831" s="292"/>
      <c r="D831" s="297"/>
      <c r="E831" s="302"/>
      <c r="F831" s="310"/>
      <c r="G831" s="310"/>
      <c r="H831" s="310"/>
      <c r="I831" s="283"/>
      <c r="J831" s="283"/>
      <c r="K831" s="283"/>
      <c r="L831" s="283"/>
      <c r="M831" s="283"/>
      <c r="N831" s="283"/>
      <c r="O831" s="283"/>
      <c r="P831" s="283"/>
      <c r="Q831" s="278"/>
      <c r="R831" s="278"/>
      <c r="S831" s="278"/>
      <c r="T831" s="278"/>
      <c r="U831" s="278"/>
      <c r="V831" s="278"/>
      <c r="W831" s="278"/>
      <c r="X831" s="278"/>
      <c r="Y831" s="278"/>
      <c r="Z831" s="278"/>
      <c r="AA831" s="278"/>
      <c r="AB831" s="278"/>
      <c r="AC831" s="278"/>
    </row>
    <row r="832" ht="15.75" customHeight="1">
      <c r="A832" s="302"/>
      <c r="B832" s="301"/>
      <c r="C832" s="292"/>
      <c r="D832" s="297"/>
      <c r="E832" s="302"/>
      <c r="F832" s="310"/>
      <c r="G832" s="310"/>
      <c r="H832" s="310"/>
      <c r="I832" s="283"/>
      <c r="J832" s="283"/>
      <c r="K832" s="283"/>
      <c r="L832" s="283"/>
      <c r="M832" s="283"/>
      <c r="N832" s="283"/>
      <c r="O832" s="283"/>
      <c r="P832" s="283"/>
      <c r="Q832" s="278"/>
      <c r="R832" s="278"/>
      <c r="S832" s="278"/>
      <c r="T832" s="278"/>
      <c r="U832" s="278"/>
      <c r="V832" s="278"/>
      <c r="W832" s="278"/>
      <c r="X832" s="278"/>
      <c r="Y832" s="278"/>
      <c r="Z832" s="278"/>
      <c r="AA832" s="278"/>
      <c r="AB832" s="278"/>
      <c r="AC832" s="278"/>
    </row>
    <row r="833" ht="15.75" customHeight="1">
      <c r="A833" s="302"/>
      <c r="B833" s="301"/>
      <c r="C833" s="292"/>
      <c r="D833" s="297"/>
      <c r="E833" s="302"/>
      <c r="F833" s="310"/>
      <c r="G833" s="310"/>
      <c r="H833" s="310"/>
      <c r="I833" s="283"/>
      <c r="J833" s="283"/>
      <c r="K833" s="283"/>
      <c r="L833" s="283"/>
      <c r="M833" s="283"/>
      <c r="N833" s="283"/>
      <c r="O833" s="283"/>
      <c r="P833" s="283"/>
      <c r="Q833" s="278"/>
      <c r="R833" s="278"/>
      <c r="S833" s="278"/>
      <c r="T833" s="278"/>
      <c r="U833" s="278"/>
      <c r="V833" s="278"/>
      <c r="W833" s="278"/>
      <c r="X833" s="278"/>
      <c r="Y833" s="278"/>
      <c r="Z833" s="278"/>
      <c r="AA833" s="278"/>
      <c r="AB833" s="278"/>
      <c r="AC833" s="278"/>
    </row>
    <row r="834" ht="15.75" customHeight="1">
      <c r="A834" s="302"/>
      <c r="B834" s="301"/>
      <c r="C834" s="292"/>
      <c r="D834" s="297"/>
      <c r="E834" s="302"/>
      <c r="F834" s="310"/>
      <c r="G834" s="310"/>
      <c r="H834" s="310"/>
      <c r="I834" s="283"/>
      <c r="J834" s="283"/>
      <c r="K834" s="283"/>
      <c r="L834" s="283"/>
      <c r="M834" s="283"/>
      <c r="N834" s="283"/>
      <c r="O834" s="283"/>
      <c r="P834" s="283"/>
      <c r="Q834" s="278"/>
      <c r="R834" s="278"/>
      <c r="S834" s="278"/>
      <c r="T834" s="278"/>
      <c r="U834" s="278"/>
      <c r="V834" s="278"/>
      <c r="W834" s="278"/>
      <c r="X834" s="278"/>
      <c r="Y834" s="278"/>
      <c r="Z834" s="278"/>
      <c r="AA834" s="278"/>
      <c r="AB834" s="278"/>
      <c r="AC834" s="278"/>
    </row>
    <row r="835" ht="15.75" customHeight="1">
      <c r="A835" s="302"/>
      <c r="B835" s="301"/>
      <c r="C835" s="292"/>
      <c r="D835" s="297"/>
      <c r="E835" s="302"/>
      <c r="F835" s="310"/>
      <c r="G835" s="310"/>
      <c r="H835" s="310"/>
      <c r="I835" s="283"/>
      <c r="J835" s="283"/>
      <c r="K835" s="283"/>
      <c r="L835" s="283"/>
      <c r="M835" s="283"/>
      <c r="N835" s="283"/>
      <c r="O835" s="283"/>
      <c r="P835" s="283"/>
      <c r="Q835" s="278"/>
      <c r="R835" s="278"/>
      <c r="S835" s="278"/>
      <c r="T835" s="278"/>
      <c r="U835" s="278"/>
      <c r="V835" s="278"/>
      <c r="W835" s="278"/>
      <c r="X835" s="278"/>
      <c r="Y835" s="278"/>
      <c r="Z835" s="278"/>
      <c r="AA835" s="278"/>
      <c r="AB835" s="278"/>
      <c r="AC835" s="278"/>
    </row>
    <row r="836" ht="15.75" customHeight="1">
      <c r="A836" s="302"/>
      <c r="B836" s="301"/>
      <c r="C836" s="292"/>
      <c r="D836" s="297"/>
      <c r="E836" s="302"/>
      <c r="F836" s="310"/>
      <c r="G836" s="310"/>
      <c r="H836" s="310"/>
      <c r="I836" s="283"/>
      <c r="J836" s="283"/>
      <c r="K836" s="283"/>
      <c r="L836" s="283"/>
      <c r="M836" s="283"/>
      <c r="N836" s="283"/>
      <c r="O836" s="283"/>
      <c r="P836" s="283"/>
      <c r="Q836" s="278"/>
      <c r="R836" s="278"/>
      <c r="S836" s="278"/>
      <c r="T836" s="278"/>
      <c r="U836" s="278"/>
      <c r="V836" s="278"/>
      <c r="W836" s="278"/>
      <c r="X836" s="278"/>
      <c r="Y836" s="278"/>
      <c r="Z836" s="278"/>
      <c r="AA836" s="278"/>
      <c r="AB836" s="278"/>
      <c r="AC836" s="278"/>
    </row>
    <row r="837" ht="15.75" customHeight="1">
      <c r="A837" s="302"/>
      <c r="B837" s="301"/>
      <c r="C837" s="292"/>
      <c r="D837" s="297"/>
      <c r="E837" s="302"/>
      <c r="F837" s="310"/>
      <c r="G837" s="310"/>
      <c r="H837" s="310"/>
      <c r="I837" s="283"/>
      <c r="J837" s="283"/>
      <c r="K837" s="283"/>
      <c r="L837" s="283"/>
      <c r="M837" s="283"/>
      <c r="N837" s="283"/>
      <c r="O837" s="283"/>
      <c r="P837" s="283"/>
      <c r="Q837" s="278"/>
      <c r="R837" s="278"/>
      <c r="S837" s="278"/>
      <c r="T837" s="278"/>
      <c r="U837" s="278"/>
      <c r="V837" s="278"/>
      <c r="W837" s="278"/>
      <c r="X837" s="278"/>
      <c r="Y837" s="278"/>
      <c r="Z837" s="278"/>
      <c r="AA837" s="278"/>
      <c r="AB837" s="278"/>
      <c r="AC837" s="278"/>
    </row>
    <row r="838" ht="15.75" customHeight="1">
      <c r="A838" s="302"/>
      <c r="B838" s="301"/>
      <c r="C838" s="292"/>
      <c r="D838" s="297"/>
      <c r="E838" s="302"/>
      <c r="F838" s="310"/>
      <c r="G838" s="310"/>
      <c r="H838" s="310"/>
      <c r="I838" s="283"/>
      <c r="J838" s="283"/>
      <c r="K838" s="283"/>
      <c r="L838" s="283"/>
      <c r="M838" s="283"/>
      <c r="N838" s="283"/>
      <c r="O838" s="283"/>
      <c r="P838" s="283"/>
      <c r="Q838" s="278"/>
      <c r="R838" s="278"/>
      <c r="S838" s="278"/>
      <c r="T838" s="278"/>
      <c r="U838" s="278"/>
      <c r="V838" s="278"/>
      <c r="W838" s="278"/>
      <c r="X838" s="278"/>
      <c r="Y838" s="278"/>
      <c r="Z838" s="278"/>
      <c r="AA838" s="278"/>
      <c r="AB838" s="278"/>
      <c r="AC838" s="278"/>
    </row>
    <row r="839" ht="15.75" customHeight="1">
      <c r="A839" s="302"/>
      <c r="B839" s="301"/>
      <c r="C839" s="292"/>
      <c r="D839" s="297"/>
      <c r="E839" s="302"/>
      <c r="F839" s="310"/>
      <c r="G839" s="310"/>
      <c r="H839" s="310"/>
      <c r="I839" s="283"/>
      <c r="J839" s="283"/>
      <c r="K839" s="283"/>
      <c r="L839" s="283"/>
      <c r="M839" s="283"/>
      <c r="N839" s="283"/>
      <c r="O839" s="283"/>
      <c r="P839" s="283"/>
      <c r="Q839" s="278"/>
      <c r="R839" s="278"/>
      <c r="S839" s="278"/>
      <c r="T839" s="278"/>
      <c r="U839" s="278"/>
      <c r="V839" s="278"/>
      <c r="W839" s="278"/>
      <c r="X839" s="278"/>
      <c r="Y839" s="278"/>
      <c r="Z839" s="278"/>
      <c r="AA839" s="278"/>
      <c r="AB839" s="278"/>
      <c r="AC839" s="278"/>
    </row>
    <row r="840" ht="15.75" customHeight="1">
      <c r="A840" s="302"/>
      <c r="B840" s="301"/>
      <c r="C840" s="292"/>
      <c r="D840" s="297"/>
      <c r="E840" s="302"/>
      <c r="F840" s="310"/>
      <c r="G840" s="310"/>
      <c r="H840" s="310"/>
      <c r="I840" s="283"/>
      <c r="J840" s="283"/>
      <c r="K840" s="283"/>
      <c r="L840" s="283"/>
      <c r="M840" s="283"/>
      <c r="N840" s="283"/>
      <c r="O840" s="283"/>
      <c r="P840" s="283"/>
      <c r="Q840" s="278"/>
      <c r="R840" s="278"/>
      <c r="S840" s="278"/>
      <c r="T840" s="278"/>
      <c r="U840" s="278"/>
      <c r="V840" s="278"/>
      <c r="W840" s="278"/>
      <c r="X840" s="278"/>
      <c r="Y840" s="278"/>
      <c r="Z840" s="278"/>
      <c r="AA840" s="278"/>
      <c r="AB840" s="278"/>
      <c r="AC840" s="278"/>
    </row>
    <row r="841" ht="15.75" customHeight="1">
      <c r="A841" s="302"/>
      <c r="B841" s="301"/>
      <c r="C841" s="292"/>
      <c r="D841" s="297"/>
      <c r="E841" s="302"/>
      <c r="F841" s="310"/>
      <c r="G841" s="310"/>
      <c r="H841" s="310"/>
      <c r="I841" s="283"/>
      <c r="J841" s="283"/>
      <c r="K841" s="283"/>
      <c r="L841" s="283"/>
      <c r="M841" s="283"/>
      <c r="N841" s="283"/>
      <c r="O841" s="283"/>
      <c r="P841" s="283"/>
      <c r="Q841" s="278"/>
      <c r="R841" s="278"/>
      <c r="S841" s="278"/>
      <c r="T841" s="278"/>
      <c r="U841" s="278"/>
      <c r="V841" s="278"/>
      <c r="W841" s="278"/>
      <c r="X841" s="278"/>
      <c r="Y841" s="278"/>
      <c r="Z841" s="278"/>
      <c r="AA841" s="278"/>
      <c r="AB841" s="278"/>
      <c r="AC841" s="278"/>
    </row>
    <row r="842" ht="15.75" customHeight="1">
      <c r="A842" s="302"/>
      <c r="B842" s="301"/>
      <c r="C842" s="292"/>
      <c r="D842" s="297"/>
      <c r="E842" s="302"/>
      <c r="F842" s="310"/>
      <c r="G842" s="310"/>
      <c r="H842" s="310"/>
      <c r="I842" s="283"/>
      <c r="J842" s="283"/>
      <c r="K842" s="283"/>
      <c r="L842" s="283"/>
      <c r="M842" s="283"/>
      <c r="N842" s="283"/>
      <c r="O842" s="283"/>
      <c r="P842" s="283"/>
      <c r="Q842" s="278"/>
      <c r="R842" s="278"/>
      <c r="S842" s="278"/>
      <c r="T842" s="278"/>
      <c r="U842" s="278"/>
      <c r="V842" s="278"/>
      <c r="W842" s="278"/>
      <c r="X842" s="278"/>
      <c r="Y842" s="278"/>
      <c r="Z842" s="278"/>
      <c r="AA842" s="278"/>
      <c r="AB842" s="278"/>
      <c r="AC842" s="278"/>
    </row>
    <row r="843" ht="15.75" customHeight="1">
      <c r="A843" s="302"/>
      <c r="B843" s="301"/>
      <c r="C843" s="292"/>
      <c r="D843" s="297"/>
      <c r="E843" s="302"/>
      <c r="F843" s="310"/>
      <c r="G843" s="310"/>
      <c r="H843" s="310"/>
      <c r="I843" s="283"/>
      <c r="J843" s="283"/>
      <c r="K843" s="283"/>
      <c r="L843" s="283"/>
      <c r="M843" s="283"/>
      <c r="N843" s="283"/>
      <c r="O843" s="283"/>
      <c r="P843" s="283"/>
      <c r="Q843" s="278"/>
      <c r="R843" s="278"/>
      <c r="S843" s="278"/>
      <c r="T843" s="278"/>
      <c r="U843" s="278"/>
      <c r="V843" s="278"/>
      <c r="W843" s="278"/>
      <c r="X843" s="278"/>
      <c r="Y843" s="278"/>
      <c r="Z843" s="278"/>
      <c r="AA843" s="278"/>
      <c r="AB843" s="278"/>
      <c r="AC843" s="278"/>
    </row>
    <row r="844" ht="15.75" customHeight="1">
      <c r="A844" s="302"/>
      <c r="B844" s="301"/>
      <c r="C844" s="292"/>
      <c r="D844" s="297"/>
      <c r="E844" s="302"/>
      <c r="F844" s="310"/>
      <c r="G844" s="310"/>
      <c r="H844" s="310"/>
      <c r="I844" s="283"/>
      <c r="J844" s="283"/>
      <c r="K844" s="283"/>
      <c r="L844" s="283"/>
      <c r="M844" s="283"/>
      <c r="N844" s="283"/>
      <c r="O844" s="283"/>
      <c r="P844" s="283"/>
      <c r="Q844" s="278"/>
      <c r="R844" s="278"/>
      <c r="S844" s="278"/>
      <c r="T844" s="278"/>
      <c r="U844" s="278"/>
      <c r="V844" s="278"/>
      <c r="W844" s="278"/>
      <c r="X844" s="278"/>
      <c r="Y844" s="278"/>
      <c r="Z844" s="278"/>
      <c r="AA844" s="278"/>
      <c r="AB844" s="278"/>
      <c r="AC844" s="278"/>
    </row>
    <row r="845" ht="15.75" customHeight="1">
      <c r="A845" s="302"/>
      <c r="B845" s="301"/>
      <c r="C845" s="292"/>
      <c r="D845" s="297"/>
      <c r="E845" s="302"/>
      <c r="F845" s="310"/>
      <c r="G845" s="310"/>
      <c r="H845" s="310"/>
      <c r="I845" s="283"/>
      <c r="J845" s="283"/>
      <c r="K845" s="283"/>
      <c r="L845" s="283"/>
      <c r="M845" s="283"/>
      <c r="N845" s="283"/>
      <c r="O845" s="283"/>
      <c r="P845" s="283"/>
      <c r="Q845" s="278"/>
      <c r="R845" s="278"/>
      <c r="S845" s="278"/>
      <c r="T845" s="278"/>
      <c r="U845" s="278"/>
      <c r="V845" s="278"/>
      <c r="W845" s="278"/>
      <c r="X845" s="278"/>
      <c r="Y845" s="278"/>
      <c r="Z845" s="278"/>
      <c r="AA845" s="278"/>
      <c r="AB845" s="278"/>
      <c r="AC845" s="278"/>
    </row>
    <row r="846" ht="15.75" customHeight="1">
      <c r="A846" s="302"/>
      <c r="B846" s="301"/>
      <c r="C846" s="292"/>
      <c r="D846" s="297"/>
      <c r="E846" s="302"/>
      <c r="F846" s="310"/>
      <c r="G846" s="310"/>
      <c r="H846" s="310"/>
      <c r="I846" s="283"/>
      <c r="J846" s="283"/>
      <c r="K846" s="283"/>
      <c r="L846" s="283"/>
      <c r="M846" s="283"/>
      <c r="N846" s="283"/>
      <c r="O846" s="283"/>
      <c r="P846" s="283"/>
      <c r="Q846" s="278"/>
      <c r="R846" s="278"/>
      <c r="S846" s="278"/>
      <c r="T846" s="278"/>
      <c r="U846" s="278"/>
      <c r="V846" s="278"/>
      <c r="W846" s="278"/>
      <c r="X846" s="278"/>
      <c r="Y846" s="278"/>
      <c r="Z846" s="278"/>
      <c r="AA846" s="278"/>
      <c r="AB846" s="278"/>
      <c r="AC846" s="278"/>
    </row>
    <row r="847" ht="15.75" customHeight="1">
      <c r="A847" s="302"/>
      <c r="B847" s="301"/>
      <c r="C847" s="292"/>
      <c r="D847" s="297"/>
      <c r="E847" s="302"/>
      <c r="F847" s="310"/>
      <c r="G847" s="310"/>
      <c r="H847" s="310"/>
      <c r="I847" s="283"/>
      <c r="J847" s="283"/>
      <c r="K847" s="283"/>
      <c r="L847" s="283"/>
      <c r="M847" s="283"/>
      <c r="N847" s="283"/>
      <c r="O847" s="283"/>
      <c r="P847" s="283"/>
      <c r="Q847" s="278"/>
      <c r="R847" s="278"/>
      <c r="S847" s="278"/>
      <c r="T847" s="278"/>
      <c r="U847" s="278"/>
      <c r="V847" s="278"/>
      <c r="W847" s="278"/>
      <c r="X847" s="278"/>
      <c r="Y847" s="278"/>
      <c r="Z847" s="278"/>
      <c r="AA847" s="278"/>
      <c r="AB847" s="278"/>
      <c r="AC847" s="278"/>
    </row>
    <row r="848" ht="15.75" customHeight="1">
      <c r="A848" s="302"/>
      <c r="B848" s="301"/>
      <c r="C848" s="292"/>
      <c r="D848" s="297"/>
      <c r="E848" s="302"/>
      <c r="F848" s="310"/>
      <c r="G848" s="310"/>
      <c r="H848" s="310"/>
      <c r="I848" s="283"/>
      <c r="J848" s="283"/>
      <c r="K848" s="283"/>
      <c r="L848" s="283"/>
      <c r="M848" s="283"/>
      <c r="N848" s="283"/>
      <c r="O848" s="283"/>
      <c r="P848" s="283"/>
      <c r="Q848" s="278"/>
      <c r="R848" s="278"/>
      <c r="S848" s="278"/>
      <c r="T848" s="278"/>
      <c r="U848" s="278"/>
      <c r="V848" s="278"/>
      <c r="W848" s="278"/>
      <c r="X848" s="278"/>
      <c r="Y848" s="278"/>
      <c r="Z848" s="278"/>
      <c r="AA848" s="278"/>
      <c r="AB848" s="278"/>
      <c r="AC848" s="278"/>
    </row>
    <row r="849" ht="15.75" customHeight="1">
      <c r="A849" s="302"/>
      <c r="B849" s="301"/>
      <c r="C849" s="292"/>
      <c r="D849" s="297"/>
      <c r="E849" s="302"/>
      <c r="F849" s="310"/>
      <c r="G849" s="310"/>
      <c r="H849" s="310"/>
      <c r="I849" s="283"/>
      <c r="J849" s="283"/>
      <c r="K849" s="283"/>
      <c r="L849" s="283"/>
      <c r="M849" s="283"/>
      <c r="N849" s="283"/>
      <c r="O849" s="283"/>
      <c r="P849" s="283"/>
      <c r="Q849" s="278"/>
      <c r="R849" s="278"/>
      <c r="S849" s="278"/>
      <c r="T849" s="278"/>
      <c r="U849" s="278"/>
      <c r="V849" s="278"/>
      <c r="W849" s="278"/>
      <c r="X849" s="278"/>
      <c r="Y849" s="278"/>
      <c r="Z849" s="278"/>
      <c r="AA849" s="278"/>
      <c r="AB849" s="278"/>
      <c r="AC849" s="278"/>
    </row>
    <row r="850" ht="15.75" customHeight="1">
      <c r="A850" s="302"/>
      <c r="B850" s="301"/>
      <c r="C850" s="292"/>
      <c r="D850" s="297"/>
      <c r="E850" s="302"/>
      <c r="F850" s="310"/>
      <c r="G850" s="310"/>
      <c r="H850" s="310"/>
      <c r="I850" s="283"/>
      <c r="J850" s="283"/>
      <c r="K850" s="283"/>
      <c r="L850" s="283"/>
      <c r="M850" s="283"/>
      <c r="N850" s="283"/>
      <c r="O850" s="283"/>
      <c r="P850" s="283"/>
      <c r="Q850" s="278"/>
      <c r="R850" s="278"/>
      <c r="S850" s="278"/>
      <c r="T850" s="278"/>
      <c r="U850" s="278"/>
      <c r="V850" s="278"/>
      <c r="W850" s="278"/>
      <c r="X850" s="278"/>
      <c r="Y850" s="278"/>
      <c r="Z850" s="278"/>
      <c r="AA850" s="278"/>
      <c r="AB850" s="278"/>
      <c r="AC850" s="278"/>
    </row>
    <row r="851" ht="15.75" customHeight="1">
      <c r="A851" s="302"/>
      <c r="B851" s="301"/>
      <c r="C851" s="292"/>
      <c r="D851" s="297"/>
      <c r="E851" s="302"/>
      <c r="F851" s="310"/>
      <c r="G851" s="310"/>
      <c r="H851" s="310"/>
      <c r="I851" s="283"/>
      <c r="J851" s="283"/>
      <c r="K851" s="283"/>
      <c r="L851" s="283"/>
      <c r="M851" s="283"/>
      <c r="N851" s="283"/>
      <c r="O851" s="283"/>
      <c r="P851" s="283"/>
      <c r="Q851" s="278"/>
      <c r="R851" s="278"/>
      <c r="S851" s="278"/>
      <c r="T851" s="278"/>
      <c r="U851" s="278"/>
      <c r="V851" s="278"/>
      <c r="W851" s="278"/>
      <c r="X851" s="278"/>
      <c r="Y851" s="278"/>
      <c r="Z851" s="278"/>
      <c r="AA851" s="278"/>
      <c r="AB851" s="278"/>
      <c r="AC851" s="278"/>
    </row>
    <row r="852" ht="15.75" customHeight="1">
      <c r="A852" s="302"/>
      <c r="B852" s="301"/>
      <c r="C852" s="292"/>
      <c r="D852" s="297"/>
      <c r="E852" s="302"/>
      <c r="F852" s="310"/>
      <c r="G852" s="310"/>
      <c r="H852" s="310"/>
      <c r="I852" s="283"/>
      <c r="J852" s="283"/>
      <c r="K852" s="283"/>
      <c r="L852" s="283"/>
      <c r="M852" s="283"/>
      <c r="N852" s="283"/>
      <c r="O852" s="283"/>
      <c r="P852" s="283"/>
      <c r="Q852" s="278"/>
      <c r="R852" s="278"/>
      <c r="S852" s="278"/>
      <c r="T852" s="278"/>
      <c r="U852" s="278"/>
      <c r="V852" s="278"/>
      <c r="W852" s="278"/>
      <c r="X852" s="278"/>
      <c r="Y852" s="278"/>
      <c r="Z852" s="278"/>
      <c r="AA852" s="278"/>
      <c r="AB852" s="278"/>
      <c r="AC852" s="278"/>
    </row>
    <row r="853" ht="15.75" customHeight="1">
      <c r="A853" s="302"/>
      <c r="B853" s="301"/>
      <c r="C853" s="292"/>
      <c r="D853" s="297"/>
      <c r="E853" s="302"/>
      <c r="F853" s="310"/>
      <c r="G853" s="310"/>
      <c r="H853" s="310"/>
      <c r="I853" s="283"/>
      <c r="J853" s="283"/>
      <c r="K853" s="283"/>
      <c r="L853" s="283"/>
      <c r="M853" s="283"/>
      <c r="N853" s="283"/>
      <c r="O853" s="283"/>
      <c r="P853" s="283"/>
      <c r="Q853" s="278"/>
      <c r="R853" s="278"/>
      <c r="S853" s="278"/>
      <c r="T853" s="278"/>
      <c r="U853" s="278"/>
      <c r="V853" s="278"/>
      <c r="W853" s="278"/>
      <c r="X853" s="278"/>
      <c r="Y853" s="278"/>
      <c r="Z853" s="278"/>
      <c r="AA853" s="278"/>
      <c r="AB853" s="278"/>
      <c r="AC853" s="278"/>
    </row>
    <row r="854" ht="15.75" customHeight="1">
      <c r="A854" s="302"/>
      <c r="B854" s="301"/>
      <c r="C854" s="292"/>
      <c r="D854" s="297"/>
      <c r="E854" s="302"/>
      <c r="F854" s="310"/>
      <c r="G854" s="310"/>
      <c r="H854" s="310"/>
      <c r="I854" s="283"/>
      <c r="J854" s="283"/>
      <c r="K854" s="283"/>
      <c r="L854" s="283"/>
      <c r="M854" s="283"/>
      <c r="N854" s="283"/>
      <c r="O854" s="283"/>
      <c r="P854" s="283"/>
      <c r="Q854" s="278"/>
      <c r="R854" s="278"/>
      <c r="S854" s="278"/>
      <c r="T854" s="278"/>
      <c r="U854" s="278"/>
      <c r="V854" s="278"/>
      <c r="W854" s="278"/>
      <c r="X854" s="278"/>
      <c r="Y854" s="278"/>
      <c r="Z854" s="278"/>
      <c r="AA854" s="278"/>
      <c r="AB854" s="278"/>
      <c r="AC854" s="278"/>
    </row>
    <row r="855" ht="15.75" customHeight="1">
      <c r="A855" s="302"/>
      <c r="B855" s="301"/>
      <c r="C855" s="292"/>
      <c r="D855" s="297"/>
      <c r="E855" s="302"/>
      <c r="F855" s="310"/>
      <c r="G855" s="310"/>
      <c r="H855" s="310"/>
      <c r="I855" s="283"/>
      <c r="J855" s="283"/>
      <c r="K855" s="283"/>
      <c r="L855" s="283"/>
      <c r="M855" s="283"/>
      <c r="N855" s="283"/>
      <c r="O855" s="283"/>
      <c r="P855" s="283"/>
      <c r="Q855" s="278"/>
      <c r="R855" s="278"/>
      <c r="S855" s="278"/>
      <c r="T855" s="278"/>
      <c r="U855" s="278"/>
      <c r="V855" s="278"/>
      <c r="W855" s="278"/>
      <c r="X855" s="278"/>
      <c r="Y855" s="278"/>
      <c r="Z855" s="278"/>
      <c r="AA855" s="278"/>
      <c r="AB855" s="278"/>
      <c r="AC855" s="278"/>
    </row>
    <row r="856" ht="15.75" customHeight="1">
      <c r="A856" s="302"/>
      <c r="B856" s="301"/>
      <c r="C856" s="292"/>
      <c r="D856" s="297"/>
      <c r="E856" s="302"/>
      <c r="F856" s="310"/>
      <c r="G856" s="310"/>
      <c r="H856" s="310"/>
      <c r="I856" s="283"/>
      <c r="J856" s="283"/>
      <c r="K856" s="283"/>
      <c r="L856" s="283"/>
      <c r="M856" s="283"/>
      <c r="N856" s="283"/>
      <c r="O856" s="283"/>
      <c r="P856" s="283"/>
      <c r="Q856" s="278"/>
      <c r="R856" s="278"/>
      <c r="S856" s="278"/>
      <c r="T856" s="278"/>
      <c r="U856" s="278"/>
      <c r="V856" s="278"/>
      <c r="W856" s="278"/>
      <c r="X856" s="278"/>
      <c r="Y856" s="278"/>
      <c r="Z856" s="278"/>
      <c r="AA856" s="278"/>
      <c r="AB856" s="278"/>
      <c r="AC856" s="278"/>
    </row>
    <row r="857" ht="15.75" customHeight="1">
      <c r="A857" s="302"/>
      <c r="B857" s="301"/>
      <c r="C857" s="292"/>
      <c r="D857" s="297"/>
      <c r="E857" s="302"/>
      <c r="F857" s="310"/>
      <c r="G857" s="310"/>
      <c r="H857" s="310"/>
      <c r="I857" s="283"/>
      <c r="J857" s="283"/>
      <c r="K857" s="283"/>
      <c r="L857" s="283"/>
      <c r="M857" s="283"/>
      <c r="N857" s="283"/>
      <c r="O857" s="283"/>
      <c r="P857" s="283"/>
      <c r="Q857" s="278"/>
      <c r="R857" s="278"/>
      <c r="S857" s="278"/>
      <c r="T857" s="278"/>
      <c r="U857" s="278"/>
      <c r="V857" s="278"/>
      <c r="W857" s="278"/>
      <c r="X857" s="278"/>
      <c r="Y857" s="278"/>
      <c r="Z857" s="278"/>
      <c r="AA857" s="278"/>
      <c r="AB857" s="278"/>
      <c r="AC857" s="278"/>
    </row>
    <row r="858" ht="15.75" customHeight="1">
      <c r="A858" s="302"/>
      <c r="B858" s="301"/>
      <c r="C858" s="292"/>
      <c r="D858" s="297"/>
      <c r="E858" s="302"/>
      <c r="F858" s="310"/>
      <c r="G858" s="310"/>
      <c r="H858" s="310"/>
      <c r="I858" s="283"/>
      <c r="J858" s="283"/>
      <c r="K858" s="283"/>
      <c r="L858" s="283"/>
      <c r="M858" s="283"/>
      <c r="N858" s="283"/>
      <c r="O858" s="283"/>
      <c r="P858" s="283"/>
      <c r="Q858" s="278"/>
      <c r="R858" s="278"/>
      <c r="S858" s="278"/>
      <c r="T858" s="278"/>
      <c r="U858" s="278"/>
      <c r="V858" s="278"/>
      <c r="W858" s="278"/>
      <c r="X858" s="278"/>
      <c r="Y858" s="278"/>
      <c r="Z858" s="278"/>
      <c r="AA858" s="278"/>
      <c r="AB858" s="278"/>
      <c r="AC858" s="278"/>
    </row>
    <row r="859" ht="15.75" customHeight="1">
      <c r="A859" s="302"/>
      <c r="B859" s="301"/>
      <c r="C859" s="292"/>
      <c r="D859" s="297"/>
      <c r="E859" s="302"/>
      <c r="F859" s="310"/>
      <c r="G859" s="310"/>
      <c r="H859" s="310"/>
      <c r="I859" s="283"/>
      <c r="J859" s="283"/>
      <c r="K859" s="283"/>
      <c r="L859" s="283"/>
      <c r="M859" s="283"/>
      <c r="N859" s="283"/>
      <c r="O859" s="283"/>
      <c r="P859" s="283"/>
      <c r="Q859" s="278"/>
      <c r="R859" s="278"/>
      <c r="S859" s="278"/>
      <c r="T859" s="278"/>
      <c r="U859" s="278"/>
      <c r="V859" s="278"/>
      <c r="W859" s="278"/>
      <c r="X859" s="278"/>
      <c r="Y859" s="278"/>
      <c r="Z859" s="278"/>
      <c r="AA859" s="278"/>
      <c r="AB859" s="278"/>
      <c r="AC859" s="278"/>
    </row>
    <row r="860" ht="15.75" customHeight="1">
      <c r="A860" s="302"/>
      <c r="B860" s="301"/>
      <c r="C860" s="292"/>
      <c r="D860" s="297"/>
      <c r="E860" s="302"/>
      <c r="F860" s="310"/>
      <c r="G860" s="310"/>
      <c r="H860" s="310"/>
      <c r="I860" s="283"/>
      <c r="J860" s="283"/>
      <c r="K860" s="283"/>
      <c r="L860" s="283"/>
      <c r="M860" s="283"/>
      <c r="N860" s="283"/>
      <c r="O860" s="283"/>
      <c r="P860" s="283"/>
      <c r="Q860" s="278"/>
      <c r="R860" s="278"/>
      <c r="S860" s="278"/>
      <c r="T860" s="278"/>
      <c r="U860" s="278"/>
      <c r="V860" s="278"/>
      <c r="W860" s="278"/>
      <c r="X860" s="278"/>
      <c r="Y860" s="278"/>
      <c r="Z860" s="278"/>
      <c r="AA860" s="278"/>
      <c r="AB860" s="278"/>
      <c r="AC860" s="278"/>
    </row>
    <row r="861" ht="15.75" customHeight="1">
      <c r="A861" s="302"/>
      <c r="B861" s="301"/>
      <c r="C861" s="292"/>
      <c r="D861" s="297"/>
      <c r="E861" s="302"/>
      <c r="F861" s="310"/>
      <c r="G861" s="310"/>
      <c r="H861" s="310"/>
      <c r="I861" s="283"/>
      <c r="J861" s="283"/>
      <c r="K861" s="283"/>
      <c r="L861" s="283"/>
      <c r="M861" s="283"/>
      <c r="N861" s="283"/>
      <c r="O861" s="283"/>
      <c r="P861" s="283"/>
      <c r="Q861" s="278"/>
      <c r="R861" s="278"/>
      <c r="S861" s="278"/>
      <c r="T861" s="278"/>
      <c r="U861" s="278"/>
      <c r="V861" s="278"/>
      <c r="W861" s="278"/>
      <c r="X861" s="278"/>
      <c r="Y861" s="278"/>
      <c r="Z861" s="278"/>
      <c r="AA861" s="278"/>
      <c r="AB861" s="278"/>
      <c r="AC861" s="278"/>
    </row>
    <row r="862" ht="15.75" customHeight="1">
      <c r="A862" s="302"/>
      <c r="B862" s="301"/>
      <c r="C862" s="292"/>
      <c r="D862" s="297"/>
      <c r="E862" s="302"/>
      <c r="F862" s="310"/>
      <c r="G862" s="310"/>
      <c r="H862" s="310"/>
      <c r="I862" s="283"/>
      <c r="J862" s="283"/>
      <c r="K862" s="283"/>
      <c r="L862" s="283"/>
      <c r="M862" s="283"/>
      <c r="N862" s="283"/>
      <c r="O862" s="283"/>
      <c r="P862" s="283"/>
      <c r="Q862" s="278"/>
      <c r="R862" s="278"/>
      <c r="S862" s="278"/>
      <c r="T862" s="278"/>
      <c r="U862" s="278"/>
      <c r="V862" s="278"/>
      <c r="W862" s="278"/>
      <c r="X862" s="278"/>
      <c r="Y862" s="278"/>
      <c r="Z862" s="278"/>
      <c r="AA862" s="278"/>
      <c r="AB862" s="278"/>
      <c r="AC862" s="278"/>
    </row>
    <row r="863" ht="15.75" customHeight="1">
      <c r="A863" s="302"/>
      <c r="B863" s="301"/>
      <c r="C863" s="292"/>
      <c r="D863" s="297"/>
      <c r="E863" s="302"/>
      <c r="F863" s="310"/>
      <c r="G863" s="310"/>
      <c r="H863" s="310"/>
      <c r="I863" s="283"/>
      <c r="J863" s="283"/>
      <c r="K863" s="283"/>
      <c r="L863" s="283"/>
      <c r="M863" s="283"/>
      <c r="N863" s="283"/>
      <c r="O863" s="283"/>
      <c r="P863" s="283"/>
      <c r="Q863" s="278"/>
      <c r="R863" s="278"/>
      <c r="S863" s="278"/>
      <c r="T863" s="278"/>
      <c r="U863" s="278"/>
      <c r="V863" s="278"/>
      <c r="W863" s="278"/>
      <c r="X863" s="278"/>
      <c r="Y863" s="278"/>
      <c r="Z863" s="278"/>
      <c r="AA863" s="278"/>
      <c r="AB863" s="278"/>
      <c r="AC863" s="278"/>
    </row>
    <row r="864" ht="15.75" customHeight="1">
      <c r="A864" s="302"/>
      <c r="B864" s="301"/>
      <c r="C864" s="292"/>
      <c r="D864" s="297"/>
      <c r="E864" s="302"/>
      <c r="F864" s="310"/>
      <c r="G864" s="310"/>
      <c r="H864" s="310"/>
      <c r="I864" s="283"/>
      <c r="J864" s="283"/>
      <c r="K864" s="283"/>
      <c r="L864" s="283"/>
      <c r="M864" s="283"/>
      <c r="N864" s="283"/>
      <c r="O864" s="283"/>
      <c r="P864" s="283"/>
      <c r="Q864" s="278"/>
      <c r="R864" s="278"/>
      <c r="S864" s="278"/>
      <c r="T864" s="278"/>
      <c r="U864" s="278"/>
      <c r="V864" s="278"/>
      <c r="W864" s="278"/>
      <c r="X864" s="278"/>
      <c r="Y864" s="278"/>
      <c r="Z864" s="278"/>
      <c r="AA864" s="278"/>
      <c r="AB864" s="278"/>
      <c r="AC864" s="278"/>
    </row>
    <row r="865" ht="15.75" customHeight="1">
      <c r="A865" s="302"/>
      <c r="B865" s="301"/>
      <c r="C865" s="292"/>
      <c r="D865" s="297"/>
      <c r="E865" s="302"/>
      <c r="F865" s="310"/>
      <c r="G865" s="310"/>
      <c r="H865" s="310"/>
      <c r="I865" s="283"/>
      <c r="J865" s="283"/>
      <c r="K865" s="283"/>
      <c r="L865" s="283"/>
      <c r="M865" s="283"/>
      <c r="N865" s="283"/>
      <c r="O865" s="283"/>
      <c r="P865" s="283"/>
      <c r="Q865" s="278"/>
      <c r="R865" s="278"/>
      <c r="S865" s="278"/>
      <c r="T865" s="278"/>
      <c r="U865" s="278"/>
      <c r="V865" s="278"/>
      <c r="W865" s="278"/>
      <c r="X865" s="278"/>
      <c r="Y865" s="278"/>
      <c r="Z865" s="278"/>
      <c r="AA865" s="278"/>
      <c r="AB865" s="278"/>
      <c r="AC865" s="278"/>
    </row>
    <row r="866" ht="15.75" customHeight="1">
      <c r="A866" s="302"/>
      <c r="B866" s="301"/>
      <c r="C866" s="292"/>
      <c r="D866" s="297"/>
      <c r="E866" s="302"/>
      <c r="F866" s="310"/>
      <c r="G866" s="310"/>
      <c r="H866" s="310"/>
      <c r="I866" s="283"/>
      <c r="J866" s="283"/>
      <c r="K866" s="283"/>
      <c r="L866" s="283"/>
      <c r="M866" s="283"/>
      <c r="N866" s="283"/>
      <c r="O866" s="283"/>
      <c r="P866" s="283"/>
      <c r="Q866" s="278"/>
      <c r="R866" s="278"/>
      <c r="S866" s="278"/>
      <c r="T866" s="278"/>
      <c r="U866" s="278"/>
      <c r="V866" s="278"/>
      <c r="W866" s="278"/>
      <c r="X866" s="278"/>
      <c r="Y866" s="278"/>
      <c r="Z866" s="278"/>
      <c r="AA866" s="278"/>
      <c r="AB866" s="278"/>
      <c r="AC866" s="278"/>
    </row>
    <row r="867" ht="15.75" customHeight="1">
      <c r="A867" s="302"/>
      <c r="B867" s="301"/>
      <c r="C867" s="292"/>
      <c r="D867" s="297"/>
      <c r="E867" s="302"/>
      <c r="F867" s="310"/>
      <c r="G867" s="310"/>
      <c r="H867" s="310"/>
      <c r="I867" s="283"/>
      <c r="J867" s="283"/>
      <c r="K867" s="283"/>
      <c r="L867" s="283"/>
      <c r="M867" s="283"/>
      <c r="N867" s="283"/>
      <c r="O867" s="283"/>
      <c r="P867" s="283"/>
      <c r="Q867" s="278"/>
      <c r="R867" s="278"/>
      <c r="S867" s="278"/>
      <c r="T867" s="278"/>
      <c r="U867" s="278"/>
      <c r="V867" s="278"/>
      <c r="W867" s="278"/>
      <c r="X867" s="278"/>
      <c r="Y867" s="278"/>
      <c r="Z867" s="278"/>
      <c r="AA867" s="278"/>
      <c r="AB867" s="278"/>
      <c r="AC867" s="278"/>
    </row>
    <row r="868" ht="15.75" customHeight="1">
      <c r="A868" s="302"/>
      <c r="B868" s="301"/>
      <c r="C868" s="292"/>
      <c r="D868" s="297"/>
      <c r="E868" s="302"/>
      <c r="F868" s="310"/>
      <c r="G868" s="310"/>
      <c r="H868" s="310"/>
      <c r="I868" s="283"/>
      <c r="J868" s="283"/>
      <c r="K868" s="283"/>
      <c r="L868" s="283"/>
      <c r="M868" s="283"/>
      <c r="N868" s="283"/>
      <c r="O868" s="283"/>
      <c r="P868" s="283"/>
      <c r="Q868" s="278"/>
      <c r="R868" s="278"/>
      <c r="S868" s="278"/>
      <c r="T868" s="278"/>
      <c r="U868" s="278"/>
      <c r="V868" s="278"/>
      <c r="W868" s="278"/>
      <c r="X868" s="278"/>
      <c r="Y868" s="278"/>
      <c r="Z868" s="278"/>
      <c r="AA868" s="278"/>
      <c r="AB868" s="278"/>
      <c r="AC868" s="278"/>
    </row>
    <row r="869" ht="15.75" customHeight="1">
      <c r="A869" s="302"/>
      <c r="B869" s="301"/>
      <c r="C869" s="292"/>
      <c r="D869" s="297"/>
      <c r="E869" s="302"/>
      <c r="F869" s="310"/>
      <c r="G869" s="310"/>
      <c r="H869" s="310"/>
      <c r="I869" s="283"/>
      <c r="J869" s="283"/>
      <c r="K869" s="283"/>
      <c r="L869" s="283"/>
      <c r="M869" s="283"/>
      <c r="N869" s="283"/>
      <c r="O869" s="283"/>
      <c r="P869" s="283"/>
      <c r="Q869" s="278"/>
      <c r="R869" s="278"/>
      <c r="S869" s="278"/>
      <c r="T869" s="278"/>
      <c r="U869" s="278"/>
      <c r="V869" s="278"/>
      <c r="W869" s="278"/>
      <c r="X869" s="278"/>
      <c r="Y869" s="278"/>
      <c r="Z869" s="278"/>
      <c r="AA869" s="278"/>
      <c r="AB869" s="278"/>
      <c r="AC869" s="278"/>
    </row>
    <row r="870" ht="15.75" customHeight="1">
      <c r="A870" s="302"/>
      <c r="B870" s="301"/>
      <c r="C870" s="292"/>
      <c r="D870" s="297"/>
      <c r="E870" s="302"/>
      <c r="F870" s="310"/>
      <c r="G870" s="310"/>
      <c r="H870" s="310"/>
      <c r="I870" s="283"/>
      <c r="J870" s="283"/>
      <c r="K870" s="283"/>
      <c r="L870" s="283"/>
      <c r="M870" s="283"/>
      <c r="N870" s="283"/>
      <c r="O870" s="283"/>
      <c r="P870" s="283"/>
      <c r="Q870" s="278"/>
      <c r="R870" s="278"/>
      <c r="S870" s="278"/>
      <c r="T870" s="278"/>
      <c r="U870" s="278"/>
      <c r="V870" s="278"/>
      <c r="W870" s="278"/>
      <c r="X870" s="278"/>
      <c r="Y870" s="278"/>
      <c r="Z870" s="278"/>
      <c r="AA870" s="278"/>
      <c r="AB870" s="278"/>
      <c r="AC870" s="278"/>
    </row>
    <row r="871" ht="15.75" customHeight="1">
      <c r="A871" s="302"/>
      <c r="B871" s="301"/>
      <c r="C871" s="292"/>
      <c r="D871" s="297"/>
      <c r="E871" s="302"/>
      <c r="F871" s="310"/>
      <c r="G871" s="310"/>
      <c r="H871" s="310"/>
      <c r="I871" s="283"/>
      <c r="J871" s="283"/>
      <c r="K871" s="283"/>
      <c r="L871" s="283"/>
      <c r="M871" s="283"/>
      <c r="N871" s="283"/>
      <c r="O871" s="283"/>
      <c r="P871" s="283"/>
      <c r="Q871" s="278"/>
      <c r="R871" s="278"/>
      <c r="S871" s="278"/>
      <c r="T871" s="278"/>
      <c r="U871" s="278"/>
      <c r="V871" s="278"/>
      <c r="W871" s="278"/>
      <c r="X871" s="278"/>
      <c r="Y871" s="278"/>
      <c r="Z871" s="278"/>
      <c r="AA871" s="278"/>
      <c r="AB871" s="278"/>
      <c r="AC871" s="278"/>
    </row>
    <row r="872" ht="15.75" customHeight="1">
      <c r="A872" s="302"/>
      <c r="B872" s="301"/>
      <c r="C872" s="292"/>
      <c r="D872" s="297"/>
      <c r="E872" s="302"/>
      <c r="F872" s="310"/>
      <c r="G872" s="310"/>
      <c r="H872" s="310"/>
      <c r="I872" s="283"/>
      <c r="J872" s="283"/>
      <c r="K872" s="283"/>
      <c r="L872" s="283"/>
      <c r="M872" s="283"/>
      <c r="N872" s="283"/>
      <c r="O872" s="283"/>
      <c r="P872" s="283"/>
      <c r="Q872" s="278"/>
      <c r="R872" s="278"/>
      <c r="S872" s="278"/>
      <c r="T872" s="278"/>
      <c r="U872" s="278"/>
      <c r="V872" s="278"/>
      <c r="W872" s="278"/>
      <c r="X872" s="278"/>
      <c r="Y872" s="278"/>
      <c r="Z872" s="278"/>
      <c r="AA872" s="278"/>
      <c r="AB872" s="278"/>
      <c r="AC872" s="278"/>
    </row>
    <row r="873" ht="15.75" customHeight="1">
      <c r="A873" s="302"/>
      <c r="B873" s="301"/>
      <c r="C873" s="292"/>
      <c r="D873" s="297"/>
      <c r="E873" s="302"/>
      <c r="F873" s="310"/>
      <c r="G873" s="310"/>
      <c r="H873" s="310"/>
      <c r="I873" s="283"/>
      <c r="J873" s="283"/>
      <c r="K873" s="283"/>
      <c r="L873" s="283"/>
      <c r="M873" s="283"/>
      <c r="N873" s="283"/>
      <c r="O873" s="283"/>
      <c r="P873" s="283"/>
      <c r="Q873" s="278"/>
      <c r="R873" s="278"/>
      <c r="S873" s="278"/>
      <c r="T873" s="278"/>
      <c r="U873" s="278"/>
      <c r="V873" s="278"/>
      <c r="W873" s="278"/>
      <c r="X873" s="278"/>
      <c r="Y873" s="278"/>
      <c r="Z873" s="278"/>
      <c r="AA873" s="278"/>
      <c r="AB873" s="278"/>
      <c r="AC873" s="278"/>
    </row>
    <row r="874" ht="15.75" customHeight="1">
      <c r="A874" s="302"/>
      <c r="B874" s="301"/>
      <c r="C874" s="292"/>
      <c r="D874" s="297"/>
      <c r="E874" s="302"/>
      <c r="F874" s="310"/>
      <c r="G874" s="310"/>
      <c r="H874" s="310"/>
      <c r="I874" s="283"/>
      <c r="J874" s="283"/>
      <c r="K874" s="283"/>
      <c r="L874" s="283"/>
      <c r="M874" s="283"/>
      <c r="N874" s="283"/>
      <c r="O874" s="283"/>
      <c r="P874" s="283"/>
      <c r="Q874" s="278"/>
      <c r="R874" s="278"/>
      <c r="S874" s="278"/>
      <c r="T874" s="278"/>
      <c r="U874" s="278"/>
      <c r="V874" s="278"/>
      <c r="W874" s="278"/>
      <c r="X874" s="278"/>
      <c r="Y874" s="278"/>
      <c r="Z874" s="278"/>
      <c r="AA874" s="278"/>
      <c r="AB874" s="278"/>
      <c r="AC874" s="278"/>
    </row>
    <row r="875" ht="15.75" customHeight="1">
      <c r="A875" s="302"/>
      <c r="B875" s="301"/>
      <c r="C875" s="292"/>
      <c r="D875" s="297"/>
      <c r="E875" s="302"/>
      <c r="F875" s="310"/>
      <c r="G875" s="310"/>
      <c r="H875" s="310"/>
      <c r="I875" s="283"/>
      <c r="J875" s="283"/>
      <c r="K875" s="283"/>
      <c r="L875" s="283"/>
      <c r="M875" s="283"/>
      <c r="N875" s="283"/>
      <c r="O875" s="283"/>
      <c r="P875" s="283"/>
      <c r="Q875" s="278"/>
      <c r="R875" s="278"/>
      <c r="S875" s="278"/>
      <c r="T875" s="278"/>
      <c r="U875" s="278"/>
      <c r="V875" s="278"/>
      <c r="W875" s="278"/>
      <c r="X875" s="278"/>
      <c r="Y875" s="278"/>
      <c r="Z875" s="278"/>
      <c r="AA875" s="278"/>
      <c r="AB875" s="278"/>
      <c r="AC875" s="278"/>
    </row>
    <row r="876" ht="15.75" customHeight="1">
      <c r="A876" s="302"/>
      <c r="B876" s="301"/>
      <c r="C876" s="292"/>
      <c r="D876" s="297"/>
      <c r="E876" s="302"/>
      <c r="F876" s="310"/>
      <c r="G876" s="310"/>
      <c r="H876" s="310"/>
      <c r="I876" s="283"/>
      <c r="J876" s="283"/>
      <c r="K876" s="283"/>
      <c r="L876" s="283"/>
      <c r="M876" s="283"/>
      <c r="N876" s="283"/>
      <c r="O876" s="283"/>
      <c r="P876" s="283"/>
      <c r="Q876" s="278"/>
      <c r="R876" s="278"/>
      <c r="S876" s="278"/>
      <c r="T876" s="278"/>
      <c r="U876" s="278"/>
      <c r="V876" s="278"/>
      <c r="W876" s="278"/>
      <c r="X876" s="278"/>
      <c r="Y876" s="278"/>
      <c r="Z876" s="278"/>
      <c r="AA876" s="278"/>
      <c r="AB876" s="278"/>
      <c r="AC876" s="278"/>
    </row>
    <row r="877" ht="15.75" customHeight="1">
      <c r="A877" s="302"/>
      <c r="B877" s="301"/>
      <c r="C877" s="292"/>
      <c r="D877" s="297"/>
      <c r="E877" s="302"/>
      <c r="F877" s="310"/>
      <c r="G877" s="310"/>
      <c r="H877" s="310"/>
      <c r="I877" s="283"/>
      <c r="J877" s="283"/>
      <c r="K877" s="283"/>
      <c r="L877" s="283"/>
      <c r="M877" s="283"/>
      <c r="N877" s="283"/>
      <c r="O877" s="283"/>
      <c r="P877" s="283"/>
      <c r="Q877" s="278"/>
      <c r="R877" s="278"/>
      <c r="S877" s="278"/>
      <c r="T877" s="278"/>
      <c r="U877" s="278"/>
      <c r="V877" s="278"/>
      <c r="W877" s="278"/>
      <c r="X877" s="278"/>
      <c r="Y877" s="278"/>
      <c r="Z877" s="278"/>
      <c r="AA877" s="278"/>
      <c r="AB877" s="278"/>
      <c r="AC877" s="278"/>
    </row>
    <row r="878" ht="15.75" customHeight="1">
      <c r="A878" s="302"/>
      <c r="B878" s="301"/>
      <c r="C878" s="292"/>
      <c r="D878" s="297"/>
      <c r="E878" s="302"/>
      <c r="F878" s="310"/>
      <c r="G878" s="310"/>
      <c r="H878" s="310"/>
      <c r="I878" s="283"/>
      <c r="J878" s="283"/>
      <c r="K878" s="283"/>
      <c r="L878" s="283"/>
      <c r="M878" s="283"/>
      <c r="N878" s="283"/>
      <c r="O878" s="283"/>
      <c r="P878" s="283"/>
      <c r="Q878" s="278"/>
      <c r="R878" s="278"/>
      <c r="S878" s="278"/>
      <c r="T878" s="278"/>
      <c r="U878" s="278"/>
      <c r="V878" s="278"/>
      <c r="W878" s="278"/>
      <c r="X878" s="278"/>
      <c r="Y878" s="278"/>
      <c r="Z878" s="278"/>
      <c r="AA878" s="278"/>
      <c r="AB878" s="278"/>
      <c r="AC878" s="278"/>
    </row>
    <row r="879" ht="15.75" customHeight="1">
      <c r="A879" s="302"/>
      <c r="B879" s="301"/>
      <c r="C879" s="292"/>
      <c r="D879" s="297"/>
      <c r="E879" s="302"/>
      <c r="F879" s="310"/>
      <c r="G879" s="310"/>
      <c r="H879" s="310"/>
      <c r="I879" s="283"/>
      <c r="J879" s="283"/>
      <c r="K879" s="283"/>
      <c r="L879" s="283"/>
      <c r="M879" s="283"/>
      <c r="N879" s="283"/>
      <c r="O879" s="283"/>
      <c r="P879" s="283"/>
      <c r="Q879" s="278"/>
      <c r="R879" s="278"/>
      <c r="S879" s="278"/>
      <c r="T879" s="278"/>
      <c r="U879" s="278"/>
      <c r="V879" s="278"/>
      <c r="W879" s="278"/>
      <c r="X879" s="278"/>
      <c r="Y879" s="278"/>
      <c r="Z879" s="278"/>
      <c r="AA879" s="278"/>
      <c r="AB879" s="278"/>
      <c r="AC879" s="278"/>
    </row>
    <row r="880" ht="15.75" customHeight="1">
      <c r="A880" s="302"/>
      <c r="B880" s="301"/>
      <c r="C880" s="292"/>
      <c r="D880" s="297"/>
      <c r="E880" s="302"/>
      <c r="F880" s="310"/>
      <c r="G880" s="310"/>
      <c r="H880" s="310"/>
      <c r="I880" s="283"/>
      <c r="J880" s="283"/>
      <c r="K880" s="283"/>
      <c r="L880" s="283"/>
      <c r="M880" s="283"/>
      <c r="N880" s="283"/>
      <c r="O880" s="283"/>
      <c r="P880" s="283"/>
      <c r="Q880" s="278"/>
      <c r="R880" s="278"/>
      <c r="S880" s="278"/>
      <c r="T880" s="278"/>
      <c r="U880" s="278"/>
      <c r="V880" s="278"/>
      <c r="W880" s="278"/>
      <c r="X880" s="278"/>
      <c r="Y880" s="278"/>
      <c r="Z880" s="278"/>
      <c r="AA880" s="278"/>
      <c r="AB880" s="278"/>
      <c r="AC880" s="278"/>
    </row>
    <row r="881" ht="15.75" customHeight="1">
      <c r="A881" s="302"/>
      <c r="B881" s="301"/>
      <c r="C881" s="292"/>
      <c r="D881" s="297"/>
      <c r="E881" s="302"/>
      <c r="F881" s="310"/>
      <c r="G881" s="310"/>
      <c r="H881" s="310"/>
      <c r="I881" s="283"/>
      <c r="J881" s="283"/>
      <c r="K881" s="283"/>
      <c r="L881" s="283"/>
      <c r="M881" s="283"/>
      <c r="N881" s="283"/>
      <c r="O881" s="283"/>
      <c r="P881" s="283"/>
      <c r="Q881" s="278"/>
      <c r="R881" s="278"/>
      <c r="S881" s="278"/>
      <c r="T881" s="278"/>
      <c r="U881" s="278"/>
      <c r="V881" s="278"/>
      <c r="W881" s="278"/>
      <c r="X881" s="278"/>
      <c r="Y881" s="278"/>
      <c r="Z881" s="278"/>
      <c r="AA881" s="278"/>
      <c r="AB881" s="278"/>
      <c r="AC881" s="278"/>
    </row>
    <row r="882" ht="15.75" customHeight="1">
      <c r="A882" s="302"/>
      <c r="B882" s="301"/>
      <c r="C882" s="292"/>
      <c r="D882" s="297"/>
      <c r="E882" s="302"/>
      <c r="F882" s="310"/>
      <c r="G882" s="310"/>
      <c r="H882" s="310"/>
      <c r="I882" s="283"/>
      <c r="J882" s="283"/>
      <c r="K882" s="283"/>
      <c r="L882" s="283"/>
      <c r="M882" s="283"/>
      <c r="N882" s="283"/>
      <c r="O882" s="283"/>
      <c r="P882" s="283"/>
      <c r="Q882" s="278"/>
      <c r="R882" s="278"/>
      <c r="S882" s="278"/>
      <c r="T882" s="278"/>
      <c r="U882" s="278"/>
      <c r="V882" s="278"/>
      <c r="W882" s="278"/>
      <c r="X882" s="278"/>
      <c r="Y882" s="278"/>
      <c r="Z882" s="278"/>
      <c r="AA882" s="278"/>
      <c r="AB882" s="278"/>
      <c r="AC882" s="278"/>
    </row>
    <row r="883" ht="15.75" customHeight="1">
      <c r="A883" s="302"/>
      <c r="B883" s="301"/>
      <c r="C883" s="292"/>
      <c r="D883" s="297"/>
      <c r="E883" s="302"/>
      <c r="F883" s="310"/>
      <c r="G883" s="310"/>
      <c r="H883" s="310"/>
      <c r="I883" s="283"/>
      <c r="J883" s="283"/>
      <c r="K883" s="283"/>
      <c r="L883" s="283"/>
      <c r="M883" s="283"/>
      <c r="N883" s="283"/>
      <c r="O883" s="283"/>
      <c r="P883" s="283"/>
      <c r="Q883" s="278"/>
      <c r="R883" s="278"/>
      <c r="S883" s="278"/>
      <c r="T883" s="278"/>
      <c r="U883" s="278"/>
      <c r="V883" s="278"/>
      <c r="W883" s="278"/>
      <c r="X883" s="278"/>
      <c r="Y883" s="278"/>
      <c r="Z883" s="278"/>
      <c r="AA883" s="278"/>
      <c r="AB883" s="278"/>
      <c r="AC883" s="278"/>
    </row>
    <row r="884" ht="15.75" customHeight="1">
      <c r="A884" s="302"/>
      <c r="B884" s="301"/>
      <c r="C884" s="292"/>
      <c r="D884" s="297"/>
      <c r="E884" s="302"/>
      <c r="F884" s="310"/>
      <c r="G884" s="310"/>
      <c r="H884" s="310"/>
      <c r="I884" s="283"/>
      <c r="J884" s="283"/>
      <c r="K884" s="283"/>
      <c r="L884" s="283"/>
      <c r="M884" s="283"/>
      <c r="N884" s="283"/>
      <c r="O884" s="283"/>
      <c r="P884" s="283"/>
      <c r="Q884" s="278"/>
      <c r="R884" s="278"/>
      <c r="S884" s="278"/>
      <c r="T884" s="278"/>
      <c r="U884" s="278"/>
      <c r="V884" s="278"/>
      <c r="W884" s="278"/>
      <c r="X884" s="278"/>
      <c r="Y884" s="278"/>
      <c r="Z884" s="278"/>
      <c r="AA884" s="278"/>
      <c r="AB884" s="278"/>
      <c r="AC884" s="278"/>
    </row>
    <row r="885" ht="15.75" customHeight="1">
      <c r="A885" s="302"/>
      <c r="B885" s="301"/>
      <c r="C885" s="292"/>
      <c r="D885" s="297"/>
      <c r="E885" s="302"/>
      <c r="F885" s="310"/>
      <c r="G885" s="310"/>
      <c r="H885" s="310"/>
      <c r="I885" s="283"/>
      <c r="J885" s="283"/>
      <c r="K885" s="283"/>
      <c r="L885" s="283"/>
      <c r="M885" s="283"/>
      <c r="N885" s="283"/>
      <c r="O885" s="283"/>
      <c r="P885" s="283"/>
      <c r="Q885" s="278"/>
      <c r="R885" s="278"/>
      <c r="S885" s="278"/>
      <c r="T885" s="278"/>
      <c r="U885" s="278"/>
      <c r="V885" s="278"/>
      <c r="W885" s="278"/>
      <c r="X885" s="278"/>
      <c r="Y885" s="278"/>
      <c r="Z885" s="278"/>
      <c r="AA885" s="278"/>
      <c r="AB885" s="278"/>
      <c r="AC885" s="278"/>
    </row>
    <row r="886" ht="15.75" customHeight="1">
      <c r="A886" s="302"/>
      <c r="B886" s="301"/>
      <c r="C886" s="292"/>
      <c r="D886" s="297"/>
      <c r="E886" s="302"/>
      <c r="F886" s="310"/>
      <c r="G886" s="310"/>
      <c r="H886" s="310"/>
      <c r="I886" s="283"/>
      <c r="J886" s="283"/>
      <c r="K886" s="283"/>
      <c r="L886" s="283"/>
      <c r="M886" s="283"/>
      <c r="N886" s="283"/>
      <c r="O886" s="283"/>
      <c r="P886" s="283"/>
      <c r="Q886" s="278"/>
      <c r="R886" s="278"/>
      <c r="S886" s="278"/>
      <c r="T886" s="278"/>
      <c r="U886" s="278"/>
      <c r="V886" s="278"/>
      <c r="W886" s="278"/>
      <c r="X886" s="278"/>
      <c r="Y886" s="278"/>
      <c r="Z886" s="278"/>
      <c r="AA886" s="278"/>
      <c r="AB886" s="278"/>
      <c r="AC886" s="278"/>
    </row>
    <row r="887" ht="15.75" customHeight="1">
      <c r="A887" s="302"/>
      <c r="B887" s="301"/>
      <c r="C887" s="292"/>
      <c r="D887" s="297"/>
      <c r="E887" s="302"/>
      <c r="F887" s="310"/>
      <c r="G887" s="310"/>
      <c r="H887" s="310"/>
      <c r="I887" s="283"/>
      <c r="J887" s="283"/>
      <c r="K887" s="283"/>
      <c r="L887" s="283"/>
      <c r="M887" s="283"/>
      <c r="N887" s="283"/>
      <c r="O887" s="283"/>
      <c r="P887" s="283"/>
      <c r="Q887" s="278"/>
      <c r="R887" s="278"/>
      <c r="S887" s="278"/>
      <c r="T887" s="278"/>
      <c r="U887" s="278"/>
      <c r="V887" s="278"/>
      <c r="W887" s="278"/>
      <c r="X887" s="278"/>
      <c r="Y887" s="278"/>
      <c r="Z887" s="278"/>
      <c r="AA887" s="278"/>
      <c r="AB887" s="278"/>
      <c r="AC887" s="278"/>
    </row>
    <row r="888" ht="15.75" customHeight="1">
      <c r="A888" s="302"/>
      <c r="B888" s="301"/>
      <c r="C888" s="292"/>
      <c r="D888" s="297"/>
      <c r="E888" s="302"/>
      <c r="F888" s="310"/>
      <c r="G888" s="310"/>
      <c r="H888" s="310"/>
      <c r="I888" s="283"/>
      <c r="J888" s="283"/>
      <c r="K888" s="283"/>
      <c r="L888" s="283"/>
      <c r="M888" s="283"/>
      <c r="N888" s="283"/>
      <c r="O888" s="283"/>
      <c r="P888" s="283"/>
      <c r="Q888" s="278"/>
      <c r="R888" s="278"/>
      <c r="S888" s="278"/>
      <c r="T888" s="278"/>
      <c r="U888" s="278"/>
      <c r="V888" s="278"/>
      <c r="W888" s="278"/>
      <c r="X888" s="278"/>
      <c r="Y888" s="278"/>
      <c r="Z888" s="278"/>
      <c r="AA888" s="278"/>
      <c r="AB888" s="278"/>
      <c r="AC888" s="278"/>
    </row>
    <row r="889" ht="15.75" customHeight="1">
      <c r="A889" s="302"/>
      <c r="B889" s="301"/>
      <c r="C889" s="292"/>
      <c r="D889" s="297"/>
      <c r="E889" s="302"/>
      <c r="F889" s="310"/>
      <c r="G889" s="310"/>
      <c r="H889" s="310"/>
      <c r="I889" s="283"/>
      <c r="J889" s="283"/>
      <c r="K889" s="283"/>
      <c r="L889" s="283"/>
      <c r="M889" s="283"/>
      <c r="N889" s="283"/>
      <c r="O889" s="283"/>
      <c r="P889" s="283"/>
      <c r="Q889" s="278"/>
      <c r="R889" s="278"/>
      <c r="S889" s="278"/>
      <c r="T889" s="278"/>
      <c r="U889" s="278"/>
      <c r="V889" s="278"/>
      <c r="W889" s="278"/>
      <c r="X889" s="278"/>
      <c r="Y889" s="278"/>
      <c r="Z889" s="278"/>
      <c r="AA889" s="278"/>
      <c r="AB889" s="278"/>
      <c r="AC889" s="278"/>
    </row>
    <row r="890" ht="15.75" customHeight="1">
      <c r="A890" s="302"/>
      <c r="B890" s="301"/>
      <c r="C890" s="292"/>
      <c r="D890" s="297"/>
      <c r="E890" s="302"/>
      <c r="F890" s="310"/>
      <c r="G890" s="310"/>
      <c r="H890" s="310"/>
      <c r="I890" s="283"/>
      <c r="J890" s="283"/>
      <c r="K890" s="283"/>
      <c r="L890" s="283"/>
      <c r="M890" s="283"/>
      <c r="N890" s="283"/>
      <c r="O890" s="283"/>
      <c r="P890" s="283"/>
      <c r="Q890" s="278"/>
      <c r="R890" s="278"/>
      <c r="S890" s="278"/>
      <c r="T890" s="278"/>
      <c r="U890" s="278"/>
      <c r="V890" s="278"/>
      <c r="W890" s="278"/>
      <c r="X890" s="278"/>
      <c r="Y890" s="278"/>
      <c r="Z890" s="278"/>
      <c r="AA890" s="278"/>
      <c r="AB890" s="278"/>
      <c r="AC890" s="278"/>
    </row>
    <row r="891" ht="15.75" customHeight="1">
      <c r="A891" s="302"/>
      <c r="B891" s="301"/>
      <c r="C891" s="292"/>
      <c r="D891" s="297"/>
      <c r="E891" s="302"/>
      <c r="F891" s="310"/>
      <c r="G891" s="310"/>
      <c r="H891" s="310"/>
      <c r="I891" s="283"/>
      <c r="J891" s="283"/>
      <c r="K891" s="283"/>
      <c r="L891" s="283"/>
      <c r="M891" s="283"/>
      <c r="N891" s="283"/>
      <c r="O891" s="283"/>
      <c r="P891" s="283"/>
      <c r="Q891" s="278"/>
      <c r="R891" s="278"/>
      <c r="S891" s="278"/>
      <c r="T891" s="278"/>
      <c r="U891" s="278"/>
      <c r="V891" s="278"/>
      <c r="W891" s="278"/>
      <c r="X891" s="278"/>
      <c r="Y891" s="278"/>
      <c r="Z891" s="278"/>
      <c r="AA891" s="278"/>
      <c r="AB891" s="278"/>
      <c r="AC891" s="278"/>
    </row>
    <row r="892" ht="15.75" customHeight="1">
      <c r="A892" s="302"/>
      <c r="B892" s="301"/>
      <c r="C892" s="292"/>
      <c r="D892" s="297"/>
      <c r="E892" s="302"/>
      <c r="F892" s="310"/>
      <c r="G892" s="310"/>
      <c r="H892" s="310"/>
      <c r="I892" s="283"/>
      <c r="J892" s="283"/>
      <c r="K892" s="283"/>
      <c r="L892" s="283"/>
      <c r="M892" s="283"/>
      <c r="N892" s="283"/>
      <c r="O892" s="283"/>
      <c r="P892" s="283"/>
      <c r="Q892" s="278"/>
      <c r="R892" s="278"/>
      <c r="S892" s="278"/>
      <c r="T892" s="278"/>
      <c r="U892" s="278"/>
      <c r="V892" s="278"/>
      <c r="W892" s="278"/>
      <c r="X892" s="278"/>
      <c r="Y892" s="278"/>
      <c r="Z892" s="278"/>
      <c r="AA892" s="278"/>
      <c r="AB892" s="278"/>
      <c r="AC892" s="278"/>
    </row>
    <row r="893" ht="15.75" customHeight="1">
      <c r="A893" s="302"/>
      <c r="B893" s="301"/>
      <c r="C893" s="292"/>
      <c r="D893" s="297"/>
      <c r="E893" s="302"/>
      <c r="F893" s="310"/>
      <c r="G893" s="310"/>
      <c r="H893" s="310"/>
      <c r="I893" s="283"/>
      <c r="J893" s="283"/>
      <c r="K893" s="283"/>
      <c r="L893" s="283"/>
      <c r="M893" s="283"/>
      <c r="N893" s="283"/>
      <c r="O893" s="283"/>
      <c r="P893" s="283"/>
      <c r="Q893" s="278"/>
      <c r="R893" s="278"/>
      <c r="S893" s="278"/>
      <c r="T893" s="278"/>
      <c r="U893" s="278"/>
      <c r="V893" s="278"/>
      <c r="W893" s="278"/>
      <c r="X893" s="278"/>
      <c r="Y893" s="278"/>
      <c r="Z893" s="278"/>
      <c r="AA893" s="278"/>
      <c r="AB893" s="278"/>
      <c r="AC893" s="278"/>
    </row>
    <row r="894" ht="15.75" customHeight="1">
      <c r="A894" s="302"/>
      <c r="B894" s="301"/>
      <c r="C894" s="292"/>
      <c r="D894" s="297"/>
      <c r="E894" s="302"/>
      <c r="F894" s="310"/>
      <c r="G894" s="310"/>
      <c r="H894" s="310"/>
      <c r="I894" s="283"/>
      <c r="J894" s="283"/>
      <c r="K894" s="283"/>
      <c r="L894" s="283"/>
      <c r="M894" s="283"/>
      <c r="N894" s="283"/>
      <c r="O894" s="283"/>
      <c r="P894" s="283"/>
      <c r="Q894" s="278"/>
      <c r="R894" s="278"/>
      <c r="S894" s="278"/>
      <c r="T894" s="278"/>
      <c r="U894" s="278"/>
      <c r="V894" s="278"/>
      <c r="W894" s="278"/>
      <c r="X894" s="278"/>
      <c r="Y894" s="278"/>
      <c r="Z894" s="278"/>
      <c r="AA894" s="278"/>
      <c r="AB894" s="278"/>
      <c r="AC894" s="278"/>
    </row>
    <row r="895" ht="15.75" customHeight="1">
      <c r="A895" s="302"/>
      <c r="B895" s="301"/>
      <c r="C895" s="292"/>
      <c r="D895" s="297"/>
      <c r="E895" s="302"/>
      <c r="F895" s="310"/>
      <c r="G895" s="310"/>
      <c r="H895" s="310"/>
      <c r="I895" s="283"/>
      <c r="J895" s="283"/>
      <c r="K895" s="283"/>
      <c r="L895" s="283"/>
      <c r="M895" s="283"/>
      <c r="N895" s="283"/>
      <c r="O895" s="283"/>
      <c r="P895" s="283"/>
      <c r="Q895" s="278"/>
      <c r="R895" s="278"/>
      <c r="S895" s="278"/>
      <c r="T895" s="278"/>
      <c r="U895" s="278"/>
      <c r="V895" s="278"/>
      <c r="W895" s="278"/>
      <c r="X895" s="278"/>
      <c r="Y895" s="278"/>
      <c r="Z895" s="278"/>
      <c r="AA895" s="278"/>
      <c r="AB895" s="278"/>
      <c r="AC895" s="278"/>
    </row>
    <row r="896" ht="15.75" customHeight="1">
      <c r="A896" s="302"/>
      <c r="B896" s="301"/>
      <c r="C896" s="292"/>
      <c r="D896" s="297"/>
      <c r="E896" s="302"/>
      <c r="F896" s="310"/>
      <c r="G896" s="310"/>
      <c r="H896" s="310"/>
      <c r="I896" s="283"/>
      <c r="J896" s="283"/>
      <c r="K896" s="283"/>
      <c r="L896" s="283"/>
      <c r="M896" s="283"/>
      <c r="N896" s="283"/>
      <c r="O896" s="283"/>
      <c r="P896" s="283"/>
      <c r="Q896" s="278"/>
      <c r="R896" s="278"/>
      <c r="S896" s="278"/>
      <c r="T896" s="278"/>
      <c r="U896" s="278"/>
      <c r="V896" s="278"/>
      <c r="W896" s="278"/>
      <c r="X896" s="278"/>
      <c r="Y896" s="278"/>
      <c r="Z896" s="278"/>
      <c r="AA896" s="278"/>
      <c r="AB896" s="278"/>
      <c r="AC896" s="278"/>
    </row>
    <row r="897" ht="15.75" customHeight="1">
      <c r="A897" s="302"/>
      <c r="B897" s="301"/>
      <c r="C897" s="292"/>
      <c r="D897" s="297"/>
      <c r="E897" s="302"/>
      <c r="F897" s="310"/>
      <c r="G897" s="310"/>
      <c r="H897" s="310"/>
      <c r="I897" s="283"/>
      <c r="J897" s="283"/>
      <c r="K897" s="283"/>
      <c r="L897" s="283"/>
      <c r="M897" s="283"/>
      <c r="N897" s="283"/>
      <c r="O897" s="283"/>
      <c r="P897" s="283"/>
      <c r="Q897" s="278"/>
      <c r="R897" s="278"/>
      <c r="S897" s="278"/>
      <c r="T897" s="278"/>
      <c r="U897" s="278"/>
      <c r="V897" s="278"/>
      <c r="W897" s="278"/>
      <c r="X897" s="278"/>
      <c r="Y897" s="278"/>
      <c r="Z897" s="278"/>
      <c r="AA897" s="278"/>
      <c r="AB897" s="278"/>
      <c r="AC897" s="278"/>
    </row>
    <row r="898" ht="15.75" customHeight="1">
      <c r="A898" s="302"/>
      <c r="B898" s="301"/>
      <c r="C898" s="292"/>
      <c r="D898" s="297"/>
      <c r="E898" s="302"/>
      <c r="F898" s="310"/>
      <c r="G898" s="310"/>
      <c r="H898" s="310"/>
      <c r="I898" s="283"/>
      <c r="J898" s="283"/>
      <c r="K898" s="283"/>
      <c r="L898" s="283"/>
      <c r="M898" s="283"/>
      <c r="N898" s="283"/>
      <c r="O898" s="283"/>
      <c r="P898" s="283"/>
      <c r="Q898" s="278"/>
      <c r="R898" s="278"/>
      <c r="S898" s="278"/>
      <c r="T898" s="278"/>
      <c r="U898" s="278"/>
      <c r="V898" s="278"/>
      <c r="W898" s="278"/>
      <c r="X898" s="278"/>
      <c r="Y898" s="278"/>
      <c r="Z898" s="278"/>
      <c r="AA898" s="278"/>
      <c r="AB898" s="278"/>
      <c r="AC898" s="278"/>
    </row>
    <row r="899" ht="15.75" customHeight="1">
      <c r="A899" s="302"/>
      <c r="B899" s="301"/>
      <c r="C899" s="292"/>
      <c r="D899" s="297"/>
      <c r="E899" s="302"/>
      <c r="F899" s="310"/>
      <c r="G899" s="310"/>
      <c r="H899" s="310"/>
      <c r="I899" s="283"/>
      <c r="J899" s="283"/>
      <c r="K899" s="283"/>
      <c r="L899" s="283"/>
      <c r="M899" s="283"/>
      <c r="N899" s="283"/>
      <c r="O899" s="283"/>
      <c r="P899" s="283"/>
      <c r="Q899" s="278"/>
      <c r="R899" s="278"/>
      <c r="S899" s="278"/>
      <c r="T899" s="278"/>
      <c r="U899" s="278"/>
      <c r="V899" s="278"/>
      <c r="W899" s="278"/>
      <c r="X899" s="278"/>
      <c r="Y899" s="278"/>
      <c r="Z899" s="278"/>
      <c r="AA899" s="278"/>
      <c r="AB899" s="278"/>
      <c r="AC899" s="278"/>
    </row>
    <row r="900" ht="15.75" customHeight="1">
      <c r="A900" s="302"/>
      <c r="B900" s="301"/>
      <c r="C900" s="292"/>
      <c r="D900" s="297"/>
      <c r="E900" s="302"/>
      <c r="F900" s="310"/>
      <c r="G900" s="310"/>
      <c r="H900" s="310"/>
      <c r="I900" s="283"/>
      <c r="J900" s="283"/>
      <c r="K900" s="283"/>
      <c r="L900" s="283"/>
      <c r="M900" s="283"/>
      <c r="N900" s="283"/>
      <c r="O900" s="283"/>
      <c r="P900" s="283"/>
      <c r="Q900" s="278"/>
      <c r="R900" s="278"/>
      <c r="S900" s="278"/>
      <c r="T900" s="278"/>
      <c r="U900" s="278"/>
      <c r="V900" s="278"/>
      <c r="W900" s="278"/>
      <c r="X900" s="278"/>
      <c r="Y900" s="278"/>
      <c r="Z900" s="278"/>
      <c r="AA900" s="278"/>
      <c r="AB900" s="278"/>
      <c r="AC900" s="278"/>
    </row>
    <row r="901" ht="15.75" customHeight="1">
      <c r="A901" s="302"/>
      <c r="B901" s="301"/>
      <c r="C901" s="292"/>
      <c r="D901" s="297"/>
      <c r="E901" s="302"/>
      <c r="F901" s="310"/>
      <c r="G901" s="310"/>
      <c r="H901" s="310"/>
      <c r="I901" s="283"/>
      <c r="J901" s="283"/>
      <c r="K901" s="283"/>
      <c r="L901" s="283"/>
      <c r="M901" s="283"/>
      <c r="N901" s="283"/>
      <c r="O901" s="283"/>
      <c r="P901" s="283"/>
      <c r="Q901" s="278"/>
      <c r="R901" s="278"/>
      <c r="S901" s="278"/>
      <c r="T901" s="278"/>
      <c r="U901" s="278"/>
      <c r="V901" s="278"/>
      <c r="W901" s="278"/>
      <c r="X901" s="278"/>
      <c r="Y901" s="278"/>
      <c r="Z901" s="278"/>
      <c r="AA901" s="278"/>
      <c r="AB901" s="278"/>
      <c r="AC901" s="278"/>
    </row>
    <row r="902" ht="15.75" customHeight="1">
      <c r="A902" s="302"/>
      <c r="B902" s="301"/>
      <c r="C902" s="292"/>
      <c r="D902" s="297"/>
      <c r="E902" s="302"/>
      <c r="F902" s="310"/>
      <c r="G902" s="310"/>
      <c r="H902" s="310"/>
      <c r="I902" s="283"/>
      <c r="J902" s="283"/>
      <c r="K902" s="283"/>
      <c r="L902" s="283"/>
      <c r="M902" s="283"/>
      <c r="N902" s="283"/>
      <c r="O902" s="283"/>
      <c r="P902" s="283"/>
      <c r="Q902" s="278"/>
      <c r="R902" s="278"/>
      <c r="S902" s="278"/>
      <c r="T902" s="278"/>
      <c r="U902" s="278"/>
      <c r="V902" s="278"/>
      <c r="W902" s="278"/>
      <c r="X902" s="278"/>
      <c r="Y902" s="278"/>
      <c r="Z902" s="278"/>
      <c r="AA902" s="278"/>
      <c r="AB902" s="278"/>
      <c r="AC902" s="278"/>
    </row>
    <row r="903" ht="15.75" customHeight="1">
      <c r="A903" s="302"/>
      <c r="B903" s="301"/>
      <c r="C903" s="292"/>
      <c r="D903" s="297"/>
      <c r="E903" s="302"/>
      <c r="F903" s="310"/>
      <c r="G903" s="310"/>
      <c r="H903" s="310"/>
      <c r="I903" s="283"/>
      <c r="J903" s="283"/>
      <c r="K903" s="283"/>
      <c r="L903" s="283"/>
      <c r="M903" s="283"/>
      <c r="N903" s="283"/>
      <c r="O903" s="283"/>
      <c r="P903" s="283"/>
      <c r="Q903" s="278"/>
      <c r="R903" s="278"/>
      <c r="S903" s="278"/>
      <c r="T903" s="278"/>
      <c r="U903" s="278"/>
      <c r="V903" s="278"/>
      <c r="W903" s="278"/>
      <c r="X903" s="278"/>
      <c r="Y903" s="278"/>
      <c r="Z903" s="278"/>
      <c r="AA903" s="278"/>
      <c r="AB903" s="278"/>
      <c r="AC903" s="278"/>
    </row>
    <row r="904" ht="15.75" customHeight="1">
      <c r="A904" s="302"/>
      <c r="B904" s="301"/>
      <c r="C904" s="292"/>
      <c r="D904" s="297"/>
      <c r="E904" s="302"/>
      <c r="F904" s="310"/>
      <c r="G904" s="310"/>
      <c r="H904" s="310"/>
      <c r="I904" s="283"/>
      <c r="J904" s="283"/>
      <c r="K904" s="283"/>
      <c r="L904" s="283"/>
      <c r="M904" s="283"/>
      <c r="N904" s="283"/>
      <c r="O904" s="283"/>
      <c r="P904" s="283"/>
      <c r="Q904" s="278"/>
      <c r="R904" s="278"/>
      <c r="S904" s="278"/>
      <c r="T904" s="278"/>
      <c r="U904" s="278"/>
      <c r="V904" s="278"/>
      <c r="W904" s="278"/>
      <c r="X904" s="278"/>
      <c r="Y904" s="278"/>
      <c r="Z904" s="278"/>
      <c r="AA904" s="278"/>
      <c r="AB904" s="278"/>
      <c r="AC904" s="278"/>
    </row>
    <row r="905" ht="15.75" customHeight="1">
      <c r="A905" s="302"/>
      <c r="B905" s="301"/>
      <c r="C905" s="292"/>
      <c r="D905" s="297"/>
      <c r="E905" s="302"/>
      <c r="F905" s="310"/>
      <c r="G905" s="310"/>
      <c r="H905" s="310"/>
      <c r="I905" s="283"/>
      <c r="J905" s="283"/>
      <c r="K905" s="283"/>
      <c r="L905" s="283"/>
      <c r="M905" s="283"/>
      <c r="N905" s="283"/>
      <c r="O905" s="283"/>
      <c r="P905" s="283"/>
      <c r="Q905" s="278"/>
      <c r="R905" s="278"/>
      <c r="S905" s="278"/>
      <c r="T905" s="278"/>
      <c r="U905" s="278"/>
      <c r="V905" s="278"/>
      <c r="W905" s="278"/>
      <c r="X905" s="278"/>
      <c r="Y905" s="278"/>
      <c r="Z905" s="278"/>
      <c r="AA905" s="278"/>
      <c r="AB905" s="278"/>
      <c r="AC905" s="278"/>
    </row>
    <row r="906" ht="15.75" customHeight="1">
      <c r="A906" s="302"/>
      <c r="B906" s="301"/>
      <c r="C906" s="292"/>
      <c r="D906" s="297"/>
      <c r="E906" s="302"/>
      <c r="F906" s="310"/>
      <c r="G906" s="310"/>
      <c r="H906" s="310"/>
      <c r="I906" s="283"/>
      <c r="J906" s="283"/>
      <c r="K906" s="283"/>
      <c r="L906" s="283"/>
      <c r="M906" s="283"/>
      <c r="N906" s="283"/>
      <c r="O906" s="283"/>
      <c r="P906" s="283"/>
      <c r="Q906" s="278"/>
      <c r="R906" s="278"/>
      <c r="S906" s="278"/>
      <c r="T906" s="278"/>
      <c r="U906" s="278"/>
      <c r="V906" s="278"/>
      <c r="W906" s="278"/>
      <c r="X906" s="278"/>
      <c r="Y906" s="278"/>
      <c r="Z906" s="278"/>
      <c r="AA906" s="278"/>
      <c r="AB906" s="278"/>
      <c r="AC906" s="278"/>
    </row>
    <row r="907" ht="15.75" customHeight="1">
      <c r="A907" s="302"/>
      <c r="B907" s="301"/>
      <c r="C907" s="292"/>
      <c r="D907" s="297"/>
      <c r="E907" s="302"/>
      <c r="F907" s="310"/>
      <c r="G907" s="310"/>
      <c r="H907" s="310"/>
      <c r="I907" s="283"/>
      <c r="J907" s="283"/>
      <c r="K907" s="283"/>
      <c r="L907" s="283"/>
      <c r="M907" s="283"/>
      <c r="N907" s="283"/>
      <c r="O907" s="283"/>
      <c r="P907" s="283"/>
      <c r="Q907" s="278"/>
      <c r="R907" s="278"/>
      <c r="S907" s="278"/>
      <c r="T907" s="278"/>
      <c r="U907" s="278"/>
      <c r="V907" s="278"/>
      <c r="W907" s="278"/>
      <c r="X907" s="278"/>
      <c r="Y907" s="278"/>
      <c r="Z907" s="278"/>
      <c r="AA907" s="278"/>
      <c r="AB907" s="278"/>
      <c r="AC907" s="278"/>
    </row>
    <row r="908" ht="15.75" customHeight="1">
      <c r="A908" s="302"/>
      <c r="B908" s="301"/>
      <c r="C908" s="292"/>
      <c r="D908" s="297"/>
      <c r="E908" s="302"/>
      <c r="F908" s="310"/>
      <c r="G908" s="310"/>
      <c r="H908" s="310"/>
      <c r="I908" s="283"/>
      <c r="J908" s="283"/>
      <c r="K908" s="283"/>
      <c r="L908" s="283"/>
      <c r="M908" s="283"/>
      <c r="N908" s="283"/>
      <c r="O908" s="283"/>
      <c r="P908" s="283"/>
      <c r="Q908" s="278"/>
      <c r="R908" s="278"/>
      <c r="S908" s="278"/>
      <c r="T908" s="278"/>
      <c r="U908" s="278"/>
      <c r="V908" s="278"/>
      <c r="W908" s="278"/>
      <c r="X908" s="278"/>
      <c r="Y908" s="278"/>
      <c r="Z908" s="278"/>
      <c r="AA908" s="278"/>
      <c r="AB908" s="278"/>
      <c r="AC908" s="278"/>
    </row>
    <row r="909" ht="15.75" customHeight="1">
      <c r="A909" s="302"/>
      <c r="B909" s="301"/>
      <c r="C909" s="292"/>
      <c r="D909" s="297"/>
      <c r="E909" s="302"/>
      <c r="F909" s="310"/>
      <c r="G909" s="310"/>
      <c r="H909" s="310"/>
      <c r="I909" s="283"/>
      <c r="J909" s="283"/>
      <c r="K909" s="283"/>
      <c r="L909" s="283"/>
      <c r="M909" s="283"/>
      <c r="N909" s="283"/>
      <c r="O909" s="283"/>
      <c r="P909" s="283"/>
      <c r="Q909" s="278"/>
      <c r="R909" s="278"/>
      <c r="S909" s="278"/>
      <c r="T909" s="278"/>
      <c r="U909" s="278"/>
      <c r="V909" s="278"/>
      <c r="W909" s="278"/>
      <c r="X909" s="278"/>
      <c r="Y909" s="278"/>
      <c r="Z909" s="278"/>
      <c r="AA909" s="278"/>
      <c r="AB909" s="278"/>
      <c r="AC909" s="278"/>
    </row>
    <row r="910" ht="15.75" customHeight="1">
      <c r="A910" s="302"/>
      <c r="B910" s="301"/>
      <c r="C910" s="292"/>
      <c r="D910" s="297"/>
      <c r="E910" s="302"/>
      <c r="F910" s="310"/>
      <c r="G910" s="310"/>
      <c r="H910" s="310"/>
      <c r="I910" s="283"/>
      <c r="J910" s="283"/>
      <c r="K910" s="283"/>
      <c r="L910" s="283"/>
      <c r="M910" s="283"/>
      <c r="N910" s="283"/>
      <c r="O910" s="283"/>
      <c r="P910" s="283"/>
      <c r="Q910" s="278"/>
      <c r="R910" s="278"/>
      <c r="S910" s="278"/>
      <c r="T910" s="278"/>
      <c r="U910" s="278"/>
      <c r="V910" s="278"/>
      <c r="W910" s="278"/>
      <c r="X910" s="278"/>
      <c r="Y910" s="278"/>
      <c r="Z910" s="278"/>
      <c r="AA910" s="278"/>
      <c r="AB910" s="278"/>
      <c r="AC910" s="278"/>
    </row>
    <row r="911" ht="15.75" customHeight="1">
      <c r="A911" s="302"/>
      <c r="B911" s="301"/>
      <c r="C911" s="292"/>
      <c r="D911" s="297"/>
      <c r="E911" s="302"/>
      <c r="F911" s="310"/>
      <c r="G911" s="310"/>
      <c r="H911" s="310"/>
      <c r="I911" s="283"/>
      <c r="J911" s="283"/>
      <c r="K911" s="283"/>
      <c r="L911" s="283"/>
      <c r="M911" s="283"/>
      <c r="N911" s="283"/>
      <c r="O911" s="283"/>
      <c r="P911" s="283"/>
      <c r="Q911" s="278"/>
      <c r="R911" s="278"/>
      <c r="S911" s="278"/>
      <c r="T911" s="278"/>
      <c r="U911" s="278"/>
      <c r="V911" s="278"/>
      <c r="W911" s="278"/>
      <c r="X911" s="278"/>
      <c r="Y911" s="278"/>
      <c r="Z911" s="278"/>
      <c r="AA911" s="278"/>
      <c r="AB911" s="278"/>
      <c r="AC911" s="278"/>
    </row>
    <row r="912" ht="15.75" customHeight="1">
      <c r="A912" s="302"/>
      <c r="B912" s="301"/>
      <c r="C912" s="292"/>
      <c r="D912" s="297"/>
      <c r="E912" s="302"/>
      <c r="F912" s="310"/>
      <c r="G912" s="310"/>
      <c r="H912" s="310"/>
      <c r="I912" s="283"/>
      <c r="J912" s="283"/>
      <c r="K912" s="283"/>
      <c r="L912" s="283"/>
      <c r="M912" s="283"/>
      <c r="N912" s="283"/>
      <c r="O912" s="283"/>
      <c r="P912" s="283"/>
      <c r="Q912" s="278"/>
      <c r="R912" s="278"/>
      <c r="S912" s="278"/>
      <c r="T912" s="278"/>
      <c r="U912" s="278"/>
      <c r="V912" s="278"/>
      <c r="W912" s="278"/>
      <c r="X912" s="278"/>
      <c r="Y912" s="278"/>
      <c r="Z912" s="278"/>
      <c r="AA912" s="278"/>
      <c r="AB912" s="278"/>
      <c r="AC912" s="278"/>
    </row>
    <row r="913" ht="15.75" customHeight="1">
      <c r="A913" s="302"/>
      <c r="B913" s="301"/>
      <c r="C913" s="292"/>
      <c r="D913" s="297"/>
      <c r="E913" s="302"/>
      <c r="F913" s="310"/>
      <c r="G913" s="310"/>
      <c r="H913" s="310"/>
      <c r="I913" s="283"/>
      <c r="J913" s="283"/>
      <c r="K913" s="283"/>
      <c r="L913" s="283"/>
      <c r="M913" s="283"/>
      <c r="N913" s="283"/>
      <c r="O913" s="283"/>
      <c r="P913" s="283"/>
      <c r="Q913" s="278"/>
      <c r="R913" s="278"/>
      <c r="S913" s="278"/>
      <c r="T913" s="278"/>
      <c r="U913" s="278"/>
      <c r="V913" s="278"/>
      <c r="W913" s="278"/>
      <c r="X913" s="278"/>
      <c r="Y913" s="278"/>
      <c r="Z913" s="278"/>
      <c r="AA913" s="278"/>
      <c r="AB913" s="278"/>
      <c r="AC913" s="278"/>
    </row>
    <row r="914" ht="15.75" customHeight="1">
      <c r="A914" s="302"/>
      <c r="B914" s="301"/>
      <c r="C914" s="292"/>
      <c r="D914" s="297"/>
      <c r="E914" s="302"/>
      <c r="F914" s="310"/>
      <c r="G914" s="310"/>
      <c r="H914" s="310"/>
      <c r="I914" s="283"/>
      <c r="J914" s="283"/>
      <c r="K914" s="283"/>
      <c r="L914" s="283"/>
      <c r="M914" s="283"/>
      <c r="N914" s="283"/>
      <c r="O914" s="283"/>
      <c r="P914" s="283"/>
      <c r="Q914" s="278"/>
      <c r="R914" s="278"/>
      <c r="S914" s="278"/>
      <c r="T914" s="278"/>
      <c r="U914" s="278"/>
      <c r="V914" s="278"/>
      <c r="W914" s="278"/>
      <c r="X914" s="278"/>
      <c r="Y914" s="278"/>
      <c r="Z914" s="278"/>
      <c r="AA914" s="278"/>
      <c r="AB914" s="278"/>
      <c r="AC914" s="278"/>
    </row>
    <row r="915" ht="15.75" customHeight="1">
      <c r="A915" s="302"/>
      <c r="B915" s="301"/>
      <c r="C915" s="292"/>
      <c r="D915" s="297"/>
      <c r="E915" s="302"/>
      <c r="F915" s="310"/>
      <c r="G915" s="310"/>
      <c r="H915" s="310"/>
      <c r="I915" s="283"/>
      <c r="J915" s="283"/>
      <c r="K915" s="283"/>
      <c r="L915" s="283"/>
      <c r="M915" s="283"/>
      <c r="N915" s="283"/>
      <c r="O915" s="283"/>
      <c r="P915" s="283"/>
      <c r="Q915" s="278"/>
      <c r="R915" s="278"/>
      <c r="S915" s="278"/>
      <c r="T915" s="278"/>
      <c r="U915" s="278"/>
      <c r="V915" s="278"/>
      <c r="W915" s="278"/>
      <c r="X915" s="278"/>
      <c r="Y915" s="278"/>
      <c r="Z915" s="278"/>
      <c r="AA915" s="278"/>
      <c r="AB915" s="278"/>
      <c r="AC915" s="278"/>
    </row>
    <row r="916" ht="15.75" customHeight="1">
      <c r="A916" s="302"/>
      <c r="B916" s="301"/>
      <c r="C916" s="292"/>
      <c r="D916" s="297"/>
      <c r="E916" s="302"/>
      <c r="F916" s="310"/>
      <c r="G916" s="310"/>
      <c r="H916" s="310"/>
      <c r="I916" s="283"/>
      <c r="J916" s="283"/>
      <c r="K916" s="283"/>
      <c r="L916" s="283"/>
      <c r="M916" s="283"/>
      <c r="N916" s="283"/>
      <c r="O916" s="283"/>
      <c r="P916" s="283"/>
      <c r="Q916" s="278"/>
      <c r="R916" s="278"/>
      <c r="S916" s="278"/>
      <c r="T916" s="278"/>
      <c r="U916" s="278"/>
      <c r="V916" s="278"/>
      <c r="W916" s="278"/>
      <c r="X916" s="278"/>
      <c r="Y916" s="278"/>
      <c r="Z916" s="278"/>
      <c r="AA916" s="278"/>
      <c r="AB916" s="278"/>
      <c r="AC916" s="278"/>
    </row>
    <row r="917" ht="15.75" customHeight="1">
      <c r="A917" s="302"/>
      <c r="B917" s="301"/>
      <c r="C917" s="292"/>
      <c r="D917" s="297"/>
      <c r="E917" s="302"/>
      <c r="F917" s="310"/>
      <c r="G917" s="310"/>
      <c r="H917" s="310"/>
      <c r="I917" s="283"/>
      <c r="J917" s="283"/>
      <c r="K917" s="283"/>
      <c r="L917" s="283"/>
      <c r="M917" s="283"/>
      <c r="N917" s="283"/>
      <c r="O917" s="283"/>
      <c r="P917" s="283"/>
      <c r="Q917" s="278"/>
      <c r="R917" s="278"/>
      <c r="S917" s="278"/>
      <c r="T917" s="278"/>
      <c r="U917" s="278"/>
      <c r="V917" s="278"/>
      <c r="W917" s="278"/>
      <c r="X917" s="278"/>
      <c r="Y917" s="278"/>
      <c r="Z917" s="278"/>
      <c r="AA917" s="278"/>
      <c r="AB917" s="278"/>
      <c r="AC917" s="278"/>
    </row>
    <row r="918" ht="15.75" customHeight="1">
      <c r="A918" s="302"/>
      <c r="B918" s="301"/>
      <c r="C918" s="292"/>
      <c r="D918" s="297"/>
      <c r="E918" s="302"/>
      <c r="F918" s="310"/>
      <c r="G918" s="310"/>
      <c r="H918" s="310"/>
      <c r="I918" s="283"/>
      <c r="J918" s="283"/>
      <c r="K918" s="283"/>
      <c r="L918" s="283"/>
      <c r="M918" s="283"/>
      <c r="N918" s="283"/>
      <c r="O918" s="283"/>
      <c r="P918" s="283"/>
      <c r="Q918" s="278"/>
      <c r="R918" s="278"/>
      <c r="S918" s="278"/>
      <c r="T918" s="278"/>
      <c r="U918" s="278"/>
      <c r="V918" s="278"/>
      <c r="W918" s="278"/>
      <c r="X918" s="278"/>
      <c r="Y918" s="278"/>
      <c r="Z918" s="278"/>
      <c r="AA918" s="278"/>
      <c r="AB918" s="278"/>
      <c r="AC918" s="278"/>
    </row>
    <row r="919" ht="15.75" customHeight="1">
      <c r="A919" s="302"/>
      <c r="B919" s="301"/>
      <c r="C919" s="292"/>
      <c r="D919" s="297"/>
      <c r="E919" s="302"/>
      <c r="F919" s="310"/>
      <c r="G919" s="310"/>
      <c r="H919" s="310"/>
      <c r="I919" s="283"/>
      <c r="J919" s="283"/>
      <c r="K919" s="283"/>
      <c r="L919" s="283"/>
      <c r="M919" s="283"/>
      <c r="N919" s="283"/>
      <c r="O919" s="283"/>
      <c r="P919" s="283"/>
      <c r="Q919" s="278"/>
      <c r="R919" s="278"/>
      <c r="S919" s="278"/>
      <c r="T919" s="278"/>
      <c r="U919" s="278"/>
      <c r="V919" s="278"/>
      <c r="W919" s="278"/>
      <c r="X919" s="278"/>
      <c r="Y919" s="278"/>
      <c r="Z919" s="278"/>
      <c r="AA919" s="278"/>
      <c r="AB919" s="278"/>
      <c r="AC919" s="278"/>
    </row>
    <row r="920" ht="15.75" customHeight="1">
      <c r="A920" s="302"/>
      <c r="B920" s="301"/>
      <c r="C920" s="292"/>
      <c r="D920" s="297"/>
      <c r="E920" s="302"/>
      <c r="F920" s="310"/>
      <c r="G920" s="310"/>
      <c r="H920" s="310"/>
      <c r="I920" s="283"/>
      <c r="J920" s="283"/>
      <c r="K920" s="283"/>
      <c r="L920" s="283"/>
      <c r="M920" s="283"/>
      <c r="N920" s="283"/>
      <c r="O920" s="283"/>
      <c r="P920" s="283"/>
      <c r="Q920" s="278"/>
      <c r="R920" s="278"/>
      <c r="S920" s="278"/>
      <c r="T920" s="278"/>
      <c r="U920" s="278"/>
      <c r="V920" s="278"/>
      <c r="W920" s="278"/>
      <c r="X920" s="278"/>
      <c r="Y920" s="278"/>
      <c r="Z920" s="278"/>
      <c r="AA920" s="278"/>
      <c r="AB920" s="278"/>
      <c r="AC920" s="278"/>
    </row>
    <row r="921" ht="15.75" customHeight="1">
      <c r="A921" s="302"/>
      <c r="B921" s="301"/>
      <c r="C921" s="292"/>
      <c r="D921" s="297"/>
      <c r="E921" s="302"/>
      <c r="F921" s="310"/>
      <c r="G921" s="310"/>
      <c r="H921" s="310"/>
      <c r="I921" s="283"/>
      <c r="J921" s="283"/>
      <c r="K921" s="283"/>
      <c r="L921" s="283"/>
      <c r="M921" s="283"/>
      <c r="N921" s="283"/>
      <c r="O921" s="283"/>
      <c r="P921" s="283"/>
      <c r="Q921" s="278"/>
      <c r="R921" s="278"/>
      <c r="S921" s="278"/>
      <c r="T921" s="278"/>
      <c r="U921" s="278"/>
      <c r="V921" s="278"/>
      <c r="W921" s="278"/>
      <c r="X921" s="278"/>
      <c r="Y921" s="278"/>
      <c r="Z921" s="278"/>
      <c r="AA921" s="278"/>
      <c r="AB921" s="278"/>
      <c r="AC921" s="278"/>
    </row>
    <row r="922" ht="15.75" customHeight="1">
      <c r="A922" s="302"/>
      <c r="B922" s="301"/>
      <c r="C922" s="292"/>
      <c r="D922" s="297"/>
      <c r="E922" s="302"/>
      <c r="F922" s="310"/>
      <c r="G922" s="310"/>
      <c r="H922" s="310"/>
      <c r="I922" s="283"/>
      <c r="J922" s="283"/>
      <c r="K922" s="283"/>
      <c r="L922" s="283"/>
      <c r="M922" s="283"/>
      <c r="N922" s="283"/>
      <c r="O922" s="283"/>
      <c r="P922" s="283"/>
      <c r="Q922" s="278"/>
      <c r="R922" s="278"/>
      <c r="S922" s="278"/>
      <c r="T922" s="278"/>
      <c r="U922" s="278"/>
      <c r="V922" s="278"/>
      <c r="W922" s="278"/>
      <c r="X922" s="278"/>
      <c r="Y922" s="278"/>
      <c r="Z922" s="278"/>
      <c r="AA922" s="278"/>
      <c r="AB922" s="278"/>
      <c r="AC922" s="278"/>
    </row>
    <row r="923" ht="15.75" customHeight="1">
      <c r="A923" s="302"/>
      <c r="B923" s="301"/>
      <c r="C923" s="292"/>
      <c r="D923" s="297"/>
      <c r="E923" s="302"/>
      <c r="F923" s="310"/>
      <c r="G923" s="310"/>
      <c r="H923" s="310"/>
      <c r="I923" s="283"/>
      <c r="J923" s="283"/>
      <c r="K923" s="283"/>
      <c r="L923" s="283"/>
      <c r="M923" s="283"/>
      <c r="N923" s="283"/>
      <c r="O923" s="283"/>
      <c r="P923" s="283"/>
      <c r="Q923" s="278"/>
      <c r="R923" s="278"/>
      <c r="S923" s="278"/>
      <c r="T923" s="278"/>
      <c r="U923" s="278"/>
      <c r="V923" s="278"/>
      <c r="W923" s="278"/>
      <c r="X923" s="278"/>
      <c r="Y923" s="278"/>
      <c r="Z923" s="278"/>
      <c r="AA923" s="278"/>
      <c r="AB923" s="278"/>
      <c r="AC923" s="278"/>
    </row>
    <row r="924" ht="15.75" customHeight="1">
      <c r="A924" s="302"/>
      <c r="B924" s="301"/>
      <c r="C924" s="292"/>
      <c r="D924" s="297"/>
      <c r="E924" s="302"/>
      <c r="F924" s="310"/>
      <c r="G924" s="310"/>
      <c r="H924" s="310"/>
      <c r="I924" s="283"/>
      <c r="J924" s="283"/>
      <c r="K924" s="283"/>
      <c r="L924" s="283"/>
      <c r="M924" s="283"/>
      <c r="N924" s="283"/>
      <c r="O924" s="283"/>
      <c r="P924" s="283"/>
      <c r="Q924" s="278"/>
      <c r="R924" s="278"/>
      <c r="S924" s="278"/>
      <c r="T924" s="278"/>
      <c r="U924" s="278"/>
      <c r="V924" s="278"/>
      <c r="W924" s="278"/>
      <c r="X924" s="278"/>
      <c r="Y924" s="278"/>
      <c r="Z924" s="278"/>
      <c r="AA924" s="278"/>
      <c r="AB924" s="278"/>
      <c r="AC924" s="278"/>
    </row>
    <row r="925" ht="15.75" customHeight="1">
      <c r="A925" s="302"/>
      <c r="B925" s="301"/>
      <c r="C925" s="292"/>
      <c r="D925" s="297"/>
      <c r="E925" s="302"/>
      <c r="F925" s="310"/>
      <c r="G925" s="310"/>
      <c r="H925" s="310"/>
      <c r="I925" s="283"/>
      <c r="J925" s="283"/>
      <c r="K925" s="283"/>
      <c r="L925" s="283"/>
      <c r="M925" s="283"/>
      <c r="N925" s="283"/>
      <c r="O925" s="283"/>
      <c r="P925" s="283"/>
      <c r="Q925" s="278"/>
      <c r="R925" s="278"/>
      <c r="S925" s="278"/>
      <c r="T925" s="278"/>
      <c r="U925" s="278"/>
      <c r="V925" s="278"/>
      <c r="W925" s="278"/>
      <c r="X925" s="278"/>
      <c r="Y925" s="278"/>
      <c r="Z925" s="278"/>
      <c r="AA925" s="278"/>
      <c r="AB925" s="278"/>
      <c r="AC925" s="278"/>
    </row>
    <row r="926" ht="15.75" customHeight="1">
      <c r="A926" s="302"/>
      <c r="B926" s="301"/>
      <c r="C926" s="292"/>
      <c r="D926" s="297"/>
      <c r="E926" s="302"/>
      <c r="F926" s="310"/>
      <c r="G926" s="310"/>
      <c r="H926" s="310"/>
      <c r="I926" s="283"/>
      <c r="J926" s="283"/>
      <c r="K926" s="283"/>
      <c r="L926" s="283"/>
      <c r="M926" s="283"/>
      <c r="N926" s="283"/>
      <c r="O926" s="283"/>
      <c r="P926" s="283"/>
      <c r="Q926" s="278"/>
      <c r="R926" s="278"/>
      <c r="S926" s="278"/>
      <c r="T926" s="278"/>
      <c r="U926" s="278"/>
      <c r="V926" s="278"/>
      <c r="W926" s="278"/>
      <c r="X926" s="278"/>
      <c r="Y926" s="278"/>
      <c r="Z926" s="278"/>
      <c r="AA926" s="278"/>
      <c r="AB926" s="278"/>
      <c r="AC926" s="278"/>
    </row>
    <row r="927" ht="15.75" customHeight="1">
      <c r="A927" s="302"/>
      <c r="B927" s="301"/>
      <c r="C927" s="292"/>
      <c r="D927" s="297"/>
      <c r="E927" s="302"/>
      <c r="F927" s="310"/>
      <c r="G927" s="310"/>
      <c r="H927" s="310"/>
      <c r="I927" s="283"/>
      <c r="J927" s="283"/>
      <c r="K927" s="283"/>
      <c r="L927" s="283"/>
      <c r="M927" s="283"/>
      <c r="N927" s="283"/>
      <c r="O927" s="283"/>
      <c r="P927" s="283"/>
      <c r="Q927" s="278"/>
      <c r="R927" s="278"/>
      <c r="S927" s="278"/>
      <c r="T927" s="278"/>
      <c r="U927" s="278"/>
      <c r="V927" s="278"/>
      <c r="W927" s="278"/>
      <c r="X927" s="278"/>
      <c r="Y927" s="278"/>
      <c r="Z927" s="278"/>
      <c r="AA927" s="278"/>
      <c r="AB927" s="278"/>
      <c r="AC927" s="278"/>
    </row>
    <row r="928" ht="15.75" customHeight="1">
      <c r="A928" s="302"/>
      <c r="B928" s="301"/>
      <c r="C928" s="292"/>
      <c r="D928" s="297"/>
      <c r="E928" s="302"/>
      <c r="F928" s="310"/>
      <c r="G928" s="310"/>
      <c r="H928" s="310"/>
      <c r="I928" s="283"/>
      <c r="J928" s="283"/>
      <c r="K928" s="283"/>
      <c r="L928" s="283"/>
      <c r="M928" s="283"/>
      <c r="N928" s="283"/>
      <c r="O928" s="283"/>
      <c r="P928" s="283"/>
      <c r="Q928" s="278"/>
      <c r="R928" s="278"/>
      <c r="S928" s="278"/>
      <c r="T928" s="278"/>
      <c r="U928" s="278"/>
      <c r="V928" s="278"/>
      <c r="W928" s="278"/>
      <c r="X928" s="278"/>
      <c r="Y928" s="278"/>
      <c r="Z928" s="278"/>
      <c r="AA928" s="278"/>
      <c r="AB928" s="278"/>
      <c r="AC928" s="278"/>
    </row>
    <row r="929" ht="15.75" customHeight="1">
      <c r="A929" s="302"/>
      <c r="B929" s="301"/>
      <c r="C929" s="292"/>
      <c r="D929" s="297"/>
      <c r="E929" s="302"/>
      <c r="F929" s="310"/>
      <c r="G929" s="310"/>
      <c r="H929" s="310"/>
      <c r="I929" s="283"/>
      <c r="J929" s="283"/>
      <c r="K929" s="283"/>
      <c r="L929" s="283"/>
      <c r="M929" s="283"/>
      <c r="N929" s="283"/>
      <c r="O929" s="283"/>
      <c r="P929" s="283"/>
      <c r="Q929" s="278"/>
      <c r="R929" s="278"/>
      <c r="S929" s="278"/>
      <c r="T929" s="278"/>
      <c r="U929" s="278"/>
      <c r="V929" s="278"/>
      <c r="W929" s="278"/>
      <c r="X929" s="278"/>
      <c r="Y929" s="278"/>
      <c r="Z929" s="278"/>
      <c r="AA929" s="278"/>
      <c r="AB929" s="278"/>
      <c r="AC929" s="278"/>
    </row>
    <row r="930" ht="15.75" customHeight="1">
      <c r="A930" s="302"/>
      <c r="B930" s="301"/>
      <c r="C930" s="292"/>
      <c r="D930" s="297"/>
      <c r="E930" s="302"/>
      <c r="F930" s="310"/>
      <c r="G930" s="310"/>
      <c r="H930" s="310"/>
      <c r="I930" s="283"/>
      <c r="J930" s="283"/>
      <c r="K930" s="283"/>
      <c r="L930" s="283"/>
      <c r="M930" s="283"/>
      <c r="N930" s="283"/>
      <c r="O930" s="283"/>
      <c r="P930" s="283"/>
      <c r="Q930" s="278"/>
      <c r="R930" s="278"/>
      <c r="S930" s="278"/>
      <c r="T930" s="278"/>
      <c r="U930" s="278"/>
      <c r="V930" s="278"/>
      <c r="W930" s="278"/>
      <c r="X930" s="278"/>
      <c r="Y930" s="278"/>
      <c r="Z930" s="278"/>
      <c r="AA930" s="278"/>
      <c r="AB930" s="278"/>
      <c r="AC930" s="278"/>
    </row>
    <row r="931" ht="15.75" customHeight="1">
      <c r="A931" s="302"/>
      <c r="B931" s="301"/>
      <c r="C931" s="292"/>
      <c r="D931" s="297"/>
      <c r="E931" s="302"/>
      <c r="F931" s="310"/>
      <c r="G931" s="310"/>
      <c r="H931" s="310"/>
      <c r="I931" s="283"/>
      <c r="J931" s="283"/>
      <c r="K931" s="283"/>
      <c r="L931" s="283"/>
      <c r="M931" s="283"/>
      <c r="N931" s="283"/>
      <c r="O931" s="283"/>
      <c r="P931" s="283"/>
      <c r="Q931" s="278"/>
      <c r="R931" s="278"/>
      <c r="S931" s="278"/>
      <c r="T931" s="278"/>
      <c r="U931" s="278"/>
      <c r="V931" s="278"/>
      <c r="W931" s="278"/>
      <c r="X931" s="278"/>
      <c r="Y931" s="278"/>
      <c r="Z931" s="278"/>
      <c r="AA931" s="278"/>
      <c r="AB931" s="278"/>
      <c r="AC931" s="278"/>
    </row>
    <row r="932" ht="15.75" customHeight="1">
      <c r="A932" s="302"/>
      <c r="B932" s="301"/>
      <c r="C932" s="292"/>
      <c r="D932" s="297"/>
      <c r="E932" s="302"/>
      <c r="F932" s="310"/>
      <c r="G932" s="310"/>
      <c r="H932" s="310"/>
      <c r="I932" s="283"/>
      <c r="J932" s="283"/>
      <c r="K932" s="283"/>
      <c r="L932" s="283"/>
      <c r="M932" s="283"/>
      <c r="N932" s="283"/>
      <c r="O932" s="283"/>
      <c r="P932" s="283"/>
      <c r="Q932" s="278"/>
      <c r="R932" s="278"/>
      <c r="S932" s="278"/>
      <c r="T932" s="278"/>
      <c r="U932" s="278"/>
      <c r="V932" s="278"/>
      <c r="W932" s="278"/>
      <c r="X932" s="278"/>
      <c r="Y932" s="278"/>
      <c r="Z932" s="278"/>
      <c r="AA932" s="278"/>
      <c r="AB932" s="278"/>
      <c r="AC932" s="278"/>
    </row>
    <row r="933" ht="15.75" customHeight="1">
      <c r="A933" s="302"/>
      <c r="B933" s="301"/>
      <c r="C933" s="292"/>
      <c r="D933" s="297"/>
      <c r="E933" s="302"/>
      <c r="F933" s="310"/>
      <c r="G933" s="310"/>
      <c r="H933" s="310"/>
      <c r="I933" s="283"/>
      <c r="J933" s="283"/>
      <c r="K933" s="283"/>
      <c r="L933" s="283"/>
      <c r="M933" s="283"/>
      <c r="N933" s="283"/>
      <c r="O933" s="283"/>
      <c r="P933" s="283"/>
      <c r="Q933" s="278"/>
      <c r="R933" s="278"/>
      <c r="S933" s="278"/>
      <c r="T933" s="278"/>
      <c r="U933" s="278"/>
      <c r="V933" s="278"/>
      <c r="W933" s="278"/>
      <c r="X933" s="278"/>
      <c r="Y933" s="278"/>
      <c r="Z933" s="278"/>
      <c r="AA933" s="278"/>
      <c r="AB933" s="278"/>
      <c r="AC933" s="278"/>
    </row>
    <row r="934" ht="15.75" customHeight="1">
      <c r="A934" s="302"/>
      <c r="B934" s="301"/>
      <c r="C934" s="292"/>
      <c r="D934" s="297"/>
      <c r="E934" s="302"/>
      <c r="F934" s="310"/>
      <c r="G934" s="310"/>
      <c r="H934" s="310"/>
      <c r="I934" s="283"/>
      <c r="J934" s="283"/>
      <c r="K934" s="283"/>
      <c r="L934" s="283"/>
      <c r="M934" s="283"/>
      <c r="N934" s="283"/>
      <c r="O934" s="283"/>
      <c r="P934" s="283"/>
      <c r="Q934" s="278"/>
      <c r="R934" s="278"/>
      <c r="S934" s="278"/>
      <c r="T934" s="278"/>
      <c r="U934" s="278"/>
      <c r="V934" s="278"/>
      <c r="W934" s="278"/>
      <c r="X934" s="278"/>
      <c r="Y934" s="278"/>
      <c r="Z934" s="278"/>
      <c r="AA934" s="278"/>
      <c r="AB934" s="278"/>
      <c r="AC934" s="278"/>
    </row>
    <row r="935" ht="15.75" customHeight="1">
      <c r="A935" s="302"/>
      <c r="B935" s="301"/>
      <c r="C935" s="292"/>
      <c r="D935" s="297"/>
      <c r="E935" s="302"/>
      <c r="F935" s="310"/>
      <c r="G935" s="310"/>
      <c r="H935" s="310"/>
      <c r="I935" s="283"/>
      <c r="J935" s="283"/>
      <c r="K935" s="283"/>
      <c r="L935" s="283"/>
      <c r="M935" s="283"/>
      <c r="N935" s="283"/>
      <c r="O935" s="283"/>
      <c r="P935" s="283"/>
      <c r="Q935" s="278"/>
      <c r="R935" s="278"/>
      <c r="S935" s="278"/>
      <c r="T935" s="278"/>
      <c r="U935" s="278"/>
      <c r="V935" s="278"/>
      <c r="W935" s="278"/>
      <c r="X935" s="278"/>
      <c r="Y935" s="278"/>
      <c r="Z935" s="278"/>
      <c r="AA935" s="278"/>
      <c r="AB935" s="278"/>
      <c r="AC935" s="278"/>
    </row>
    <row r="936" ht="15.75" customHeight="1">
      <c r="A936" s="302"/>
      <c r="B936" s="301"/>
      <c r="C936" s="292"/>
      <c r="D936" s="297"/>
      <c r="E936" s="302"/>
      <c r="F936" s="310"/>
      <c r="G936" s="310"/>
      <c r="H936" s="310"/>
      <c r="I936" s="283"/>
      <c r="J936" s="283"/>
      <c r="K936" s="283"/>
      <c r="L936" s="283"/>
      <c r="M936" s="283"/>
      <c r="N936" s="283"/>
      <c r="O936" s="283"/>
      <c r="P936" s="283"/>
      <c r="Q936" s="278"/>
      <c r="R936" s="278"/>
      <c r="S936" s="278"/>
      <c r="T936" s="278"/>
      <c r="U936" s="278"/>
      <c r="V936" s="278"/>
      <c r="W936" s="278"/>
      <c r="X936" s="278"/>
      <c r="Y936" s="278"/>
      <c r="Z936" s="278"/>
      <c r="AA936" s="278"/>
      <c r="AB936" s="278"/>
      <c r="AC936" s="278"/>
    </row>
    <row r="937" ht="15.75" customHeight="1">
      <c r="A937" s="302"/>
      <c r="B937" s="301"/>
      <c r="C937" s="292"/>
      <c r="D937" s="297"/>
      <c r="E937" s="302"/>
      <c r="F937" s="310"/>
      <c r="G937" s="310"/>
      <c r="H937" s="310"/>
      <c r="I937" s="283"/>
      <c r="J937" s="283"/>
      <c r="K937" s="283"/>
      <c r="L937" s="283"/>
      <c r="M937" s="283"/>
      <c r="N937" s="283"/>
      <c r="O937" s="283"/>
      <c r="P937" s="283"/>
      <c r="Q937" s="278"/>
      <c r="R937" s="278"/>
      <c r="S937" s="278"/>
      <c r="T937" s="278"/>
      <c r="U937" s="278"/>
      <c r="V937" s="278"/>
      <c r="W937" s="278"/>
      <c r="X937" s="278"/>
      <c r="Y937" s="278"/>
      <c r="Z937" s="278"/>
      <c r="AA937" s="278"/>
      <c r="AB937" s="278"/>
      <c r="AC937" s="278"/>
    </row>
    <row r="938" ht="15.75" customHeight="1">
      <c r="A938" s="302"/>
      <c r="B938" s="301"/>
      <c r="C938" s="292"/>
      <c r="D938" s="297"/>
      <c r="E938" s="302"/>
      <c r="F938" s="310"/>
      <c r="G938" s="310"/>
      <c r="H938" s="310"/>
      <c r="I938" s="283"/>
      <c r="J938" s="283"/>
      <c r="K938" s="283"/>
      <c r="L938" s="283"/>
      <c r="M938" s="283"/>
      <c r="N938" s="283"/>
      <c r="O938" s="283"/>
      <c r="P938" s="283"/>
      <c r="Q938" s="278"/>
      <c r="R938" s="278"/>
      <c r="S938" s="278"/>
      <c r="T938" s="278"/>
      <c r="U938" s="278"/>
      <c r="V938" s="278"/>
      <c r="W938" s="278"/>
      <c r="X938" s="278"/>
      <c r="Y938" s="278"/>
      <c r="Z938" s="278"/>
      <c r="AA938" s="278"/>
      <c r="AB938" s="278"/>
      <c r="AC938" s="278"/>
    </row>
    <row r="939" ht="15.75" customHeight="1">
      <c r="A939" s="302"/>
      <c r="B939" s="301"/>
      <c r="C939" s="292"/>
      <c r="D939" s="297"/>
      <c r="E939" s="302"/>
      <c r="F939" s="310"/>
      <c r="G939" s="310"/>
      <c r="H939" s="310"/>
      <c r="I939" s="283"/>
      <c r="J939" s="283"/>
      <c r="K939" s="283"/>
      <c r="L939" s="283"/>
      <c r="M939" s="283"/>
      <c r="N939" s="283"/>
      <c r="O939" s="283"/>
      <c r="P939" s="283"/>
      <c r="Q939" s="278"/>
      <c r="R939" s="278"/>
      <c r="S939" s="278"/>
      <c r="T939" s="278"/>
      <c r="U939" s="278"/>
      <c r="V939" s="278"/>
      <c r="W939" s="278"/>
      <c r="X939" s="278"/>
      <c r="Y939" s="278"/>
      <c r="Z939" s="278"/>
      <c r="AA939" s="278"/>
      <c r="AB939" s="278"/>
      <c r="AC939" s="278"/>
    </row>
    <row r="940" ht="15.75" customHeight="1">
      <c r="A940" s="302"/>
      <c r="B940" s="301"/>
      <c r="C940" s="292"/>
      <c r="D940" s="297"/>
      <c r="E940" s="302"/>
      <c r="F940" s="310"/>
      <c r="G940" s="310"/>
      <c r="H940" s="310"/>
      <c r="I940" s="283"/>
      <c r="J940" s="283"/>
      <c r="K940" s="283"/>
      <c r="L940" s="283"/>
      <c r="M940" s="283"/>
      <c r="N940" s="283"/>
      <c r="O940" s="283"/>
      <c r="P940" s="283"/>
      <c r="Q940" s="278"/>
      <c r="R940" s="278"/>
      <c r="S940" s="278"/>
      <c r="T940" s="278"/>
      <c r="U940" s="278"/>
      <c r="V940" s="278"/>
      <c r="W940" s="278"/>
      <c r="X940" s="278"/>
      <c r="Y940" s="278"/>
      <c r="Z940" s="278"/>
      <c r="AA940" s="278"/>
      <c r="AB940" s="278"/>
      <c r="AC940" s="278"/>
    </row>
    <row r="941" ht="15.75" customHeight="1">
      <c r="A941" s="302"/>
      <c r="B941" s="301"/>
      <c r="C941" s="292"/>
      <c r="D941" s="297"/>
      <c r="E941" s="302"/>
      <c r="F941" s="310"/>
      <c r="G941" s="310"/>
      <c r="H941" s="310"/>
      <c r="I941" s="283"/>
      <c r="J941" s="283"/>
      <c r="K941" s="283"/>
      <c r="L941" s="283"/>
      <c r="M941" s="283"/>
      <c r="N941" s="283"/>
      <c r="O941" s="283"/>
      <c r="P941" s="283"/>
      <c r="Q941" s="278"/>
      <c r="R941" s="278"/>
      <c r="S941" s="278"/>
      <c r="T941" s="278"/>
      <c r="U941" s="278"/>
      <c r="V941" s="278"/>
      <c r="W941" s="278"/>
      <c r="X941" s="278"/>
      <c r="Y941" s="278"/>
      <c r="Z941" s="278"/>
      <c r="AA941" s="278"/>
      <c r="AB941" s="278"/>
      <c r="AC941" s="278"/>
    </row>
    <row r="942" ht="15.75" customHeight="1">
      <c r="A942" s="302"/>
      <c r="B942" s="301"/>
      <c r="C942" s="292"/>
      <c r="D942" s="297"/>
      <c r="E942" s="302"/>
      <c r="F942" s="310"/>
      <c r="G942" s="310"/>
      <c r="H942" s="310"/>
      <c r="I942" s="283"/>
      <c r="J942" s="283"/>
      <c r="K942" s="283"/>
      <c r="L942" s="283"/>
      <c r="M942" s="283"/>
      <c r="N942" s="283"/>
      <c r="O942" s="283"/>
      <c r="P942" s="283"/>
      <c r="Q942" s="278"/>
      <c r="R942" s="278"/>
      <c r="S942" s="278"/>
      <c r="T942" s="278"/>
      <c r="U942" s="278"/>
      <c r="V942" s="278"/>
      <c r="W942" s="278"/>
      <c r="X942" s="278"/>
      <c r="Y942" s="278"/>
      <c r="Z942" s="278"/>
      <c r="AA942" s="278"/>
      <c r="AB942" s="278"/>
      <c r="AC942" s="278"/>
    </row>
    <row r="943" ht="15.75" customHeight="1">
      <c r="A943" s="302"/>
      <c r="B943" s="301"/>
      <c r="C943" s="292"/>
      <c r="D943" s="297"/>
      <c r="E943" s="302"/>
      <c r="F943" s="310"/>
      <c r="G943" s="310"/>
      <c r="H943" s="310"/>
      <c r="I943" s="283"/>
      <c r="J943" s="283"/>
      <c r="K943" s="283"/>
      <c r="L943" s="283"/>
      <c r="M943" s="283"/>
      <c r="N943" s="283"/>
      <c r="O943" s="283"/>
      <c r="P943" s="283"/>
      <c r="Q943" s="278"/>
      <c r="R943" s="278"/>
      <c r="S943" s="278"/>
      <c r="T943" s="278"/>
      <c r="U943" s="278"/>
      <c r="V943" s="278"/>
      <c r="W943" s="278"/>
      <c r="X943" s="278"/>
      <c r="Y943" s="278"/>
      <c r="Z943" s="278"/>
      <c r="AA943" s="278"/>
      <c r="AB943" s="278"/>
      <c r="AC943" s="278"/>
    </row>
    <row r="944" ht="15.75" customHeight="1">
      <c r="A944" s="302"/>
      <c r="B944" s="301"/>
      <c r="C944" s="292"/>
      <c r="D944" s="297"/>
      <c r="E944" s="302"/>
      <c r="F944" s="310"/>
      <c r="G944" s="310"/>
      <c r="H944" s="310"/>
      <c r="I944" s="283"/>
      <c r="J944" s="283"/>
      <c r="K944" s="283"/>
      <c r="L944" s="283"/>
      <c r="M944" s="283"/>
      <c r="N944" s="283"/>
      <c r="O944" s="283"/>
      <c r="P944" s="283"/>
      <c r="Q944" s="278"/>
      <c r="R944" s="278"/>
      <c r="S944" s="278"/>
      <c r="T944" s="278"/>
      <c r="U944" s="278"/>
      <c r="V944" s="278"/>
      <c r="W944" s="278"/>
      <c r="X944" s="278"/>
      <c r="Y944" s="278"/>
      <c r="Z944" s="278"/>
      <c r="AA944" s="278"/>
      <c r="AB944" s="278"/>
      <c r="AC944" s="278"/>
    </row>
    <row r="945" ht="15.75" customHeight="1">
      <c r="A945" s="302"/>
      <c r="B945" s="301"/>
      <c r="C945" s="292"/>
      <c r="D945" s="297"/>
      <c r="E945" s="302"/>
      <c r="F945" s="310"/>
      <c r="G945" s="310"/>
      <c r="H945" s="310"/>
      <c r="I945" s="283"/>
      <c r="J945" s="283"/>
      <c r="K945" s="283"/>
      <c r="L945" s="283"/>
      <c r="M945" s="283"/>
      <c r="N945" s="283"/>
      <c r="O945" s="283"/>
      <c r="P945" s="283"/>
      <c r="Q945" s="278"/>
      <c r="R945" s="278"/>
      <c r="S945" s="278"/>
      <c r="T945" s="278"/>
      <c r="U945" s="278"/>
      <c r="V945" s="278"/>
      <c r="W945" s="278"/>
      <c r="X945" s="278"/>
      <c r="Y945" s="278"/>
      <c r="Z945" s="278"/>
      <c r="AA945" s="278"/>
      <c r="AB945" s="278"/>
      <c r="AC945" s="278"/>
    </row>
    <row r="946" ht="15.75" customHeight="1">
      <c r="A946" s="302"/>
      <c r="B946" s="301"/>
      <c r="C946" s="292"/>
      <c r="D946" s="297"/>
      <c r="E946" s="302"/>
      <c r="F946" s="310"/>
      <c r="G946" s="310"/>
      <c r="H946" s="310"/>
      <c r="I946" s="283"/>
      <c r="J946" s="283"/>
      <c r="K946" s="283"/>
      <c r="L946" s="283"/>
      <c r="M946" s="283"/>
      <c r="N946" s="283"/>
      <c r="O946" s="283"/>
      <c r="P946" s="283"/>
      <c r="Q946" s="278"/>
      <c r="R946" s="278"/>
      <c r="S946" s="278"/>
      <c r="T946" s="278"/>
      <c r="U946" s="278"/>
      <c r="V946" s="278"/>
      <c r="W946" s="278"/>
      <c r="X946" s="278"/>
      <c r="Y946" s="278"/>
      <c r="Z946" s="278"/>
      <c r="AA946" s="278"/>
      <c r="AB946" s="278"/>
      <c r="AC946" s="278"/>
    </row>
    <row r="947" ht="15.75" customHeight="1">
      <c r="A947" s="302"/>
      <c r="B947" s="301"/>
      <c r="C947" s="292"/>
      <c r="D947" s="297"/>
      <c r="E947" s="302"/>
      <c r="F947" s="310"/>
      <c r="G947" s="310"/>
      <c r="H947" s="310"/>
      <c r="I947" s="283"/>
      <c r="J947" s="283"/>
      <c r="K947" s="283"/>
      <c r="L947" s="283"/>
      <c r="M947" s="283"/>
      <c r="N947" s="283"/>
      <c r="O947" s="283"/>
      <c r="P947" s="283"/>
      <c r="Q947" s="278"/>
      <c r="R947" s="278"/>
      <c r="S947" s="278"/>
      <c r="T947" s="278"/>
      <c r="U947" s="278"/>
      <c r="V947" s="278"/>
      <c r="W947" s="278"/>
      <c r="X947" s="278"/>
      <c r="Y947" s="278"/>
      <c r="Z947" s="278"/>
      <c r="AA947" s="278"/>
      <c r="AB947" s="278"/>
      <c r="AC947" s="278"/>
    </row>
    <row r="948" ht="15.75" customHeight="1">
      <c r="A948" s="302"/>
      <c r="B948" s="301"/>
      <c r="C948" s="292"/>
      <c r="D948" s="297"/>
      <c r="E948" s="302"/>
      <c r="F948" s="310"/>
      <c r="G948" s="310"/>
      <c r="H948" s="310"/>
      <c r="I948" s="283"/>
      <c r="J948" s="283"/>
      <c r="K948" s="283"/>
      <c r="L948" s="283"/>
      <c r="M948" s="283"/>
      <c r="N948" s="283"/>
      <c r="O948" s="283"/>
      <c r="P948" s="283"/>
      <c r="Q948" s="278"/>
      <c r="R948" s="278"/>
      <c r="S948" s="278"/>
      <c r="T948" s="278"/>
      <c r="U948" s="278"/>
      <c r="V948" s="278"/>
      <c r="W948" s="278"/>
      <c r="X948" s="278"/>
      <c r="Y948" s="278"/>
      <c r="Z948" s="278"/>
      <c r="AA948" s="278"/>
      <c r="AB948" s="278"/>
      <c r="AC948" s="278"/>
    </row>
    <row r="949" ht="15.75" customHeight="1">
      <c r="A949" s="302"/>
      <c r="B949" s="301"/>
      <c r="C949" s="292"/>
      <c r="D949" s="297"/>
      <c r="E949" s="302"/>
      <c r="F949" s="310"/>
      <c r="G949" s="310"/>
      <c r="H949" s="310"/>
      <c r="I949" s="283"/>
      <c r="J949" s="283"/>
      <c r="K949" s="283"/>
      <c r="L949" s="283"/>
      <c r="M949" s="283"/>
      <c r="N949" s="283"/>
      <c r="O949" s="283"/>
      <c r="P949" s="283"/>
      <c r="Q949" s="278"/>
      <c r="R949" s="278"/>
      <c r="S949" s="278"/>
      <c r="T949" s="278"/>
      <c r="U949" s="278"/>
      <c r="V949" s="278"/>
      <c r="W949" s="278"/>
      <c r="X949" s="278"/>
      <c r="Y949" s="278"/>
      <c r="Z949" s="278"/>
      <c r="AA949" s="278"/>
      <c r="AB949" s="278"/>
      <c r="AC949" s="278"/>
    </row>
    <row r="950" ht="15.75" customHeight="1">
      <c r="A950" s="302"/>
      <c r="B950" s="301"/>
      <c r="C950" s="292"/>
      <c r="D950" s="297"/>
      <c r="E950" s="302"/>
      <c r="F950" s="310"/>
      <c r="G950" s="310"/>
      <c r="H950" s="310"/>
      <c r="I950" s="283"/>
      <c r="J950" s="283"/>
      <c r="K950" s="283"/>
      <c r="L950" s="283"/>
      <c r="M950" s="283"/>
      <c r="N950" s="283"/>
      <c r="O950" s="283"/>
      <c r="P950" s="283"/>
      <c r="Q950" s="278"/>
      <c r="R950" s="278"/>
      <c r="S950" s="278"/>
      <c r="T950" s="278"/>
      <c r="U950" s="278"/>
      <c r="V950" s="278"/>
      <c r="W950" s="278"/>
      <c r="X950" s="278"/>
      <c r="Y950" s="278"/>
      <c r="Z950" s="278"/>
      <c r="AA950" s="278"/>
      <c r="AB950" s="278"/>
      <c r="AC950" s="278"/>
    </row>
    <row r="951" ht="15.75" customHeight="1">
      <c r="A951" s="302"/>
      <c r="B951" s="301"/>
      <c r="C951" s="292"/>
      <c r="D951" s="297"/>
      <c r="E951" s="302"/>
      <c r="F951" s="310"/>
      <c r="G951" s="310"/>
      <c r="H951" s="310"/>
      <c r="I951" s="283"/>
      <c r="J951" s="283"/>
      <c r="K951" s="283"/>
      <c r="L951" s="283"/>
      <c r="M951" s="283"/>
      <c r="N951" s="283"/>
      <c r="O951" s="283"/>
      <c r="P951" s="283"/>
      <c r="Q951" s="278"/>
      <c r="R951" s="278"/>
      <c r="S951" s="278"/>
      <c r="T951" s="278"/>
      <c r="U951" s="278"/>
      <c r="V951" s="278"/>
      <c r="W951" s="278"/>
      <c r="X951" s="278"/>
      <c r="Y951" s="278"/>
      <c r="Z951" s="278"/>
      <c r="AA951" s="278"/>
      <c r="AB951" s="278"/>
      <c r="AC951" s="278"/>
    </row>
    <row r="952" ht="15.75" customHeight="1">
      <c r="A952" s="302"/>
      <c r="B952" s="301"/>
      <c r="C952" s="292"/>
      <c r="D952" s="297"/>
      <c r="E952" s="302"/>
      <c r="F952" s="310"/>
      <c r="G952" s="310"/>
      <c r="H952" s="310"/>
      <c r="I952" s="283"/>
      <c r="J952" s="283"/>
      <c r="K952" s="283"/>
      <c r="L952" s="283"/>
      <c r="M952" s="283"/>
      <c r="N952" s="283"/>
      <c r="O952" s="283"/>
      <c r="P952" s="283"/>
      <c r="Q952" s="278"/>
      <c r="R952" s="278"/>
      <c r="S952" s="278"/>
      <c r="T952" s="278"/>
      <c r="U952" s="278"/>
      <c r="V952" s="278"/>
      <c r="W952" s="278"/>
      <c r="X952" s="278"/>
      <c r="Y952" s="278"/>
      <c r="Z952" s="278"/>
      <c r="AA952" s="278"/>
      <c r="AB952" s="278"/>
      <c r="AC952" s="278"/>
    </row>
    <row r="953" ht="15.75" customHeight="1">
      <c r="A953" s="302"/>
      <c r="B953" s="301"/>
      <c r="C953" s="292"/>
      <c r="D953" s="297"/>
      <c r="E953" s="302"/>
      <c r="F953" s="310"/>
      <c r="G953" s="310"/>
      <c r="H953" s="310"/>
      <c r="I953" s="283"/>
      <c r="J953" s="283"/>
      <c r="K953" s="283"/>
      <c r="L953" s="283"/>
      <c r="M953" s="283"/>
      <c r="N953" s="283"/>
      <c r="O953" s="283"/>
      <c r="P953" s="283"/>
      <c r="Q953" s="278"/>
      <c r="R953" s="278"/>
      <c r="S953" s="278"/>
      <c r="T953" s="278"/>
      <c r="U953" s="278"/>
      <c r="V953" s="278"/>
      <c r="W953" s="278"/>
      <c r="X953" s="278"/>
      <c r="Y953" s="278"/>
      <c r="Z953" s="278"/>
      <c r="AA953" s="278"/>
      <c r="AB953" s="278"/>
      <c r="AC953" s="278"/>
    </row>
    <row r="954" ht="15.75" customHeight="1">
      <c r="A954" s="302"/>
      <c r="B954" s="301"/>
      <c r="C954" s="292"/>
      <c r="D954" s="297"/>
      <c r="E954" s="302"/>
      <c r="F954" s="310"/>
      <c r="G954" s="310"/>
      <c r="H954" s="310"/>
      <c r="I954" s="283"/>
      <c r="J954" s="283"/>
      <c r="K954" s="283"/>
      <c r="L954" s="283"/>
      <c r="M954" s="283"/>
      <c r="N954" s="283"/>
      <c r="O954" s="283"/>
      <c r="P954" s="283"/>
      <c r="Q954" s="278"/>
      <c r="R954" s="278"/>
      <c r="S954" s="278"/>
      <c r="T954" s="278"/>
      <c r="U954" s="278"/>
      <c r="V954" s="278"/>
      <c r="W954" s="278"/>
      <c r="X954" s="278"/>
      <c r="Y954" s="278"/>
      <c r="Z954" s="278"/>
      <c r="AA954" s="278"/>
      <c r="AB954" s="278"/>
      <c r="AC954" s="278"/>
    </row>
    <row r="955" ht="15.75" customHeight="1">
      <c r="A955" s="302"/>
      <c r="B955" s="301"/>
      <c r="C955" s="292"/>
      <c r="D955" s="297"/>
      <c r="E955" s="302"/>
      <c r="F955" s="310"/>
      <c r="G955" s="310"/>
      <c r="H955" s="310"/>
      <c r="I955" s="283"/>
      <c r="J955" s="283"/>
      <c r="K955" s="283"/>
      <c r="L955" s="283"/>
      <c r="M955" s="283"/>
      <c r="N955" s="283"/>
      <c r="O955" s="283"/>
      <c r="P955" s="283"/>
      <c r="Q955" s="278"/>
      <c r="R955" s="278"/>
      <c r="S955" s="278"/>
      <c r="T955" s="278"/>
      <c r="U955" s="278"/>
      <c r="V955" s="278"/>
      <c r="W955" s="278"/>
      <c r="X955" s="278"/>
      <c r="Y955" s="278"/>
      <c r="Z955" s="278"/>
      <c r="AA955" s="278"/>
      <c r="AB955" s="278"/>
      <c r="AC955" s="278"/>
    </row>
    <row r="956" ht="15.75" customHeight="1">
      <c r="A956" s="302"/>
      <c r="B956" s="301"/>
      <c r="C956" s="292"/>
      <c r="D956" s="297"/>
      <c r="E956" s="302"/>
      <c r="F956" s="310"/>
      <c r="G956" s="310"/>
      <c r="H956" s="310"/>
      <c r="I956" s="283"/>
      <c r="J956" s="283"/>
      <c r="K956" s="283"/>
      <c r="L956" s="283"/>
      <c r="M956" s="283"/>
      <c r="N956" s="283"/>
      <c r="O956" s="283"/>
      <c r="P956" s="283"/>
      <c r="Q956" s="278"/>
      <c r="R956" s="278"/>
      <c r="S956" s="278"/>
      <c r="T956" s="278"/>
      <c r="U956" s="278"/>
      <c r="V956" s="278"/>
      <c r="W956" s="278"/>
      <c r="X956" s="278"/>
      <c r="Y956" s="278"/>
      <c r="Z956" s="278"/>
      <c r="AA956" s="278"/>
      <c r="AB956" s="278"/>
      <c r="AC956" s="278"/>
    </row>
    <row r="957" ht="15.75" customHeight="1">
      <c r="A957" s="302"/>
      <c r="B957" s="301"/>
      <c r="C957" s="292"/>
      <c r="D957" s="297"/>
      <c r="E957" s="302"/>
      <c r="F957" s="310"/>
      <c r="G957" s="310"/>
      <c r="H957" s="310"/>
      <c r="I957" s="283"/>
      <c r="J957" s="283"/>
      <c r="K957" s="283"/>
      <c r="L957" s="283"/>
      <c r="M957" s="283"/>
      <c r="N957" s="283"/>
      <c r="O957" s="283"/>
      <c r="P957" s="283"/>
      <c r="Q957" s="278"/>
      <c r="R957" s="278"/>
      <c r="S957" s="278"/>
      <c r="T957" s="278"/>
      <c r="U957" s="278"/>
      <c r="V957" s="278"/>
      <c r="W957" s="278"/>
      <c r="X957" s="278"/>
      <c r="Y957" s="278"/>
      <c r="Z957" s="278"/>
      <c r="AA957" s="278"/>
      <c r="AB957" s="278"/>
      <c r="AC957" s="278"/>
    </row>
    <row r="958" ht="15.75" customHeight="1">
      <c r="A958" s="302"/>
      <c r="B958" s="301"/>
      <c r="C958" s="292"/>
      <c r="D958" s="297"/>
      <c r="E958" s="302"/>
      <c r="F958" s="310"/>
      <c r="G958" s="310"/>
      <c r="H958" s="310"/>
      <c r="I958" s="283"/>
      <c r="J958" s="283"/>
      <c r="K958" s="283"/>
      <c r="L958" s="283"/>
      <c r="M958" s="283"/>
      <c r="N958" s="283"/>
      <c r="O958" s="283"/>
      <c r="P958" s="283"/>
      <c r="Q958" s="278"/>
      <c r="R958" s="278"/>
      <c r="S958" s="278"/>
      <c r="T958" s="278"/>
      <c r="U958" s="278"/>
      <c r="V958" s="278"/>
      <c r="W958" s="278"/>
      <c r="X958" s="278"/>
      <c r="Y958" s="278"/>
      <c r="Z958" s="278"/>
      <c r="AA958" s="278"/>
      <c r="AB958" s="278"/>
      <c r="AC958" s="278"/>
    </row>
    <row r="959" ht="15.75" customHeight="1">
      <c r="A959" s="302"/>
      <c r="B959" s="301"/>
      <c r="C959" s="292"/>
      <c r="D959" s="297"/>
      <c r="E959" s="302"/>
      <c r="F959" s="310"/>
      <c r="G959" s="310"/>
      <c r="H959" s="310"/>
      <c r="I959" s="283"/>
      <c r="J959" s="283"/>
      <c r="K959" s="283"/>
      <c r="L959" s="283"/>
      <c r="M959" s="283"/>
      <c r="N959" s="283"/>
      <c r="O959" s="283"/>
      <c r="P959" s="283"/>
      <c r="Q959" s="278"/>
      <c r="R959" s="278"/>
      <c r="S959" s="278"/>
      <c r="T959" s="278"/>
      <c r="U959" s="278"/>
      <c r="V959" s="278"/>
      <c r="W959" s="278"/>
      <c r="X959" s="278"/>
      <c r="Y959" s="278"/>
      <c r="Z959" s="278"/>
      <c r="AA959" s="278"/>
      <c r="AB959" s="278"/>
      <c r="AC959" s="278"/>
    </row>
    <row r="960" ht="15.75" customHeight="1">
      <c r="A960" s="302"/>
      <c r="B960" s="301"/>
      <c r="C960" s="292"/>
      <c r="D960" s="297"/>
      <c r="E960" s="302"/>
      <c r="F960" s="310"/>
      <c r="G960" s="310"/>
      <c r="H960" s="310"/>
      <c r="I960" s="283"/>
      <c r="J960" s="283"/>
      <c r="K960" s="283"/>
      <c r="L960" s="283"/>
      <c r="M960" s="283"/>
      <c r="N960" s="283"/>
      <c r="O960" s="283"/>
      <c r="P960" s="283"/>
      <c r="Q960" s="278"/>
      <c r="R960" s="278"/>
      <c r="S960" s="278"/>
      <c r="T960" s="278"/>
      <c r="U960" s="278"/>
      <c r="V960" s="278"/>
      <c r="W960" s="278"/>
      <c r="X960" s="278"/>
      <c r="Y960" s="278"/>
      <c r="Z960" s="278"/>
      <c r="AA960" s="278"/>
      <c r="AB960" s="278"/>
      <c r="AC960" s="278"/>
    </row>
    <row r="961" ht="15.75" customHeight="1">
      <c r="A961" s="302"/>
      <c r="B961" s="301"/>
      <c r="C961" s="292"/>
      <c r="D961" s="297"/>
      <c r="E961" s="302"/>
      <c r="F961" s="310"/>
      <c r="G961" s="310"/>
      <c r="H961" s="310"/>
      <c r="I961" s="283"/>
      <c r="J961" s="283"/>
      <c r="K961" s="283"/>
      <c r="L961" s="283"/>
      <c r="M961" s="283"/>
      <c r="N961" s="283"/>
      <c r="O961" s="283"/>
      <c r="P961" s="283"/>
      <c r="Q961" s="278"/>
      <c r="R961" s="278"/>
      <c r="S961" s="278"/>
      <c r="T961" s="278"/>
      <c r="U961" s="278"/>
      <c r="V961" s="278"/>
      <c r="W961" s="278"/>
      <c r="X961" s="278"/>
      <c r="Y961" s="278"/>
      <c r="Z961" s="278"/>
      <c r="AA961" s="278"/>
      <c r="AB961" s="278"/>
      <c r="AC961" s="278"/>
    </row>
    <row r="962" ht="15.75" customHeight="1">
      <c r="A962" s="302"/>
      <c r="B962" s="301"/>
      <c r="C962" s="292"/>
      <c r="D962" s="297"/>
      <c r="E962" s="302"/>
      <c r="F962" s="310"/>
      <c r="G962" s="310"/>
      <c r="H962" s="310"/>
      <c r="I962" s="283"/>
      <c r="J962" s="283"/>
      <c r="K962" s="283"/>
      <c r="L962" s="283"/>
      <c r="M962" s="283"/>
      <c r="N962" s="283"/>
      <c r="O962" s="283"/>
      <c r="P962" s="283"/>
      <c r="Q962" s="278"/>
      <c r="R962" s="278"/>
      <c r="S962" s="278"/>
      <c r="T962" s="278"/>
      <c r="U962" s="278"/>
      <c r="V962" s="278"/>
      <c r="W962" s="278"/>
      <c r="X962" s="278"/>
      <c r="Y962" s="278"/>
      <c r="Z962" s="278"/>
      <c r="AA962" s="278"/>
      <c r="AB962" s="278"/>
      <c r="AC962" s="278"/>
    </row>
    <row r="963" ht="15.75" customHeight="1">
      <c r="A963" s="302"/>
      <c r="B963" s="301"/>
      <c r="C963" s="292"/>
      <c r="D963" s="297"/>
      <c r="E963" s="302"/>
      <c r="F963" s="310"/>
      <c r="G963" s="310"/>
      <c r="H963" s="310"/>
      <c r="I963" s="283"/>
      <c r="J963" s="283"/>
      <c r="K963" s="283"/>
      <c r="L963" s="283"/>
      <c r="M963" s="283"/>
      <c r="N963" s="283"/>
      <c r="O963" s="283"/>
      <c r="P963" s="283"/>
      <c r="Q963" s="278"/>
      <c r="R963" s="278"/>
      <c r="S963" s="278"/>
      <c r="T963" s="278"/>
      <c r="U963" s="278"/>
      <c r="V963" s="278"/>
      <c r="W963" s="278"/>
      <c r="X963" s="278"/>
      <c r="Y963" s="278"/>
      <c r="Z963" s="278"/>
      <c r="AA963" s="278"/>
      <c r="AB963" s="278"/>
      <c r="AC963" s="278"/>
    </row>
    <row r="964" ht="15.75" customHeight="1">
      <c r="A964" s="302"/>
      <c r="B964" s="301"/>
      <c r="C964" s="292"/>
      <c r="D964" s="297"/>
      <c r="E964" s="302"/>
      <c r="F964" s="310"/>
      <c r="G964" s="310"/>
      <c r="H964" s="310"/>
      <c r="I964" s="283"/>
      <c r="J964" s="283"/>
      <c r="K964" s="283"/>
      <c r="L964" s="283"/>
      <c r="M964" s="283"/>
      <c r="N964" s="283"/>
      <c r="O964" s="283"/>
      <c r="P964" s="283"/>
      <c r="Q964" s="278"/>
      <c r="R964" s="278"/>
      <c r="S964" s="278"/>
      <c r="T964" s="278"/>
      <c r="U964" s="278"/>
      <c r="V964" s="278"/>
      <c r="W964" s="278"/>
      <c r="X964" s="278"/>
      <c r="Y964" s="278"/>
      <c r="Z964" s="278"/>
      <c r="AA964" s="278"/>
      <c r="AB964" s="278"/>
      <c r="AC964" s="278"/>
    </row>
    <row r="965" ht="15.75" customHeight="1">
      <c r="A965" s="302"/>
      <c r="B965" s="301"/>
      <c r="C965" s="292"/>
      <c r="D965" s="297"/>
      <c r="E965" s="302"/>
      <c r="F965" s="310"/>
      <c r="G965" s="310"/>
      <c r="H965" s="310"/>
      <c r="I965" s="283"/>
      <c r="J965" s="283"/>
      <c r="K965" s="283"/>
      <c r="L965" s="283"/>
      <c r="M965" s="283"/>
      <c r="N965" s="283"/>
      <c r="O965" s="283"/>
      <c r="P965" s="283"/>
      <c r="Q965" s="278"/>
      <c r="R965" s="278"/>
      <c r="S965" s="278"/>
      <c r="T965" s="278"/>
      <c r="U965" s="278"/>
      <c r="V965" s="278"/>
      <c r="W965" s="278"/>
      <c r="X965" s="278"/>
      <c r="Y965" s="278"/>
      <c r="Z965" s="278"/>
      <c r="AA965" s="278"/>
      <c r="AB965" s="278"/>
      <c r="AC965" s="278"/>
    </row>
    <row r="966" ht="15.75" customHeight="1">
      <c r="A966" s="302"/>
      <c r="B966" s="301"/>
      <c r="C966" s="292"/>
      <c r="D966" s="297"/>
      <c r="E966" s="302"/>
      <c r="F966" s="310"/>
      <c r="G966" s="310"/>
      <c r="H966" s="310"/>
      <c r="I966" s="283"/>
      <c r="J966" s="283"/>
      <c r="K966" s="283"/>
      <c r="L966" s="283"/>
      <c r="M966" s="283"/>
      <c r="N966" s="283"/>
      <c r="O966" s="283"/>
      <c r="P966" s="283"/>
      <c r="Q966" s="278"/>
      <c r="R966" s="278"/>
      <c r="S966" s="278"/>
      <c r="T966" s="278"/>
      <c r="U966" s="278"/>
      <c r="V966" s="278"/>
      <c r="W966" s="278"/>
      <c r="X966" s="278"/>
      <c r="Y966" s="278"/>
      <c r="Z966" s="278"/>
      <c r="AA966" s="278"/>
      <c r="AB966" s="278"/>
      <c r="AC966" s="278"/>
    </row>
    <row r="967" ht="15.75" customHeight="1">
      <c r="A967" s="302"/>
      <c r="B967" s="301"/>
      <c r="C967" s="292"/>
      <c r="D967" s="297"/>
      <c r="E967" s="302"/>
      <c r="F967" s="310"/>
      <c r="G967" s="310"/>
      <c r="H967" s="310"/>
      <c r="I967" s="283"/>
      <c r="J967" s="283"/>
      <c r="K967" s="283"/>
      <c r="L967" s="283"/>
      <c r="M967" s="283"/>
      <c r="N967" s="283"/>
      <c r="O967" s="283"/>
      <c r="P967" s="283"/>
      <c r="Q967" s="278"/>
      <c r="R967" s="278"/>
      <c r="S967" s="278"/>
      <c r="T967" s="278"/>
      <c r="U967" s="278"/>
      <c r="V967" s="278"/>
      <c r="W967" s="278"/>
      <c r="X967" s="278"/>
      <c r="Y967" s="278"/>
      <c r="Z967" s="278"/>
      <c r="AA967" s="278"/>
      <c r="AB967" s="278"/>
      <c r="AC967" s="278"/>
    </row>
    <row r="968" ht="15.75" customHeight="1">
      <c r="A968" s="302"/>
      <c r="B968" s="301"/>
      <c r="C968" s="292"/>
      <c r="D968" s="297"/>
      <c r="E968" s="302"/>
      <c r="F968" s="310"/>
      <c r="G968" s="310"/>
      <c r="H968" s="310"/>
      <c r="I968" s="283"/>
      <c r="J968" s="283"/>
      <c r="K968" s="283"/>
      <c r="L968" s="283"/>
      <c r="M968" s="283"/>
      <c r="N968" s="283"/>
      <c r="O968" s="283"/>
      <c r="P968" s="283"/>
      <c r="Q968" s="278"/>
      <c r="R968" s="278"/>
      <c r="S968" s="278"/>
      <c r="T968" s="278"/>
      <c r="U968" s="278"/>
      <c r="V968" s="278"/>
      <c r="W968" s="278"/>
      <c r="X968" s="278"/>
      <c r="Y968" s="278"/>
      <c r="Z968" s="278"/>
      <c r="AA968" s="278"/>
      <c r="AB968" s="278"/>
      <c r="AC968" s="278"/>
    </row>
    <row r="969" ht="15.75" customHeight="1">
      <c r="A969" s="302"/>
      <c r="B969" s="301"/>
      <c r="C969" s="292"/>
      <c r="D969" s="297"/>
      <c r="E969" s="302"/>
      <c r="F969" s="310"/>
      <c r="G969" s="310"/>
      <c r="H969" s="310"/>
      <c r="I969" s="283"/>
      <c r="J969" s="283"/>
      <c r="K969" s="283"/>
      <c r="L969" s="283"/>
      <c r="M969" s="283"/>
      <c r="N969" s="283"/>
      <c r="O969" s="283"/>
      <c r="P969" s="283"/>
      <c r="Q969" s="278"/>
      <c r="R969" s="278"/>
      <c r="S969" s="278"/>
      <c r="T969" s="278"/>
      <c r="U969" s="278"/>
      <c r="V969" s="278"/>
      <c r="W969" s="278"/>
      <c r="X969" s="278"/>
      <c r="Y969" s="278"/>
      <c r="Z969" s="278"/>
      <c r="AA969" s="278"/>
      <c r="AB969" s="278"/>
      <c r="AC969" s="278"/>
    </row>
    <row r="970" ht="15.75" customHeight="1">
      <c r="A970" s="302"/>
      <c r="B970" s="301"/>
      <c r="C970" s="292"/>
      <c r="D970" s="297"/>
      <c r="E970" s="302"/>
      <c r="F970" s="310"/>
      <c r="G970" s="310"/>
      <c r="H970" s="310"/>
      <c r="I970" s="283"/>
      <c r="J970" s="283"/>
      <c r="K970" s="283"/>
      <c r="L970" s="283"/>
      <c r="M970" s="283"/>
      <c r="N970" s="283"/>
      <c r="O970" s="283"/>
      <c r="P970" s="283"/>
      <c r="Q970" s="278"/>
      <c r="R970" s="278"/>
      <c r="S970" s="278"/>
      <c r="T970" s="278"/>
      <c r="U970" s="278"/>
      <c r="V970" s="278"/>
      <c r="W970" s="278"/>
      <c r="X970" s="278"/>
      <c r="Y970" s="278"/>
      <c r="Z970" s="278"/>
      <c r="AA970" s="278"/>
      <c r="AB970" s="278"/>
      <c r="AC970" s="278"/>
    </row>
    <row r="971" ht="15.75" customHeight="1">
      <c r="A971" s="302"/>
      <c r="B971" s="301"/>
      <c r="C971" s="292"/>
      <c r="D971" s="297"/>
      <c r="E971" s="302"/>
      <c r="F971" s="310"/>
      <c r="G971" s="310"/>
      <c r="H971" s="310"/>
      <c r="I971" s="283"/>
      <c r="J971" s="283"/>
      <c r="K971" s="283"/>
      <c r="L971" s="283"/>
      <c r="M971" s="283"/>
      <c r="N971" s="283"/>
      <c r="O971" s="283"/>
      <c r="P971" s="283"/>
      <c r="Q971" s="278"/>
      <c r="R971" s="278"/>
      <c r="S971" s="278"/>
      <c r="T971" s="278"/>
      <c r="U971" s="278"/>
      <c r="V971" s="278"/>
      <c r="W971" s="278"/>
      <c r="X971" s="278"/>
      <c r="Y971" s="278"/>
      <c r="Z971" s="278"/>
      <c r="AA971" s="278"/>
      <c r="AB971" s="278"/>
      <c r="AC971" s="278"/>
    </row>
    <row r="972" ht="15.75" customHeight="1">
      <c r="A972" s="302"/>
      <c r="B972" s="301"/>
      <c r="C972" s="292"/>
      <c r="D972" s="297"/>
      <c r="E972" s="302"/>
      <c r="F972" s="310"/>
      <c r="G972" s="310"/>
      <c r="H972" s="310"/>
      <c r="I972" s="283"/>
      <c r="J972" s="283"/>
      <c r="K972" s="283"/>
      <c r="L972" s="283"/>
      <c r="M972" s="283"/>
      <c r="N972" s="283"/>
      <c r="O972" s="283"/>
      <c r="P972" s="283"/>
      <c r="Q972" s="278"/>
      <c r="R972" s="278"/>
      <c r="S972" s="278"/>
      <c r="T972" s="278"/>
      <c r="U972" s="278"/>
      <c r="V972" s="278"/>
      <c r="W972" s="278"/>
      <c r="X972" s="278"/>
      <c r="Y972" s="278"/>
      <c r="Z972" s="278"/>
      <c r="AA972" s="278"/>
      <c r="AB972" s="278"/>
      <c r="AC972" s="278"/>
    </row>
    <row r="973" ht="15.75" customHeight="1">
      <c r="A973" s="302"/>
      <c r="B973" s="301"/>
      <c r="C973" s="292"/>
      <c r="D973" s="297"/>
      <c r="E973" s="302"/>
      <c r="F973" s="310"/>
      <c r="G973" s="310"/>
      <c r="H973" s="310"/>
      <c r="I973" s="283"/>
      <c r="J973" s="283"/>
      <c r="K973" s="283"/>
      <c r="L973" s="283"/>
      <c r="M973" s="283"/>
      <c r="N973" s="283"/>
      <c r="O973" s="283"/>
      <c r="P973" s="283"/>
      <c r="Q973" s="278"/>
      <c r="R973" s="278"/>
      <c r="S973" s="278"/>
      <c r="T973" s="278"/>
      <c r="U973" s="278"/>
      <c r="V973" s="278"/>
      <c r="W973" s="278"/>
      <c r="X973" s="278"/>
      <c r="Y973" s="278"/>
      <c r="Z973" s="278"/>
      <c r="AA973" s="278"/>
      <c r="AB973" s="278"/>
      <c r="AC973" s="278"/>
    </row>
    <row r="974" ht="15.75" customHeight="1">
      <c r="A974" s="302"/>
      <c r="B974" s="301"/>
      <c r="C974" s="292"/>
      <c r="D974" s="297"/>
      <c r="E974" s="302"/>
      <c r="F974" s="310"/>
      <c r="G974" s="310"/>
      <c r="H974" s="310"/>
      <c r="I974" s="283"/>
      <c r="J974" s="283"/>
      <c r="K974" s="283"/>
      <c r="L974" s="283"/>
      <c r="M974" s="283"/>
      <c r="N974" s="283"/>
      <c r="O974" s="283"/>
      <c r="P974" s="283"/>
      <c r="Q974" s="278"/>
      <c r="R974" s="278"/>
      <c r="S974" s="278"/>
      <c r="T974" s="278"/>
      <c r="U974" s="278"/>
      <c r="V974" s="278"/>
      <c r="W974" s="278"/>
      <c r="X974" s="278"/>
      <c r="Y974" s="278"/>
      <c r="Z974" s="278"/>
      <c r="AA974" s="278"/>
      <c r="AB974" s="278"/>
      <c r="AC974" s="278"/>
    </row>
    <row r="975" ht="15.75" customHeight="1">
      <c r="A975" s="302"/>
      <c r="B975" s="301"/>
      <c r="C975" s="292"/>
      <c r="D975" s="297"/>
      <c r="E975" s="302"/>
      <c r="F975" s="310"/>
      <c r="G975" s="310"/>
      <c r="H975" s="310"/>
      <c r="I975" s="283"/>
      <c r="J975" s="283"/>
      <c r="K975" s="283"/>
      <c r="L975" s="283"/>
      <c r="M975" s="283"/>
      <c r="N975" s="283"/>
      <c r="O975" s="283"/>
      <c r="P975" s="283"/>
      <c r="Q975" s="278"/>
      <c r="R975" s="278"/>
      <c r="S975" s="278"/>
      <c r="T975" s="278"/>
      <c r="U975" s="278"/>
      <c r="V975" s="278"/>
      <c r="W975" s="278"/>
      <c r="X975" s="278"/>
      <c r="Y975" s="278"/>
      <c r="Z975" s="278"/>
      <c r="AA975" s="278"/>
      <c r="AB975" s="278"/>
      <c r="AC975" s="278"/>
    </row>
    <row r="976" ht="15.75" customHeight="1">
      <c r="A976" s="302"/>
      <c r="B976" s="301"/>
      <c r="C976" s="292"/>
      <c r="D976" s="297"/>
      <c r="E976" s="302"/>
      <c r="F976" s="310"/>
      <c r="G976" s="310"/>
      <c r="H976" s="310"/>
      <c r="I976" s="283"/>
      <c r="J976" s="283"/>
      <c r="K976" s="283"/>
      <c r="L976" s="283"/>
      <c r="M976" s="283"/>
      <c r="N976" s="283"/>
      <c r="O976" s="283"/>
      <c r="P976" s="283"/>
      <c r="Q976" s="278"/>
      <c r="R976" s="278"/>
      <c r="S976" s="278"/>
      <c r="T976" s="278"/>
      <c r="U976" s="278"/>
      <c r="V976" s="278"/>
      <c r="W976" s="278"/>
      <c r="X976" s="278"/>
      <c r="Y976" s="278"/>
      <c r="Z976" s="278"/>
      <c r="AA976" s="278"/>
      <c r="AB976" s="278"/>
      <c r="AC976" s="278"/>
    </row>
    <row r="977" ht="15.75" customHeight="1">
      <c r="A977" s="302"/>
      <c r="B977" s="301"/>
      <c r="C977" s="292"/>
      <c r="D977" s="297"/>
      <c r="E977" s="302"/>
      <c r="F977" s="310"/>
      <c r="G977" s="310"/>
      <c r="H977" s="310"/>
      <c r="I977" s="283"/>
      <c r="J977" s="283"/>
      <c r="K977" s="283"/>
      <c r="L977" s="283"/>
      <c r="M977" s="283"/>
      <c r="N977" s="283"/>
      <c r="O977" s="283"/>
      <c r="P977" s="283"/>
      <c r="Q977" s="278"/>
      <c r="R977" s="278"/>
      <c r="S977" s="278"/>
      <c r="T977" s="278"/>
      <c r="U977" s="278"/>
      <c r="V977" s="278"/>
      <c r="W977" s="278"/>
      <c r="X977" s="278"/>
      <c r="Y977" s="278"/>
      <c r="Z977" s="278"/>
      <c r="AA977" s="278"/>
      <c r="AB977" s="278"/>
      <c r="AC977" s="278"/>
    </row>
    <row r="978" ht="15.75" customHeight="1">
      <c r="A978" s="302"/>
      <c r="B978" s="301"/>
      <c r="C978" s="292"/>
      <c r="D978" s="297"/>
      <c r="E978" s="302"/>
      <c r="F978" s="310"/>
      <c r="G978" s="310"/>
      <c r="H978" s="310"/>
      <c r="I978" s="283"/>
      <c r="J978" s="283"/>
      <c r="K978" s="283"/>
      <c r="L978" s="283"/>
      <c r="M978" s="283"/>
      <c r="N978" s="283"/>
      <c r="O978" s="283"/>
      <c r="P978" s="283"/>
      <c r="Q978" s="278"/>
      <c r="R978" s="278"/>
      <c r="S978" s="278"/>
      <c r="T978" s="278"/>
      <c r="U978" s="278"/>
      <c r="V978" s="278"/>
      <c r="W978" s="278"/>
      <c r="X978" s="278"/>
      <c r="Y978" s="278"/>
      <c r="Z978" s="278"/>
      <c r="AA978" s="278"/>
      <c r="AB978" s="278"/>
      <c r="AC978" s="278"/>
    </row>
    <row r="979" ht="15.75" customHeight="1">
      <c r="A979" s="302"/>
      <c r="B979" s="301"/>
      <c r="C979" s="292"/>
      <c r="D979" s="297"/>
      <c r="E979" s="302"/>
      <c r="F979" s="310"/>
      <c r="G979" s="310"/>
      <c r="H979" s="310"/>
      <c r="I979" s="283"/>
      <c r="J979" s="283"/>
      <c r="K979" s="283"/>
      <c r="L979" s="283"/>
      <c r="M979" s="283"/>
      <c r="N979" s="283"/>
      <c r="O979" s="283"/>
      <c r="P979" s="283"/>
      <c r="Q979" s="278"/>
      <c r="R979" s="278"/>
      <c r="S979" s="278"/>
      <c r="T979" s="278"/>
      <c r="U979" s="278"/>
      <c r="V979" s="278"/>
      <c r="W979" s="278"/>
      <c r="X979" s="278"/>
      <c r="Y979" s="278"/>
      <c r="Z979" s="278"/>
      <c r="AA979" s="278"/>
      <c r="AB979" s="278"/>
      <c r="AC979" s="278"/>
    </row>
    <row r="980" ht="15.75" customHeight="1">
      <c r="A980" s="302"/>
      <c r="B980" s="301"/>
      <c r="C980" s="292"/>
      <c r="D980" s="297"/>
      <c r="E980" s="302"/>
      <c r="F980" s="310"/>
      <c r="G980" s="310"/>
      <c r="H980" s="310"/>
      <c r="I980" s="283"/>
      <c r="J980" s="283"/>
      <c r="K980" s="283"/>
      <c r="L980" s="283"/>
      <c r="M980" s="283"/>
      <c r="N980" s="283"/>
      <c r="O980" s="283"/>
      <c r="P980" s="283"/>
      <c r="Q980" s="278"/>
      <c r="R980" s="278"/>
      <c r="S980" s="278"/>
      <c r="T980" s="278"/>
      <c r="U980" s="278"/>
      <c r="V980" s="278"/>
      <c r="W980" s="278"/>
      <c r="X980" s="278"/>
      <c r="Y980" s="278"/>
      <c r="Z980" s="278"/>
      <c r="AA980" s="278"/>
      <c r="AB980" s="278"/>
      <c r="AC980" s="278"/>
    </row>
    <row r="981" ht="15.75" customHeight="1">
      <c r="A981" s="302"/>
      <c r="B981" s="301"/>
      <c r="C981" s="292"/>
      <c r="D981" s="297"/>
      <c r="E981" s="302"/>
      <c r="F981" s="310"/>
      <c r="G981" s="310"/>
      <c r="H981" s="310"/>
      <c r="I981" s="283"/>
      <c r="J981" s="283"/>
      <c r="K981" s="283"/>
      <c r="L981" s="283"/>
      <c r="M981" s="283"/>
      <c r="N981" s="283"/>
      <c r="O981" s="283"/>
      <c r="P981" s="283"/>
      <c r="Q981" s="278"/>
      <c r="R981" s="278"/>
      <c r="S981" s="278"/>
      <c r="T981" s="278"/>
      <c r="U981" s="278"/>
      <c r="V981" s="278"/>
      <c r="W981" s="278"/>
      <c r="X981" s="278"/>
      <c r="Y981" s="278"/>
      <c r="Z981" s="278"/>
      <c r="AA981" s="278"/>
      <c r="AB981" s="278"/>
      <c r="AC981" s="278"/>
    </row>
    <row r="982" ht="15.75" customHeight="1">
      <c r="A982" s="302"/>
      <c r="B982" s="301"/>
      <c r="C982" s="292"/>
      <c r="D982" s="297"/>
      <c r="E982" s="302"/>
      <c r="F982" s="310"/>
      <c r="G982" s="310"/>
      <c r="H982" s="310"/>
      <c r="I982" s="283"/>
      <c r="J982" s="283"/>
      <c r="K982" s="283"/>
      <c r="L982" s="283"/>
      <c r="M982" s="283"/>
      <c r="N982" s="283"/>
      <c r="O982" s="283"/>
      <c r="P982" s="283"/>
      <c r="Q982" s="278"/>
      <c r="R982" s="278"/>
      <c r="S982" s="278"/>
      <c r="T982" s="278"/>
      <c r="U982" s="278"/>
      <c r="V982" s="278"/>
      <c r="W982" s="278"/>
      <c r="X982" s="278"/>
      <c r="Y982" s="278"/>
      <c r="Z982" s="278"/>
      <c r="AA982" s="278"/>
      <c r="AB982" s="278"/>
      <c r="AC982" s="278"/>
    </row>
    <row r="983" ht="15.75" customHeight="1">
      <c r="A983" s="302"/>
      <c r="B983" s="301"/>
      <c r="C983" s="292"/>
      <c r="D983" s="297"/>
      <c r="E983" s="302"/>
      <c r="F983" s="310"/>
      <c r="G983" s="310"/>
      <c r="H983" s="310"/>
      <c r="I983" s="283"/>
      <c r="J983" s="283"/>
      <c r="K983" s="283"/>
      <c r="L983" s="283"/>
      <c r="M983" s="283"/>
      <c r="N983" s="283"/>
      <c r="O983" s="283"/>
      <c r="P983" s="283"/>
      <c r="Q983" s="278"/>
      <c r="R983" s="278"/>
      <c r="S983" s="278"/>
      <c r="T983" s="278"/>
      <c r="U983" s="278"/>
      <c r="V983" s="278"/>
      <c r="W983" s="278"/>
      <c r="X983" s="278"/>
      <c r="Y983" s="278"/>
      <c r="Z983" s="278"/>
      <c r="AA983" s="278"/>
      <c r="AB983" s="278"/>
      <c r="AC983" s="278"/>
    </row>
    <row r="984" ht="15.75" customHeight="1">
      <c r="A984" s="302"/>
      <c r="B984" s="301"/>
      <c r="C984" s="292"/>
      <c r="D984" s="297"/>
      <c r="E984" s="302"/>
      <c r="F984" s="310"/>
      <c r="G984" s="310"/>
      <c r="H984" s="310"/>
      <c r="I984" s="283"/>
      <c r="J984" s="283"/>
      <c r="K984" s="283"/>
      <c r="L984" s="283"/>
      <c r="M984" s="283"/>
      <c r="N984" s="283"/>
      <c r="O984" s="283"/>
      <c r="P984" s="283"/>
      <c r="Q984" s="278"/>
      <c r="R984" s="278"/>
      <c r="S984" s="278"/>
      <c r="T984" s="278"/>
      <c r="U984" s="278"/>
      <c r="V984" s="278"/>
      <c r="W984" s="278"/>
      <c r="X984" s="278"/>
      <c r="Y984" s="278"/>
      <c r="Z984" s="278"/>
      <c r="AA984" s="278"/>
      <c r="AB984" s="278"/>
      <c r="AC984" s="278"/>
    </row>
    <row r="985" ht="15.75" customHeight="1">
      <c r="A985" s="302"/>
      <c r="B985" s="301"/>
      <c r="C985" s="292"/>
      <c r="D985" s="297"/>
      <c r="E985" s="302"/>
      <c r="F985" s="310"/>
      <c r="G985" s="310"/>
      <c r="H985" s="310"/>
      <c r="I985" s="283"/>
      <c r="J985" s="283"/>
      <c r="K985" s="283"/>
      <c r="L985" s="283"/>
      <c r="M985" s="283"/>
      <c r="N985" s="283"/>
      <c r="O985" s="283"/>
      <c r="P985" s="283"/>
      <c r="Q985" s="278"/>
      <c r="R985" s="278"/>
      <c r="S985" s="278"/>
      <c r="T985" s="278"/>
      <c r="U985" s="278"/>
      <c r="V985" s="278"/>
      <c r="W985" s="278"/>
      <c r="X985" s="278"/>
      <c r="Y985" s="278"/>
      <c r="Z985" s="278"/>
      <c r="AA985" s="278"/>
      <c r="AB985" s="278"/>
      <c r="AC985" s="278"/>
    </row>
    <row r="986" ht="15.75" customHeight="1">
      <c r="A986" s="302"/>
      <c r="B986" s="301"/>
      <c r="C986" s="292"/>
      <c r="D986" s="297"/>
      <c r="E986" s="302"/>
      <c r="F986" s="310"/>
      <c r="G986" s="310"/>
      <c r="H986" s="310"/>
      <c r="I986" s="283"/>
      <c r="J986" s="283"/>
      <c r="K986" s="283"/>
      <c r="L986" s="283"/>
      <c r="M986" s="283"/>
      <c r="N986" s="283"/>
      <c r="O986" s="283"/>
      <c r="P986" s="283"/>
      <c r="Q986" s="278"/>
      <c r="R986" s="278"/>
      <c r="S986" s="278"/>
      <c r="T986" s="278"/>
      <c r="U986" s="278"/>
      <c r="V986" s="278"/>
      <c r="W986" s="278"/>
      <c r="X986" s="278"/>
      <c r="Y986" s="278"/>
      <c r="Z986" s="278"/>
      <c r="AA986" s="278"/>
      <c r="AB986" s="278"/>
      <c r="AC986" s="278"/>
    </row>
    <row r="987" ht="15.75" customHeight="1">
      <c r="A987" s="302"/>
      <c r="B987" s="301"/>
      <c r="C987" s="292"/>
      <c r="D987" s="297"/>
      <c r="E987" s="302"/>
      <c r="F987" s="310"/>
      <c r="G987" s="310"/>
      <c r="H987" s="310"/>
      <c r="I987" s="283"/>
      <c r="J987" s="283"/>
      <c r="K987" s="283"/>
      <c r="L987" s="283"/>
      <c r="M987" s="283"/>
      <c r="N987" s="283"/>
      <c r="O987" s="283"/>
      <c r="P987" s="283"/>
      <c r="Q987" s="278"/>
      <c r="R987" s="278"/>
      <c r="S987" s="278"/>
      <c r="T987" s="278"/>
      <c r="U987" s="278"/>
      <c r="V987" s="278"/>
      <c r="W987" s="278"/>
      <c r="X987" s="278"/>
      <c r="Y987" s="278"/>
      <c r="Z987" s="278"/>
      <c r="AA987" s="278"/>
      <c r="AB987" s="278"/>
      <c r="AC987" s="278"/>
    </row>
    <row r="988" ht="15.75" customHeight="1">
      <c r="A988" s="302"/>
      <c r="B988" s="301"/>
      <c r="C988" s="292"/>
      <c r="D988" s="297"/>
      <c r="E988" s="302"/>
      <c r="F988" s="310"/>
      <c r="G988" s="310"/>
      <c r="H988" s="310"/>
      <c r="I988" s="283"/>
      <c r="J988" s="283"/>
      <c r="K988" s="283"/>
      <c r="L988" s="283"/>
      <c r="M988" s="283"/>
      <c r="N988" s="283"/>
      <c r="O988" s="283"/>
      <c r="P988" s="283"/>
      <c r="Q988" s="278"/>
      <c r="R988" s="278"/>
      <c r="S988" s="278"/>
      <c r="T988" s="278"/>
      <c r="U988" s="278"/>
      <c r="V988" s="278"/>
      <c r="W988" s="278"/>
      <c r="X988" s="278"/>
      <c r="Y988" s="278"/>
      <c r="Z988" s="278"/>
      <c r="AA988" s="278"/>
      <c r="AB988" s="278"/>
      <c r="AC988" s="278"/>
    </row>
    <row r="989" ht="15.75" customHeight="1">
      <c r="A989" s="302"/>
      <c r="B989" s="301"/>
      <c r="C989" s="292"/>
      <c r="D989" s="297"/>
      <c r="E989" s="302"/>
      <c r="F989" s="310"/>
      <c r="G989" s="310"/>
      <c r="H989" s="310"/>
      <c r="I989" s="283"/>
      <c r="J989" s="283"/>
      <c r="K989" s="283"/>
      <c r="L989" s="283"/>
      <c r="M989" s="283"/>
      <c r="N989" s="283"/>
      <c r="O989" s="283"/>
      <c r="P989" s="283"/>
      <c r="Q989" s="278"/>
      <c r="R989" s="278"/>
      <c r="S989" s="278"/>
      <c r="T989" s="278"/>
      <c r="U989" s="278"/>
      <c r="V989" s="278"/>
      <c r="W989" s="278"/>
      <c r="X989" s="278"/>
      <c r="Y989" s="278"/>
      <c r="Z989" s="278"/>
      <c r="AA989" s="278"/>
      <c r="AB989" s="278"/>
      <c r="AC989" s="278"/>
    </row>
    <row r="990" ht="15.75" customHeight="1">
      <c r="A990" s="302"/>
      <c r="B990" s="301"/>
      <c r="C990" s="292"/>
      <c r="D990" s="297"/>
      <c r="E990" s="302"/>
      <c r="F990" s="310"/>
      <c r="G990" s="310"/>
      <c r="H990" s="310"/>
      <c r="I990" s="283"/>
      <c r="J990" s="283"/>
      <c r="K990" s="283"/>
      <c r="L990" s="283"/>
      <c r="M990" s="283"/>
      <c r="N990" s="283"/>
      <c r="O990" s="283"/>
      <c r="P990" s="283"/>
      <c r="Q990" s="278"/>
      <c r="R990" s="278"/>
      <c r="S990" s="278"/>
      <c r="T990" s="278"/>
      <c r="U990" s="278"/>
      <c r="V990" s="278"/>
      <c r="W990" s="278"/>
      <c r="X990" s="278"/>
      <c r="Y990" s="278"/>
      <c r="Z990" s="278"/>
      <c r="AA990" s="278"/>
      <c r="AB990" s="278"/>
      <c r="AC990" s="278"/>
    </row>
    <row r="991" ht="15.75" customHeight="1">
      <c r="A991" s="302"/>
      <c r="B991" s="301"/>
      <c r="C991" s="292"/>
      <c r="D991" s="297"/>
      <c r="E991" s="302"/>
      <c r="F991" s="310"/>
      <c r="G991" s="310"/>
      <c r="H991" s="310"/>
      <c r="I991" s="283"/>
      <c r="J991" s="283"/>
      <c r="K991" s="283"/>
      <c r="L991" s="283"/>
      <c r="M991" s="283"/>
      <c r="N991" s="283"/>
      <c r="O991" s="283"/>
      <c r="P991" s="283"/>
      <c r="Q991" s="278"/>
      <c r="R991" s="278"/>
      <c r="S991" s="278"/>
      <c r="T991" s="278"/>
      <c r="U991" s="278"/>
      <c r="V991" s="278"/>
      <c r="W991" s="278"/>
      <c r="X991" s="278"/>
      <c r="Y991" s="278"/>
      <c r="Z991" s="278"/>
      <c r="AA991" s="278"/>
      <c r="AB991" s="278"/>
      <c r="AC991" s="278"/>
    </row>
    <row r="992" ht="15.75" customHeight="1">
      <c r="A992" s="302"/>
      <c r="B992" s="301"/>
      <c r="C992" s="292"/>
      <c r="D992" s="297"/>
      <c r="E992" s="302"/>
      <c r="F992" s="310"/>
      <c r="G992" s="310"/>
      <c r="H992" s="310"/>
      <c r="I992" s="283"/>
      <c r="J992" s="283"/>
      <c r="K992" s="283"/>
      <c r="L992" s="283"/>
      <c r="M992" s="283"/>
      <c r="N992" s="283"/>
      <c r="O992" s="283"/>
      <c r="P992" s="283"/>
      <c r="Q992" s="278"/>
      <c r="R992" s="278"/>
      <c r="S992" s="278"/>
      <c r="T992" s="278"/>
      <c r="U992" s="278"/>
      <c r="V992" s="278"/>
      <c r="W992" s="278"/>
      <c r="X992" s="278"/>
      <c r="Y992" s="278"/>
      <c r="Z992" s="278"/>
      <c r="AA992" s="278"/>
      <c r="AB992" s="278"/>
      <c r="AC992" s="278"/>
    </row>
    <row r="993" ht="15.75" customHeight="1">
      <c r="A993" s="302"/>
      <c r="B993" s="301"/>
      <c r="C993" s="292"/>
      <c r="D993" s="297"/>
      <c r="E993" s="302"/>
      <c r="F993" s="310"/>
      <c r="G993" s="310"/>
      <c r="H993" s="310"/>
      <c r="I993" s="283"/>
      <c r="J993" s="283"/>
      <c r="K993" s="283"/>
      <c r="L993" s="283"/>
      <c r="M993" s="283"/>
      <c r="N993" s="283"/>
      <c r="O993" s="283"/>
      <c r="P993" s="283"/>
      <c r="Q993" s="278"/>
      <c r="R993" s="278"/>
      <c r="S993" s="278"/>
      <c r="T993" s="278"/>
      <c r="U993" s="278"/>
      <c r="V993" s="278"/>
      <c r="W993" s="278"/>
      <c r="X993" s="278"/>
      <c r="Y993" s="278"/>
      <c r="Z993" s="278"/>
      <c r="AA993" s="278"/>
      <c r="AB993" s="278"/>
      <c r="AC993" s="278"/>
    </row>
    <row r="994" ht="15.75" customHeight="1">
      <c r="A994" s="302"/>
      <c r="B994" s="301"/>
      <c r="C994" s="292"/>
      <c r="D994" s="297"/>
      <c r="E994" s="302"/>
      <c r="F994" s="310"/>
      <c r="G994" s="310"/>
      <c r="H994" s="310"/>
      <c r="I994" s="283"/>
      <c r="J994" s="283"/>
      <c r="K994" s="283"/>
      <c r="L994" s="283"/>
      <c r="M994" s="283"/>
      <c r="N994" s="283"/>
      <c r="O994" s="283"/>
      <c r="P994" s="283"/>
      <c r="Q994" s="278"/>
      <c r="R994" s="278"/>
      <c r="S994" s="278"/>
      <c r="T994" s="278"/>
      <c r="U994" s="278"/>
      <c r="V994" s="278"/>
      <c r="W994" s="278"/>
      <c r="X994" s="278"/>
      <c r="Y994" s="278"/>
      <c r="Z994" s="278"/>
      <c r="AA994" s="278"/>
      <c r="AB994" s="278"/>
      <c r="AC994" s="278"/>
    </row>
    <row r="995" ht="15.75" customHeight="1">
      <c r="A995" s="302"/>
      <c r="B995" s="301"/>
      <c r="C995" s="292"/>
      <c r="D995" s="297"/>
      <c r="E995" s="302"/>
      <c r="F995" s="310"/>
      <c r="G995" s="310"/>
      <c r="H995" s="310"/>
      <c r="I995" s="283"/>
      <c r="J995" s="283"/>
      <c r="K995" s="283"/>
      <c r="L995" s="283"/>
      <c r="M995" s="283"/>
      <c r="N995" s="283"/>
      <c r="O995" s="283"/>
      <c r="P995" s="283"/>
      <c r="Q995" s="278"/>
      <c r="R995" s="278"/>
      <c r="S995" s="278"/>
      <c r="T995" s="278"/>
      <c r="U995" s="278"/>
      <c r="V995" s="278"/>
      <c r="W995" s="278"/>
      <c r="X995" s="278"/>
      <c r="Y995" s="278"/>
      <c r="Z995" s="278"/>
      <c r="AA995" s="278"/>
      <c r="AB995" s="278"/>
      <c r="AC995" s="278"/>
    </row>
    <row r="996" ht="15.75" customHeight="1">
      <c r="A996" s="302"/>
      <c r="B996" s="301"/>
      <c r="C996" s="292"/>
      <c r="D996" s="297"/>
      <c r="E996" s="302"/>
      <c r="F996" s="310"/>
      <c r="G996" s="310"/>
      <c r="H996" s="310"/>
      <c r="I996" s="283"/>
      <c r="J996" s="283"/>
      <c r="K996" s="283"/>
      <c r="L996" s="283"/>
      <c r="M996" s="283"/>
      <c r="N996" s="283"/>
      <c r="O996" s="283"/>
      <c r="P996" s="283"/>
      <c r="Q996" s="278"/>
      <c r="R996" s="278"/>
      <c r="S996" s="278"/>
      <c r="T996" s="278"/>
      <c r="U996" s="278"/>
      <c r="V996" s="278"/>
      <c r="W996" s="278"/>
      <c r="X996" s="278"/>
      <c r="Y996" s="278"/>
      <c r="Z996" s="278"/>
      <c r="AA996" s="278"/>
      <c r="AB996" s="278"/>
      <c r="AC996" s="278"/>
    </row>
    <row r="997" ht="15.75" customHeight="1">
      <c r="A997" s="302"/>
      <c r="B997" s="301"/>
      <c r="C997" s="292"/>
      <c r="D997" s="297"/>
      <c r="E997" s="302"/>
      <c r="F997" s="310"/>
      <c r="G997" s="310"/>
      <c r="H997" s="310"/>
      <c r="I997" s="283"/>
      <c r="J997" s="283"/>
      <c r="K997" s="283"/>
      <c r="L997" s="283"/>
      <c r="M997" s="283"/>
      <c r="N997" s="283"/>
      <c r="O997" s="283"/>
      <c r="P997" s="283"/>
      <c r="Q997" s="278"/>
      <c r="R997" s="278"/>
      <c r="S997" s="278"/>
      <c r="T997" s="278"/>
      <c r="U997" s="278"/>
      <c r="V997" s="278"/>
      <c r="W997" s="278"/>
      <c r="X997" s="278"/>
      <c r="Y997" s="278"/>
      <c r="Z997" s="278"/>
      <c r="AA997" s="278"/>
      <c r="AB997" s="278"/>
      <c r="AC997" s="278"/>
    </row>
    <row r="998" ht="15.75" customHeight="1">
      <c r="A998" s="302"/>
      <c r="B998" s="301"/>
      <c r="C998" s="292"/>
      <c r="D998" s="297"/>
      <c r="E998" s="302"/>
      <c r="F998" s="310"/>
      <c r="G998" s="310"/>
      <c r="H998" s="310"/>
      <c r="I998" s="283"/>
      <c r="J998" s="283"/>
      <c r="K998" s="283"/>
      <c r="L998" s="283"/>
      <c r="M998" s="283"/>
      <c r="N998" s="283"/>
      <c r="O998" s="283"/>
      <c r="P998" s="283"/>
      <c r="Q998" s="278"/>
      <c r="R998" s="278"/>
      <c r="S998" s="278"/>
      <c r="T998" s="278"/>
      <c r="U998" s="278"/>
      <c r="V998" s="278"/>
      <c r="W998" s="278"/>
      <c r="X998" s="278"/>
      <c r="Y998" s="278"/>
      <c r="Z998" s="278"/>
      <c r="AA998" s="278"/>
      <c r="AB998" s="278"/>
      <c r="AC998" s="278"/>
    </row>
    <row r="999" ht="15.75" customHeight="1">
      <c r="A999" s="302"/>
      <c r="B999" s="301"/>
      <c r="C999" s="292"/>
      <c r="D999" s="297"/>
      <c r="E999" s="302"/>
      <c r="F999" s="310"/>
      <c r="G999" s="310"/>
      <c r="H999" s="310"/>
      <c r="I999" s="283"/>
      <c r="J999" s="283"/>
      <c r="K999" s="283"/>
      <c r="L999" s="283"/>
      <c r="M999" s="283"/>
      <c r="N999" s="283"/>
      <c r="O999" s="283"/>
      <c r="P999" s="283"/>
      <c r="Q999" s="278"/>
      <c r="R999" s="278"/>
      <c r="S999" s="278"/>
      <c r="T999" s="278"/>
      <c r="U999" s="278"/>
      <c r="V999" s="278"/>
      <c r="W999" s="278"/>
      <c r="X999" s="278"/>
      <c r="Y999" s="278"/>
      <c r="Z999" s="278"/>
      <c r="AA999" s="278"/>
      <c r="AB999" s="278"/>
      <c r="AC999" s="278"/>
    </row>
    <row r="1000" ht="15.75" customHeight="1">
      <c r="A1000" s="302"/>
      <c r="B1000" s="301"/>
      <c r="C1000" s="292"/>
      <c r="D1000" s="297"/>
      <c r="E1000" s="302"/>
      <c r="F1000" s="310"/>
      <c r="G1000" s="310"/>
      <c r="H1000" s="310"/>
      <c r="I1000" s="283"/>
      <c r="J1000" s="283"/>
      <c r="K1000" s="283"/>
      <c r="L1000" s="283"/>
      <c r="M1000" s="283"/>
      <c r="N1000" s="283"/>
      <c r="O1000" s="283"/>
      <c r="P1000" s="283"/>
      <c r="Q1000" s="278"/>
      <c r="R1000" s="278"/>
      <c r="S1000" s="278"/>
      <c r="T1000" s="278"/>
      <c r="U1000" s="278"/>
      <c r="V1000" s="278"/>
      <c r="W1000" s="278"/>
      <c r="X1000" s="278"/>
      <c r="Y1000" s="278"/>
      <c r="Z1000" s="278"/>
      <c r="AA1000" s="278"/>
      <c r="AB1000" s="278"/>
      <c r="AC1000" s="278"/>
    </row>
    <row r="1001" ht="15.75" customHeight="1">
      <c r="A1001" s="302"/>
      <c r="B1001" s="301"/>
      <c r="C1001" s="292"/>
      <c r="D1001" s="297"/>
      <c r="E1001" s="302"/>
      <c r="F1001" s="310"/>
      <c r="G1001" s="310"/>
      <c r="H1001" s="310"/>
      <c r="I1001" s="283"/>
      <c r="J1001" s="283"/>
      <c r="K1001" s="283"/>
      <c r="L1001" s="283"/>
      <c r="M1001" s="283"/>
      <c r="N1001" s="283"/>
      <c r="O1001" s="283"/>
      <c r="P1001" s="283"/>
      <c r="Q1001" s="278"/>
      <c r="R1001" s="278"/>
      <c r="S1001" s="278"/>
      <c r="T1001" s="278"/>
      <c r="U1001" s="278"/>
      <c r="V1001" s="278"/>
      <c r="W1001" s="278"/>
      <c r="X1001" s="278"/>
      <c r="Y1001" s="278"/>
      <c r="Z1001" s="278"/>
      <c r="AA1001" s="278"/>
      <c r="AB1001" s="278"/>
      <c r="AC1001" s="278"/>
    </row>
  </sheetData>
  <conditionalFormatting sqref="D1:D1001 E58">
    <cfRule type="expression" dxfId="1" priority="1">
      <formula>COUNTIF(D:D,D:D)&gt;1</formula>
    </cfRule>
  </conditionalFormatting>
  <printOptions/>
  <pageMargins bottom="0.75" footer="0.0" header="0.0" left="0.7" right="0.7" top="0.75"/>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26.57"/>
    <col customWidth="1" min="2" max="2" width="11.43"/>
    <col customWidth="1" min="3" max="3" width="11.57"/>
    <col customWidth="1" min="4" max="4" width="50.86"/>
    <col customWidth="1" min="5" max="5" width="63.86"/>
    <col customWidth="1" min="6" max="6" width="34.43"/>
    <col customWidth="1" min="7" max="26" width="6.57"/>
  </cols>
  <sheetData>
    <row r="1" ht="15.75" customHeight="1">
      <c r="A1" s="342"/>
      <c r="B1" s="343"/>
      <c r="C1" s="344"/>
      <c r="D1" s="342"/>
      <c r="E1" s="342"/>
      <c r="F1" s="342"/>
      <c r="G1" s="342"/>
      <c r="H1" s="342"/>
      <c r="I1" s="342"/>
      <c r="J1" s="342"/>
      <c r="K1" s="342"/>
      <c r="L1" s="342"/>
      <c r="M1" s="342"/>
    </row>
    <row r="2" ht="15.75" customHeight="1">
      <c r="A2" s="345" t="s">
        <v>245</v>
      </c>
      <c r="B2" s="346"/>
      <c r="C2" s="347"/>
      <c r="D2" s="347"/>
      <c r="E2" s="342"/>
      <c r="F2" s="342"/>
      <c r="G2" s="342"/>
      <c r="H2" s="342"/>
      <c r="I2" s="342"/>
      <c r="J2" s="342"/>
      <c r="K2" s="342"/>
      <c r="L2" s="342"/>
      <c r="M2" s="342"/>
    </row>
    <row r="3" ht="15.75" customHeight="1">
      <c r="A3" s="342"/>
      <c r="B3" s="343"/>
      <c r="C3" s="344"/>
      <c r="D3" s="342"/>
      <c r="E3" s="342"/>
      <c r="F3" s="342"/>
      <c r="G3" s="342"/>
      <c r="H3" s="342"/>
      <c r="I3" s="342"/>
      <c r="J3" s="342"/>
      <c r="K3" s="342"/>
      <c r="L3" s="342"/>
      <c r="M3" s="342"/>
    </row>
    <row r="4" ht="26.25" customHeight="1">
      <c r="A4" s="348" t="s">
        <v>1</v>
      </c>
      <c r="B4" s="349" t="s">
        <v>2</v>
      </c>
      <c r="C4" s="348" t="s">
        <v>3</v>
      </c>
      <c r="D4" s="348" t="s">
        <v>4</v>
      </c>
      <c r="E4" s="348" t="s">
        <v>246</v>
      </c>
      <c r="F4" s="348" t="s">
        <v>6</v>
      </c>
      <c r="G4" s="342"/>
      <c r="H4" s="342"/>
      <c r="I4" s="342"/>
      <c r="J4" s="342"/>
      <c r="K4" s="342"/>
      <c r="L4" s="342"/>
      <c r="M4" s="342"/>
    </row>
    <row r="5" ht="15.75" customHeight="1">
      <c r="A5" s="350" t="s">
        <v>247</v>
      </c>
      <c r="B5" s="351">
        <v>43909.0</v>
      </c>
      <c r="C5" s="352">
        <v>182588.0</v>
      </c>
      <c r="D5" s="353" t="s">
        <v>248</v>
      </c>
      <c r="E5" s="353" t="s">
        <v>249</v>
      </c>
      <c r="F5" s="354"/>
      <c r="G5" s="342"/>
      <c r="H5" s="342"/>
      <c r="I5" s="342"/>
      <c r="J5" s="342"/>
      <c r="K5" s="342"/>
      <c r="L5" s="342"/>
      <c r="M5" s="342"/>
    </row>
    <row r="6" ht="15.75" customHeight="1">
      <c r="A6" s="350" t="s">
        <v>247</v>
      </c>
      <c r="B6" s="351">
        <v>43909.0</v>
      </c>
      <c r="C6" s="352">
        <v>182589.0</v>
      </c>
      <c r="D6" s="354" t="s">
        <v>250</v>
      </c>
      <c r="E6" s="353" t="s">
        <v>251</v>
      </c>
      <c r="F6" s="354"/>
      <c r="G6" s="342"/>
      <c r="H6" s="342"/>
      <c r="I6" s="342"/>
      <c r="J6" s="342"/>
      <c r="K6" s="342"/>
      <c r="L6" s="342"/>
      <c r="M6" s="342"/>
    </row>
    <row r="7" ht="15.75" customHeight="1">
      <c r="A7" s="350" t="s">
        <v>247</v>
      </c>
      <c r="B7" s="355">
        <v>43987.0</v>
      </c>
      <c r="C7" s="356">
        <v>199618.0</v>
      </c>
      <c r="D7" s="357" t="s">
        <v>252</v>
      </c>
      <c r="E7" s="353" t="s">
        <v>251</v>
      </c>
      <c r="F7" s="354"/>
      <c r="G7" s="342"/>
      <c r="H7" s="342"/>
      <c r="I7" s="342"/>
      <c r="J7" s="342"/>
      <c r="K7" s="342"/>
      <c r="L7" s="342"/>
      <c r="M7" s="342"/>
    </row>
    <row r="8" ht="15.75" customHeight="1">
      <c r="A8" s="353"/>
      <c r="B8" s="351"/>
      <c r="C8" s="356"/>
      <c r="D8" s="353"/>
      <c r="E8" s="353"/>
      <c r="F8" s="354"/>
      <c r="G8" s="342"/>
      <c r="H8" s="342"/>
      <c r="I8" s="342"/>
      <c r="J8" s="342"/>
      <c r="K8" s="342"/>
      <c r="L8" s="342"/>
      <c r="M8" s="342"/>
    </row>
    <row r="9" ht="15.75" customHeight="1">
      <c r="A9" s="358" t="s">
        <v>20</v>
      </c>
      <c r="B9" s="359">
        <v>44741.0</v>
      </c>
      <c r="C9" s="356">
        <v>171660.0</v>
      </c>
      <c r="D9" s="353" t="s">
        <v>253</v>
      </c>
      <c r="E9" s="360" t="s">
        <v>254</v>
      </c>
      <c r="F9" s="353" t="s">
        <v>255</v>
      </c>
      <c r="G9" s="342"/>
      <c r="H9" s="342"/>
      <c r="I9" s="342"/>
      <c r="J9" s="342"/>
      <c r="K9" s="342"/>
      <c r="L9" s="342"/>
      <c r="M9" s="342"/>
    </row>
    <row r="10" ht="15.75" customHeight="1">
      <c r="A10" s="358" t="s">
        <v>20</v>
      </c>
      <c r="B10" s="351">
        <v>43909.0</v>
      </c>
      <c r="C10" s="356">
        <v>107796.0</v>
      </c>
      <c r="D10" s="353" t="s">
        <v>256</v>
      </c>
      <c r="E10" s="353" t="s">
        <v>257</v>
      </c>
      <c r="F10" s="354"/>
      <c r="G10" s="342"/>
      <c r="H10" s="342"/>
      <c r="I10" s="342"/>
      <c r="J10" s="342"/>
      <c r="K10" s="342"/>
      <c r="L10" s="342"/>
      <c r="M10" s="342"/>
    </row>
    <row r="11" ht="15.75" customHeight="1">
      <c r="A11" s="358" t="s">
        <v>20</v>
      </c>
      <c r="B11" s="351">
        <v>43909.0</v>
      </c>
      <c r="C11" s="356">
        <v>139433.0</v>
      </c>
      <c r="D11" s="353" t="s">
        <v>258</v>
      </c>
      <c r="E11" s="353" t="s">
        <v>259</v>
      </c>
      <c r="F11" s="353" t="s">
        <v>255</v>
      </c>
      <c r="G11" s="342"/>
      <c r="H11" s="342"/>
      <c r="I11" s="342"/>
      <c r="J11" s="342"/>
      <c r="K11" s="342"/>
      <c r="L11" s="342"/>
      <c r="M11" s="342"/>
    </row>
    <row r="12" ht="15.75" customHeight="1">
      <c r="A12" s="358" t="s">
        <v>20</v>
      </c>
      <c r="B12" s="355">
        <v>43921.0</v>
      </c>
      <c r="C12" s="352">
        <v>87651.0</v>
      </c>
      <c r="D12" s="361" t="s">
        <v>260</v>
      </c>
      <c r="E12" s="362" t="s">
        <v>261</v>
      </c>
      <c r="F12" s="353" t="s">
        <v>255</v>
      </c>
      <c r="G12" s="342"/>
      <c r="H12" s="342"/>
      <c r="I12" s="342"/>
      <c r="J12" s="342"/>
      <c r="K12" s="342"/>
      <c r="L12" s="342"/>
      <c r="M12" s="342"/>
    </row>
    <row r="13" ht="15.75" customHeight="1">
      <c r="A13" s="358" t="s">
        <v>20</v>
      </c>
      <c r="B13" s="355">
        <v>43948.0</v>
      </c>
      <c r="C13" s="356">
        <v>167725.0</v>
      </c>
      <c r="D13" s="353" t="s">
        <v>262</v>
      </c>
      <c r="E13" s="353" t="s">
        <v>263</v>
      </c>
      <c r="F13" s="353"/>
      <c r="G13" s="342"/>
      <c r="H13" s="342"/>
      <c r="I13" s="342"/>
      <c r="J13" s="342"/>
      <c r="K13" s="342"/>
      <c r="L13" s="342"/>
      <c r="M13" s="342"/>
    </row>
    <row r="14" ht="15.75" customHeight="1">
      <c r="A14" s="358" t="s">
        <v>20</v>
      </c>
      <c r="B14" s="355">
        <v>43994.0</v>
      </c>
      <c r="C14" s="352"/>
      <c r="D14" s="353" t="s">
        <v>264</v>
      </c>
      <c r="E14" s="353" t="s">
        <v>265</v>
      </c>
      <c r="F14" s="353" t="s">
        <v>255</v>
      </c>
      <c r="G14" s="342"/>
      <c r="H14" s="342"/>
      <c r="I14" s="342"/>
      <c r="J14" s="342"/>
      <c r="K14" s="342"/>
      <c r="L14" s="342"/>
      <c r="M14" s="342"/>
    </row>
    <row r="15" ht="15.75" customHeight="1">
      <c r="A15" s="358" t="s">
        <v>20</v>
      </c>
      <c r="B15" s="355">
        <v>43994.0</v>
      </c>
      <c r="C15" s="352"/>
      <c r="D15" s="363" t="s">
        <v>266</v>
      </c>
      <c r="E15" s="353" t="s">
        <v>267</v>
      </c>
      <c r="F15" s="353" t="s">
        <v>255</v>
      </c>
      <c r="G15" s="342"/>
      <c r="H15" s="342"/>
      <c r="I15" s="342"/>
      <c r="J15" s="342"/>
      <c r="K15" s="342"/>
      <c r="L15" s="342"/>
      <c r="M15" s="342"/>
    </row>
    <row r="16" ht="15.75" customHeight="1">
      <c r="A16" s="358" t="s">
        <v>20</v>
      </c>
      <c r="B16" s="355">
        <v>43994.0</v>
      </c>
      <c r="C16" s="352"/>
      <c r="D16" s="363" t="s">
        <v>268</v>
      </c>
      <c r="E16" s="353" t="s">
        <v>269</v>
      </c>
      <c r="F16" s="353" t="s">
        <v>255</v>
      </c>
      <c r="G16" s="342"/>
      <c r="H16" s="342"/>
      <c r="I16" s="342"/>
      <c r="J16" s="342"/>
      <c r="K16" s="342"/>
      <c r="L16" s="342"/>
      <c r="M16" s="342"/>
    </row>
    <row r="17" ht="15.75" customHeight="1">
      <c r="A17" s="358" t="s">
        <v>20</v>
      </c>
      <c r="B17" s="359">
        <v>44174.0</v>
      </c>
      <c r="C17" s="352"/>
      <c r="D17" s="362" t="s">
        <v>270</v>
      </c>
      <c r="E17" s="360" t="s">
        <v>271</v>
      </c>
      <c r="F17" s="353" t="s">
        <v>255</v>
      </c>
      <c r="G17" s="342"/>
      <c r="H17" s="342"/>
      <c r="I17" s="342"/>
      <c r="J17" s="342"/>
      <c r="K17" s="342"/>
      <c r="L17" s="342"/>
      <c r="M17" s="342"/>
    </row>
    <row r="18" ht="15.75" customHeight="1">
      <c r="A18" s="358" t="s">
        <v>20</v>
      </c>
      <c r="B18" s="359">
        <v>44174.0</v>
      </c>
      <c r="C18" s="352"/>
      <c r="D18" s="364" t="s">
        <v>272</v>
      </c>
      <c r="E18" s="360" t="s">
        <v>273</v>
      </c>
      <c r="F18" s="354"/>
      <c r="G18" s="342"/>
      <c r="H18" s="342"/>
      <c r="I18" s="342"/>
      <c r="J18" s="342"/>
      <c r="K18" s="342"/>
      <c r="L18" s="342"/>
      <c r="M18" s="342"/>
    </row>
    <row r="19" ht="15.75" customHeight="1">
      <c r="A19" s="358" t="s">
        <v>20</v>
      </c>
      <c r="B19" s="359">
        <v>44267.0</v>
      </c>
      <c r="C19" s="352"/>
      <c r="D19" s="364" t="s">
        <v>274</v>
      </c>
      <c r="E19" s="360" t="s">
        <v>275</v>
      </c>
      <c r="F19" s="360" t="s">
        <v>276</v>
      </c>
      <c r="G19" s="342"/>
      <c r="H19" s="342"/>
      <c r="I19" s="342"/>
      <c r="J19" s="342"/>
      <c r="K19" s="342"/>
      <c r="L19" s="342"/>
      <c r="M19" s="342"/>
    </row>
    <row r="20" ht="15.75" customHeight="1">
      <c r="A20" s="358" t="s">
        <v>20</v>
      </c>
      <c r="B20" s="359">
        <v>44356.0</v>
      </c>
      <c r="C20" s="365">
        <v>205870.0</v>
      </c>
      <c r="D20" s="366" t="s">
        <v>277</v>
      </c>
      <c r="E20" s="360" t="s">
        <v>278</v>
      </c>
      <c r="F20" s="360" t="s">
        <v>255</v>
      </c>
      <c r="G20" s="342"/>
      <c r="H20" s="342"/>
      <c r="I20" s="342"/>
      <c r="J20" s="342"/>
      <c r="K20" s="342"/>
      <c r="L20" s="342"/>
      <c r="M20" s="342"/>
    </row>
    <row r="21" ht="15.75" customHeight="1">
      <c r="A21" s="358" t="s">
        <v>20</v>
      </c>
      <c r="B21" s="359">
        <v>44369.0</v>
      </c>
      <c r="C21" s="365">
        <v>221087.0</v>
      </c>
      <c r="D21" s="367" t="s">
        <v>279</v>
      </c>
      <c r="E21" s="360" t="s">
        <v>280</v>
      </c>
      <c r="F21" s="360"/>
      <c r="G21" s="342"/>
      <c r="H21" s="342"/>
      <c r="I21" s="342"/>
      <c r="J21" s="342"/>
      <c r="K21" s="342"/>
      <c r="L21" s="342"/>
      <c r="M21" s="342"/>
    </row>
    <row r="22" ht="15.75" customHeight="1">
      <c r="A22" s="358" t="s">
        <v>20</v>
      </c>
      <c r="B22" s="359">
        <v>44958.0</v>
      </c>
      <c r="C22" s="365">
        <v>233018.0</v>
      </c>
      <c r="D22" s="366" t="s">
        <v>281</v>
      </c>
      <c r="E22" s="360" t="s">
        <v>282</v>
      </c>
      <c r="F22" s="353" t="s">
        <v>255</v>
      </c>
      <c r="G22" s="342"/>
      <c r="H22" s="342"/>
      <c r="I22" s="342"/>
      <c r="J22" s="342"/>
      <c r="K22" s="342"/>
      <c r="L22" s="342"/>
      <c r="M22" s="342"/>
    </row>
    <row r="23" ht="15.75" customHeight="1">
      <c r="A23" s="358" t="s">
        <v>20</v>
      </c>
      <c r="B23" s="359">
        <v>45016.0</v>
      </c>
      <c r="C23" s="352"/>
      <c r="D23" s="366" t="s">
        <v>283</v>
      </c>
      <c r="E23" s="360" t="s">
        <v>284</v>
      </c>
      <c r="F23" s="360"/>
      <c r="G23" s="342"/>
      <c r="H23" s="342"/>
      <c r="I23" s="342"/>
      <c r="J23" s="342"/>
      <c r="K23" s="342"/>
      <c r="L23" s="342"/>
      <c r="M23" s="342"/>
    </row>
    <row r="24" ht="15.75" customHeight="1">
      <c r="A24" s="358" t="s">
        <v>20</v>
      </c>
      <c r="B24" s="359">
        <v>45016.0</v>
      </c>
      <c r="C24" s="352"/>
      <c r="D24" s="366" t="s">
        <v>285</v>
      </c>
      <c r="E24" s="360" t="s">
        <v>286</v>
      </c>
      <c r="F24" s="360"/>
      <c r="G24" s="342"/>
      <c r="H24" s="342"/>
      <c r="I24" s="342"/>
      <c r="J24" s="342"/>
      <c r="K24" s="342"/>
      <c r="L24" s="342"/>
      <c r="M24" s="342"/>
    </row>
    <row r="25" ht="15.75" customHeight="1">
      <c r="A25" s="354"/>
      <c r="B25" s="351"/>
      <c r="C25" s="352"/>
      <c r="D25" s="354"/>
      <c r="E25" s="353"/>
      <c r="F25" s="360"/>
      <c r="G25" s="342"/>
      <c r="H25" s="342"/>
      <c r="I25" s="342"/>
      <c r="J25" s="342"/>
      <c r="K25" s="342"/>
      <c r="L25" s="342"/>
      <c r="M25" s="342"/>
    </row>
    <row r="26" ht="15.75" customHeight="1">
      <c r="A26" s="350" t="s">
        <v>32</v>
      </c>
      <c r="B26" s="351">
        <v>43909.0</v>
      </c>
      <c r="C26" s="352">
        <v>152736.0</v>
      </c>
      <c r="D26" s="354" t="s">
        <v>287</v>
      </c>
      <c r="E26" s="353" t="s">
        <v>288</v>
      </c>
      <c r="F26" s="354"/>
      <c r="G26" s="342"/>
      <c r="H26" s="342"/>
      <c r="I26" s="342"/>
      <c r="J26" s="342"/>
      <c r="K26" s="342"/>
      <c r="L26" s="342"/>
      <c r="M26" s="342"/>
    </row>
    <row r="27" ht="15.75" customHeight="1">
      <c r="A27" s="350" t="s">
        <v>32</v>
      </c>
      <c r="B27" s="355">
        <v>43987.0</v>
      </c>
      <c r="C27" s="356"/>
      <c r="D27" s="353" t="s">
        <v>289</v>
      </c>
      <c r="E27" s="353" t="s">
        <v>290</v>
      </c>
      <c r="F27" s="353"/>
      <c r="G27" s="342"/>
      <c r="H27" s="342"/>
      <c r="I27" s="342"/>
      <c r="J27" s="342"/>
      <c r="K27" s="342"/>
      <c r="L27" s="342"/>
      <c r="M27" s="342"/>
    </row>
    <row r="28" ht="15.75" customHeight="1">
      <c r="A28" s="350" t="s">
        <v>32</v>
      </c>
      <c r="B28" s="359">
        <v>44179.0</v>
      </c>
      <c r="C28" s="356"/>
      <c r="D28" s="353"/>
      <c r="E28" s="353"/>
      <c r="F28" s="353"/>
      <c r="G28" s="342"/>
      <c r="H28" s="342"/>
      <c r="I28" s="342"/>
      <c r="J28" s="342"/>
      <c r="K28" s="342"/>
      <c r="L28" s="342"/>
      <c r="M28" s="342"/>
    </row>
    <row r="29" ht="15.75" customHeight="1">
      <c r="A29" s="350" t="s">
        <v>32</v>
      </c>
      <c r="B29" s="359">
        <v>44393.0</v>
      </c>
      <c r="C29" s="368">
        <v>223685.0</v>
      </c>
      <c r="D29" s="360" t="s">
        <v>291</v>
      </c>
      <c r="E29" s="360" t="s">
        <v>292</v>
      </c>
      <c r="F29" s="353"/>
      <c r="G29" s="342"/>
      <c r="H29" s="342"/>
      <c r="I29" s="342"/>
      <c r="J29" s="342"/>
      <c r="K29" s="342"/>
      <c r="L29" s="342"/>
      <c r="M29" s="342"/>
    </row>
    <row r="30" ht="15.75" customHeight="1">
      <c r="A30" s="350" t="s">
        <v>32</v>
      </c>
      <c r="B30" s="359">
        <v>44393.0</v>
      </c>
      <c r="C30" s="356"/>
      <c r="D30" s="360" t="s">
        <v>293</v>
      </c>
      <c r="E30" s="360" t="s">
        <v>294</v>
      </c>
      <c r="F30" s="353"/>
      <c r="G30" s="342"/>
      <c r="H30" s="342"/>
      <c r="I30" s="342"/>
      <c r="J30" s="342"/>
      <c r="K30" s="342"/>
      <c r="L30" s="342"/>
      <c r="M30" s="342"/>
    </row>
    <row r="31" ht="15.75" customHeight="1">
      <c r="A31" s="369" t="s">
        <v>32</v>
      </c>
      <c r="B31" s="359">
        <v>44397.0</v>
      </c>
      <c r="C31" s="368">
        <v>225293.0</v>
      </c>
      <c r="D31" s="360" t="s">
        <v>295</v>
      </c>
      <c r="E31" s="360" t="s">
        <v>296</v>
      </c>
      <c r="F31" s="353"/>
      <c r="G31" s="342"/>
      <c r="H31" s="342"/>
      <c r="I31" s="342"/>
      <c r="J31" s="342"/>
      <c r="K31" s="342"/>
      <c r="L31" s="342"/>
      <c r="M31" s="342"/>
    </row>
    <row r="32" ht="15.75" customHeight="1">
      <c r="A32" s="370" t="s">
        <v>32</v>
      </c>
      <c r="B32" s="359">
        <v>44397.0</v>
      </c>
      <c r="C32" s="356"/>
      <c r="D32" s="360" t="s">
        <v>297</v>
      </c>
      <c r="E32" s="360" t="s">
        <v>298</v>
      </c>
      <c r="F32" s="353"/>
      <c r="G32" s="342"/>
      <c r="H32" s="342"/>
      <c r="I32" s="342"/>
      <c r="J32" s="342"/>
      <c r="K32" s="342"/>
      <c r="L32" s="342"/>
      <c r="M32" s="342"/>
    </row>
    <row r="33" ht="15.75" customHeight="1">
      <c r="A33" s="370" t="s">
        <v>32</v>
      </c>
      <c r="B33" s="359">
        <v>44517.0</v>
      </c>
      <c r="C33" s="356"/>
      <c r="D33" s="360" t="s">
        <v>299</v>
      </c>
      <c r="E33" s="360" t="s">
        <v>300</v>
      </c>
      <c r="F33" s="353"/>
      <c r="G33" s="342"/>
      <c r="H33" s="342"/>
      <c r="I33" s="342"/>
      <c r="J33" s="342"/>
      <c r="K33" s="342"/>
      <c r="L33" s="342"/>
      <c r="M33" s="342"/>
    </row>
    <row r="34">
      <c r="A34" s="371" t="s">
        <v>32</v>
      </c>
      <c r="B34" s="359">
        <v>45799.0</v>
      </c>
      <c r="C34" s="368">
        <v>275486.0</v>
      </c>
      <c r="D34" s="360" t="s">
        <v>301</v>
      </c>
      <c r="E34" s="360" t="s">
        <v>302</v>
      </c>
      <c r="F34" s="360" t="s">
        <v>303</v>
      </c>
      <c r="G34" s="342"/>
      <c r="H34" s="342"/>
      <c r="I34" s="342"/>
      <c r="J34" s="342"/>
      <c r="K34" s="342"/>
      <c r="L34" s="342"/>
      <c r="M34" s="342"/>
    </row>
    <row r="35" ht="15.75" customHeight="1">
      <c r="A35" s="353"/>
      <c r="B35" s="351"/>
      <c r="C35" s="356"/>
      <c r="D35" s="353"/>
      <c r="E35" s="353"/>
      <c r="F35" s="353"/>
      <c r="G35" s="342"/>
      <c r="H35" s="342"/>
      <c r="I35" s="342"/>
      <c r="J35" s="342"/>
      <c r="K35" s="342"/>
      <c r="L35" s="342"/>
      <c r="M35" s="342"/>
    </row>
    <row r="36" ht="15.75" customHeight="1">
      <c r="A36" s="358" t="s">
        <v>304</v>
      </c>
      <c r="B36" s="351">
        <v>43909.0</v>
      </c>
      <c r="C36" s="356">
        <v>127406.0</v>
      </c>
      <c r="D36" s="353" t="s">
        <v>305</v>
      </c>
      <c r="E36" s="353" t="s">
        <v>306</v>
      </c>
      <c r="F36" s="353" t="s">
        <v>307</v>
      </c>
      <c r="G36" s="342"/>
      <c r="H36" s="342"/>
      <c r="I36" s="342"/>
      <c r="J36" s="342"/>
      <c r="K36" s="342"/>
      <c r="L36" s="342"/>
      <c r="M36" s="342"/>
    </row>
    <row r="37" ht="15.75" customHeight="1">
      <c r="A37" s="354"/>
      <c r="B37" s="351"/>
      <c r="C37" s="352"/>
      <c r="D37" s="354"/>
      <c r="E37" s="354"/>
      <c r="F37" s="354"/>
      <c r="G37" s="342"/>
      <c r="H37" s="342"/>
      <c r="I37" s="342"/>
      <c r="J37" s="342"/>
      <c r="K37" s="342"/>
      <c r="L37" s="342"/>
      <c r="M37" s="342"/>
    </row>
    <row r="38" ht="15.75" customHeight="1">
      <c r="A38" s="372" t="s">
        <v>308</v>
      </c>
      <c r="B38" s="355">
        <v>43987.0</v>
      </c>
      <c r="C38" s="352"/>
      <c r="D38" s="357" t="s">
        <v>309</v>
      </c>
      <c r="E38" s="357" t="s">
        <v>310</v>
      </c>
      <c r="F38" s="354"/>
      <c r="G38" s="342"/>
      <c r="H38" s="342"/>
      <c r="I38" s="342"/>
      <c r="J38" s="342"/>
      <c r="K38" s="342"/>
      <c r="L38" s="342"/>
      <c r="M38" s="342"/>
    </row>
    <row r="39" ht="15.75" customHeight="1">
      <c r="A39" s="372" t="s">
        <v>308</v>
      </c>
      <c r="B39" s="355">
        <v>43987.0</v>
      </c>
      <c r="C39" s="352"/>
      <c r="D39" s="357" t="s">
        <v>311</v>
      </c>
      <c r="E39" s="357" t="s">
        <v>312</v>
      </c>
      <c r="F39" s="354"/>
      <c r="G39" s="342"/>
      <c r="H39" s="342"/>
      <c r="I39" s="342"/>
      <c r="J39" s="342"/>
      <c r="K39" s="342"/>
      <c r="L39" s="342"/>
      <c r="M39" s="342"/>
    </row>
    <row r="40" ht="15.75" customHeight="1">
      <c r="A40" s="372" t="s">
        <v>308</v>
      </c>
      <c r="B40" s="355">
        <v>43987.0</v>
      </c>
      <c r="C40" s="352"/>
      <c r="D40" s="357" t="s">
        <v>313</v>
      </c>
      <c r="E40" s="357" t="s">
        <v>314</v>
      </c>
      <c r="F40" s="354"/>
      <c r="G40" s="342"/>
      <c r="H40" s="342"/>
      <c r="I40" s="342"/>
      <c r="J40" s="342"/>
      <c r="K40" s="342"/>
      <c r="L40" s="342"/>
      <c r="M40" s="342"/>
    </row>
    <row r="41" ht="15.75" customHeight="1">
      <c r="A41" s="372" t="s">
        <v>308</v>
      </c>
      <c r="B41" s="355">
        <v>43987.0</v>
      </c>
      <c r="C41" s="352"/>
      <c r="D41" s="357" t="s">
        <v>315</v>
      </c>
      <c r="E41" s="357" t="s">
        <v>316</v>
      </c>
      <c r="F41" s="354"/>
      <c r="G41" s="342"/>
      <c r="H41" s="342"/>
      <c r="I41" s="342"/>
      <c r="J41" s="342"/>
      <c r="K41" s="342"/>
      <c r="L41" s="342"/>
      <c r="M41" s="342"/>
    </row>
    <row r="42" ht="15.75" customHeight="1">
      <c r="A42" s="372" t="s">
        <v>308</v>
      </c>
      <c r="B42" s="373">
        <v>44267.0</v>
      </c>
      <c r="C42" s="352"/>
      <c r="D42" s="374" t="s">
        <v>317</v>
      </c>
      <c r="E42" s="375" t="s">
        <v>318</v>
      </c>
      <c r="F42" s="354"/>
      <c r="G42" s="342"/>
      <c r="H42" s="342"/>
      <c r="I42" s="342"/>
      <c r="J42" s="342"/>
      <c r="K42" s="342"/>
      <c r="L42" s="342"/>
      <c r="M42" s="342"/>
    </row>
    <row r="43" ht="15.75" customHeight="1">
      <c r="A43" s="354"/>
      <c r="B43" s="351"/>
      <c r="C43" s="352"/>
      <c r="D43" s="354"/>
      <c r="E43" s="354"/>
      <c r="F43" s="354"/>
      <c r="G43" s="342"/>
      <c r="H43" s="342"/>
      <c r="I43" s="342"/>
      <c r="J43" s="342"/>
      <c r="K43" s="342"/>
      <c r="L43" s="342"/>
      <c r="M43" s="342"/>
    </row>
    <row r="44" ht="15.75" customHeight="1">
      <c r="A44" s="350" t="s">
        <v>217</v>
      </c>
      <c r="B44" s="351">
        <v>43909.0</v>
      </c>
      <c r="C44" s="352">
        <v>121335.0</v>
      </c>
      <c r="D44" s="354" t="s">
        <v>319</v>
      </c>
      <c r="E44" s="354" t="s">
        <v>320</v>
      </c>
      <c r="F44" s="354" t="s">
        <v>321</v>
      </c>
      <c r="G44" s="342"/>
      <c r="H44" s="342"/>
      <c r="I44" s="342"/>
      <c r="J44" s="342"/>
      <c r="K44" s="342"/>
      <c r="L44" s="342"/>
      <c r="M44" s="342"/>
    </row>
    <row r="45" ht="15.75" customHeight="1">
      <c r="A45" s="350" t="s">
        <v>217</v>
      </c>
      <c r="B45" s="351">
        <v>43909.0</v>
      </c>
      <c r="C45" s="352">
        <v>140731.0</v>
      </c>
      <c r="D45" s="354" t="s">
        <v>322</v>
      </c>
      <c r="E45" s="353" t="s">
        <v>323</v>
      </c>
      <c r="F45" s="354" t="s">
        <v>321</v>
      </c>
      <c r="G45" s="342"/>
      <c r="H45" s="342"/>
      <c r="I45" s="342"/>
      <c r="J45" s="342"/>
      <c r="K45" s="342"/>
      <c r="L45" s="342"/>
      <c r="M45" s="342"/>
    </row>
    <row r="46" ht="15.75" customHeight="1">
      <c r="A46" s="350" t="s">
        <v>217</v>
      </c>
      <c r="B46" s="351">
        <v>43909.0</v>
      </c>
      <c r="C46" s="352">
        <v>181249.0</v>
      </c>
      <c r="D46" s="354" t="s">
        <v>324</v>
      </c>
      <c r="E46" s="353" t="s">
        <v>325</v>
      </c>
      <c r="F46" s="354" t="s">
        <v>321</v>
      </c>
      <c r="G46" s="342"/>
      <c r="H46" s="342"/>
      <c r="I46" s="342"/>
      <c r="J46" s="342"/>
      <c r="K46" s="342"/>
      <c r="L46" s="342"/>
      <c r="M46" s="342"/>
    </row>
    <row r="47" ht="15.75" customHeight="1">
      <c r="A47" s="354"/>
      <c r="B47" s="351"/>
      <c r="C47" s="352"/>
      <c r="D47" s="354"/>
      <c r="E47" s="353"/>
      <c r="F47" s="354"/>
      <c r="G47" s="342"/>
      <c r="H47" s="342"/>
      <c r="I47" s="342"/>
      <c r="J47" s="342"/>
      <c r="K47" s="342"/>
      <c r="L47" s="342"/>
      <c r="M47" s="342"/>
    </row>
    <row r="48" ht="15.75" customHeight="1">
      <c r="A48" s="350" t="s">
        <v>326</v>
      </c>
      <c r="B48" s="351">
        <v>43909.0</v>
      </c>
      <c r="C48" s="352">
        <v>140801.0</v>
      </c>
      <c r="D48" s="354" t="s">
        <v>327</v>
      </c>
      <c r="E48" s="353" t="s">
        <v>328</v>
      </c>
      <c r="F48" s="354"/>
      <c r="G48" s="342"/>
      <c r="H48" s="342"/>
      <c r="I48" s="342"/>
      <c r="J48" s="342"/>
      <c r="K48" s="342"/>
      <c r="L48" s="342"/>
      <c r="M48" s="342"/>
    </row>
    <row r="49" ht="15.75" customHeight="1">
      <c r="A49" s="376"/>
      <c r="B49" s="355"/>
      <c r="C49" s="352"/>
      <c r="D49" s="363"/>
      <c r="E49" s="377"/>
      <c r="F49" s="354"/>
      <c r="G49" s="342"/>
      <c r="H49" s="342"/>
      <c r="I49" s="342"/>
      <c r="J49" s="342"/>
      <c r="K49" s="342"/>
      <c r="L49" s="342"/>
      <c r="M49" s="342"/>
    </row>
    <row r="50" ht="15.75" customHeight="1">
      <c r="A50" s="378" t="s">
        <v>329</v>
      </c>
      <c r="B50" s="355">
        <v>43944.0</v>
      </c>
      <c r="C50" s="352">
        <v>162287.0</v>
      </c>
      <c r="D50" s="363" t="s">
        <v>330</v>
      </c>
      <c r="E50" s="377" t="s">
        <v>331</v>
      </c>
      <c r="F50" s="354"/>
      <c r="G50" s="342"/>
      <c r="H50" s="342"/>
      <c r="I50" s="342"/>
      <c r="J50" s="342"/>
      <c r="K50" s="342"/>
      <c r="L50" s="342"/>
      <c r="M50" s="342"/>
    </row>
    <row r="51" ht="15.75" customHeight="1">
      <c r="A51" s="378" t="s">
        <v>329</v>
      </c>
      <c r="B51" s="355">
        <v>43958.0</v>
      </c>
      <c r="C51" s="352">
        <v>146515.0</v>
      </c>
      <c r="D51" s="353" t="s">
        <v>332</v>
      </c>
      <c r="E51" s="363" t="s">
        <v>333</v>
      </c>
      <c r="F51" s="354"/>
      <c r="G51" s="342"/>
      <c r="H51" s="342"/>
      <c r="I51" s="342"/>
      <c r="J51" s="342"/>
      <c r="K51" s="342"/>
      <c r="L51" s="342"/>
      <c r="M51" s="342"/>
    </row>
    <row r="52" ht="15.75" customHeight="1">
      <c r="A52" s="378" t="s">
        <v>329</v>
      </c>
      <c r="B52" s="359">
        <v>44397.0</v>
      </c>
      <c r="C52" s="365">
        <v>196098.0</v>
      </c>
      <c r="D52" s="360" t="s">
        <v>334</v>
      </c>
      <c r="E52" s="379" t="s">
        <v>335</v>
      </c>
      <c r="F52" s="354"/>
      <c r="G52" s="342"/>
      <c r="H52" s="342"/>
      <c r="I52" s="342"/>
      <c r="J52" s="342"/>
      <c r="K52" s="342"/>
      <c r="L52" s="342"/>
      <c r="M52" s="342"/>
    </row>
    <row r="53" ht="15.75" customHeight="1">
      <c r="A53" s="353"/>
      <c r="B53" s="355"/>
      <c r="C53" s="352"/>
      <c r="D53" s="353"/>
      <c r="E53" s="380"/>
      <c r="F53" s="354"/>
      <c r="G53" s="342"/>
      <c r="H53" s="342"/>
      <c r="I53" s="342"/>
      <c r="J53" s="342"/>
      <c r="K53" s="342"/>
      <c r="L53" s="342"/>
      <c r="M53" s="342"/>
    </row>
    <row r="54" ht="15.75" customHeight="1">
      <c r="A54" s="358" t="s">
        <v>336</v>
      </c>
      <c r="B54" s="355">
        <v>43944.0</v>
      </c>
      <c r="C54" s="352">
        <v>194162.0</v>
      </c>
      <c r="D54" s="353" t="s">
        <v>337</v>
      </c>
      <c r="E54" s="380" t="s">
        <v>338</v>
      </c>
      <c r="F54" s="354"/>
      <c r="G54" s="342"/>
      <c r="H54" s="342"/>
      <c r="I54" s="342"/>
      <c r="J54" s="342"/>
      <c r="K54" s="342"/>
      <c r="L54" s="342"/>
      <c r="M54" s="342"/>
    </row>
    <row r="55" ht="15.75" customHeight="1">
      <c r="A55" s="358" t="s">
        <v>336</v>
      </c>
      <c r="B55" s="355">
        <v>43963.0</v>
      </c>
      <c r="C55" s="352">
        <v>199227.0</v>
      </c>
      <c r="D55" s="381" t="s">
        <v>39</v>
      </c>
      <c r="E55" s="381" t="s">
        <v>339</v>
      </c>
      <c r="F55" s="354"/>
      <c r="G55" s="342"/>
      <c r="H55" s="342"/>
      <c r="I55" s="342"/>
      <c r="J55" s="342"/>
      <c r="K55" s="342"/>
      <c r="L55" s="342"/>
      <c r="M55" s="342"/>
    </row>
    <row r="56" ht="15.75" customHeight="1">
      <c r="A56" s="353"/>
      <c r="B56" s="351"/>
      <c r="C56" s="356"/>
      <c r="D56" s="353"/>
      <c r="E56" s="353"/>
      <c r="F56" s="354"/>
      <c r="G56" s="342"/>
      <c r="H56" s="342"/>
      <c r="I56" s="342"/>
      <c r="J56" s="342"/>
      <c r="K56" s="342"/>
      <c r="L56" s="342"/>
      <c r="M56" s="342"/>
    </row>
    <row r="57" ht="15.75" customHeight="1">
      <c r="A57" s="358" t="s">
        <v>340</v>
      </c>
      <c r="B57" s="351">
        <v>43909.0</v>
      </c>
      <c r="C57" s="356">
        <v>162462.0</v>
      </c>
      <c r="D57" s="353" t="s">
        <v>341</v>
      </c>
      <c r="E57" s="353" t="s">
        <v>342</v>
      </c>
      <c r="F57" s="354"/>
      <c r="G57" s="342"/>
      <c r="H57" s="342"/>
      <c r="I57" s="342"/>
      <c r="J57" s="342"/>
      <c r="K57" s="342"/>
      <c r="L57" s="342"/>
      <c r="M57" s="342"/>
    </row>
    <row r="58" ht="15.75" customHeight="1">
      <c r="A58" s="358" t="s">
        <v>340</v>
      </c>
      <c r="B58" s="359">
        <v>44244.0</v>
      </c>
      <c r="C58" s="368">
        <v>192592.0</v>
      </c>
      <c r="D58" s="360" t="s">
        <v>343</v>
      </c>
      <c r="E58" s="360" t="s">
        <v>344</v>
      </c>
      <c r="F58" s="354"/>
      <c r="G58" s="342"/>
      <c r="H58" s="342"/>
      <c r="I58" s="342"/>
      <c r="J58" s="342"/>
      <c r="K58" s="342"/>
      <c r="L58" s="342"/>
      <c r="M58" s="342"/>
    </row>
    <row r="59" ht="15.75" customHeight="1">
      <c r="A59" s="353"/>
      <c r="B59" s="351"/>
      <c r="C59" s="356"/>
      <c r="D59" s="353"/>
      <c r="E59" s="353"/>
      <c r="F59" s="354"/>
      <c r="G59" s="342"/>
      <c r="H59" s="342"/>
      <c r="I59" s="342"/>
      <c r="J59" s="342"/>
      <c r="K59" s="342"/>
      <c r="L59" s="342"/>
      <c r="M59" s="342"/>
    </row>
    <row r="60" ht="15.75" customHeight="1">
      <c r="A60" s="358" t="s">
        <v>162</v>
      </c>
      <c r="B60" s="351">
        <v>43909.0</v>
      </c>
      <c r="C60" s="356">
        <v>142388.0</v>
      </c>
      <c r="D60" s="353" t="s">
        <v>345</v>
      </c>
      <c r="E60" s="353" t="s">
        <v>346</v>
      </c>
      <c r="F60" s="354"/>
      <c r="G60" s="342"/>
      <c r="H60" s="342"/>
      <c r="I60" s="342"/>
      <c r="J60" s="342"/>
      <c r="K60" s="342"/>
      <c r="L60" s="342"/>
      <c r="M60" s="342"/>
    </row>
    <row r="61" ht="15.75" customHeight="1">
      <c r="A61" s="358" t="s">
        <v>162</v>
      </c>
      <c r="B61" s="355">
        <v>43923.0</v>
      </c>
      <c r="C61" s="356">
        <v>180140.0</v>
      </c>
      <c r="D61" s="353" t="s">
        <v>347</v>
      </c>
      <c r="E61" s="353" t="s">
        <v>348</v>
      </c>
      <c r="F61" s="354"/>
      <c r="G61" s="342"/>
      <c r="H61" s="342"/>
      <c r="I61" s="342"/>
      <c r="J61" s="342"/>
      <c r="K61" s="342"/>
      <c r="L61" s="342"/>
      <c r="M61" s="342"/>
    </row>
    <row r="62" ht="15.75" customHeight="1">
      <c r="A62" s="358" t="s">
        <v>162</v>
      </c>
      <c r="B62" s="355">
        <v>43970.0</v>
      </c>
      <c r="C62" s="356">
        <v>199363.0</v>
      </c>
      <c r="D62" s="353" t="s">
        <v>349</v>
      </c>
      <c r="E62" s="377" t="s">
        <v>350</v>
      </c>
      <c r="F62" s="354"/>
      <c r="G62" s="342"/>
      <c r="H62" s="342"/>
      <c r="I62" s="342"/>
      <c r="J62" s="342"/>
      <c r="K62" s="342"/>
      <c r="L62" s="342"/>
      <c r="M62" s="342"/>
    </row>
    <row r="63" ht="15.75" customHeight="1">
      <c r="A63" s="358" t="s">
        <v>162</v>
      </c>
      <c r="B63" s="355">
        <v>43970.0</v>
      </c>
      <c r="C63" s="356">
        <v>183668.0</v>
      </c>
      <c r="D63" s="353" t="s">
        <v>351</v>
      </c>
      <c r="E63" s="360" t="s">
        <v>352</v>
      </c>
      <c r="F63" s="354"/>
      <c r="G63" s="342"/>
      <c r="H63" s="342"/>
      <c r="I63" s="342"/>
      <c r="J63" s="342"/>
      <c r="K63" s="342"/>
      <c r="L63" s="342"/>
      <c r="M63" s="342"/>
    </row>
    <row r="64" ht="15.75" customHeight="1">
      <c r="A64" s="376"/>
      <c r="B64" s="355"/>
      <c r="C64" s="352"/>
      <c r="E64" s="377"/>
      <c r="F64" s="354"/>
      <c r="G64" s="342"/>
      <c r="H64" s="342"/>
      <c r="I64" s="342"/>
      <c r="J64" s="342"/>
      <c r="K64" s="342"/>
      <c r="L64" s="342"/>
      <c r="M64" s="342"/>
    </row>
    <row r="65" ht="15.75" customHeight="1">
      <c r="A65" s="378" t="s">
        <v>353</v>
      </c>
      <c r="B65" s="355">
        <v>43944.0</v>
      </c>
      <c r="C65" s="352">
        <v>125206.0</v>
      </c>
      <c r="D65" s="353" t="s">
        <v>354</v>
      </c>
      <c r="E65" s="377" t="s">
        <v>355</v>
      </c>
      <c r="F65" s="354"/>
      <c r="G65" s="342"/>
      <c r="H65" s="342"/>
      <c r="I65" s="342"/>
      <c r="J65" s="342"/>
      <c r="K65" s="342"/>
      <c r="L65" s="342"/>
      <c r="M65" s="342"/>
    </row>
    <row r="66" ht="15.75" customHeight="1">
      <c r="A66" s="378" t="s">
        <v>353</v>
      </c>
      <c r="B66" s="359">
        <v>44397.0</v>
      </c>
      <c r="C66" s="356"/>
      <c r="D66" s="360" t="s">
        <v>356</v>
      </c>
      <c r="E66" s="360" t="s">
        <v>357</v>
      </c>
      <c r="F66" s="354"/>
      <c r="G66" s="342"/>
      <c r="H66" s="342"/>
      <c r="I66" s="342"/>
      <c r="J66" s="342"/>
      <c r="K66" s="342"/>
      <c r="L66" s="342"/>
      <c r="M66" s="342"/>
    </row>
    <row r="67" ht="15.75" customHeight="1">
      <c r="A67" s="378" t="s">
        <v>353</v>
      </c>
      <c r="B67" s="359">
        <v>44456.0</v>
      </c>
      <c r="C67" s="356"/>
      <c r="D67" s="360" t="s">
        <v>358</v>
      </c>
      <c r="E67" s="360" t="s">
        <v>359</v>
      </c>
      <c r="F67" s="354"/>
      <c r="G67" s="342"/>
      <c r="H67" s="342"/>
      <c r="I67" s="342"/>
      <c r="J67" s="342"/>
      <c r="K67" s="342"/>
      <c r="L67" s="342"/>
      <c r="M67" s="342"/>
    </row>
    <row r="68" ht="15.75" customHeight="1">
      <c r="A68" s="378" t="s">
        <v>353</v>
      </c>
      <c r="B68" s="359">
        <v>44463.0</v>
      </c>
      <c r="C68" s="356"/>
      <c r="D68" s="360" t="s">
        <v>360</v>
      </c>
      <c r="E68" s="360" t="s">
        <v>361</v>
      </c>
      <c r="F68" s="354"/>
      <c r="G68" s="342"/>
      <c r="H68" s="342"/>
      <c r="I68" s="342"/>
      <c r="J68" s="342"/>
      <c r="K68" s="342"/>
      <c r="L68" s="342"/>
      <c r="M68" s="342"/>
    </row>
    <row r="69" ht="15.75" customHeight="1">
      <c r="A69" s="378" t="s">
        <v>353</v>
      </c>
      <c r="B69" s="359">
        <v>44477.0</v>
      </c>
      <c r="C69" s="356"/>
      <c r="D69" s="360" t="s">
        <v>362</v>
      </c>
      <c r="E69" s="360" t="s">
        <v>363</v>
      </c>
      <c r="F69" s="354"/>
      <c r="G69" s="342"/>
      <c r="H69" s="342"/>
      <c r="I69" s="342"/>
      <c r="J69" s="342"/>
      <c r="K69" s="342"/>
      <c r="L69" s="342"/>
      <c r="M69" s="342"/>
    </row>
    <row r="70" ht="15.75" customHeight="1">
      <c r="A70" s="378" t="s">
        <v>353</v>
      </c>
      <c r="B70" s="359">
        <v>44477.0</v>
      </c>
      <c r="C70" s="356"/>
      <c r="D70" s="360" t="s">
        <v>364</v>
      </c>
      <c r="E70" s="360" t="s">
        <v>365</v>
      </c>
      <c r="F70" s="354"/>
      <c r="G70" s="342"/>
      <c r="H70" s="342"/>
      <c r="I70" s="342"/>
      <c r="J70" s="342"/>
      <c r="K70" s="342"/>
      <c r="L70" s="342"/>
      <c r="M70" s="342"/>
    </row>
    <row r="71" ht="15.75" customHeight="1">
      <c r="A71" s="353"/>
      <c r="B71" s="351"/>
      <c r="C71" s="356"/>
      <c r="D71" s="353"/>
      <c r="E71" s="353"/>
      <c r="F71" s="354"/>
      <c r="G71" s="342"/>
      <c r="H71" s="342"/>
      <c r="I71" s="342"/>
      <c r="J71" s="342"/>
      <c r="K71" s="342"/>
      <c r="L71" s="342"/>
      <c r="M71" s="342"/>
    </row>
    <row r="72" ht="15.75" customHeight="1">
      <c r="A72" s="382" t="s">
        <v>366</v>
      </c>
      <c r="B72" s="359">
        <v>44244.0</v>
      </c>
      <c r="C72" s="368">
        <v>215098.0</v>
      </c>
      <c r="D72" s="360" t="s">
        <v>367</v>
      </c>
      <c r="E72" s="383" t="s">
        <v>368</v>
      </c>
      <c r="F72" s="354"/>
      <c r="G72" s="342"/>
      <c r="H72" s="342"/>
      <c r="I72" s="342"/>
      <c r="J72" s="342"/>
      <c r="K72" s="342"/>
      <c r="L72" s="342"/>
      <c r="M72" s="342"/>
    </row>
    <row r="73" ht="15.75" customHeight="1">
      <c r="A73" s="353"/>
      <c r="B73" s="351"/>
      <c r="C73" s="356"/>
      <c r="D73" s="353"/>
      <c r="E73" s="353"/>
      <c r="F73" s="354"/>
      <c r="G73" s="342"/>
      <c r="H73" s="342"/>
      <c r="I73" s="342"/>
      <c r="J73" s="342"/>
      <c r="K73" s="342"/>
      <c r="L73" s="342"/>
      <c r="M73" s="342"/>
    </row>
    <row r="74" ht="15.75" customHeight="1">
      <c r="A74" s="358" t="s">
        <v>78</v>
      </c>
      <c r="B74" s="351">
        <v>43909.0</v>
      </c>
      <c r="C74" s="356">
        <v>140817.0</v>
      </c>
      <c r="D74" s="353" t="s">
        <v>369</v>
      </c>
      <c r="E74" s="353" t="s">
        <v>370</v>
      </c>
      <c r="F74" s="354"/>
      <c r="G74" s="342"/>
      <c r="H74" s="342"/>
      <c r="I74" s="342"/>
      <c r="J74" s="342"/>
      <c r="K74" s="342"/>
      <c r="L74" s="342"/>
      <c r="M74" s="342"/>
    </row>
    <row r="75" ht="15.75" customHeight="1">
      <c r="A75" s="358" t="s">
        <v>78</v>
      </c>
      <c r="B75" s="355">
        <v>43994.0</v>
      </c>
      <c r="C75" s="352"/>
      <c r="E75" s="377" t="s">
        <v>371</v>
      </c>
      <c r="F75" s="354"/>
      <c r="G75" s="342"/>
      <c r="H75" s="342"/>
      <c r="I75" s="342"/>
      <c r="J75" s="342"/>
      <c r="K75" s="342"/>
      <c r="L75" s="342"/>
      <c r="M75" s="342"/>
    </row>
    <row r="76" ht="15.75" customHeight="1">
      <c r="A76" s="358" t="s">
        <v>78</v>
      </c>
      <c r="B76" s="373">
        <v>44124.0</v>
      </c>
      <c r="C76" s="352"/>
      <c r="D76" s="353" t="s">
        <v>372</v>
      </c>
      <c r="E76" s="375" t="s">
        <v>373</v>
      </c>
      <c r="F76" s="362" t="s">
        <v>374</v>
      </c>
      <c r="G76" s="342"/>
      <c r="H76" s="342"/>
      <c r="I76" s="342"/>
      <c r="J76" s="342"/>
      <c r="K76" s="342"/>
      <c r="L76" s="342"/>
      <c r="M76" s="342"/>
    </row>
    <row r="77" ht="15.75" customHeight="1">
      <c r="A77" s="358" t="s">
        <v>78</v>
      </c>
      <c r="B77" s="373">
        <v>44375.0</v>
      </c>
      <c r="C77" s="365">
        <v>222486.0</v>
      </c>
      <c r="D77" s="384" t="s">
        <v>375</v>
      </c>
      <c r="E77" s="366" t="s">
        <v>376</v>
      </c>
      <c r="F77" s="354"/>
      <c r="G77" s="342"/>
      <c r="H77" s="342"/>
      <c r="I77" s="342"/>
      <c r="J77" s="342"/>
      <c r="K77" s="342"/>
      <c r="L77" s="342"/>
      <c r="M77" s="342"/>
    </row>
    <row r="78" ht="15.75" customHeight="1">
      <c r="A78" s="358" t="s">
        <v>78</v>
      </c>
      <c r="B78" s="373">
        <v>44411.0</v>
      </c>
      <c r="C78" s="365">
        <v>223547.0</v>
      </c>
      <c r="D78" s="366" t="s">
        <v>377</v>
      </c>
      <c r="E78" s="366" t="s">
        <v>378</v>
      </c>
      <c r="F78" s="354"/>
      <c r="G78" s="342"/>
      <c r="H78" s="342"/>
      <c r="I78" s="342"/>
      <c r="J78" s="342"/>
      <c r="K78" s="342"/>
      <c r="L78" s="342"/>
      <c r="M78" s="342"/>
    </row>
    <row r="79" ht="15.75" customHeight="1">
      <c r="A79" s="358" t="s">
        <v>78</v>
      </c>
      <c r="B79" s="373">
        <v>44504.0</v>
      </c>
      <c r="C79" s="365">
        <v>1.101180112E9</v>
      </c>
      <c r="D79" s="366" t="s">
        <v>266</v>
      </c>
      <c r="E79" s="366" t="s">
        <v>379</v>
      </c>
      <c r="F79" s="362" t="s">
        <v>380</v>
      </c>
      <c r="G79" s="342"/>
      <c r="H79" s="342"/>
      <c r="I79" s="342"/>
      <c r="J79" s="342"/>
      <c r="K79" s="342"/>
      <c r="L79" s="342"/>
      <c r="M79" s="342"/>
    </row>
    <row r="80" ht="15.75" customHeight="1">
      <c r="A80" s="353"/>
      <c r="B80" s="355"/>
      <c r="C80" s="352"/>
      <c r="D80" s="354"/>
      <c r="E80" s="377"/>
      <c r="F80" s="354"/>
      <c r="G80" s="342"/>
      <c r="H80" s="342"/>
      <c r="I80" s="342"/>
      <c r="J80" s="342"/>
      <c r="K80" s="342"/>
      <c r="L80" s="342"/>
      <c r="M80" s="342"/>
    </row>
    <row r="81" ht="15.75" customHeight="1">
      <c r="A81" s="382" t="s">
        <v>381</v>
      </c>
      <c r="B81" s="373">
        <v>44244.0</v>
      </c>
      <c r="C81" s="385">
        <v>211459.0</v>
      </c>
      <c r="D81" s="362" t="s">
        <v>382</v>
      </c>
      <c r="E81" s="386" t="s">
        <v>383</v>
      </c>
      <c r="F81" s="354"/>
      <c r="G81" s="342"/>
      <c r="H81" s="342"/>
      <c r="I81" s="342"/>
      <c r="J81" s="342"/>
      <c r="K81" s="342"/>
      <c r="L81" s="342"/>
      <c r="M81" s="342"/>
    </row>
    <row r="82" ht="15.75" customHeight="1">
      <c r="A82" s="353"/>
      <c r="B82" s="355"/>
      <c r="C82" s="352"/>
      <c r="D82" s="354"/>
      <c r="E82" s="377"/>
      <c r="F82" s="354"/>
      <c r="G82" s="342"/>
      <c r="H82" s="342"/>
      <c r="I82" s="342"/>
      <c r="J82" s="342"/>
      <c r="K82" s="342"/>
      <c r="L82" s="342"/>
      <c r="M82" s="342"/>
    </row>
    <row r="83" ht="15.75" customHeight="1">
      <c r="A83" s="358" t="s">
        <v>384</v>
      </c>
      <c r="B83" s="355">
        <v>43916.0</v>
      </c>
      <c r="C83" s="352">
        <v>167682.0</v>
      </c>
      <c r="D83" s="354" t="s">
        <v>385</v>
      </c>
      <c r="E83" s="377" t="s">
        <v>386</v>
      </c>
      <c r="F83" s="354"/>
      <c r="G83" s="342"/>
      <c r="H83" s="342"/>
      <c r="I83" s="342"/>
      <c r="J83" s="342"/>
      <c r="K83" s="342"/>
      <c r="L83" s="342"/>
      <c r="M83" s="342"/>
    </row>
    <row r="84" ht="15.75" customHeight="1">
      <c r="A84" s="358" t="s">
        <v>384</v>
      </c>
      <c r="B84" s="355">
        <v>43970.0</v>
      </c>
      <c r="C84" s="356">
        <v>161322.0</v>
      </c>
      <c r="D84" s="353" t="s">
        <v>387</v>
      </c>
      <c r="E84" s="353" t="s">
        <v>388</v>
      </c>
      <c r="F84" s="354"/>
      <c r="G84" s="342"/>
      <c r="H84" s="342"/>
      <c r="I84" s="342"/>
      <c r="J84" s="342"/>
      <c r="K84" s="342"/>
      <c r="L84" s="342"/>
      <c r="M84" s="342"/>
    </row>
    <row r="85" ht="15.75" customHeight="1">
      <c r="A85" s="358" t="s">
        <v>384</v>
      </c>
      <c r="B85" s="359">
        <v>44179.0</v>
      </c>
      <c r="C85" s="352"/>
      <c r="D85" s="362" t="s">
        <v>389</v>
      </c>
      <c r="E85" s="362" t="s">
        <v>390</v>
      </c>
      <c r="F85" s="354"/>
      <c r="G85" s="342"/>
      <c r="H85" s="342"/>
      <c r="I85" s="342"/>
      <c r="J85" s="342"/>
      <c r="K85" s="342"/>
      <c r="L85" s="342"/>
      <c r="M85" s="342"/>
    </row>
    <row r="86" ht="15.75" customHeight="1">
      <c r="A86" s="358" t="s">
        <v>384</v>
      </c>
      <c r="B86" s="359">
        <v>44504.0</v>
      </c>
      <c r="C86" s="365">
        <v>161321.0</v>
      </c>
      <c r="D86" s="362" t="s">
        <v>391</v>
      </c>
      <c r="E86" s="362" t="s">
        <v>392</v>
      </c>
      <c r="F86" s="354"/>
      <c r="G86" s="342"/>
      <c r="H86" s="342"/>
      <c r="I86" s="342"/>
      <c r="J86" s="342"/>
      <c r="K86" s="342"/>
      <c r="L86" s="342"/>
      <c r="M86" s="342"/>
    </row>
    <row r="87" ht="15.75" customHeight="1">
      <c r="A87" s="354"/>
      <c r="B87" s="351"/>
      <c r="C87" s="352"/>
      <c r="D87" s="354"/>
      <c r="E87" s="354"/>
      <c r="F87" s="354"/>
      <c r="G87" s="342"/>
      <c r="H87" s="342"/>
      <c r="I87" s="342"/>
      <c r="J87" s="342"/>
      <c r="K87" s="342"/>
      <c r="L87" s="342"/>
      <c r="M87" s="342"/>
    </row>
    <row r="88" ht="15.75" customHeight="1">
      <c r="A88" s="350" t="s">
        <v>173</v>
      </c>
      <c r="B88" s="351">
        <v>43909.0</v>
      </c>
      <c r="C88" s="352">
        <v>180516.0</v>
      </c>
      <c r="D88" s="354" t="s">
        <v>393</v>
      </c>
      <c r="E88" s="354" t="s">
        <v>394</v>
      </c>
      <c r="F88" s="354"/>
      <c r="G88" s="342"/>
      <c r="H88" s="342"/>
      <c r="I88" s="342"/>
      <c r="J88" s="342"/>
      <c r="K88" s="342"/>
      <c r="L88" s="342"/>
      <c r="M88" s="342"/>
    </row>
    <row r="89" ht="15.75" customHeight="1">
      <c r="A89" s="350" t="s">
        <v>173</v>
      </c>
      <c r="B89" s="351">
        <v>43909.0</v>
      </c>
      <c r="C89" s="352">
        <v>180517.0</v>
      </c>
      <c r="D89" s="354" t="s">
        <v>395</v>
      </c>
      <c r="E89" s="354" t="s">
        <v>396</v>
      </c>
      <c r="F89" s="354"/>
      <c r="G89" s="342"/>
      <c r="H89" s="342"/>
      <c r="I89" s="342"/>
      <c r="J89" s="342"/>
      <c r="K89" s="342"/>
      <c r="L89" s="342"/>
      <c r="M89" s="342"/>
    </row>
    <row r="90" ht="15.75" customHeight="1">
      <c r="A90" s="350" t="s">
        <v>173</v>
      </c>
      <c r="B90" s="355">
        <v>43987.0</v>
      </c>
      <c r="C90" s="352"/>
      <c r="D90" s="353" t="s">
        <v>397</v>
      </c>
      <c r="E90" s="353" t="s">
        <v>398</v>
      </c>
      <c r="F90" s="354"/>
      <c r="G90" s="342"/>
      <c r="H90" s="342"/>
      <c r="I90" s="342"/>
      <c r="J90" s="342"/>
      <c r="K90" s="342"/>
      <c r="L90" s="342"/>
      <c r="M90" s="342"/>
    </row>
    <row r="91" ht="15.75" customHeight="1">
      <c r="A91" s="350" t="s">
        <v>173</v>
      </c>
      <c r="B91" s="355">
        <v>43987.0</v>
      </c>
      <c r="C91" s="352"/>
      <c r="D91" s="353" t="s">
        <v>399</v>
      </c>
      <c r="E91" s="353" t="s">
        <v>400</v>
      </c>
      <c r="F91" s="354"/>
      <c r="G91" s="342"/>
      <c r="H91" s="342"/>
      <c r="I91" s="342"/>
      <c r="J91" s="342"/>
      <c r="K91" s="342"/>
      <c r="L91" s="342"/>
      <c r="M91" s="342"/>
    </row>
    <row r="92" ht="15.75" customHeight="1">
      <c r="A92" s="350" t="s">
        <v>173</v>
      </c>
      <c r="B92" s="355">
        <v>43987.0</v>
      </c>
      <c r="C92" s="352"/>
      <c r="D92" s="353" t="s">
        <v>401</v>
      </c>
      <c r="E92" s="353" t="s">
        <v>402</v>
      </c>
      <c r="F92" s="354"/>
      <c r="G92" s="342"/>
      <c r="H92" s="342"/>
      <c r="I92" s="342"/>
      <c r="J92" s="342"/>
      <c r="K92" s="342"/>
      <c r="L92" s="342"/>
      <c r="M92" s="342"/>
    </row>
    <row r="93" ht="15.75" customHeight="1">
      <c r="A93" s="353"/>
      <c r="B93" s="355"/>
      <c r="C93" s="352"/>
      <c r="D93" s="354"/>
      <c r="E93" s="353"/>
      <c r="F93" s="354"/>
      <c r="G93" s="342"/>
      <c r="H93" s="342"/>
      <c r="I93" s="342"/>
      <c r="J93" s="342"/>
      <c r="K93" s="342"/>
      <c r="L93" s="342"/>
      <c r="M93" s="342"/>
    </row>
    <row r="94" ht="15.75" customHeight="1">
      <c r="A94" s="358" t="s">
        <v>403</v>
      </c>
      <c r="B94" s="355">
        <v>43944.0</v>
      </c>
      <c r="C94" s="352">
        <v>193925.0</v>
      </c>
      <c r="D94" s="354" t="s">
        <v>404</v>
      </c>
      <c r="E94" s="353" t="s">
        <v>405</v>
      </c>
      <c r="F94" s="354"/>
      <c r="G94" s="342"/>
      <c r="H94" s="342"/>
      <c r="I94" s="342"/>
      <c r="J94" s="342"/>
      <c r="K94" s="342"/>
      <c r="L94" s="342"/>
      <c r="M94" s="342"/>
    </row>
    <row r="95" ht="15.75" customHeight="1">
      <c r="A95" s="354"/>
      <c r="B95" s="355"/>
      <c r="C95" s="352"/>
      <c r="D95" s="354"/>
      <c r="E95" s="353"/>
      <c r="F95" s="354"/>
      <c r="G95" s="342"/>
      <c r="H95" s="342"/>
      <c r="I95" s="342"/>
      <c r="J95" s="342"/>
      <c r="K95" s="342"/>
      <c r="L95" s="342"/>
      <c r="M95" s="342"/>
    </row>
    <row r="96" ht="15.75" customHeight="1">
      <c r="A96" s="387" t="s">
        <v>84</v>
      </c>
      <c r="B96" s="373">
        <v>44174.0</v>
      </c>
      <c r="C96" s="352"/>
      <c r="D96" s="362" t="s">
        <v>406</v>
      </c>
      <c r="E96" s="360" t="s">
        <v>407</v>
      </c>
      <c r="F96" s="354"/>
      <c r="G96" s="342"/>
      <c r="H96" s="342"/>
      <c r="I96" s="342"/>
      <c r="J96" s="342"/>
      <c r="K96" s="342"/>
      <c r="L96" s="342"/>
      <c r="M96" s="342"/>
    </row>
    <row r="97" ht="15.75" customHeight="1">
      <c r="A97" s="354"/>
      <c r="B97" s="355"/>
      <c r="C97" s="352"/>
      <c r="D97" s="354"/>
      <c r="E97" s="353"/>
      <c r="F97" s="354"/>
      <c r="G97" s="342"/>
      <c r="H97" s="342"/>
      <c r="I97" s="342"/>
      <c r="J97" s="342"/>
      <c r="K97" s="342"/>
      <c r="L97" s="342"/>
      <c r="M97" s="342"/>
    </row>
    <row r="98" ht="15.75" customHeight="1">
      <c r="A98" s="350" t="s">
        <v>408</v>
      </c>
      <c r="B98" s="355">
        <v>43909.0</v>
      </c>
      <c r="C98" s="352">
        <v>179045.0</v>
      </c>
      <c r="D98" s="354" t="s">
        <v>409</v>
      </c>
      <c r="E98" s="353" t="s">
        <v>410</v>
      </c>
      <c r="F98" s="354"/>
      <c r="G98" s="342"/>
      <c r="H98" s="342"/>
      <c r="I98" s="342"/>
      <c r="J98" s="342"/>
      <c r="K98" s="342"/>
      <c r="L98" s="342"/>
      <c r="M98" s="342"/>
    </row>
    <row r="99" ht="15.75" customHeight="1">
      <c r="A99" s="354"/>
      <c r="B99" s="351"/>
      <c r="C99" s="352"/>
      <c r="D99" s="354"/>
      <c r="E99" s="354"/>
      <c r="F99" s="354"/>
      <c r="G99" s="342"/>
      <c r="H99" s="342"/>
      <c r="I99" s="342"/>
      <c r="J99" s="342"/>
      <c r="K99" s="342"/>
      <c r="L99" s="342"/>
      <c r="M99" s="342"/>
    </row>
    <row r="100" ht="15.75" customHeight="1">
      <c r="A100" s="350" t="s">
        <v>411</v>
      </c>
      <c r="B100" s="351">
        <v>43909.0</v>
      </c>
      <c r="C100" s="352">
        <v>179876.0</v>
      </c>
      <c r="D100" s="354" t="s">
        <v>412</v>
      </c>
      <c r="E100" s="353" t="s">
        <v>413</v>
      </c>
      <c r="F100" s="354"/>
      <c r="G100" s="342"/>
      <c r="H100" s="342"/>
      <c r="I100" s="342"/>
      <c r="J100" s="342"/>
      <c r="K100" s="342"/>
      <c r="L100" s="342"/>
      <c r="M100" s="342"/>
    </row>
    <row r="101" ht="15.75" customHeight="1">
      <c r="A101" s="358" t="s">
        <v>411</v>
      </c>
      <c r="B101" s="355">
        <v>43944.0</v>
      </c>
      <c r="C101" s="352">
        <v>86465.0</v>
      </c>
      <c r="D101" s="363" t="s">
        <v>414</v>
      </c>
      <c r="E101" s="353" t="s">
        <v>415</v>
      </c>
      <c r="F101" s="354"/>
      <c r="G101" s="342"/>
      <c r="H101" s="342"/>
      <c r="I101" s="342"/>
      <c r="J101" s="342"/>
      <c r="K101" s="342"/>
      <c r="L101" s="342"/>
      <c r="M101" s="342"/>
    </row>
    <row r="102" ht="15.75" customHeight="1">
      <c r="A102" s="358" t="s">
        <v>411</v>
      </c>
      <c r="B102" s="355">
        <v>43970.0</v>
      </c>
      <c r="C102" s="356">
        <v>86444.0</v>
      </c>
      <c r="D102" s="363" t="s">
        <v>416</v>
      </c>
      <c r="E102" s="353" t="s">
        <v>417</v>
      </c>
      <c r="F102" s="354"/>
      <c r="G102" s="342"/>
      <c r="H102" s="342"/>
      <c r="I102" s="342"/>
      <c r="J102" s="342"/>
      <c r="K102" s="342"/>
      <c r="L102" s="342"/>
      <c r="M102" s="342"/>
    </row>
    <row r="103" ht="15.75" customHeight="1">
      <c r="A103" s="354"/>
      <c r="B103" s="351"/>
      <c r="C103" s="352"/>
      <c r="D103" s="354"/>
      <c r="E103" s="353"/>
      <c r="F103" s="354"/>
      <c r="G103" s="342"/>
      <c r="H103" s="342"/>
      <c r="I103" s="342"/>
      <c r="J103" s="342"/>
      <c r="K103" s="342"/>
      <c r="L103" s="342"/>
      <c r="M103" s="342"/>
    </row>
    <row r="104" ht="15.75" customHeight="1">
      <c r="A104" s="350" t="s">
        <v>120</v>
      </c>
      <c r="B104" s="351">
        <v>43909.0</v>
      </c>
      <c r="C104" s="352">
        <v>136094.0</v>
      </c>
      <c r="D104" s="354" t="s">
        <v>418</v>
      </c>
      <c r="E104" s="353" t="s">
        <v>419</v>
      </c>
      <c r="F104" s="354" t="s">
        <v>420</v>
      </c>
      <c r="G104" s="342"/>
      <c r="H104" s="342"/>
      <c r="I104" s="342"/>
      <c r="J104" s="342"/>
      <c r="K104" s="342"/>
      <c r="L104" s="342"/>
      <c r="M104" s="342"/>
    </row>
    <row r="105" ht="15.75" customHeight="1">
      <c r="A105" s="388"/>
      <c r="B105" s="355"/>
      <c r="C105" s="352"/>
      <c r="D105" s="353"/>
      <c r="E105" s="381"/>
      <c r="F105" s="354"/>
      <c r="G105" s="342"/>
      <c r="H105" s="342"/>
      <c r="I105" s="342"/>
      <c r="J105" s="342"/>
      <c r="K105" s="342"/>
      <c r="L105" s="342"/>
      <c r="M105" s="342"/>
    </row>
    <row r="106" ht="15.75" customHeight="1">
      <c r="A106" s="389" t="s">
        <v>192</v>
      </c>
      <c r="B106" s="355">
        <v>43923.0</v>
      </c>
      <c r="C106" s="352">
        <v>191938.0</v>
      </c>
      <c r="D106" s="353" t="s">
        <v>421</v>
      </c>
      <c r="E106" s="381" t="s">
        <v>422</v>
      </c>
      <c r="F106" s="354"/>
      <c r="G106" s="342"/>
      <c r="H106" s="342"/>
      <c r="I106" s="342"/>
      <c r="J106" s="342"/>
      <c r="K106" s="342"/>
      <c r="L106" s="342"/>
      <c r="M106" s="342"/>
    </row>
    <row r="107" ht="15.75" customHeight="1">
      <c r="A107" s="389" t="s">
        <v>192</v>
      </c>
      <c r="B107" s="355">
        <v>43923.0</v>
      </c>
      <c r="C107" s="356">
        <v>218.0</v>
      </c>
      <c r="D107" s="353" t="s">
        <v>423</v>
      </c>
      <c r="E107" s="381" t="s">
        <v>422</v>
      </c>
      <c r="F107" s="354"/>
      <c r="G107" s="342"/>
      <c r="H107" s="342"/>
      <c r="I107" s="342"/>
      <c r="J107" s="342"/>
      <c r="K107" s="342"/>
      <c r="L107" s="342"/>
      <c r="M107" s="342"/>
    </row>
    <row r="108" ht="15.75" customHeight="1">
      <c r="A108" s="354"/>
      <c r="B108" s="351"/>
      <c r="C108" s="352"/>
      <c r="D108" s="354"/>
      <c r="E108" s="353"/>
      <c r="F108" s="354"/>
      <c r="G108" s="342"/>
      <c r="H108" s="342"/>
      <c r="I108" s="342"/>
      <c r="J108" s="342"/>
      <c r="K108" s="342"/>
      <c r="L108" s="342"/>
      <c r="M108" s="342"/>
    </row>
    <row r="109" ht="15.75" customHeight="1">
      <c r="A109" s="350" t="s">
        <v>82</v>
      </c>
      <c r="B109" s="351">
        <v>43909.0</v>
      </c>
      <c r="C109" s="352">
        <v>181067.0</v>
      </c>
      <c r="D109" s="354" t="s">
        <v>424</v>
      </c>
      <c r="E109" s="353" t="s">
        <v>425</v>
      </c>
      <c r="F109" s="354" t="s">
        <v>426</v>
      </c>
      <c r="G109" s="342"/>
      <c r="H109" s="342"/>
      <c r="I109" s="342"/>
      <c r="J109" s="342"/>
      <c r="K109" s="342"/>
      <c r="L109" s="342"/>
      <c r="M109" s="342"/>
    </row>
    <row r="110" ht="15.75" customHeight="1">
      <c r="A110" s="354"/>
      <c r="B110" s="351"/>
      <c r="C110" s="352"/>
      <c r="D110" s="354"/>
      <c r="E110" s="354"/>
      <c r="F110" s="354"/>
      <c r="G110" s="342"/>
      <c r="H110" s="342"/>
      <c r="I110" s="342"/>
      <c r="J110" s="342"/>
      <c r="K110" s="342"/>
      <c r="L110" s="342"/>
      <c r="M110" s="342"/>
    </row>
    <row r="111" ht="15.75" customHeight="1">
      <c r="A111" s="350" t="s">
        <v>89</v>
      </c>
      <c r="B111" s="351">
        <v>43909.0</v>
      </c>
      <c r="C111" s="352">
        <v>113716.0</v>
      </c>
      <c r="D111" s="354" t="s">
        <v>427</v>
      </c>
      <c r="E111" s="354" t="s">
        <v>428</v>
      </c>
      <c r="F111" s="354"/>
      <c r="G111" s="342"/>
      <c r="H111" s="342"/>
      <c r="I111" s="342"/>
      <c r="J111" s="342"/>
      <c r="K111" s="342"/>
      <c r="L111" s="342"/>
      <c r="M111" s="342"/>
    </row>
    <row r="112" ht="15.75" customHeight="1">
      <c r="A112" s="350" t="s">
        <v>89</v>
      </c>
      <c r="B112" s="351">
        <v>43909.0</v>
      </c>
      <c r="C112" s="352">
        <v>150255.0</v>
      </c>
      <c r="D112" s="354" t="s">
        <v>429</v>
      </c>
      <c r="E112" s="354" t="s">
        <v>430</v>
      </c>
      <c r="F112" s="354"/>
      <c r="G112" s="342"/>
      <c r="H112" s="342"/>
      <c r="I112" s="342"/>
      <c r="J112" s="342"/>
      <c r="K112" s="342"/>
      <c r="L112" s="342"/>
      <c r="M112" s="342"/>
    </row>
    <row r="113" ht="15.75" customHeight="1">
      <c r="A113" s="350" t="s">
        <v>89</v>
      </c>
      <c r="B113" s="351">
        <v>43909.0</v>
      </c>
      <c r="C113" s="352">
        <v>177427.0</v>
      </c>
      <c r="D113" s="354" t="s">
        <v>431</v>
      </c>
      <c r="E113" s="353" t="s">
        <v>432</v>
      </c>
      <c r="F113" s="354" t="s">
        <v>433</v>
      </c>
      <c r="G113" s="342"/>
      <c r="H113" s="342"/>
      <c r="I113" s="342"/>
      <c r="J113" s="342"/>
      <c r="K113" s="342"/>
      <c r="L113" s="342"/>
      <c r="M113" s="342"/>
    </row>
    <row r="114" ht="15.75" customHeight="1">
      <c r="A114" s="350" t="s">
        <v>89</v>
      </c>
      <c r="B114" s="355">
        <v>43909.0</v>
      </c>
      <c r="C114" s="352">
        <v>193631.0</v>
      </c>
      <c r="D114" s="354" t="s">
        <v>434</v>
      </c>
      <c r="E114" s="353" t="s">
        <v>435</v>
      </c>
      <c r="F114" s="354"/>
      <c r="G114" s="342"/>
      <c r="H114" s="342"/>
      <c r="I114" s="342"/>
      <c r="J114" s="342"/>
      <c r="K114" s="342"/>
      <c r="L114" s="342"/>
      <c r="M114" s="342"/>
    </row>
    <row r="115" ht="15.75" customHeight="1">
      <c r="A115" s="350" t="s">
        <v>89</v>
      </c>
      <c r="B115" s="355">
        <v>43970.0</v>
      </c>
      <c r="C115" s="356">
        <v>132126.0</v>
      </c>
      <c r="D115" s="353" t="s">
        <v>436</v>
      </c>
      <c r="E115" s="353" t="s">
        <v>437</v>
      </c>
      <c r="F115" s="354"/>
      <c r="G115" s="342"/>
      <c r="H115" s="342"/>
      <c r="I115" s="342"/>
      <c r="J115" s="342"/>
      <c r="K115" s="342"/>
      <c r="L115" s="342"/>
      <c r="M115" s="342"/>
    </row>
    <row r="116">
      <c r="A116" s="390" t="s">
        <v>89</v>
      </c>
      <c r="B116" s="391">
        <v>44047.0</v>
      </c>
      <c r="C116" s="365">
        <v>177963.0</v>
      </c>
      <c r="D116" s="392" t="s">
        <v>95</v>
      </c>
      <c r="E116" s="393" t="s">
        <v>438</v>
      </c>
      <c r="F116" s="354"/>
      <c r="G116" s="342"/>
      <c r="H116" s="342"/>
      <c r="I116" s="342"/>
      <c r="J116" s="342"/>
      <c r="K116" s="342"/>
      <c r="L116" s="342"/>
      <c r="M116" s="342"/>
    </row>
    <row r="117" ht="15.75" customHeight="1">
      <c r="A117" s="390" t="s">
        <v>89</v>
      </c>
      <c r="B117" s="359">
        <v>44428.0</v>
      </c>
      <c r="C117" s="365">
        <v>196041.0</v>
      </c>
      <c r="D117" s="360" t="s">
        <v>439</v>
      </c>
      <c r="E117" s="362" t="s">
        <v>440</v>
      </c>
      <c r="F117" s="354"/>
      <c r="G117" s="342"/>
      <c r="H117" s="342"/>
      <c r="I117" s="342"/>
      <c r="J117" s="342"/>
      <c r="K117" s="342"/>
      <c r="L117" s="342"/>
      <c r="M117" s="342"/>
    </row>
    <row r="118" ht="15.75" customHeight="1">
      <c r="A118" s="390" t="s">
        <v>89</v>
      </c>
      <c r="B118" s="359">
        <v>44456.0</v>
      </c>
      <c r="C118" s="365">
        <v>1.101085253E9</v>
      </c>
      <c r="D118" s="362" t="s">
        <v>441</v>
      </c>
      <c r="E118" s="362" t="s">
        <v>442</v>
      </c>
      <c r="F118" s="362" t="s">
        <v>443</v>
      </c>
      <c r="G118" s="342"/>
      <c r="H118" s="342"/>
      <c r="I118" s="342"/>
      <c r="J118" s="342"/>
      <c r="K118" s="342"/>
      <c r="L118" s="342"/>
      <c r="M118" s="342"/>
    </row>
    <row r="119" ht="43.5" customHeight="1">
      <c r="A119" s="387" t="s">
        <v>89</v>
      </c>
      <c r="B119" s="359">
        <v>45681.0</v>
      </c>
      <c r="C119" s="394">
        <v>307962.0</v>
      </c>
      <c r="D119" s="362" t="s">
        <v>444</v>
      </c>
      <c r="E119" s="362" t="s">
        <v>445</v>
      </c>
      <c r="F119" s="362" t="s">
        <v>446</v>
      </c>
      <c r="G119" s="342"/>
      <c r="H119" s="342"/>
      <c r="I119" s="342"/>
      <c r="J119" s="342"/>
      <c r="K119" s="342"/>
      <c r="L119" s="342"/>
      <c r="M119" s="342"/>
    </row>
    <row r="120" ht="15.75" customHeight="1">
      <c r="A120" s="354"/>
      <c r="B120" s="351"/>
      <c r="C120" s="352"/>
      <c r="D120" s="395"/>
      <c r="E120" s="354"/>
      <c r="F120" s="354"/>
      <c r="G120" s="342"/>
      <c r="H120" s="342"/>
      <c r="I120" s="342"/>
      <c r="J120" s="342"/>
      <c r="K120" s="342"/>
      <c r="L120" s="342"/>
      <c r="M120" s="342"/>
    </row>
    <row r="121" ht="15.75" customHeight="1">
      <c r="A121" s="350" t="s">
        <v>99</v>
      </c>
      <c r="B121" s="351">
        <v>43909.0</v>
      </c>
      <c r="C121" s="352"/>
      <c r="D121" s="353" t="s">
        <v>447</v>
      </c>
      <c r="E121" s="362" t="s">
        <v>448</v>
      </c>
      <c r="F121" s="354"/>
      <c r="G121" s="342"/>
      <c r="H121" s="342"/>
      <c r="I121" s="342"/>
      <c r="J121" s="342"/>
      <c r="K121" s="342"/>
      <c r="L121" s="342"/>
      <c r="M121" s="342"/>
    </row>
    <row r="122" ht="15.75" customHeight="1">
      <c r="A122" s="358" t="s">
        <v>99</v>
      </c>
      <c r="B122" s="355">
        <v>43944.0</v>
      </c>
      <c r="C122" s="352">
        <v>56560.0</v>
      </c>
      <c r="D122" s="363" t="s">
        <v>449</v>
      </c>
      <c r="E122" s="362" t="s">
        <v>450</v>
      </c>
      <c r="F122" s="354"/>
      <c r="G122" s="342"/>
      <c r="H122" s="342"/>
      <c r="I122" s="342"/>
      <c r="J122" s="342"/>
      <c r="K122" s="342"/>
      <c r="L122" s="342"/>
      <c r="M122" s="342"/>
    </row>
    <row r="123" ht="15.75" customHeight="1">
      <c r="A123" s="396" t="s">
        <v>99</v>
      </c>
      <c r="B123" s="359">
        <v>44174.0</v>
      </c>
      <c r="C123" s="385">
        <v>200806.0</v>
      </c>
      <c r="D123" s="362" t="s">
        <v>451</v>
      </c>
      <c r="E123" s="362" t="s">
        <v>452</v>
      </c>
      <c r="F123" s="354"/>
      <c r="G123" s="342"/>
      <c r="H123" s="342"/>
      <c r="I123" s="342"/>
      <c r="J123" s="342"/>
      <c r="K123" s="342"/>
      <c r="L123" s="342"/>
      <c r="M123" s="342"/>
    </row>
    <row r="124" ht="15.75" customHeight="1">
      <c r="A124" s="396" t="s">
        <v>99</v>
      </c>
      <c r="B124" s="359">
        <v>44244.0</v>
      </c>
      <c r="C124" s="385">
        <v>208129.0</v>
      </c>
      <c r="D124" s="362" t="s">
        <v>453</v>
      </c>
      <c r="E124" s="386" t="s">
        <v>454</v>
      </c>
      <c r="F124" s="354"/>
      <c r="G124" s="342"/>
      <c r="H124" s="342"/>
      <c r="I124" s="342"/>
      <c r="J124" s="342"/>
      <c r="K124" s="342"/>
      <c r="L124" s="342"/>
      <c r="M124" s="342"/>
    </row>
    <row r="125" ht="15.75" customHeight="1">
      <c r="A125" s="354"/>
      <c r="B125" s="351"/>
      <c r="C125" s="352"/>
      <c r="D125" s="354"/>
      <c r="E125" s="354"/>
      <c r="F125" s="354"/>
      <c r="G125" s="342"/>
      <c r="H125" s="342"/>
      <c r="I125" s="342"/>
      <c r="J125" s="342"/>
      <c r="K125" s="342"/>
      <c r="L125" s="342"/>
      <c r="M125" s="342"/>
    </row>
    <row r="126" ht="15.75" customHeight="1">
      <c r="A126" s="397" t="s">
        <v>455</v>
      </c>
      <c r="B126" s="359">
        <v>44244.0</v>
      </c>
      <c r="C126" s="385">
        <v>212968.0</v>
      </c>
      <c r="D126" s="362" t="s">
        <v>456</v>
      </c>
      <c r="E126" s="398" t="s">
        <v>457</v>
      </c>
      <c r="F126" s="354"/>
      <c r="G126" s="342"/>
      <c r="H126" s="342"/>
      <c r="I126" s="342"/>
      <c r="J126" s="342"/>
      <c r="K126" s="342"/>
      <c r="L126" s="342"/>
      <c r="M126" s="342"/>
    </row>
    <row r="127" ht="15.75" customHeight="1">
      <c r="A127" s="354"/>
      <c r="B127" s="351"/>
      <c r="C127" s="352"/>
      <c r="D127" s="354"/>
      <c r="E127" s="354"/>
      <c r="F127" s="354"/>
      <c r="G127" s="342"/>
      <c r="H127" s="342"/>
      <c r="I127" s="342"/>
      <c r="J127" s="342"/>
      <c r="K127" s="342"/>
      <c r="L127" s="342"/>
      <c r="M127" s="342"/>
    </row>
    <row r="128" ht="15.75" customHeight="1">
      <c r="A128" s="358" t="s">
        <v>458</v>
      </c>
      <c r="B128" s="359">
        <v>43987.0</v>
      </c>
      <c r="C128" s="352"/>
      <c r="D128" s="353" t="s">
        <v>459</v>
      </c>
      <c r="E128" s="353" t="s">
        <v>460</v>
      </c>
      <c r="F128" s="354"/>
      <c r="G128" s="342"/>
      <c r="H128" s="342"/>
      <c r="I128" s="342"/>
      <c r="J128" s="342"/>
      <c r="K128" s="342"/>
      <c r="L128" s="342"/>
      <c r="M128" s="342"/>
    </row>
    <row r="129" ht="15.75" customHeight="1">
      <c r="A129" s="354"/>
      <c r="B129" s="351"/>
      <c r="C129" s="352"/>
      <c r="D129" s="354"/>
      <c r="E129" s="354"/>
      <c r="F129" s="354"/>
      <c r="G129" s="342"/>
      <c r="H129" s="342"/>
      <c r="I129" s="342"/>
      <c r="J129" s="342"/>
      <c r="K129" s="342"/>
      <c r="L129" s="342"/>
      <c r="M129" s="342"/>
    </row>
    <row r="130" ht="15.75" customHeight="1">
      <c r="A130" s="387" t="s">
        <v>461</v>
      </c>
      <c r="B130" s="359">
        <v>44355.0</v>
      </c>
      <c r="C130" s="365">
        <v>221746.0</v>
      </c>
      <c r="D130" s="362" t="s">
        <v>462</v>
      </c>
      <c r="E130" s="362" t="s">
        <v>463</v>
      </c>
      <c r="F130" s="362" t="s">
        <v>464</v>
      </c>
      <c r="G130" s="342"/>
      <c r="H130" s="342"/>
      <c r="I130" s="342"/>
      <c r="J130" s="342"/>
      <c r="K130" s="342"/>
      <c r="L130" s="342"/>
      <c r="M130" s="342"/>
    </row>
    <row r="131" ht="15.75" customHeight="1">
      <c r="A131" s="387" t="s">
        <v>461</v>
      </c>
      <c r="B131" s="359">
        <v>44383.0</v>
      </c>
      <c r="C131" s="385">
        <v>223672.0</v>
      </c>
      <c r="D131" s="362" t="s">
        <v>465</v>
      </c>
      <c r="E131" s="362" t="s">
        <v>466</v>
      </c>
      <c r="F131" s="354"/>
      <c r="G131" s="342"/>
      <c r="H131" s="342"/>
      <c r="I131" s="342"/>
      <c r="J131" s="342"/>
      <c r="K131" s="342"/>
      <c r="L131" s="342"/>
      <c r="M131" s="342"/>
    </row>
    <row r="132">
      <c r="A132" s="399" t="s">
        <v>461</v>
      </c>
      <c r="B132" s="400">
        <v>44424.0</v>
      </c>
      <c r="C132" s="365"/>
      <c r="D132" s="401" t="s">
        <v>467</v>
      </c>
      <c r="E132" s="401" t="s">
        <v>468</v>
      </c>
      <c r="F132" s="402"/>
      <c r="G132" s="403"/>
      <c r="H132" s="403"/>
      <c r="I132" s="403"/>
      <c r="J132" s="403"/>
      <c r="K132" s="403"/>
      <c r="L132" s="403"/>
      <c r="M132" s="403"/>
      <c r="N132" s="404"/>
      <c r="O132" s="404"/>
      <c r="P132" s="404"/>
      <c r="Q132" s="404"/>
      <c r="R132" s="404"/>
      <c r="S132" s="404"/>
      <c r="T132" s="404"/>
      <c r="U132" s="404"/>
      <c r="V132" s="404"/>
      <c r="W132" s="404"/>
      <c r="X132" s="404"/>
      <c r="Y132" s="404"/>
      <c r="Z132" s="404"/>
    </row>
    <row r="133" ht="15.75" customHeight="1">
      <c r="A133" s="399" t="s">
        <v>461</v>
      </c>
      <c r="B133" s="359">
        <v>44434.0</v>
      </c>
      <c r="C133" s="365">
        <v>225765.0</v>
      </c>
      <c r="D133" s="362" t="s">
        <v>469</v>
      </c>
      <c r="E133" s="362" t="s">
        <v>470</v>
      </c>
      <c r="F133" s="354"/>
      <c r="G133" s="342"/>
      <c r="H133" s="342"/>
      <c r="I133" s="342"/>
      <c r="J133" s="342"/>
      <c r="K133" s="342"/>
      <c r="L133" s="342"/>
      <c r="M133" s="342"/>
    </row>
    <row r="134">
      <c r="A134" s="399" t="s">
        <v>461</v>
      </c>
      <c r="B134" s="359">
        <v>44438.0</v>
      </c>
      <c r="C134" s="365"/>
      <c r="D134" s="362" t="s">
        <v>471</v>
      </c>
      <c r="E134" s="362" t="s">
        <v>472</v>
      </c>
      <c r="F134" s="354"/>
      <c r="G134" s="342"/>
      <c r="H134" s="342"/>
      <c r="I134" s="342"/>
      <c r="J134" s="342"/>
      <c r="K134" s="342"/>
      <c r="L134" s="342"/>
      <c r="M134" s="342"/>
    </row>
    <row r="135" ht="15.75" customHeight="1">
      <c r="A135" s="354"/>
      <c r="B135" s="359"/>
      <c r="C135" s="365"/>
      <c r="D135" s="362"/>
      <c r="E135" s="362"/>
      <c r="F135" s="354"/>
      <c r="G135" s="342"/>
      <c r="H135" s="342"/>
      <c r="I135" s="342"/>
      <c r="J135" s="342"/>
      <c r="K135" s="342"/>
      <c r="L135" s="342"/>
      <c r="M135" s="342"/>
    </row>
    <row r="136" ht="15.75" customHeight="1">
      <c r="A136" s="387" t="s">
        <v>473</v>
      </c>
      <c r="B136" s="359">
        <v>44356.0</v>
      </c>
      <c r="C136" s="365">
        <v>219932.0</v>
      </c>
      <c r="D136" s="362" t="s">
        <v>474</v>
      </c>
      <c r="E136" s="362" t="s">
        <v>475</v>
      </c>
      <c r="F136" s="354"/>
      <c r="G136" s="342"/>
      <c r="H136" s="342"/>
      <c r="I136" s="342"/>
      <c r="J136" s="342"/>
      <c r="K136" s="342"/>
      <c r="L136" s="342"/>
      <c r="M136" s="342"/>
    </row>
    <row r="137" ht="15.75" customHeight="1">
      <c r="A137" s="354"/>
      <c r="B137" s="351"/>
      <c r="C137" s="352"/>
      <c r="D137" s="354"/>
      <c r="E137" s="354"/>
      <c r="F137" s="354"/>
      <c r="G137" s="342"/>
      <c r="H137" s="342"/>
      <c r="I137" s="342"/>
      <c r="J137" s="342"/>
      <c r="K137" s="342"/>
      <c r="L137" s="342"/>
      <c r="M137" s="342"/>
    </row>
    <row r="138" ht="15.75" customHeight="1">
      <c r="A138" s="387" t="s">
        <v>178</v>
      </c>
      <c r="B138" s="359">
        <v>44392.0</v>
      </c>
      <c r="C138" s="352"/>
      <c r="D138" s="405" t="s">
        <v>476</v>
      </c>
      <c r="E138" s="362" t="s">
        <v>477</v>
      </c>
      <c r="F138" s="354"/>
      <c r="G138" s="342"/>
      <c r="H138" s="342"/>
      <c r="I138" s="342"/>
      <c r="J138" s="342"/>
      <c r="K138" s="342"/>
      <c r="L138" s="342"/>
      <c r="M138" s="342"/>
    </row>
    <row r="139" ht="15.75" customHeight="1">
      <c r="A139" s="387" t="s">
        <v>178</v>
      </c>
      <c r="B139" s="359">
        <v>44392.0</v>
      </c>
      <c r="C139" s="352"/>
      <c r="D139" s="362" t="s">
        <v>478</v>
      </c>
      <c r="E139" s="362" t="s">
        <v>479</v>
      </c>
      <c r="F139" s="354"/>
      <c r="G139" s="342"/>
      <c r="H139" s="342"/>
      <c r="I139" s="342"/>
      <c r="J139" s="342"/>
      <c r="K139" s="342"/>
      <c r="L139" s="342"/>
      <c r="M139" s="342"/>
    </row>
    <row r="140" ht="15.75" customHeight="1">
      <c r="A140" s="387" t="s">
        <v>178</v>
      </c>
      <c r="B140" s="359">
        <v>44515.0</v>
      </c>
      <c r="C140" s="352"/>
      <c r="D140" s="362" t="s">
        <v>480</v>
      </c>
      <c r="E140" s="362" t="s">
        <v>481</v>
      </c>
      <c r="F140" s="354"/>
      <c r="G140" s="342"/>
      <c r="H140" s="342"/>
      <c r="I140" s="342"/>
      <c r="J140" s="342"/>
      <c r="K140" s="342"/>
      <c r="L140" s="342"/>
      <c r="M140" s="342"/>
    </row>
    <row r="141" ht="15.75" customHeight="1">
      <c r="A141" s="387" t="s">
        <v>178</v>
      </c>
      <c r="B141" s="359">
        <v>45698.0</v>
      </c>
      <c r="C141" s="365">
        <v>313355.0</v>
      </c>
      <c r="D141" s="405" t="s">
        <v>182</v>
      </c>
      <c r="E141" s="362" t="s">
        <v>482</v>
      </c>
      <c r="F141" s="362" t="s">
        <v>483</v>
      </c>
      <c r="G141" s="342"/>
      <c r="H141" s="342"/>
      <c r="I141" s="342"/>
      <c r="J141" s="342"/>
      <c r="K141" s="342"/>
      <c r="L141" s="342"/>
      <c r="M141" s="342"/>
    </row>
    <row r="142" ht="15.75" customHeight="1">
      <c r="A142" s="354"/>
      <c r="B142" s="351"/>
      <c r="C142" s="352"/>
      <c r="D142" s="354"/>
      <c r="E142" s="354"/>
      <c r="F142" s="354"/>
      <c r="G142" s="342"/>
      <c r="H142" s="342"/>
      <c r="I142" s="342"/>
      <c r="J142" s="342"/>
      <c r="K142" s="342"/>
      <c r="L142" s="342"/>
      <c r="M142" s="342"/>
    </row>
    <row r="143" ht="15.75" customHeight="1">
      <c r="A143" s="387" t="s">
        <v>159</v>
      </c>
      <c r="B143" s="359">
        <v>44393.0</v>
      </c>
      <c r="C143" s="352"/>
      <c r="D143" s="406" t="s">
        <v>484</v>
      </c>
      <c r="E143" s="362" t="s">
        <v>485</v>
      </c>
      <c r="F143" s="362" t="s">
        <v>486</v>
      </c>
      <c r="G143" s="342"/>
      <c r="H143" s="342"/>
      <c r="I143" s="342"/>
      <c r="J143" s="342"/>
      <c r="K143" s="342"/>
      <c r="L143" s="342"/>
      <c r="M143" s="342"/>
    </row>
    <row r="144" ht="15.75" customHeight="1">
      <c r="A144" s="354"/>
      <c r="B144" s="351"/>
      <c r="C144" s="352"/>
      <c r="D144" s="354"/>
      <c r="E144" s="354"/>
      <c r="F144" s="354"/>
      <c r="G144" s="342"/>
      <c r="H144" s="342"/>
      <c r="I144" s="342"/>
      <c r="J144" s="342"/>
      <c r="K144" s="342"/>
      <c r="L144" s="342"/>
      <c r="M144" s="342"/>
    </row>
    <row r="145" ht="15.75" customHeight="1">
      <c r="A145" s="387" t="s">
        <v>487</v>
      </c>
      <c r="B145" s="359">
        <v>44438.0</v>
      </c>
      <c r="C145" s="365">
        <v>154649.0</v>
      </c>
      <c r="D145" s="362" t="s">
        <v>488</v>
      </c>
      <c r="E145" s="362" t="s">
        <v>489</v>
      </c>
      <c r="F145" s="354"/>
      <c r="G145" s="342"/>
      <c r="H145" s="342"/>
      <c r="I145" s="342"/>
      <c r="J145" s="342"/>
      <c r="K145" s="342"/>
      <c r="L145" s="342"/>
      <c r="M145" s="342"/>
    </row>
    <row r="146" ht="15.75" customHeight="1">
      <c r="A146" s="354"/>
      <c r="B146" s="351"/>
      <c r="C146" s="352"/>
      <c r="D146" s="354"/>
      <c r="E146" s="354"/>
      <c r="F146" s="354"/>
      <c r="G146" s="342"/>
      <c r="H146" s="342"/>
      <c r="I146" s="342"/>
      <c r="J146" s="342"/>
      <c r="K146" s="342"/>
      <c r="L146" s="342"/>
      <c r="M146" s="342"/>
    </row>
    <row r="147" ht="15.75" customHeight="1">
      <c r="A147" s="387" t="s">
        <v>490</v>
      </c>
      <c r="B147" s="359">
        <v>44477.0</v>
      </c>
      <c r="C147" s="365">
        <v>177472.0</v>
      </c>
      <c r="D147" s="362" t="s">
        <v>491</v>
      </c>
      <c r="E147" s="362" t="s">
        <v>492</v>
      </c>
      <c r="F147" s="354"/>
      <c r="G147" s="342"/>
      <c r="H147" s="342"/>
      <c r="I147" s="342"/>
      <c r="J147" s="342"/>
      <c r="K147" s="342"/>
      <c r="L147" s="342"/>
      <c r="M147" s="342"/>
    </row>
    <row r="148" ht="15.75" customHeight="1">
      <c r="A148" s="342"/>
      <c r="B148" s="407"/>
      <c r="C148" s="344"/>
      <c r="D148" s="408"/>
      <c r="E148" s="354"/>
      <c r="F148" s="354"/>
      <c r="G148" s="342"/>
      <c r="H148" s="342"/>
      <c r="I148" s="342"/>
      <c r="J148" s="342"/>
      <c r="K148" s="342"/>
      <c r="L148" s="342"/>
      <c r="M148" s="342"/>
    </row>
    <row r="149" ht="15.75" customHeight="1">
      <c r="A149" s="409" t="s">
        <v>32</v>
      </c>
      <c r="B149" s="410">
        <v>45083.0</v>
      </c>
      <c r="C149" s="411">
        <v>253507.0</v>
      </c>
      <c r="D149" s="412" t="s">
        <v>493</v>
      </c>
      <c r="E149" s="362" t="s">
        <v>494</v>
      </c>
      <c r="F149" s="354"/>
      <c r="G149" s="342"/>
      <c r="H149" s="342"/>
      <c r="I149" s="342"/>
      <c r="J149" s="342"/>
      <c r="K149" s="342"/>
      <c r="L149" s="342"/>
      <c r="M149" s="342"/>
    </row>
    <row r="150" ht="15.75" customHeight="1">
      <c r="A150" s="342"/>
      <c r="B150" s="407"/>
      <c r="C150" s="344"/>
      <c r="D150" s="408"/>
      <c r="E150" s="354"/>
      <c r="F150" s="354"/>
      <c r="G150" s="342"/>
      <c r="H150" s="342"/>
      <c r="I150" s="342"/>
      <c r="J150" s="342"/>
      <c r="K150" s="342"/>
      <c r="L150" s="342"/>
      <c r="M150" s="342"/>
    </row>
    <row r="151" ht="15.75" customHeight="1">
      <c r="A151" s="409" t="s">
        <v>495</v>
      </c>
      <c r="B151" s="410">
        <v>45520.0</v>
      </c>
      <c r="C151" s="411">
        <v>281932.0</v>
      </c>
      <c r="D151" s="412" t="s">
        <v>496</v>
      </c>
      <c r="E151" s="362" t="s">
        <v>497</v>
      </c>
      <c r="F151" s="362" t="s">
        <v>498</v>
      </c>
      <c r="G151" s="342"/>
      <c r="H151" s="342"/>
      <c r="I151" s="342"/>
      <c r="J151" s="342"/>
      <c r="K151" s="342"/>
      <c r="L151" s="342"/>
      <c r="M151" s="342"/>
    </row>
    <row r="152" ht="15.75" customHeight="1">
      <c r="A152" s="342"/>
      <c r="B152" s="407"/>
      <c r="C152" s="344"/>
      <c r="D152" s="408"/>
      <c r="E152" s="354"/>
      <c r="F152" s="354"/>
      <c r="G152" s="342"/>
      <c r="H152" s="342"/>
      <c r="I152" s="342"/>
      <c r="J152" s="342"/>
      <c r="K152" s="342"/>
      <c r="L152" s="342"/>
      <c r="M152" s="342"/>
    </row>
    <row r="153" ht="15.75" customHeight="1">
      <c r="A153" s="409" t="s">
        <v>499</v>
      </c>
      <c r="B153" s="410">
        <v>45743.0</v>
      </c>
      <c r="C153" s="413">
        <v>260627.0</v>
      </c>
      <c r="D153" s="414" t="s">
        <v>500</v>
      </c>
      <c r="E153" s="362" t="s">
        <v>501</v>
      </c>
      <c r="F153" s="354"/>
      <c r="G153" s="342"/>
      <c r="H153" s="342"/>
      <c r="I153" s="342"/>
      <c r="J153" s="342"/>
      <c r="K153" s="342"/>
      <c r="L153" s="342"/>
      <c r="M153" s="342"/>
    </row>
    <row r="154" ht="15.75" customHeight="1">
      <c r="A154" s="409" t="s">
        <v>499</v>
      </c>
      <c r="B154" s="410">
        <v>45811.0</v>
      </c>
      <c r="C154" s="411">
        <v>294217.0</v>
      </c>
      <c r="D154" s="412" t="s">
        <v>502</v>
      </c>
      <c r="E154" s="362" t="s">
        <v>503</v>
      </c>
      <c r="F154" s="354"/>
      <c r="G154" s="342"/>
      <c r="H154" s="342"/>
      <c r="I154" s="342"/>
      <c r="J154" s="342"/>
      <c r="K154" s="342"/>
      <c r="L154" s="342"/>
      <c r="M154" s="342"/>
    </row>
    <row r="155" ht="15.75" customHeight="1">
      <c r="A155" s="342"/>
      <c r="B155" s="407"/>
      <c r="C155" s="344"/>
      <c r="D155" s="408"/>
      <c r="E155" s="354"/>
      <c r="F155" s="354"/>
      <c r="G155" s="342"/>
      <c r="H155" s="342"/>
      <c r="I155" s="342"/>
      <c r="J155" s="342"/>
      <c r="K155" s="342"/>
      <c r="L155" s="342"/>
      <c r="M155" s="342"/>
    </row>
    <row r="156" ht="15.75" customHeight="1">
      <c r="A156" s="415" t="s">
        <v>504</v>
      </c>
      <c r="B156" s="410">
        <v>45743.0</v>
      </c>
      <c r="C156" s="411">
        <v>318103.0</v>
      </c>
      <c r="D156" s="364" t="s">
        <v>505</v>
      </c>
      <c r="E156" s="362" t="s">
        <v>506</v>
      </c>
      <c r="F156" s="354"/>
      <c r="G156" s="342"/>
      <c r="H156" s="342"/>
      <c r="I156" s="342"/>
      <c r="J156" s="342"/>
      <c r="K156" s="342"/>
      <c r="L156" s="342"/>
      <c r="M156" s="342"/>
    </row>
    <row r="157" ht="15.75" customHeight="1">
      <c r="A157" s="342"/>
      <c r="B157" s="407"/>
      <c r="C157" s="344"/>
      <c r="D157" s="408"/>
      <c r="E157" s="354"/>
      <c r="F157" s="354"/>
      <c r="G157" s="342"/>
      <c r="H157" s="342"/>
      <c r="I157" s="342"/>
      <c r="J157" s="342"/>
      <c r="K157" s="342"/>
      <c r="L157" s="342"/>
      <c r="M157" s="342"/>
    </row>
    <row r="158" ht="15.75" customHeight="1">
      <c r="A158" s="342"/>
      <c r="B158" s="407"/>
      <c r="C158" s="344"/>
      <c r="D158" s="408"/>
      <c r="E158" s="354"/>
      <c r="F158" s="354"/>
      <c r="G158" s="342"/>
      <c r="H158" s="342"/>
      <c r="I158" s="342"/>
      <c r="J158" s="342"/>
      <c r="K158" s="342"/>
      <c r="L158" s="342"/>
      <c r="M158" s="342"/>
    </row>
    <row r="159" ht="15.75" customHeight="1">
      <c r="A159" s="342"/>
      <c r="B159" s="407"/>
      <c r="C159" s="344"/>
      <c r="D159" s="408"/>
      <c r="E159" s="354"/>
      <c r="F159" s="354"/>
      <c r="G159" s="342"/>
      <c r="H159" s="342"/>
      <c r="I159" s="342"/>
      <c r="J159" s="342"/>
      <c r="K159" s="342"/>
      <c r="L159" s="342"/>
      <c r="M159" s="342"/>
    </row>
    <row r="160" ht="15.75" customHeight="1">
      <c r="A160" s="342"/>
      <c r="B160" s="407"/>
      <c r="C160" s="344"/>
      <c r="D160" s="408"/>
      <c r="E160" s="354"/>
      <c r="F160" s="354"/>
      <c r="G160" s="342"/>
      <c r="H160" s="342"/>
      <c r="I160" s="342"/>
      <c r="J160" s="342"/>
      <c r="K160" s="342"/>
      <c r="L160" s="342"/>
      <c r="M160" s="342"/>
    </row>
    <row r="161" ht="15.75" customHeight="1">
      <c r="A161" s="342"/>
      <c r="B161" s="407"/>
      <c r="C161" s="344"/>
      <c r="D161" s="408"/>
      <c r="E161" s="354"/>
      <c r="F161" s="354"/>
      <c r="G161" s="342"/>
      <c r="H161" s="342"/>
      <c r="I161" s="342"/>
      <c r="J161" s="342"/>
      <c r="K161" s="342"/>
      <c r="L161" s="342"/>
      <c r="M161" s="342"/>
    </row>
    <row r="162" ht="15.75" customHeight="1">
      <c r="A162" s="342"/>
      <c r="B162" s="407"/>
      <c r="C162" s="344"/>
      <c r="D162" s="408"/>
      <c r="E162" s="354"/>
      <c r="F162" s="354"/>
      <c r="G162" s="342"/>
      <c r="H162" s="342"/>
      <c r="I162" s="342"/>
      <c r="J162" s="342"/>
      <c r="K162" s="342"/>
      <c r="L162" s="342"/>
      <c r="M162" s="342"/>
    </row>
    <row r="163" ht="15.75" customHeight="1">
      <c r="A163" s="342"/>
      <c r="B163" s="407"/>
      <c r="C163" s="344"/>
      <c r="D163" s="408"/>
      <c r="E163" s="354"/>
      <c r="F163" s="354"/>
      <c r="G163" s="342"/>
      <c r="H163" s="342"/>
      <c r="I163" s="342"/>
      <c r="J163" s="342"/>
      <c r="K163" s="342"/>
      <c r="L163" s="342"/>
      <c r="M163" s="342"/>
    </row>
    <row r="164" ht="15.75" customHeight="1">
      <c r="A164" s="342"/>
      <c r="B164" s="407"/>
      <c r="C164" s="344"/>
      <c r="D164" s="408"/>
      <c r="E164" s="354"/>
      <c r="F164" s="354"/>
      <c r="G164" s="342"/>
      <c r="H164" s="342"/>
      <c r="I164" s="342"/>
      <c r="J164" s="342"/>
      <c r="K164" s="342"/>
      <c r="L164" s="342"/>
      <c r="M164" s="342"/>
    </row>
    <row r="165" ht="15.75" customHeight="1">
      <c r="A165" s="342"/>
      <c r="B165" s="343"/>
      <c r="C165" s="344"/>
      <c r="D165" s="342"/>
      <c r="E165" s="342"/>
      <c r="F165" s="342"/>
      <c r="G165" s="342"/>
      <c r="H165" s="342"/>
      <c r="I165" s="342"/>
      <c r="J165" s="342"/>
      <c r="K165" s="342"/>
      <c r="L165" s="342"/>
      <c r="M165" s="342"/>
    </row>
    <row r="166" ht="15.75" customHeight="1">
      <c r="A166" s="342"/>
      <c r="B166" s="343"/>
      <c r="C166" s="344"/>
      <c r="D166" s="342"/>
      <c r="E166" s="342"/>
      <c r="F166" s="342"/>
      <c r="G166" s="342"/>
      <c r="H166" s="342"/>
      <c r="I166" s="342"/>
      <c r="J166" s="342"/>
      <c r="K166" s="342"/>
      <c r="L166" s="342"/>
      <c r="M166" s="342"/>
    </row>
    <row r="167" ht="15.75" customHeight="1">
      <c r="A167" s="342"/>
      <c r="B167" s="343"/>
      <c r="C167" s="344"/>
      <c r="D167" s="342"/>
      <c r="E167" s="342"/>
      <c r="F167" s="342"/>
      <c r="G167" s="342"/>
      <c r="H167" s="342"/>
      <c r="I167" s="342"/>
      <c r="J167" s="342"/>
      <c r="K167" s="342"/>
      <c r="L167" s="342"/>
      <c r="M167" s="342"/>
    </row>
    <row r="168" ht="15.75" customHeight="1">
      <c r="A168" s="342"/>
      <c r="B168" s="343"/>
      <c r="C168" s="344"/>
      <c r="D168" s="342"/>
      <c r="E168" s="342"/>
      <c r="F168" s="342"/>
      <c r="G168" s="342"/>
      <c r="H168" s="342"/>
      <c r="I168" s="342"/>
      <c r="J168" s="342"/>
      <c r="K168" s="342"/>
      <c r="L168" s="342"/>
      <c r="M168" s="342"/>
    </row>
    <row r="169" ht="15.75" customHeight="1">
      <c r="A169" s="342"/>
      <c r="B169" s="343"/>
      <c r="C169" s="344"/>
      <c r="D169" s="342"/>
      <c r="E169" s="342"/>
      <c r="F169" s="342"/>
      <c r="G169" s="342"/>
      <c r="H169" s="342"/>
      <c r="I169" s="342"/>
      <c r="J169" s="342"/>
      <c r="K169" s="342"/>
      <c r="L169" s="342"/>
      <c r="M169" s="342"/>
    </row>
    <row r="170" ht="15.75" customHeight="1">
      <c r="A170" s="342"/>
      <c r="B170" s="343"/>
      <c r="C170" s="344"/>
      <c r="D170" s="342"/>
      <c r="E170" s="342"/>
      <c r="F170" s="342"/>
      <c r="G170" s="342"/>
      <c r="H170" s="342"/>
      <c r="I170" s="342"/>
      <c r="J170" s="342"/>
      <c r="K170" s="342"/>
      <c r="L170" s="342"/>
      <c r="M170" s="342"/>
    </row>
    <row r="171" ht="15.75" customHeight="1">
      <c r="A171" s="342"/>
      <c r="B171" s="343"/>
      <c r="C171" s="344"/>
      <c r="D171" s="342"/>
      <c r="E171" s="342"/>
      <c r="F171" s="342"/>
      <c r="G171" s="342"/>
      <c r="H171" s="342"/>
      <c r="I171" s="342"/>
      <c r="J171" s="342"/>
      <c r="K171" s="342"/>
      <c r="L171" s="342"/>
      <c r="M171" s="342"/>
    </row>
    <row r="172" ht="15.75" customHeight="1">
      <c r="A172" s="342"/>
      <c r="B172" s="343"/>
      <c r="C172" s="344"/>
      <c r="D172" s="342"/>
      <c r="E172" s="342"/>
      <c r="F172" s="342"/>
      <c r="G172" s="342"/>
      <c r="H172" s="342"/>
      <c r="I172" s="342"/>
      <c r="J172" s="342"/>
      <c r="K172" s="342"/>
      <c r="L172" s="342"/>
      <c r="M172" s="342"/>
    </row>
    <row r="173" ht="15.75" customHeight="1">
      <c r="A173" s="342"/>
      <c r="B173" s="343"/>
      <c r="C173" s="344"/>
      <c r="D173" s="342"/>
      <c r="E173" s="342"/>
      <c r="F173" s="342"/>
      <c r="G173" s="342"/>
      <c r="H173" s="342"/>
      <c r="I173" s="342"/>
      <c r="J173" s="342"/>
      <c r="K173" s="342"/>
      <c r="L173" s="342"/>
      <c r="M173" s="342"/>
    </row>
    <row r="174" ht="15.75" customHeight="1">
      <c r="A174" s="342"/>
      <c r="B174" s="343"/>
      <c r="C174" s="344"/>
      <c r="D174" s="342"/>
      <c r="E174" s="342"/>
      <c r="F174" s="342"/>
      <c r="G174" s="342"/>
      <c r="H174" s="342"/>
      <c r="I174" s="342"/>
      <c r="J174" s="342"/>
      <c r="K174" s="342"/>
      <c r="L174" s="342"/>
      <c r="M174" s="342"/>
    </row>
    <row r="175" ht="15.75" customHeight="1">
      <c r="A175" s="342"/>
      <c r="B175" s="343"/>
      <c r="C175" s="344"/>
      <c r="D175" s="342"/>
      <c r="E175" s="342"/>
      <c r="F175" s="342"/>
      <c r="G175" s="342"/>
      <c r="H175" s="342"/>
      <c r="I175" s="342"/>
      <c r="J175" s="342"/>
      <c r="K175" s="342"/>
      <c r="L175" s="342"/>
      <c r="M175" s="342"/>
    </row>
    <row r="176" ht="15.75" customHeight="1">
      <c r="A176" s="342"/>
      <c r="B176" s="343"/>
      <c r="C176" s="344"/>
      <c r="D176" s="342"/>
      <c r="E176" s="342"/>
      <c r="F176" s="342"/>
      <c r="G176" s="342"/>
      <c r="H176" s="342"/>
      <c r="I176" s="342"/>
      <c r="J176" s="342"/>
      <c r="K176" s="342"/>
      <c r="L176" s="342"/>
      <c r="M176" s="342"/>
    </row>
    <row r="177" ht="15.75" customHeight="1">
      <c r="A177" s="342"/>
      <c r="B177" s="343"/>
      <c r="C177" s="344"/>
      <c r="D177" s="342"/>
      <c r="E177" s="342"/>
      <c r="F177" s="342"/>
      <c r="G177" s="342"/>
      <c r="H177" s="342"/>
      <c r="I177" s="342"/>
      <c r="J177" s="342"/>
      <c r="K177" s="342"/>
      <c r="L177" s="342"/>
      <c r="M177" s="342"/>
    </row>
    <row r="178" ht="15.75" customHeight="1">
      <c r="A178" s="342"/>
      <c r="B178" s="343"/>
      <c r="C178" s="344"/>
      <c r="D178" s="342"/>
      <c r="E178" s="342"/>
      <c r="F178" s="342"/>
      <c r="G178" s="342"/>
      <c r="H178" s="342"/>
      <c r="I178" s="342"/>
      <c r="J178" s="342"/>
      <c r="K178" s="342"/>
      <c r="L178" s="342"/>
      <c r="M178" s="342"/>
    </row>
    <row r="179" ht="15.75" customHeight="1">
      <c r="A179" s="342"/>
      <c r="B179" s="343"/>
      <c r="C179" s="344"/>
      <c r="D179" s="342"/>
      <c r="E179" s="342"/>
      <c r="F179" s="342"/>
      <c r="G179" s="342"/>
      <c r="H179" s="342"/>
      <c r="I179" s="342"/>
      <c r="J179" s="342"/>
      <c r="K179" s="342"/>
      <c r="L179" s="342"/>
      <c r="M179" s="342"/>
    </row>
    <row r="180" ht="15.75" customHeight="1">
      <c r="A180" s="342"/>
      <c r="B180" s="343"/>
      <c r="C180" s="344"/>
      <c r="D180" s="342"/>
      <c r="E180" s="342"/>
      <c r="F180" s="342"/>
      <c r="G180" s="342"/>
      <c r="H180" s="342"/>
      <c r="I180" s="342"/>
      <c r="J180" s="342"/>
      <c r="K180" s="342"/>
      <c r="L180" s="342"/>
      <c r="M180" s="342"/>
    </row>
    <row r="181" ht="15.75" customHeight="1">
      <c r="A181" s="342"/>
      <c r="B181" s="343"/>
      <c r="C181" s="344"/>
      <c r="D181" s="342"/>
      <c r="E181" s="342"/>
      <c r="F181" s="342"/>
      <c r="G181" s="342"/>
      <c r="H181" s="342"/>
      <c r="I181" s="342"/>
      <c r="J181" s="342"/>
      <c r="K181" s="342"/>
      <c r="L181" s="342"/>
      <c r="M181" s="342"/>
    </row>
    <row r="182" ht="15.75" customHeight="1">
      <c r="A182" s="342"/>
      <c r="B182" s="343"/>
      <c r="C182" s="344"/>
      <c r="D182" s="342"/>
      <c r="E182" s="342"/>
      <c r="F182" s="342"/>
      <c r="G182" s="342"/>
      <c r="H182" s="342"/>
      <c r="I182" s="342"/>
      <c r="J182" s="342"/>
      <c r="K182" s="342"/>
      <c r="L182" s="342"/>
      <c r="M182" s="342"/>
    </row>
    <row r="183" ht="15.75" customHeight="1">
      <c r="A183" s="342"/>
      <c r="B183" s="343"/>
      <c r="C183" s="344"/>
      <c r="D183" s="342"/>
      <c r="E183" s="342"/>
      <c r="F183" s="342"/>
      <c r="G183" s="342"/>
      <c r="H183" s="342"/>
      <c r="I183" s="342"/>
      <c r="J183" s="342"/>
      <c r="K183" s="342"/>
      <c r="L183" s="342"/>
      <c r="M183" s="342"/>
    </row>
    <row r="184" ht="15.75" customHeight="1">
      <c r="A184" s="342"/>
      <c r="B184" s="343"/>
      <c r="C184" s="344"/>
      <c r="D184" s="342"/>
      <c r="E184" s="342"/>
      <c r="F184" s="342"/>
      <c r="G184" s="342"/>
      <c r="H184" s="342"/>
      <c r="I184" s="342"/>
      <c r="J184" s="342"/>
      <c r="K184" s="342"/>
      <c r="L184" s="342"/>
      <c r="M184" s="342"/>
    </row>
    <row r="185" ht="15.75" customHeight="1">
      <c r="A185" s="342"/>
      <c r="B185" s="343"/>
      <c r="C185" s="344"/>
      <c r="D185" s="342"/>
      <c r="E185" s="342"/>
      <c r="F185" s="342"/>
      <c r="G185" s="342"/>
      <c r="H185" s="342"/>
      <c r="I185" s="342"/>
      <c r="J185" s="342"/>
      <c r="K185" s="342"/>
      <c r="L185" s="342"/>
      <c r="M185" s="342"/>
    </row>
    <row r="186" ht="15.75" customHeight="1">
      <c r="A186" s="342"/>
      <c r="B186" s="343"/>
      <c r="C186" s="344"/>
      <c r="D186" s="342"/>
      <c r="E186" s="342"/>
      <c r="F186" s="342"/>
      <c r="G186" s="342"/>
      <c r="H186" s="342"/>
      <c r="I186" s="342"/>
      <c r="J186" s="342"/>
      <c r="K186" s="342"/>
      <c r="L186" s="342"/>
      <c r="M186" s="342"/>
    </row>
    <row r="187" ht="15.75" customHeight="1">
      <c r="A187" s="342"/>
      <c r="B187" s="343"/>
      <c r="C187" s="344"/>
      <c r="D187" s="342"/>
      <c r="E187" s="342"/>
      <c r="F187" s="342"/>
      <c r="G187" s="342"/>
      <c r="H187" s="342"/>
      <c r="I187" s="342"/>
      <c r="J187" s="342"/>
      <c r="K187" s="342"/>
      <c r="L187" s="342"/>
      <c r="M187" s="342"/>
    </row>
    <row r="188" ht="15.75" customHeight="1">
      <c r="A188" s="342"/>
      <c r="B188" s="343"/>
      <c r="C188" s="344"/>
      <c r="D188" s="342"/>
      <c r="E188" s="342"/>
      <c r="F188" s="342"/>
      <c r="G188" s="342"/>
      <c r="H188" s="342"/>
      <c r="I188" s="342"/>
      <c r="J188" s="342"/>
      <c r="K188" s="342"/>
      <c r="L188" s="342"/>
      <c r="M188" s="342"/>
    </row>
    <row r="189" ht="15.75" customHeight="1">
      <c r="A189" s="342"/>
      <c r="B189" s="343"/>
      <c r="C189" s="344"/>
      <c r="D189" s="342"/>
      <c r="E189" s="342"/>
      <c r="F189" s="342"/>
      <c r="G189" s="342"/>
      <c r="H189" s="342"/>
      <c r="I189" s="342"/>
      <c r="J189" s="342"/>
      <c r="K189" s="342"/>
      <c r="L189" s="342"/>
      <c r="M189" s="342"/>
    </row>
    <row r="190" ht="15.75" customHeight="1">
      <c r="A190" s="342"/>
      <c r="B190" s="343"/>
      <c r="C190" s="344"/>
      <c r="D190" s="342"/>
      <c r="E190" s="342"/>
      <c r="F190" s="342"/>
      <c r="G190" s="342"/>
      <c r="H190" s="342"/>
      <c r="I190" s="342"/>
      <c r="J190" s="342"/>
      <c r="K190" s="342"/>
      <c r="L190" s="342"/>
      <c r="M190" s="342"/>
    </row>
    <row r="191" ht="15.75" customHeight="1">
      <c r="A191" s="342"/>
      <c r="B191" s="343"/>
      <c r="C191" s="344"/>
      <c r="D191" s="342"/>
      <c r="E191" s="342"/>
      <c r="F191" s="342"/>
      <c r="G191" s="342"/>
      <c r="H191" s="342"/>
      <c r="I191" s="342"/>
      <c r="J191" s="342"/>
      <c r="K191" s="342"/>
      <c r="L191" s="342"/>
      <c r="M191" s="342"/>
    </row>
    <row r="192" ht="15.75" customHeight="1">
      <c r="A192" s="342"/>
      <c r="B192" s="343"/>
      <c r="C192" s="344"/>
      <c r="D192" s="342"/>
      <c r="E192" s="342"/>
      <c r="F192" s="342"/>
      <c r="G192" s="342"/>
      <c r="H192" s="342"/>
      <c r="I192" s="342"/>
      <c r="J192" s="342"/>
      <c r="K192" s="342"/>
      <c r="L192" s="342"/>
      <c r="M192" s="342"/>
    </row>
    <row r="193" ht="15.75" customHeight="1">
      <c r="A193" s="342"/>
      <c r="B193" s="343"/>
      <c r="C193" s="344"/>
      <c r="D193" s="342"/>
      <c r="E193" s="342"/>
      <c r="F193" s="342"/>
      <c r="G193" s="342"/>
      <c r="H193" s="342"/>
      <c r="I193" s="342"/>
      <c r="J193" s="342"/>
      <c r="K193" s="342"/>
      <c r="L193" s="342"/>
      <c r="M193" s="342"/>
    </row>
    <row r="194" ht="15.75" customHeight="1">
      <c r="A194" s="342"/>
      <c r="B194" s="343"/>
      <c r="C194" s="344"/>
      <c r="D194" s="342"/>
      <c r="E194" s="342"/>
      <c r="F194" s="342"/>
      <c r="G194" s="342"/>
      <c r="H194" s="342"/>
      <c r="I194" s="342"/>
      <c r="J194" s="342"/>
      <c r="K194" s="342"/>
      <c r="L194" s="342"/>
      <c r="M194" s="342"/>
    </row>
    <row r="195" ht="15.75" customHeight="1">
      <c r="A195" s="342"/>
      <c r="B195" s="343"/>
      <c r="C195" s="344"/>
      <c r="D195" s="342"/>
      <c r="E195" s="342"/>
      <c r="F195" s="342"/>
      <c r="G195" s="342"/>
      <c r="H195" s="342"/>
      <c r="I195" s="342"/>
      <c r="J195" s="342"/>
      <c r="K195" s="342"/>
      <c r="L195" s="342"/>
      <c r="M195" s="342"/>
    </row>
    <row r="196" ht="15.75" customHeight="1">
      <c r="A196" s="342"/>
      <c r="B196" s="343"/>
      <c r="C196" s="344"/>
      <c r="D196" s="342"/>
      <c r="E196" s="342"/>
      <c r="F196" s="342"/>
      <c r="G196" s="342"/>
      <c r="H196" s="342"/>
      <c r="I196" s="342"/>
      <c r="J196" s="342"/>
      <c r="K196" s="342"/>
      <c r="L196" s="342"/>
      <c r="M196" s="342"/>
    </row>
    <row r="197" ht="15.75" customHeight="1">
      <c r="A197" s="342"/>
      <c r="B197" s="343"/>
      <c r="C197" s="344"/>
      <c r="D197" s="342"/>
      <c r="E197" s="342"/>
      <c r="F197" s="342"/>
      <c r="G197" s="342"/>
      <c r="H197" s="342"/>
      <c r="I197" s="342"/>
      <c r="J197" s="342"/>
      <c r="K197" s="342"/>
      <c r="L197" s="342"/>
      <c r="M197" s="342"/>
    </row>
    <row r="198" ht="15.75" customHeight="1">
      <c r="A198" s="342"/>
      <c r="B198" s="343"/>
      <c r="C198" s="344"/>
      <c r="D198" s="342"/>
      <c r="E198" s="342"/>
      <c r="F198" s="342"/>
      <c r="G198" s="342"/>
      <c r="H198" s="342"/>
      <c r="I198" s="342"/>
      <c r="J198" s="342"/>
      <c r="K198" s="342"/>
      <c r="L198" s="342"/>
      <c r="M198" s="342"/>
    </row>
    <row r="199" ht="15.75" customHeight="1">
      <c r="A199" s="342"/>
      <c r="B199" s="343"/>
      <c r="C199" s="344"/>
      <c r="D199" s="342"/>
      <c r="E199" s="342"/>
      <c r="F199" s="342"/>
      <c r="G199" s="342"/>
      <c r="H199" s="342"/>
      <c r="I199" s="342"/>
      <c r="J199" s="342"/>
      <c r="K199" s="342"/>
      <c r="L199" s="342"/>
      <c r="M199" s="342"/>
    </row>
    <row r="200" ht="15.75" customHeight="1">
      <c r="A200" s="342"/>
      <c r="B200" s="343"/>
      <c r="C200" s="344"/>
      <c r="D200" s="342"/>
      <c r="E200" s="342"/>
      <c r="F200" s="342"/>
      <c r="G200" s="342"/>
      <c r="H200" s="342"/>
      <c r="I200" s="342"/>
      <c r="J200" s="342"/>
      <c r="K200" s="342"/>
      <c r="L200" s="342"/>
      <c r="M200" s="342"/>
    </row>
    <row r="201" ht="15.75" customHeight="1">
      <c r="A201" s="342"/>
      <c r="B201" s="343"/>
      <c r="C201" s="344"/>
      <c r="D201" s="342"/>
      <c r="E201" s="342"/>
      <c r="F201" s="342"/>
      <c r="G201" s="342"/>
      <c r="H201" s="342"/>
      <c r="I201" s="342"/>
      <c r="J201" s="342"/>
      <c r="K201" s="342"/>
      <c r="L201" s="342"/>
      <c r="M201" s="342"/>
    </row>
    <row r="202" ht="15.75" customHeight="1">
      <c r="A202" s="342"/>
      <c r="B202" s="343"/>
      <c r="C202" s="344"/>
      <c r="D202" s="342"/>
      <c r="E202" s="342"/>
      <c r="F202" s="342"/>
      <c r="G202" s="342"/>
      <c r="H202" s="342"/>
      <c r="I202" s="342"/>
      <c r="J202" s="342"/>
      <c r="K202" s="342"/>
      <c r="L202" s="342"/>
      <c r="M202" s="342"/>
    </row>
    <row r="203" ht="15.75" customHeight="1">
      <c r="A203" s="342"/>
      <c r="B203" s="343"/>
      <c r="C203" s="344"/>
      <c r="D203" s="342"/>
      <c r="E203" s="342"/>
      <c r="F203" s="342"/>
      <c r="G203" s="342"/>
      <c r="H203" s="342"/>
      <c r="I203" s="342"/>
      <c r="J203" s="342"/>
      <c r="K203" s="342"/>
      <c r="L203" s="342"/>
      <c r="M203" s="342"/>
    </row>
    <row r="204" ht="15.75" customHeight="1">
      <c r="A204" s="342"/>
      <c r="B204" s="343"/>
      <c r="C204" s="344"/>
      <c r="D204" s="342"/>
      <c r="E204" s="342"/>
      <c r="F204" s="342"/>
      <c r="G204" s="342"/>
      <c r="H204" s="342"/>
      <c r="I204" s="342"/>
      <c r="J204" s="342"/>
      <c r="K204" s="342"/>
      <c r="L204" s="342"/>
      <c r="M204" s="342"/>
    </row>
    <row r="205" ht="15.75" customHeight="1">
      <c r="A205" s="342"/>
      <c r="B205" s="343"/>
      <c r="C205" s="344"/>
      <c r="D205" s="342"/>
      <c r="E205" s="342"/>
      <c r="F205" s="342"/>
      <c r="G205" s="342"/>
      <c r="H205" s="342"/>
      <c r="I205" s="342"/>
      <c r="J205" s="342"/>
      <c r="K205" s="342"/>
      <c r="L205" s="342"/>
      <c r="M205" s="342"/>
    </row>
    <row r="206" ht="15.75" customHeight="1">
      <c r="A206" s="342"/>
      <c r="B206" s="343"/>
      <c r="C206" s="344"/>
      <c r="D206" s="342"/>
      <c r="E206" s="342"/>
      <c r="F206" s="342"/>
      <c r="G206" s="342"/>
      <c r="H206" s="342"/>
      <c r="I206" s="342"/>
      <c r="J206" s="342"/>
      <c r="K206" s="342"/>
      <c r="L206" s="342"/>
      <c r="M206" s="342"/>
    </row>
    <row r="207" ht="15.75" customHeight="1">
      <c r="A207" s="342"/>
      <c r="B207" s="343"/>
      <c r="C207" s="344"/>
      <c r="D207" s="342"/>
      <c r="E207" s="342"/>
      <c r="F207" s="342"/>
      <c r="G207" s="342"/>
      <c r="H207" s="342"/>
      <c r="I207" s="342"/>
      <c r="J207" s="342"/>
      <c r="K207" s="342"/>
      <c r="L207" s="342"/>
      <c r="M207" s="342"/>
    </row>
    <row r="208" ht="15.75" customHeight="1">
      <c r="A208" s="342"/>
      <c r="B208" s="343"/>
      <c r="C208" s="344"/>
      <c r="D208" s="342"/>
      <c r="E208" s="342"/>
      <c r="F208" s="342"/>
      <c r="G208" s="342"/>
      <c r="H208" s="342"/>
      <c r="I208" s="342"/>
      <c r="J208" s="342"/>
      <c r="K208" s="342"/>
      <c r="L208" s="342"/>
      <c r="M208" s="342"/>
    </row>
    <row r="209" ht="15.75" customHeight="1">
      <c r="A209" s="342"/>
      <c r="B209" s="343"/>
      <c r="C209" s="344"/>
      <c r="D209" s="342"/>
      <c r="E209" s="342"/>
      <c r="F209" s="342"/>
      <c r="G209" s="342"/>
      <c r="H209" s="342"/>
      <c r="I209" s="342"/>
      <c r="J209" s="342"/>
      <c r="K209" s="342"/>
      <c r="L209" s="342"/>
      <c r="M209" s="342"/>
    </row>
    <row r="210" ht="15.75" customHeight="1">
      <c r="A210" s="342"/>
      <c r="B210" s="343"/>
      <c r="C210" s="344"/>
      <c r="D210" s="342"/>
      <c r="E210" s="342"/>
      <c r="F210" s="342"/>
      <c r="G210" s="342"/>
      <c r="H210" s="342"/>
      <c r="I210" s="342"/>
      <c r="J210" s="342"/>
      <c r="K210" s="342"/>
      <c r="L210" s="342"/>
      <c r="M210" s="342"/>
    </row>
    <row r="211" ht="15.75" customHeight="1">
      <c r="A211" s="342"/>
      <c r="B211" s="343"/>
      <c r="C211" s="344"/>
      <c r="D211" s="342"/>
      <c r="E211" s="342"/>
      <c r="F211" s="342"/>
      <c r="G211" s="342"/>
      <c r="H211" s="342"/>
      <c r="I211" s="342"/>
      <c r="J211" s="342"/>
      <c r="K211" s="342"/>
      <c r="L211" s="342"/>
      <c r="M211" s="342"/>
    </row>
    <row r="212" ht="15.75" customHeight="1">
      <c r="A212" s="342"/>
      <c r="B212" s="343"/>
      <c r="C212" s="344"/>
      <c r="D212" s="342"/>
      <c r="E212" s="342"/>
      <c r="F212" s="342"/>
      <c r="G212" s="342"/>
      <c r="H212" s="342"/>
      <c r="I212" s="342"/>
      <c r="J212" s="342"/>
      <c r="K212" s="342"/>
      <c r="L212" s="342"/>
      <c r="M212" s="342"/>
    </row>
    <row r="213" ht="15.75" customHeight="1">
      <c r="A213" s="342"/>
      <c r="B213" s="343"/>
      <c r="C213" s="344"/>
      <c r="D213" s="342"/>
      <c r="E213" s="342"/>
      <c r="F213" s="342"/>
      <c r="G213" s="342"/>
      <c r="H213" s="342"/>
      <c r="I213" s="342"/>
      <c r="J213" s="342"/>
      <c r="K213" s="342"/>
      <c r="L213" s="342"/>
      <c r="M213" s="342"/>
    </row>
    <row r="214" ht="15.75" customHeight="1">
      <c r="A214" s="342"/>
      <c r="B214" s="343"/>
      <c r="C214" s="344"/>
      <c r="D214" s="342"/>
      <c r="E214" s="342"/>
      <c r="F214" s="342"/>
      <c r="G214" s="342"/>
      <c r="H214" s="342"/>
      <c r="I214" s="342"/>
      <c r="J214" s="342"/>
      <c r="K214" s="342"/>
      <c r="L214" s="342"/>
      <c r="M214" s="342"/>
    </row>
    <row r="215" ht="15.75" customHeight="1">
      <c r="A215" s="342"/>
      <c r="B215" s="343"/>
      <c r="C215" s="344"/>
      <c r="D215" s="342"/>
      <c r="E215" s="342"/>
      <c r="F215" s="342"/>
      <c r="G215" s="342"/>
      <c r="H215" s="342"/>
      <c r="I215" s="342"/>
      <c r="J215" s="342"/>
      <c r="K215" s="342"/>
      <c r="L215" s="342"/>
      <c r="M215" s="342"/>
    </row>
    <row r="216" ht="15.75" customHeight="1">
      <c r="A216" s="342"/>
      <c r="B216" s="343"/>
      <c r="C216" s="344"/>
      <c r="D216" s="342"/>
      <c r="E216" s="342"/>
      <c r="F216" s="342"/>
      <c r="G216" s="342"/>
      <c r="H216" s="342"/>
      <c r="I216" s="342"/>
      <c r="J216" s="342"/>
      <c r="K216" s="342"/>
      <c r="L216" s="342"/>
      <c r="M216" s="342"/>
    </row>
    <row r="217" ht="15.75" customHeight="1">
      <c r="A217" s="342"/>
      <c r="B217" s="343"/>
      <c r="C217" s="344"/>
      <c r="D217" s="342"/>
      <c r="E217" s="342"/>
      <c r="F217" s="342"/>
      <c r="G217" s="342"/>
      <c r="H217" s="342"/>
      <c r="I217" s="342"/>
      <c r="J217" s="342"/>
      <c r="K217" s="342"/>
      <c r="L217" s="342"/>
      <c r="M217" s="342"/>
    </row>
    <row r="218" ht="15.75" customHeight="1">
      <c r="A218" s="342"/>
      <c r="B218" s="343"/>
      <c r="C218" s="344"/>
      <c r="D218" s="342"/>
      <c r="E218" s="342"/>
      <c r="F218" s="342"/>
      <c r="G218" s="342"/>
      <c r="H218" s="342"/>
      <c r="I218" s="342"/>
      <c r="J218" s="342"/>
      <c r="K218" s="342"/>
      <c r="L218" s="342"/>
      <c r="M218" s="342"/>
    </row>
    <row r="219" ht="15.75" customHeight="1">
      <c r="A219" s="342"/>
      <c r="B219" s="343"/>
      <c r="C219" s="344"/>
      <c r="D219" s="342"/>
      <c r="E219" s="342"/>
      <c r="F219" s="342"/>
      <c r="G219" s="342"/>
      <c r="H219" s="342"/>
      <c r="I219" s="342"/>
      <c r="J219" s="342"/>
      <c r="K219" s="342"/>
      <c r="L219" s="342"/>
      <c r="M219" s="342"/>
    </row>
    <row r="220" ht="15.75" customHeight="1">
      <c r="A220" s="342"/>
      <c r="B220" s="343"/>
      <c r="C220" s="344"/>
      <c r="D220" s="342"/>
      <c r="E220" s="342"/>
      <c r="F220" s="342"/>
      <c r="G220" s="342"/>
      <c r="H220" s="342"/>
      <c r="I220" s="342"/>
      <c r="J220" s="342"/>
      <c r="K220" s="342"/>
      <c r="L220" s="342"/>
      <c r="M220" s="342"/>
    </row>
    <row r="221" ht="15.75" customHeight="1">
      <c r="A221" s="342"/>
      <c r="B221" s="343"/>
      <c r="C221" s="344"/>
      <c r="D221" s="342"/>
      <c r="E221" s="342"/>
      <c r="F221" s="342"/>
      <c r="G221" s="342"/>
      <c r="H221" s="342"/>
      <c r="I221" s="342"/>
      <c r="J221" s="342"/>
      <c r="K221" s="342"/>
      <c r="L221" s="342"/>
      <c r="M221" s="342"/>
    </row>
    <row r="222" ht="15.75" customHeight="1">
      <c r="A222" s="342"/>
      <c r="B222" s="343"/>
      <c r="C222" s="344"/>
      <c r="D222" s="342"/>
      <c r="E222" s="342"/>
      <c r="F222" s="342"/>
      <c r="G222" s="342"/>
      <c r="H222" s="342"/>
      <c r="I222" s="342"/>
      <c r="J222" s="342"/>
      <c r="K222" s="342"/>
      <c r="L222" s="342"/>
      <c r="M222" s="342"/>
    </row>
    <row r="223" ht="15.75" customHeight="1">
      <c r="A223" s="342"/>
      <c r="B223" s="343"/>
      <c r="C223" s="344"/>
      <c r="D223" s="342"/>
      <c r="E223" s="342"/>
      <c r="F223" s="342"/>
      <c r="G223" s="342"/>
      <c r="H223" s="342"/>
      <c r="I223" s="342"/>
      <c r="J223" s="342"/>
      <c r="K223" s="342"/>
      <c r="L223" s="342"/>
      <c r="M223" s="342"/>
    </row>
    <row r="224" ht="15.75" customHeight="1">
      <c r="A224" s="342"/>
      <c r="B224" s="343"/>
      <c r="C224" s="344"/>
      <c r="D224" s="342"/>
      <c r="E224" s="342"/>
      <c r="F224" s="342"/>
      <c r="G224" s="342"/>
      <c r="H224" s="342"/>
      <c r="I224" s="342"/>
      <c r="J224" s="342"/>
      <c r="K224" s="342"/>
      <c r="L224" s="342"/>
      <c r="M224" s="342"/>
    </row>
    <row r="225" ht="15.75" customHeight="1">
      <c r="A225" s="342"/>
      <c r="B225" s="343"/>
      <c r="C225" s="344"/>
      <c r="D225" s="342"/>
      <c r="E225" s="342"/>
      <c r="F225" s="342"/>
      <c r="G225" s="342"/>
      <c r="H225" s="342"/>
      <c r="I225" s="342"/>
      <c r="J225" s="342"/>
      <c r="K225" s="342"/>
      <c r="L225" s="342"/>
      <c r="M225" s="342"/>
    </row>
    <row r="226" ht="15.75" customHeight="1">
      <c r="A226" s="342"/>
      <c r="B226" s="343"/>
      <c r="C226" s="344"/>
      <c r="D226" s="342"/>
      <c r="E226" s="342"/>
      <c r="F226" s="342"/>
      <c r="G226" s="342"/>
      <c r="H226" s="342"/>
      <c r="I226" s="342"/>
      <c r="J226" s="342"/>
      <c r="K226" s="342"/>
      <c r="L226" s="342"/>
      <c r="M226" s="342"/>
    </row>
    <row r="227" ht="15.75" customHeight="1">
      <c r="A227" s="342"/>
      <c r="B227" s="343"/>
      <c r="C227" s="344"/>
      <c r="D227" s="342"/>
      <c r="E227" s="342"/>
      <c r="F227" s="342"/>
      <c r="G227" s="342"/>
      <c r="H227" s="342"/>
      <c r="I227" s="342"/>
      <c r="J227" s="342"/>
      <c r="K227" s="342"/>
      <c r="L227" s="342"/>
      <c r="M227" s="342"/>
    </row>
    <row r="228" ht="15.75" customHeight="1">
      <c r="A228" s="342"/>
      <c r="B228" s="343"/>
      <c r="C228" s="344"/>
      <c r="D228" s="342"/>
      <c r="E228" s="342"/>
      <c r="F228" s="342"/>
      <c r="G228" s="342"/>
      <c r="H228" s="342"/>
      <c r="I228" s="342"/>
      <c r="J228" s="342"/>
      <c r="K228" s="342"/>
      <c r="L228" s="342"/>
      <c r="M228" s="342"/>
    </row>
    <row r="229" ht="15.75" customHeight="1">
      <c r="A229" s="342"/>
      <c r="B229" s="343"/>
      <c r="C229" s="344"/>
      <c r="D229" s="342"/>
      <c r="E229" s="342"/>
      <c r="F229" s="342"/>
      <c r="G229" s="342"/>
      <c r="H229" s="342"/>
      <c r="I229" s="342"/>
      <c r="J229" s="342"/>
      <c r="K229" s="342"/>
      <c r="L229" s="342"/>
      <c r="M229" s="342"/>
    </row>
    <row r="230" ht="15.75" customHeight="1">
      <c r="A230" s="342"/>
      <c r="B230" s="343"/>
      <c r="C230" s="344"/>
      <c r="D230" s="342"/>
      <c r="E230" s="342"/>
      <c r="F230" s="342"/>
      <c r="G230" s="342"/>
      <c r="H230" s="342"/>
      <c r="I230" s="342"/>
      <c r="J230" s="342"/>
      <c r="K230" s="342"/>
      <c r="L230" s="342"/>
      <c r="M230" s="342"/>
    </row>
    <row r="231" ht="15.75" customHeight="1">
      <c r="A231" s="342"/>
      <c r="B231" s="343"/>
      <c r="C231" s="344"/>
      <c r="D231" s="342"/>
      <c r="E231" s="342"/>
      <c r="F231" s="342"/>
      <c r="G231" s="342"/>
      <c r="H231" s="342"/>
      <c r="I231" s="342"/>
      <c r="J231" s="342"/>
      <c r="K231" s="342"/>
      <c r="L231" s="342"/>
      <c r="M231" s="342"/>
    </row>
    <row r="232" ht="15.75" customHeight="1">
      <c r="A232" s="342"/>
      <c r="B232" s="343"/>
      <c r="C232" s="344"/>
      <c r="D232" s="342"/>
      <c r="E232" s="342"/>
      <c r="F232" s="342"/>
      <c r="G232" s="342"/>
      <c r="H232" s="342"/>
      <c r="I232" s="342"/>
      <c r="J232" s="342"/>
      <c r="K232" s="342"/>
      <c r="L232" s="342"/>
      <c r="M232" s="342"/>
    </row>
    <row r="233" ht="15.75" customHeight="1">
      <c r="A233" s="342"/>
      <c r="B233" s="343"/>
      <c r="C233" s="344"/>
      <c r="D233" s="342"/>
      <c r="E233" s="342"/>
      <c r="F233" s="342"/>
      <c r="G233" s="342"/>
      <c r="H233" s="342"/>
      <c r="I233" s="342"/>
      <c r="J233" s="342"/>
      <c r="K233" s="342"/>
      <c r="L233" s="342"/>
      <c r="M233" s="342"/>
    </row>
    <row r="234" ht="15.75" customHeight="1">
      <c r="A234" s="342"/>
      <c r="B234" s="343"/>
      <c r="C234" s="344"/>
      <c r="D234" s="342"/>
      <c r="E234" s="342"/>
      <c r="F234" s="342"/>
      <c r="G234" s="342"/>
      <c r="H234" s="342"/>
      <c r="I234" s="342"/>
      <c r="J234" s="342"/>
      <c r="K234" s="342"/>
      <c r="L234" s="342"/>
      <c r="M234" s="342"/>
    </row>
    <row r="235" ht="15.75" customHeight="1">
      <c r="A235" s="342"/>
      <c r="B235" s="343"/>
      <c r="C235" s="344"/>
      <c r="D235" s="342"/>
      <c r="E235" s="342"/>
      <c r="F235" s="342"/>
      <c r="G235" s="342"/>
      <c r="H235" s="342"/>
      <c r="I235" s="342"/>
      <c r="J235" s="342"/>
      <c r="K235" s="342"/>
      <c r="L235" s="342"/>
      <c r="M235" s="342"/>
    </row>
    <row r="236" ht="15.75" customHeight="1">
      <c r="A236" s="342"/>
      <c r="B236" s="343"/>
      <c r="C236" s="344"/>
      <c r="D236" s="342"/>
      <c r="E236" s="342"/>
      <c r="F236" s="342"/>
      <c r="G236" s="342"/>
      <c r="H236" s="342"/>
      <c r="I236" s="342"/>
      <c r="J236" s="342"/>
      <c r="K236" s="342"/>
      <c r="L236" s="342"/>
      <c r="M236" s="342"/>
    </row>
    <row r="237" ht="15.75" customHeight="1">
      <c r="A237" s="342"/>
      <c r="B237" s="343"/>
      <c r="C237" s="344"/>
      <c r="D237" s="342"/>
      <c r="E237" s="342"/>
      <c r="F237" s="342"/>
      <c r="G237" s="342"/>
      <c r="H237" s="342"/>
      <c r="I237" s="342"/>
      <c r="J237" s="342"/>
      <c r="K237" s="342"/>
      <c r="L237" s="342"/>
      <c r="M237" s="342"/>
    </row>
    <row r="238" ht="15.75" customHeight="1">
      <c r="A238" s="342"/>
      <c r="B238" s="343"/>
      <c r="C238" s="344"/>
      <c r="D238" s="342"/>
      <c r="E238" s="342"/>
      <c r="F238" s="342"/>
      <c r="G238" s="342"/>
      <c r="H238" s="342"/>
      <c r="I238" s="342"/>
      <c r="J238" s="342"/>
      <c r="K238" s="342"/>
      <c r="L238" s="342"/>
      <c r="M238" s="342"/>
    </row>
    <row r="239" ht="15.75" customHeight="1">
      <c r="A239" s="342"/>
      <c r="B239" s="343"/>
      <c r="C239" s="344"/>
      <c r="D239" s="342"/>
      <c r="E239" s="342"/>
      <c r="F239" s="342"/>
      <c r="G239" s="342"/>
      <c r="H239" s="342"/>
      <c r="I239" s="342"/>
      <c r="J239" s="342"/>
      <c r="K239" s="342"/>
      <c r="L239" s="342"/>
      <c r="M239" s="342"/>
    </row>
    <row r="240" ht="15.75" customHeight="1">
      <c r="A240" s="342"/>
      <c r="B240" s="343"/>
      <c r="C240" s="344"/>
      <c r="D240" s="342"/>
      <c r="E240" s="342"/>
      <c r="F240" s="342"/>
      <c r="G240" s="342"/>
      <c r="H240" s="342"/>
      <c r="I240" s="342"/>
      <c r="J240" s="342"/>
      <c r="K240" s="342"/>
      <c r="L240" s="342"/>
      <c r="M240" s="342"/>
    </row>
    <row r="241" ht="15.75" customHeight="1">
      <c r="A241" s="342"/>
      <c r="B241" s="343"/>
      <c r="C241" s="344"/>
      <c r="D241" s="342"/>
      <c r="E241" s="342"/>
      <c r="F241" s="342"/>
      <c r="G241" s="342"/>
      <c r="H241" s="342"/>
      <c r="I241" s="342"/>
      <c r="J241" s="342"/>
      <c r="K241" s="342"/>
      <c r="L241" s="342"/>
      <c r="M241" s="342"/>
    </row>
    <row r="242" ht="15.75" customHeight="1">
      <c r="A242" s="342"/>
      <c r="B242" s="343"/>
      <c r="C242" s="344"/>
      <c r="D242" s="342"/>
      <c r="E242" s="342"/>
      <c r="F242" s="342"/>
      <c r="G242" s="342"/>
      <c r="H242" s="342"/>
      <c r="I242" s="342"/>
      <c r="J242" s="342"/>
      <c r="K242" s="342"/>
      <c r="L242" s="342"/>
      <c r="M242" s="342"/>
    </row>
    <row r="243" ht="15.75" customHeight="1">
      <c r="A243" s="342"/>
      <c r="B243" s="343"/>
      <c r="C243" s="344"/>
      <c r="D243" s="342"/>
      <c r="E243" s="342"/>
      <c r="F243" s="342"/>
      <c r="G243" s="342"/>
      <c r="H243" s="342"/>
      <c r="I243" s="342"/>
      <c r="J243" s="342"/>
      <c r="K243" s="342"/>
      <c r="L243" s="342"/>
      <c r="M243" s="342"/>
    </row>
    <row r="244" ht="15.75" customHeight="1">
      <c r="A244" s="342"/>
      <c r="B244" s="343"/>
      <c r="C244" s="344"/>
      <c r="D244" s="342"/>
      <c r="E244" s="342"/>
      <c r="F244" s="342"/>
      <c r="G244" s="342"/>
      <c r="H244" s="342"/>
      <c r="I244" s="342"/>
      <c r="J244" s="342"/>
      <c r="K244" s="342"/>
      <c r="L244" s="342"/>
      <c r="M244" s="342"/>
    </row>
    <row r="245" ht="15.75" customHeight="1">
      <c r="A245" s="342"/>
      <c r="B245" s="343"/>
      <c r="C245" s="344"/>
      <c r="D245" s="342"/>
      <c r="E245" s="342"/>
      <c r="F245" s="342"/>
      <c r="G245" s="342"/>
      <c r="H245" s="342"/>
      <c r="I245" s="342"/>
      <c r="J245" s="342"/>
      <c r="K245" s="342"/>
      <c r="L245" s="342"/>
      <c r="M245" s="342"/>
    </row>
    <row r="246" ht="15.75" customHeight="1">
      <c r="A246" s="342"/>
      <c r="B246" s="343"/>
      <c r="C246" s="344"/>
      <c r="D246" s="342"/>
      <c r="E246" s="342"/>
      <c r="F246" s="342"/>
      <c r="G246" s="342"/>
      <c r="H246" s="342"/>
      <c r="I246" s="342"/>
      <c r="J246" s="342"/>
      <c r="K246" s="342"/>
      <c r="L246" s="342"/>
      <c r="M246" s="342"/>
    </row>
    <row r="247" ht="15.75" customHeight="1">
      <c r="A247" s="342"/>
      <c r="B247" s="343"/>
      <c r="C247" s="344"/>
      <c r="D247" s="342"/>
      <c r="E247" s="342"/>
      <c r="F247" s="342"/>
      <c r="G247" s="342"/>
      <c r="H247" s="342"/>
      <c r="I247" s="342"/>
      <c r="J247" s="342"/>
      <c r="K247" s="342"/>
      <c r="L247" s="342"/>
      <c r="M247" s="342"/>
    </row>
    <row r="248" ht="15.75" customHeight="1">
      <c r="A248" s="342"/>
      <c r="B248" s="343"/>
      <c r="C248" s="344"/>
      <c r="D248" s="342"/>
      <c r="E248" s="342"/>
      <c r="F248" s="342"/>
      <c r="G248" s="342"/>
      <c r="H248" s="342"/>
      <c r="I248" s="342"/>
      <c r="J248" s="342"/>
      <c r="K248" s="342"/>
      <c r="L248" s="342"/>
      <c r="M248" s="342"/>
    </row>
    <row r="249" ht="15.75" customHeight="1">
      <c r="A249" s="342"/>
      <c r="B249" s="343"/>
      <c r="C249" s="344"/>
      <c r="D249" s="342"/>
      <c r="E249" s="342"/>
      <c r="F249" s="342"/>
      <c r="G249" s="342"/>
      <c r="H249" s="342"/>
      <c r="I249" s="342"/>
      <c r="J249" s="342"/>
      <c r="K249" s="342"/>
      <c r="L249" s="342"/>
      <c r="M249" s="342"/>
    </row>
    <row r="250" ht="15.75" customHeight="1">
      <c r="A250" s="342"/>
      <c r="B250" s="343"/>
      <c r="C250" s="344"/>
      <c r="D250" s="342"/>
      <c r="E250" s="342"/>
      <c r="F250" s="342"/>
      <c r="G250" s="342"/>
      <c r="H250" s="342"/>
      <c r="I250" s="342"/>
      <c r="J250" s="342"/>
      <c r="K250" s="342"/>
      <c r="L250" s="342"/>
      <c r="M250" s="342"/>
    </row>
    <row r="251" ht="15.75" customHeight="1">
      <c r="A251" s="342"/>
      <c r="B251" s="343"/>
      <c r="C251" s="344"/>
      <c r="D251" s="342"/>
      <c r="E251" s="342"/>
      <c r="F251" s="342"/>
      <c r="G251" s="342"/>
      <c r="H251" s="342"/>
      <c r="I251" s="342"/>
      <c r="J251" s="342"/>
      <c r="K251" s="342"/>
      <c r="L251" s="342"/>
      <c r="M251" s="342"/>
    </row>
    <row r="252" ht="15.75" customHeight="1">
      <c r="A252" s="342"/>
      <c r="B252" s="343"/>
      <c r="C252" s="344"/>
      <c r="D252" s="342"/>
      <c r="E252" s="342"/>
      <c r="F252" s="342"/>
      <c r="G252" s="342"/>
      <c r="H252" s="342"/>
      <c r="I252" s="342"/>
      <c r="J252" s="342"/>
      <c r="K252" s="342"/>
      <c r="L252" s="342"/>
      <c r="M252" s="342"/>
    </row>
    <row r="253" ht="15.75" customHeight="1">
      <c r="A253" s="342"/>
      <c r="B253" s="343"/>
      <c r="C253" s="344"/>
      <c r="D253" s="342"/>
      <c r="E253" s="342"/>
      <c r="F253" s="342"/>
      <c r="G253" s="342"/>
      <c r="H253" s="342"/>
      <c r="I253" s="342"/>
      <c r="J253" s="342"/>
      <c r="K253" s="342"/>
      <c r="L253" s="342"/>
      <c r="M253" s="342"/>
    </row>
    <row r="254" ht="15.75" customHeight="1">
      <c r="A254" s="342"/>
      <c r="B254" s="343"/>
      <c r="C254" s="344"/>
      <c r="D254" s="342"/>
      <c r="E254" s="342"/>
      <c r="F254" s="342"/>
      <c r="G254" s="342"/>
      <c r="H254" s="342"/>
      <c r="I254" s="342"/>
      <c r="J254" s="342"/>
      <c r="K254" s="342"/>
      <c r="L254" s="342"/>
      <c r="M254" s="342"/>
    </row>
    <row r="255" ht="15.75" customHeight="1">
      <c r="A255" s="342"/>
      <c r="B255" s="343"/>
      <c r="C255" s="344"/>
      <c r="D255" s="342"/>
      <c r="E255" s="342"/>
      <c r="F255" s="342"/>
      <c r="G255" s="342"/>
      <c r="H255" s="342"/>
      <c r="I255" s="342"/>
      <c r="J255" s="342"/>
      <c r="K255" s="342"/>
      <c r="L255" s="342"/>
      <c r="M255" s="342"/>
    </row>
    <row r="256" ht="15.75" customHeight="1">
      <c r="A256" s="342"/>
      <c r="B256" s="343"/>
      <c r="C256" s="344"/>
      <c r="D256" s="342"/>
      <c r="E256" s="342"/>
      <c r="F256" s="342"/>
      <c r="G256" s="342"/>
      <c r="H256" s="342"/>
      <c r="I256" s="342"/>
      <c r="J256" s="342"/>
      <c r="K256" s="342"/>
      <c r="L256" s="342"/>
      <c r="M256" s="342"/>
    </row>
    <row r="257" ht="15.75" customHeight="1">
      <c r="A257" s="342"/>
      <c r="B257" s="343"/>
      <c r="C257" s="344"/>
      <c r="D257" s="342"/>
      <c r="E257" s="342"/>
      <c r="F257" s="342"/>
      <c r="G257" s="342"/>
      <c r="H257" s="342"/>
      <c r="I257" s="342"/>
      <c r="J257" s="342"/>
      <c r="K257" s="342"/>
      <c r="L257" s="342"/>
      <c r="M257" s="342"/>
    </row>
    <row r="258" ht="15.75" customHeight="1">
      <c r="A258" s="342"/>
      <c r="B258" s="343"/>
      <c r="C258" s="344"/>
      <c r="D258" s="342"/>
      <c r="E258" s="342"/>
      <c r="F258" s="342"/>
      <c r="G258" s="342"/>
      <c r="H258" s="342"/>
      <c r="I258" s="342"/>
      <c r="J258" s="342"/>
      <c r="K258" s="342"/>
      <c r="L258" s="342"/>
      <c r="M258" s="342"/>
    </row>
    <row r="259" ht="15.75" customHeight="1">
      <c r="A259" s="342"/>
      <c r="B259" s="343"/>
      <c r="C259" s="344"/>
      <c r="D259" s="342"/>
      <c r="E259" s="342"/>
      <c r="F259" s="342"/>
      <c r="G259" s="342"/>
      <c r="H259" s="342"/>
      <c r="I259" s="342"/>
      <c r="J259" s="342"/>
      <c r="K259" s="342"/>
      <c r="L259" s="342"/>
      <c r="M259" s="342"/>
    </row>
    <row r="260" ht="15.75" customHeight="1">
      <c r="A260" s="342"/>
      <c r="B260" s="343"/>
      <c r="C260" s="344"/>
      <c r="D260" s="342"/>
      <c r="E260" s="342"/>
      <c r="F260" s="342"/>
      <c r="G260" s="342"/>
      <c r="H260" s="342"/>
      <c r="I260" s="342"/>
      <c r="J260" s="342"/>
      <c r="K260" s="342"/>
      <c r="L260" s="342"/>
      <c r="M260" s="342"/>
    </row>
    <row r="261" ht="15.75" customHeight="1">
      <c r="A261" s="342"/>
      <c r="B261" s="343"/>
      <c r="C261" s="344"/>
      <c r="D261" s="342"/>
      <c r="E261" s="342"/>
      <c r="F261" s="342"/>
      <c r="G261" s="342"/>
      <c r="H261" s="342"/>
      <c r="I261" s="342"/>
      <c r="J261" s="342"/>
      <c r="K261" s="342"/>
      <c r="L261" s="342"/>
      <c r="M261" s="342"/>
    </row>
    <row r="262" ht="15.75" customHeight="1">
      <c r="A262" s="342"/>
      <c r="B262" s="343"/>
      <c r="C262" s="344"/>
      <c r="D262" s="342"/>
      <c r="E262" s="342"/>
      <c r="F262" s="342"/>
      <c r="G262" s="342"/>
      <c r="H262" s="342"/>
      <c r="I262" s="342"/>
      <c r="J262" s="342"/>
      <c r="K262" s="342"/>
      <c r="L262" s="342"/>
      <c r="M262" s="342"/>
    </row>
    <row r="263" ht="15.75" customHeight="1">
      <c r="A263" s="342"/>
      <c r="B263" s="343"/>
      <c r="C263" s="344"/>
      <c r="D263" s="342"/>
      <c r="E263" s="342"/>
      <c r="F263" s="342"/>
      <c r="G263" s="342"/>
      <c r="H263" s="342"/>
      <c r="I263" s="342"/>
      <c r="J263" s="342"/>
      <c r="K263" s="342"/>
      <c r="L263" s="342"/>
      <c r="M263" s="342"/>
    </row>
    <row r="264" ht="15.75" customHeight="1">
      <c r="A264" s="342"/>
      <c r="B264" s="343"/>
      <c r="C264" s="344"/>
      <c r="D264" s="342"/>
      <c r="E264" s="342"/>
      <c r="F264" s="342"/>
      <c r="G264" s="342"/>
      <c r="H264" s="342"/>
      <c r="I264" s="342"/>
      <c r="J264" s="342"/>
      <c r="K264" s="342"/>
      <c r="L264" s="342"/>
      <c r="M264" s="342"/>
    </row>
    <row r="265" ht="15.75" customHeight="1">
      <c r="A265" s="342"/>
      <c r="B265" s="343"/>
      <c r="C265" s="344"/>
      <c r="D265" s="342"/>
      <c r="E265" s="342"/>
      <c r="F265" s="342"/>
      <c r="G265" s="342"/>
      <c r="H265" s="342"/>
      <c r="I265" s="342"/>
      <c r="J265" s="342"/>
      <c r="K265" s="342"/>
      <c r="L265" s="342"/>
      <c r="M265" s="342"/>
    </row>
    <row r="266" ht="15.75" customHeight="1">
      <c r="A266" s="342"/>
      <c r="B266" s="343"/>
      <c r="C266" s="344"/>
      <c r="D266" s="342"/>
      <c r="E266" s="342"/>
      <c r="F266" s="342"/>
      <c r="G266" s="342"/>
      <c r="H266" s="342"/>
      <c r="I266" s="342"/>
      <c r="J266" s="342"/>
      <c r="K266" s="342"/>
      <c r="L266" s="342"/>
      <c r="M266" s="342"/>
    </row>
    <row r="267" ht="15.75" customHeight="1">
      <c r="A267" s="342"/>
      <c r="B267" s="343"/>
      <c r="C267" s="344"/>
      <c r="D267" s="342"/>
      <c r="E267" s="342"/>
      <c r="F267" s="342"/>
      <c r="G267" s="342"/>
      <c r="H267" s="342"/>
      <c r="I267" s="342"/>
      <c r="J267" s="342"/>
      <c r="K267" s="342"/>
      <c r="L267" s="342"/>
      <c r="M267" s="342"/>
    </row>
    <row r="268" ht="15.75" customHeight="1">
      <c r="A268" s="342"/>
      <c r="B268" s="343"/>
      <c r="C268" s="344"/>
      <c r="D268" s="342"/>
      <c r="E268" s="342"/>
      <c r="F268" s="342"/>
      <c r="G268" s="342"/>
      <c r="H268" s="342"/>
      <c r="I268" s="342"/>
      <c r="J268" s="342"/>
      <c r="K268" s="342"/>
      <c r="L268" s="342"/>
      <c r="M268" s="342"/>
    </row>
    <row r="269" ht="15.75" customHeight="1">
      <c r="A269" s="342"/>
      <c r="B269" s="343"/>
      <c r="C269" s="344"/>
      <c r="D269" s="342"/>
      <c r="E269" s="342"/>
      <c r="F269" s="342"/>
      <c r="G269" s="342"/>
      <c r="H269" s="342"/>
      <c r="I269" s="342"/>
      <c r="J269" s="342"/>
      <c r="K269" s="342"/>
      <c r="L269" s="342"/>
      <c r="M269" s="342"/>
    </row>
    <row r="270" ht="15.75" customHeight="1">
      <c r="A270" s="342"/>
      <c r="B270" s="343"/>
      <c r="C270" s="344"/>
      <c r="D270" s="342"/>
      <c r="E270" s="342"/>
      <c r="F270" s="342"/>
      <c r="G270" s="342"/>
      <c r="H270" s="342"/>
      <c r="I270" s="342"/>
      <c r="J270" s="342"/>
      <c r="K270" s="342"/>
      <c r="L270" s="342"/>
      <c r="M270" s="342"/>
    </row>
    <row r="271" ht="15.75" customHeight="1">
      <c r="A271" s="342"/>
      <c r="B271" s="343"/>
      <c r="C271" s="344"/>
      <c r="D271" s="342"/>
      <c r="E271" s="342"/>
      <c r="F271" s="342"/>
      <c r="G271" s="342"/>
      <c r="H271" s="342"/>
      <c r="I271" s="342"/>
      <c r="J271" s="342"/>
      <c r="K271" s="342"/>
      <c r="L271" s="342"/>
      <c r="M271" s="342"/>
    </row>
    <row r="272" ht="15.75" customHeight="1">
      <c r="A272" s="342"/>
      <c r="B272" s="343"/>
      <c r="C272" s="344"/>
      <c r="D272" s="342"/>
      <c r="E272" s="342"/>
      <c r="F272" s="342"/>
      <c r="G272" s="342"/>
      <c r="H272" s="342"/>
      <c r="I272" s="342"/>
      <c r="J272" s="342"/>
      <c r="K272" s="342"/>
      <c r="L272" s="342"/>
      <c r="M272" s="342"/>
    </row>
    <row r="273" ht="15.75" customHeight="1">
      <c r="A273" s="342"/>
      <c r="B273" s="343"/>
      <c r="C273" s="344"/>
      <c r="D273" s="342"/>
      <c r="E273" s="342"/>
      <c r="F273" s="342"/>
      <c r="G273" s="342"/>
      <c r="H273" s="342"/>
      <c r="I273" s="342"/>
      <c r="J273" s="342"/>
      <c r="K273" s="342"/>
      <c r="L273" s="342"/>
      <c r="M273" s="342"/>
    </row>
    <row r="274" ht="15.75" customHeight="1">
      <c r="A274" s="342"/>
      <c r="B274" s="343"/>
      <c r="C274" s="344"/>
      <c r="D274" s="342"/>
      <c r="E274" s="342"/>
      <c r="F274" s="342"/>
      <c r="G274" s="342"/>
      <c r="H274" s="342"/>
      <c r="I274" s="342"/>
      <c r="J274" s="342"/>
      <c r="K274" s="342"/>
      <c r="L274" s="342"/>
      <c r="M274" s="342"/>
    </row>
    <row r="275" ht="15.75" customHeight="1">
      <c r="A275" s="342"/>
      <c r="B275" s="343"/>
      <c r="C275" s="344"/>
      <c r="D275" s="342"/>
      <c r="E275" s="342"/>
      <c r="F275" s="342"/>
      <c r="G275" s="342"/>
      <c r="H275" s="342"/>
      <c r="I275" s="342"/>
      <c r="J275" s="342"/>
      <c r="K275" s="342"/>
      <c r="L275" s="342"/>
      <c r="M275" s="342"/>
    </row>
    <row r="276" ht="15.75" customHeight="1">
      <c r="A276" s="342"/>
      <c r="B276" s="343"/>
      <c r="C276" s="344"/>
      <c r="D276" s="342"/>
      <c r="E276" s="342"/>
      <c r="F276" s="342"/>
      <c r="G276" s="342"/>
      <c r="H276" s="342"/>
      <c r="I276" s="342"/>
      <c r="J276" s="342"/>
      <c r="K276" s="342"/>
      <c r="L276" s="342"/>
      <c r="M276" s="342"/>
    </row>
    <row r="277" ht="15.75" customHeight="1">
      <c r="A277" s="342"/>
      <c r="B277" s="343"/>
      <c r="C277" s="344"/>
      <c r="D277" s="342"/>
      <c r="E277" s="342"/>
      <c r="F277" s="342"/>
      <c r="G277" s="342"/>
      <c r="H277" s="342"/>
      <c r="I277" s="342"/>
      <c r="J277" s="342"/>
      <c r="K277" s="342"/>
      <c r="L277" s="342"/>
      <c r="M277" s="342"/>
    </row>
    <row r="278" ht="15.75" customHeight="1">
      <c r="A278" s="342"/>
      <c r="B278" s="343"/>
      <c r="C278" s="344"/>
      <c r="D278" s="342"/>
      <c r="E278" s="342"/>
      <c r="F278" s="342"/>
      <c r="G278" s="342"/>
      <c r="H278" s="342"/>
      <c r="I278" s="342"/>
      <c r="J278" s="342"/>
      <c r="K278" s="342"/>
      <c r="L278" s="342"/>
      <c r="M278" s="342"/>
    </row>
    <row r="279" ht="15.75" customHeight="1">
      <c r="A279" s="342"/>
      <c r="B279" s="343"/>
      <c r="C279" s="344"/>
      <c r="D279" s="342"/>
      <c r="E279" s="342"/>
      <c r="F279" s="342"/>
      <c r="G279" s="342"/>
      <c r="H279" s="342"/>
      <c r="I279" s="342"/>
      <c r="J279" s="342"/>
      <c r="K279" s="342"/>
      <c r="L279" s="342"/>
      <c r="M279" s="342"/>
    </row>
    <row r="280" ht="15.75" customHeight="1">
      <c r="A280" s="342"/>
      <c r="B280" s="343"/>
      <c r="C280" s="344"/>
      <c r="D280" s="342"/>
      <c r="E280" s="342"/>
      <c r="F280" s="342"/>
      <c r="G280" s="342"/>
      <c r="H280" s="342"/>
      <c r="I280" s="342"/>
      <c r="J280" s="342"/>
      <c r="K280" s="342"/>
      <c r="L280" s="342"/>
      <c r="M280" s="342"/>
    </row>
    <row r="281" ht="15.75" customHeight="1">
      <c r="A281" s="342"/>
      <c r="B281" s="343"/>
      <c r="C281" s="344"/>
      <c r="D281" s="342"/>
      <c r="E281" s="342"/>
      <c r="F281" s="342"/>
      <c r="G281" s="342"/>
      <c r="H281" s="342"/>
      <c r="I281" s="342"/>
      <c r="J281" s="342"/>
      <c r="K281" s="342"/>
      <c r="L281" s="342"/>
      <c r="M281" s="342"/>
    </row>
    <row r="282" ht="15.75" customHeight="1">
      <c r="A282" s="342"/>
      <c r="B282" s="343"/>
      <c r="C282" s="344"/>
      <c r="D282" s="342"/>
      <c r="E282" s="342"/>
      <c r="F282" s="342"/>
      <c r="G282" s="342"/>
      <c r="H282" s="342"/>
      <c r="I282" s="342"/>
      <c r="J282" s="342"/>
      <c r="K282" s="342"/>
      <c r="L282" s="342"/>
      <c r="M282" s="342"/>
    </row>
    <row r="283" ht="15.75" customHeight="1">
      <c r="A283" s="342"/>
      <c r="B283" s="343"/>
      <c r="C283" s="344"/>
      <c r="D283" s="342"/>
      <c r="E283" s="342"/>
      <c r="F283" s="342"/>
      <c r="G283" s="342"/>
      <c r="H283" s="342"/>
      <c r="I283" s="342"/>
      <c r="J283" s="342"/>
      <c r="K283" s="342"/>
      <c r="L283" s="342"/>
      <c r="M283" s="342"/>
    </row>
    <row r="284" ht="15.75" customHeight="1">
      <c r="A284" s="342"/>
      <c r="B284" s="343"/>
      <c r="C284" s="344"/>
      <c r="D284" s="342"/>
      <c r="E284" s="342"/>
      <c r="F284" s="342"/>
      <c r="G284" s="342"/>
      <c r="H284" s="342"/>
      <c r="I284" s="342"/>
      <c r="J284" s="342"/>
      <c r="K284" s="342"/>
      <c r="L284" s="342"/>
      <c r="M284" s="342"/>
    </row>
    <row r="285" ht="15.75" customHeight="1">
      <c r="A285" s="342"/>
      <c r="B285" s="343"/>
      <c r="C285" s="344"/>
      <c r="D285" s="342"/>
      <c r="E285" s="342"/>
      <c r="F285" s="342"/>
      <c r="G285" s="342"/>
      <c r="H285" s="342"/>
      <c r="I285" s="342"/>
      <c r="J285" s="342"/>
      <c r="K285" s="342"/>
      <c r="L285" s="342"/>
      <c r="M285" s="342"/>
    </row>
    <row r="286" ht="15.75" customHeight="1">
      <c r="A286" s="342"/>
      <c r="B286" s="343"/>
      <c r="C286" s="344"/>
      <c r="D286" s="342"/>
      <c r="E286" s="342"/>
      <c r="F286" s="342"/>
      <c r="G286" s="342"/>
      <c r="H286" s="342"/>
      <c r="I286" s="342"/>
      <c r="J286" s="342"/>
      <c r="K286" s="342"/>
      <c r="L286" s="342"/>
      <c r="M286" s="342"/>
    </row>
    <row r="287" ht="15.75" customHeight="1">
      <c r="A287" s="342"/>
      <c r="B287" s="343"/>
      <c r="C287" s="344"/>
      <c r="D287" s="342"/>
      <c r="E287" s="342"/>
      <c r="F287" s="342"/>
      <c r="G287" s="342"/>
      <c r="H287" s="342"/>
      <c r="I287" s="342"/>
      <c r="J287" s="342"/>
      <c r="K287" s="342"/>
      <c r="L287" s="342"/>
      <c r="M287" s="342"/>
    </row>
    <row r="288" ht="15.75" customHeight="1">
      <c r="A288" s="342"/>
      <c r="B288" s="343"/>
      <c r="C288" s="344"/>
      <c r="D288" s="342"/>
      <c r="E288" s="342"/>
      <c r="F288" s="342"/>
      <c r="G288" s="342"/>
      <c r="H288" s="342"/>
      <c r="I288" s="342"/>
      <c r="J288" s="342"/>
      <c r="K288" s="342"/>
      <c r="L288" s="342"/>
      <c r="M288" s="342"/>
    </row>
    <row r="289" ht="15.75" customHeight="1">
      <c r="A289" s="342"/>
      <c r="B289" s="343"/>
      <c r="C289" s="344"/>
      <c r="D289" s="342"/>
      <c r="E289" s="342"/>
      <c r="F289" s="342"/>
      <c r="G289" s="342"/>
      <c r="H289" s="342"/>
      <c r="I289" s="342"/>
      <c r="J289" s="342"/>
      <c r="K289" s="342"/>
      <c r="L289" s="342"/>
      <c r="M289" s="342"/>
    </row>
    <row r="290" ht="15.75" customHeight="1">
      <c r="A290" s="342"/>
      <c r="B290" s="343"/>
      <c r="C290" s="344"/>
      <c r="D290" s="342"/>
      <c r="E290" s="342"/>
      <c r="F290" s="342"/>
      <c r="G290" s="342"/>
      <c r="H290" s="342"/>
      <c r="I290" s="342"/>
      <c r="J290" s="342"/>
      <c r="K290" s="342"/>
      <c r="L290" s="342"/>
      <c r="M290" s="342"/>
    </row>
    <row r="291" ht="15.75" customHeight="1">
      <c r="A291" s="342"/>
      <c r="B291" s="343"/>
      <c r="C291" s="344"/>
      <c r="D291" s="342"/>
      <c r="E291" s="342"/>
      <c r="F291" s="342"/>
      <c r="G291" s="342"/>
      <c r="H291" s="342"/>
      <c r="I291" s="342"/>
      <c r="J291" s="342"/>
      <c r="K291" s="342"/>
      <c r="L291" s="342"/>
      <c r="M291" s="342"/>
    </row>
    <row r="292" ht="15.75" customHeight="1">
      <c r="A292" s="342"/>
      <c r="B292" s="343"/>
      <c r="C292" s="344"/>
      <c r="D292" s="342"/>
      <c r="E292" s="342"/>
      <c r="F292" s="342"/>
      <c r="G292" s="342"/>
      <c r="H292" s="342"/>
      <c r="I292" s="342"/>
      <c r="J292" s="342"/>
      <c r="K292" s="342"/>
      <c r="L292" s="342"/>
      <c r="M292" s="342"/>
    </row>
    <row r="293" ht="15.75" customHeight="1">
      <c r="A293" s="342"/>
      <c r="B293" s="343"/>
      <c r="C293" s="344"/>
      <c r="D293" s="342"/>
      <c r="E293" s="342"/>
      <c r="F293" s="342"/>
      <c r="G293" s="342"/>
      <c r="H293" s="342"/>
      <c r="I293" s="342"/>
      <c r="J293" s="342"/>
      <c r="K293" s="342"/>
      <c r="L293" s="342"/>
      <c r="M293" s="342"/>
    </row>
    <row r="294" ht="15.75" customHeight="1">
      <c r="A294" s="342"/>
      <c r="B294" s="343"/>
      <c r="C294" s="344"/>
      <c r="D294" s="342"/>
      <c r="E294" s="342"/>
      <c r="F294" s="342"/>
      <c r="G294" s="342"/>
      <c r="H294" s="342"/>
      <c r="I294" s="342"/>
      <c r="J294" s="342"/>
      <c r="K294" s="342"/>
      <c r="L294" s="342"/>
      <c r="M294" s="342"/>
    </row>
    <row r="295" ht="15.75" customHeight="1">
      <c r="A295" s="342"/>
      <c r="B295" s="343"/>
      <c r="C295" s="344"/>
      <c r="D295" s="342"/>
      <c r="E295" s="342"/>
      <c r="F295" s="342"/>
      <c r="G295" s="342"/>
      <c r="H295" s="342"/>
      <c r="I295" s="342"/>
      <c r="J295" s="342"/>
      <c r="K295" s="342"/>
      <c r="L295" s="342"/>
      <c r="M295" s="342"/>
    </row>
    <row r="296" ht="15.75" customHeight="1">
      <c r="A296" s="342"/>
      <c r="B296" s="343"/>
      <c r="C296" s="344"/>
      <c r="D296" s="342"/>
      <c r="E296" s="342"/>
      <c r="F296" s="342"/>
      <c r="G296" s="342"/>
      <c r="H296" s="342"/>
      <c r="I296" s="342"/>
      <c r="J296" s="342"/>
      <c r="K296" s="342"/>
      <c r="L296" s="342"/>
      <c r="M296" s="342"/>
    </row>
    <row r="297" ht="15.75" customHeight="1">
      <c r="A297" s="342"/>
      <c r="B297" s="343"/>
      <c r="C297" s="344"/>
      <c r="D297" s="342"/>
      <c r="E297" s="342"/>
      <c r="F297" s="342"/>
      <c r="G297" s="342"/>
      <c r="H297" s="342"/>
      <c r="I297" s="342"/>
      <c r="J297" s="342"/>
      <c r="K297" s="342"/>
      <c r="L297" s="342"/>
      <c r="M297" s="342"/>
    </row>
    <row r="298" ht="15.75" customHeight="1">
      <c r="A298" s="342"/>
      <c r="B298" s="343"/>
      <c r="C298" s="344"/>
      <c r="D298" s="342"/>
      <c r="E298" s="342"/>
      <c r="F298" s="342"/>
      <c r="G298" s="342"/>
      <c r="H298" s="342"/>
      <c r="I298" s="342"/>
      <c r="J298" s="342"/>
      <c r="K298" s="342"/>
      <c r="L298" s="342"/>
      <c r="M298" s="342"/>
    </row>
    <row r="299" ht="15.75" customHeight="1">
      <c r="A299" s="342"/>
      <c r="B299" s="343"/>
      <c r="C299" s="344"/>
      <c r="D299" s="342"/>
      <c r="E299" s="342"/>
      <c r="F299" s="342"/>
      <c r="G299" s="342"/>
      <c r="H299" s="342"/>
      <c r="I299" s="342"/>
      <c r="J299" s="342"/>
      <c r="K299" s="342"/>
      <c r="L299" s="342"/>
      <c r="M299" s="342"/>
    </row>
    <row r="300" ht="15.75" customHeight="1">
      <c r="A300" s="342"/>
      <c r="B300" s="343"/>
      <c r="C300" s="344"/>
      <c r="D300" s="342"/>
      <c r="E300" s="342"/>
      <c r="F300" s="342"/>
      <c r="G300" s="342"/>
      <c r="H300" s="342"/>
      <c r="I300" s="342"/>
      <c r="J300" s="342"/>
      <c r="K300" s="342"/>
      <c r="L300" s="342"/>
      <c r="M300" s="342"/>
    </row>
    <row r="301" ht="15.75" customHeight="1">
      <c r="A301" s="342"/>
      <c r="B301" s="343"/>
      <c r="C301" s="344"/>
      <c r="D301" s="342"/>
      <c r="E301" s="342"/>
      <c r="F301" s="342"/>
      <c r="G301" s="342"/>
      <c r="H301" s="342"/>
      <c r="I301" s="342"/>
      <c r="J301" s="342"/>
      <c r="K301" s="342"/>
      <c r="L301" s="342"/>
      <c r="M301" s="342"/>
    </row>
    <row r="302" ht="15.75" customHeight="1">
      <c r="A302" s="342"/>
      <c r="B302" s="343"/>
      <c r="C302" s="344"/>
      <c r="D302" s="342"/>
      <c r="E302" s="342"/>
      <c r="F302" s="342"/>
      <c r="G302" s="342"/>
      <c r="H302" s="342"/>
      <c r="I302" s="342"/>
      <c r="J302" s="342"/>
      <c r="K302" s="342"/>
      <c r="L302" s="342"/>
      <c r="M302" s="342"/>
    </row>
    <row r="303" ht="15.75" customHeight="1">
      <c r="A303" s="342"/>
      <c r="B303" s="343"/>
      <c r="C303" s="344"/>
      <c r="D303" s="342"/>
      <c r="E303" s="342"/>
      <c r="F303" s="342"/>
      <c r="G303" s="342"/>
      <c r="H303" s="342"/>
      <c r="I303" s="342"/>
      <c r="J303" s="342"/>
      <c r="K303" s="342"/>
      <c r="L303" s="342"/>
      <c r="M303" s="342"/>
    </row>
    <row r="304" ht="15.75" customHeight="1">
      <c r="A304" s="342"/>
      <c r="B304" s="343"/>
      <c r="C304" s="344"/>
      <c r="D304" s="342"/>
      <c r="E304" s="342"/>
      <c r="F304" s="342"/>
      <c r="G304" s="342"/>
      <c r="H304" s="342"/>
      <c r="I304" s="342"/>
      <c r="J304" s="342"/>
      <c r="K304" s="342"/>
      <c r="L304" s="342"/>
      <c r="M304" s="342"/>
    </row>
    <row r="305" ht="15.75" customHeight="1">
      <c r="A305" s="342"/>
      <c r="B305" s="343"/>
      <c r="C305" s="344"/>
      <c r="D305" s="342"/>
      <c r="E305" s="342"/>
      <c r="F305" s="342"/>
      <c r="G305" s="342"/>
      <c r="H305" s="342"/>
      <c r="I305" s="342"/>
      <c r="J305" s="342"/>
      <c r="K305" s="342"/>
      <c r="L305" s="342"/>
      <c r="M305" s="342"/>
    </row>
    <row r="306" ht="15.75" customHeight="1">
      <c r="A306" s="342"/>
      <c r="B306" s="343"/>
      <c r="C306" s="344"/>
      <c r="D306" s="342"/>
      <c r="E306" s="342"/>
      <c r="F306" s="342"/>
      <c r="G306" s="342"/>
      <c r="H306" s="342"/>
      <c r="I306" s="342"/>
      <c r="J306" s="342"/>
      <c r="K306" s="342"/>
      <c r="L306" s="342"/>
      <c r="M306" s="342"/>
    </row>
    <row r="307" ht="15.75" customHeight="1">
      <c r="A307" s="342"/>
      <c r="B307" s="343"/>
      <c r="C307" s="344"/>
      <c r="D307" s="342"/>
      <c r="E307" s="342"/>
      <c r="F307" s="342"/>
      <c r="G307" s="342"/>
      <c r="H307" s="342"/>
      <c r="I307" s="342"/>
      <c r="J307" s="342"/>
      <c r="K307" s="342"/>
      <c r="L307" s="342"/>
      <c r="M307" s="342"/>
    </row>
    <row r="308" ht="15.75" customHeight="1">
      <c r="A308" s="342"/>
      <c r="B308" s="343"/>
      <c r="C308" s="344"/>
      <c r="D308" s="342"/>
      <c r="E308" s="342"/>
      <c r="F308" s="342"/>
      <c r="G308" s="342"/>
      <c r="H308" s="342"/>
      <c r="I308" s="342"/>
      <c r="J308" s="342"/>
      <c r="K308" s="342"/>
      <c r="L308" s="342"/>
      <c r="M308" s="342"/>
    </row>
    <row r="309" ht="15.75" customHeight="1">
      <c r="A309" s="342"/>
      <c r="B309" s="343"/>
      <c r="C309" s="344"/>
      <c r="D309" s="342"/>
      <c r="E309" s="342"/>
      <c r="F309" s="342"/>
      <c r="G309" s="342"/>
      <c r="H309" s="342"/>
      <c r="I309" s="342"/>
      <c r="J309" s="342"/>
      <c r="K309" s="342"/>
      <c r="L309" s="342"/>
      <c r="M309" s="342"/>
    </row>
    <row r="310" ht="15.75" customHeight="1">
      <c r="A310" s="342"/>
      <c r="B310" s="343"/>
      <c r="C310" s="344"/>
      <c r="D310" s="342"/>
      <c r="E310" s="342"/>
      <c r="F310" s="342"/>
      <c r="G310" s="342"/>
      <c r="H310" s="342"/>
      <c r="I310" s="342"/>
      <c r="J310" s="342"/>
      <c r="K310" s="342"/>
      <c r="L310" s="342"/>
      <c r="M310" s="342"/>
    </row>
    <row r="311" ht="15.75" customHeight="1">
      <c r="A311" s="342"/>
      <c r="B311" s="343"/>
      <c r="C311" s="344"/>
      <c r="D311" s="342"/>
      <c r="E311" s="342"/>
      <c r="F311" s="342"/>
      <c r="G311" s="342"/>
      <c r="H311" s="342"/>
      <c r="I311" s="342"/>
      <c r="J311" s="342"/>
      <c r="K311" s="342"/>
      <c r="L311" s="342"/>
      <c r="M311" s="342"/>
    </row>
    <row r="312" ht="15.75" customHeight="1">
      <c r="A312" s="342"/>
      <c r="B312" s="343"/>
      <c r="C312" s="344"/>
      <c r="D312" s="342"/>
      <c r="E312" s="342"/>
      <c r="F312" s="342"/>
      <c r="G312" s="342"/>
      <c r="H312" s="342"/>
      <c r="I312" s="342"/>
      <c r="J312" s="342"/>
      <c r="K312" s="342"/>
      <c r="L312" s="342"/>
      <c r="M312" s="342"/>
    </row>
    <row r="313" ht="15.75" customHeight="1">
      <c r="A313" s="342"/>
      <c r="B313" s="343"/>
      <c r="C313" s="344"/>
      <c r="D313" s="342"/>
      <c r="E313" s="342"/>
      <c r="F313" s="342"/>
      <c r="G313" s="342"/>
      <c r="H313" s="342"/>
      <c r="I313" s="342"/>
      <c r="J313" s="342"/>
      <c r="K313" s="342"/>
      <c r="L313" s="342"/>
      <c r="M313" s="342"/>
    </row>
    <row r="314" ht="15.75" customHeight="1">
      <c r="A314" s="342"/>
      <c r="B314" s="343"/>
      <c r="C314" s="344"/>
      <c r="D314" s="342"/>
      <c r="E314" s="342"/>
      <c r="F314" s="342"/>
      <c r="G314" s="342"/>
      <c r="H314" s="342"/>
      <c r="I314" s="342"/>
      <c r="J314" s="342"/>
      <c r="K314" s="342"/>
      <c r="L314" s="342"/>
      <c r="M314" s="342"/>
    </row>
    <row r="315" ht="15.75" customHeight="1">
      <c r="A315" s="342"/>
      <c r="B315" s="343"/>
      <c r="C315" s="344"/>
      <c r="D315" s="342"/>
      <c r="E315" s="342"/>
      <c r="F315" s="342"/>
      <c r="G315" s="342"/>
      <c r="H315" s="342"/>
      <c r="I315" s="342"/>
      <c r="J315" s="342"/>
      <c r="K315" s="342"/>
      <c r="L315" s="342"/>
      <c r="M315" s="342"/>
    </row>
    <row r="316" ht="15.75" customHeight="1">
      <c r="A316" s="342"/>
      <c r="B316" s="343"/>
      <c r="C316" s="344"/>
      <c r="D316" s="342"/>
      <c r="E316" s="342"/>
      <c r="F316" s="342"/>
      <c r="G316" s="342"/>
      <c r="H316" s="342"/>
      <c r="I316" s="342"/>
      <c r="J316" s="342"/>
      <c r="K316" s="342"/>
      <c r="L316" s="342"/>
      <c r="M316" s="342"/>
    </row>
    <row r="317" ht="15.75" customHeight="1">
      <c r="A317" s="342"/>
      <c r="B317" s="343"/>
      <c r="C317" s="344"/>
      <c r="D317" s="342"/>
      <c r="E317" s="342"/>
      <c r="F317" s="342"/>
      <c r="G317" s="342"/>
      <c r="H317" s="342"/>
      <c r="I317" s="342"/>
      <c r="J317" s="342"/>
      <c r="K317" s="342"/>
      <c r="L317" s="342"/>
      <c r="M317" s="342"/>
    </row>
    <row r="318" ht="15.75" customHeight="1">
      <c r="A318" s="342"/>
      <c r="B318" s="343"/>
      <c r="C318" s="344"/>
      <c r="D318" s="342"/>
      <c r="E318" s="342"/>
      <c r="F318" s="342"/>
      <c r="G318" s="342"/>
      <c r="H318" s="342"/>
      <c r="I318" s="342"/>
      <c r="J318" s="342"/>
      <c r="K318" s="342"/>
      <c r="L318" s="342"/>
      <c r="M318" s="342"/>
    </row>
    <row r="319" ht="15.75" customHeight="1">
      <c r="A319" s="342"/>
      <c r="B319" s="343"/>
      <c r="C319" s="344"/>
      <c r="D319" s="342"/>
      <c r="E319" s="342"/>
      <c r="F319" s="342"/>
      <c r="G319" s="342"/>
      <c r="H319" s="342"/>
      <c r="I319" s="342"/>
      <c r="J319" s="342"/>
      <c r="K319" s="342"/>
      <c r="L319" s="342"/>
      <c r="M319" s="342"/>
    </row>
    <row r="320" ht="15.75" customHeight="1">
      <c r="A320" s="342"/>
      <c r="B320" s="343"/>
      <c r="C320" s="344"/>
      <c r="D320" s="342"/>
      <c r="E320" s="342"/>
      <c r="F320" s="342"/>
      <c r="G320" s="342"/>
      <c r="H320" s="342"/>
      <c r="I320" s="342"/>
      <c r="J320" s="342"/>
      <c r="K320" s="342"/>
      <c r="L320" s="342"/>
      <c r="M320" s="342"/>
    </row>
    <row r="321" ht="15.75" customHeight="1">
      <c r="A321" s="342"/>
      <c r="B321" s="343"/>
      <c r="C321" s="344"/>
      <c r="D321" s="342"/>
      <c r="E321" s="342"/>
      <c r="F321" s="342"/>
      <c r="G321" s="342"/>
      <c r="H321" s="342"/>
      <c r="I321" s="342"/>
      <c r="J321" s="342"/>
      <c r="K321" s="342"/>
      <c r="L321" s="342"/>
      <c r="M321" s="342"/>
    </row>
    <row r="322" ht="15.75" customHeight="1">
      <c r="A322" s="342"/>
      <c r="B322" s="343"/>
      <c r="C322" s="344"/>
      <c r="D322" s="342"/>
      <c r="E322" s="342"/>
      <c r="F322" s="342"/>
      <c r="G322" s="342"/>
      <c r="H322" s="342"/>
      <c r="I322" s="342"/>
      <c r="J322" s="342"/>
      <c r="K322" s="342"/>
      <c r="L322" s="342"/>
      <c r="M322" s="342"/>
    </row>
    <row r="323" ht="15.75" customHeight="1">
      <c r="A323" s="342"/>
      <c r="B323" s="343"/>
      <c r="C323" s="344"/>
      <c r="D323" s="342"/>
      <c r="E323" s="342"/>
      <c r="F323" s="342"/>
      <c r="G323" s="342"/>
      <c r="H323" s="342"/>
      <c r="I323" s="342"/>
      <c r="J323" s="342"/>
      <c r="K323" s="342"/>
      <c r="L323" s="342"/>
      <c r="M323" s="342"/>
    </row>
    <row r="324" ht="15.75" customHeight="1">
      <c r="A324" s="342"/>
      <c r="B324" s="343"/>
      <c r="C324" s="344"/>
      <c r="D324" s="342"/>
      <c r="E324" s="342"/>
      <c r="F324" s="342"/>
      <c r="G324" s="342"/>
      <c r="H324" s="342"/>
      <c r="I324" s="342"/>
      <c r="J324" s="342"/>
      <c r="K324" s="342"/>
      <c r="L324" s="342"/>
      <c r="M324" s="342"/>
    </row>
    <row r="325" ht="15.75" customHeight="1">
      <c r="A325" s="342"/>
      <c r="B325" s="343"/>
      <c r="C325" s="344"/>
      <c r="D325" s="342"/>
      <c r="E325" s="342"/>
      <c r="F325" s="342"/>
      <c r="G325" s="342"/>
      <c r="H325" s="342"/>
      <c r="I325" s="342"/>
      <c r="J325" s="342"/>
      <c r="K325" s="342"/>
      <c r="L325" s="342"/>
      <c r="M325" s="342"/>
    </row>
    <row r="326" ht="15.75" customHeight="1">
      <c r="A326" s="342"/>
      <c r="B326" s="343"/>
      <c r="C326" s="344"/>
      <c r="D326" s="342"/>
      <c r="E326" s="342"/>
      <c r="F326" s="342"/>
      <c r="G326" s="342"/>
      <c r="H326" s="342"/>
      <c r="I326" s="342"/>
      <c r="J326" s="342"/>
      <c r="K326" s="342"/>
      <c r="L326" s="342"/>
      <c r="M326" s="342"/>
    </row>
    <row r="327" ht="15.75" customHeight="1">
      <c r="A327" s="342"/>
      <c r="B327" s="343"/>
      <c r="C327" s="344"/>
      <c r="D327" s="342"/>
      <c r="E327" s="342"/>
      <c r="F327" s="342"/>
      <c r="G327" s="342"/>
      <c r="H327" s="342"/>
      <c r="I327" s="342"/>
      <c r="J327" s="342"/>
      <c r="K327" s="342"/>
      <c r="L327" s="342"/>
      <c r="M327" s="342"/>
    </row>
    <row r="328" ht="15.75" customHeight="1">
      <c r="A328" s="342"/>
      <c r="B328" s="343"/>
      <c r="C328" s="344"/>
      <c r="D328" s="342"/>
      <c r="E328" s="342"/>
      <c r="F328" s="342"/>
      <c r="G328" s="342"/>
      <c r="H328" s="342"/>
      <c r="I328" s="342"/>
      <c r="J328" s="342"/>
      <c r="K328" s="342"/>
      <c r="L328" s="342"/>
      <c r="M328" s="342"/>
    </row>
    <row r="329" ht="15.75" customHeight="1">
      <c r="A329" s="342"/>
      <c r="B329" s="343"/>
      <c r="C329" s="344"/>
      <c r="D329" s="342"/>
      <c r="E329" s="342"/>
      <c r="F329" s="342"/>
      <c r="G329" s="342"/>
      <c r="H329" s="342"/>
      <c r="I329" s="342"/>
      <c r="J329" s="342"/>
      <c r="K329" s="342"/>
      <c r="L329" s="342"/>
      <c r="M329" s="342"/>
    </row>
    <row r="330" ht="15.75" customHeight="1">
      <c r="A330" s="342"/>
      <c r="B330" s="343"/>
      <c r="C330" s="344"/>
      <c r="D330" s="342"/>
      <c r="E330" s="342"/>
      <c r="F330" s="342"/>
      <c r="G330" s="342"/>
      <c r="H330" s="342"/>
      <c r="I330" s="342"/>
      <c r="J330" s="342"/>
      <c r="K330" s="342"/>
      <c r="L330" s="342"/>
      <c r="M330" s="342"/>
    </row>
    <row r="331" ht="15.75" customHeight="1">
      <c r="A331" s="342"/>
      <c r="B331" s="343"/>
      <c r="C331" s="344"/>
      <c r="D331" s="342"/>
      <c r="E331" s="342"/>
      <c r="F331" s="342"/>
      <c r="G331" s="342"/>
      <c r="H331" s="342"/>
      <c r="I331" s="342"/>
      <c r="J331" s="342"/>
      <c r="K331" s="342"/>
      <c r="L331" s="342"/>
      <c r="M331" s="342"/>
    </row>
    <row r="332" ht="15.75" customHeight="1">
      <c r="A332" s="342"/>
      <c r="B332" s="343"/>
      <c r="C332" s="344"/>
      <c r="D332" s="342"/>
      <c r="E332" s="342"/>
      <c r="F332" s="342"/>
      <c r="G332" s="342"/>
      <c r="H332" s="342"/>
      <c r="I332" s="342"/>
      <c r="J332" s="342"/>
      <c r="K332" s="342"/>
      <c r="L332" s="342"/>
      <c r="M332" s="342"/>
    </row>
    <row r="333" ht="15.75" customHeight="1">
      <c r="A333" s="342"/>
      <c r="B333" s="343"/>
      <c r="C333" s="344"/>
      <c r="D333" s="342"/>
      <c r="E333" s="342"/>
      <c r="F333" s="342"/>
      <c r="G333" s="342"/>
      <c r="H333" s="342"/>
      <c r="I333" s="342"/>
      <c r="J333" s="342"/>
      <c r="K333" s="342"/>
      <c r="L333" s="342"/>
      <c r="M333" s="342"/>
    </row>
    <row r="334" ht="15.75" customHeight="1">
      <c r="A334" s="342"/>
      <c r="B334" s="343"/>
      <c r="C334" s="344"/>
      <c r="D334" s="342"/>
      <c r="E334" s="342"/>
      <c r="F334" s="342"/>
      <c r="G334" s="342"/>
      <c r="H334" s="342"/>
      <c r="I334" s="342"/>
      <c r="J334" s="342"/>
      <c r="K334" s="342"/>
      <c r="L334" s="342"/>
      <c r="M334" s="342"/>
    </row>
    <row r="335" ht="15.75" customHeight="1">
      <c r="A335" s="342"/>
      <c r="B335" s="343"/>
      <c r="C335" s="344"/>
      <c r="D335" s="342"/>
      <c r="E335" s="342"/>
      <c r="F335" s="342"/>
      <c r="G335" s="342"/>
      <c r="H335" s="342"/>
      <c r="I335" s="342"/>
      <c r="J335" s="342"/>
      <c r="K335" s="342"/>
      <c r="L335" s="342"/>
      <c r="M335" s="342"/>
    </row>
    <row r="336" ht="15.75" customHeight="1">
      <c r="A336" s="342"/>
      <c r="B336" s="343"/>
      <c r="C336" s="344"/>
      <c r="D336" s="342"/>
      <c r="E336" s="342"/>
      <c r="F336" s="342"/>
      <c r="G336" s="342"/>
      <c r="H336" s="342"/>
      <c r="I336" s="342"/>
      <c r="J336" s="342"/>
      <c r="K336" s="342"/>
      <c r="L336" s="342"/>
      <c r="M336" s="342"/>
    </row>
    <row r="337" ht="15.75" customHeight="1">
      <c r="A337" s="342"/>
      <c r="B337" s="343"/>
      <c r="C337" s="344"/>
      <c r="D337" s="342"/>
      <c r="E337" s="342"/>
      <c r="F337" s="342"/>
      <c r="G337" s="342"/>
      <c r="H337" s="342"/>
      <c r="I337" s="342"/>
      <c r="J337" s="342"/>
      <c r="K337" s="342"/>
      <c r="L337" s="342"/>
      <c r="M337" s="342"/>
    </row>
    <row r="338" ht="15.75" customHeight="1">
      <c r="A338" s="342"/>
      <c r="B338" s="343"/>
      <c r="C338" s="344"/>
      <c r="D338" s="342"/>
      <c r="E338" s="342"/>
      <c r="F338" s="342"/>
      <c r="G338" s="342"/>
      <c r="H338" s="342"/>
      <c r="I338" s="342"/>
      <c r="J338" s="342"/>
      <c r="K338" s="342"/>
      <c r="L338" s="342"/>
      <c r="M338" s="342"/>
    </row>
    <row r="339" ht="15.75" customHeight="1">
      <c r="A339" s="342"/>
      <c r="B339" s="343"/>
      <c r="C339" s="344"/>
      <c r="D339" s="342"/>
      <c r="E339" s="342"/>
      <c r="F339" s="342"/>
      <c r="G339" s="342"/>
      <c r="H339" s="342"/>
      <c r="I339" s="342"/>
      <c r="J339" s="342"/>
      <c r="K339" s="342"/>
      <c r="L339" s="342"/>
      <c r="M339" s="342"/>
    </row>
    <row r="340" ht="15.75" customHeight="1">
      <c r="A340" s="342"/>
      <c r="B340" s="343"/>
      <c r="C340" s="344"/>
      <c r="D340" s="342"/>
      <c r="E340" s="342"/>
      <c r="F340" s="342"/>
      <c r="G340" s="342"/>
      <c r="H340" s="342"/>
      <c r="I340" s="342"/>
      <c r="J340" s="342"/>
      <c r="K340" s="342"/>
      <c r="L340" s="342"/>
      <c r="M340" s="342"/>
    </row>
    <row r="341" ht="15.75" customHeight="1">
      <c r="A341" s="342"/>
      <c r="B341" s="343"/>
      <c r="C341" s="344"/>
      <c r="D341" s="342"/>
      <c r="E341" s="342"/>
      <c r="F341" s="342"/>
      <c r="G341" s="342"/>
      <c r="H341" s="342"/>
      <c r="I341" s="342"/>
      <c r="J341" s="342"/>
      <c r="K341" s="342"/>
      <c r="L341" s="342"/>
      <c r="M341" s="342"/>
    </row>
    <row r="342" ht="15.75" customHeight="1">
      <c r="A342" s="342"/>
      <c r="B342" s="343"/>
      <c r="C342" s="344"/>
      <c r="D342" s="342"/>
      <c r="E342" s="342"/>
      <c r="F342" s="342"/>
      <c r="G342" s="342"/>
      <c r="H342" s="342"/>
      <c r="I342" s="342"/>
      <c r="J342" s="342"/>
      <c r="K342" s="342"/>
      <c r="L342" s="342"/>
      <c r="M342" s="342"/>
    </row>
    <row r="343" ht="15.75" customHeight="1">
      <c r="A343" s="342"/>
      <c r="B343" s="343"/>
      <c r="C343" s="344"/>
      <c r="D343" s="342"/>
      <c r="E343" s="342"/>
      <c r="F343" s="342"/>
      <c r="G343" s="342"/>
      <c r="H343" s="342"/>
      <c r="I343" s="342"/>
      <c r="J343" s="342"/>
      <c r="K343" s="342"/>
      <c r="L343" s="342"/>
      <c r="M343" s="342"/>
    </row>
    <row r="344" ht="15.75" customHeight="1">
      <c r="A344" s="342"/>
      <c r="B344" s="343"/>
      <c r="C344" s="344"/>
      <c r="D344" s="342"/>
      <c r="E344" s="342"/>
      <c r="F344" s="342"/>
      <c r="G344" s="342"/>
      <c r="H344" s="342"/>
      <c r="I344" s="342"/>
      <c r="J344" s="342"/>
      <c r="K344" s="342"/>
      <c r="L344" s="342"/>
      <c r="M344" s="342"/>
    </row>
    <row r="345" ht="15.75" customHeight="1">
      <c r="A345" s="342"/>
      <c r="B345" s="343"/>
      <c r="C345" s="344"/>
      <c r="D345" s="342"/>
      <c r="E345" s="342"/>
      <c r="F345" s="342"/>
      <c r="G345" s="342"/>
      <c r="H345" s="342"/>
      <c r="I345" s="342"/>
      <c r="J345" s="342"/>
      <c r="K345" s="342"/>
      <c r="L345" s="342"/>
      <c r="M345" s="342"/>
    </row>
    <row r="346" ht="15.75" customHeight="1">
      <c r="A346" s="342"/>
      <c r="B346" s="343"/>
      <c r="C346" s="344"/>
      <c r="D346" s="342"/>
      <c r="E346" s="342"/>
      <c r="F346" s="342"/>
      <c r="G346" s="342"/>
      <c r="H346" s="342"/>
      <c r="I346" s="342"/>
      <c r="J346" s="342"/>
      <c r="K346" s="342"/>
      <c r="L346" s="342"/>
      <c r="M346" s="342"/>
    </row>
    <row r="347" ht="15.75" customHeight="1">
      <c r="A347" s="342"/>
      <c r="B347" s="343"/>
      <c r="C347" s="344"/>
      <c r="D347" s="342"/>
      <c r="E347" s="342"/>
      <c r="F347" s="342"/>
      <c r="G347" s="342"/>
      <c r="H347" s="342"/>
      <c r="I347" s="342"/>
      <c r="J347" s="342"/>
      <c r="K347" s="342"/>
      <c r="L347" s="342"/>
      <c r="M347" s="342"/>
    </row>
    <row r="348" ht="15.75" customHeight="1">
      <c r="A348" s="342"/>
      <c r="B348" s="343"/>
      <c r="C348" s="344"/>
      <c r="D348" s="342"/>
      <c r="E348" s="342"/>
      <c r="F348" s="342"/>
      <c r="G348" s="342"/>
      <c r="H348" s="342"/>
      <c r="I348" s="342"/>
      <c r="J348" s="342"/>
      <c r="K348" s="342"/>
      <c r="L348" s="342"/>
      <c r="M348" s="342"/>
    </row>
    <row r="349" ht="15.75" customHeight="1">
      <c r="A349" s="342"/>
      <c r="B349" s="343"/>
      <c r="C349" s="344"/>
      <c r="D349" s="342"/>
      <c r="E349" s="342"/>
      <c r="F349" s="342"/>
      <c r="G349" s="342"/>
      <c r="H349" s="342"/>
      <c r="I349" s="342"/>
      <c r="J349" s="342"/>
      <c r="K349" s="342"/>
      <c r="L349" s="342"/>
      <c r="M349" s="342"/>
    </row>
    <row r="350" ht="15.75" customHeight="1">
      <c r="A350" s="342"/>
      <c r="B350" s="343"/>
      <c r="C350" s="344"/>
      <c r="D350" s="342"/>
      <c r="E350" s="342"/>
      <c r="F350" s="342"/>
      <c r="G350" s="342"/>
      <c r="H350" s="342"/>
      <c r="I350" s="342"/>
      <c r="J350" s="342"/>
      <c r="K350" s="342"/>
      <c r="L350" s="342"/>
      <c r="M350" s="342"/>
    </row>
    <row r="351" ht="15.75" customHeight="1">
      <c r="A351" s="342"/>
      <c r="B351" s="343"/>
      <c r="C351" s="344"/>
      <c r="D351" s="342"/>
      <c r="E351" s="342"/>
      <c r="F351" s="342"/>
      <c r="G351" s="342"/>
      <c r="H351" s="342"/>
      <c r="I351" s="342"/>
      <c r="J351" s="342"/>
      <c r="K351" s="342"/>
      <c r="L351" s="342"/>
      <c r="M351" s="342"/>
    </row>
    <row r="352" ht="15.75" customHeight="1">
      <c r="A352" s="342"/>
      <c r="B352" s="343"/>
      <c r="C352" s="344"/>
      <c r="D352" s="342"/>
      <c r="E352" s="342"/>
      <c r="F352" s="342"/>
      <c r="G352" s="342"/>
      <c r="H352" s="342"/>
      <c r="I352" s="342"/>
      <c r="J352" s="342"/>
      <c r="K352" s="342"/>
      <c r="L352" s="342"/>
      <c r="M352" s="342"/>
    </row>
    <row r="353" ht="15.75" customHeight="1">
      <c r="A353" s="342"/>
      <c r="B353" s="343"/>
      <c r="C353" s="344"/>
      <c r="D353" s="342"/>
      <c r="E353" s="342"/>
      <c r="F353" s="342"/>
      <c r="G353" s="342"/>
      <c r="H353" s="342"/>
      <c r="I353" s="342"/>
      <c r="J353" s="342"/>
      <c r="K353" s="342"/>
      <c r="L353" s="342"/>
      <c r="M353" s="342"/>
    </row>
    <row r="354" ht="15.75" customHeight="1">
      <c r="A354" s="342"/>
      <c r="B354" s="343"/>
      <c r="C354" s="344"/>
      <c r="D354" s="342"/>
      <c r="E354" s="342"/>
      <c r="F354" s="342"/>
      <c r="G354" s="342"/>
      <c r="H354" s="342"/>
      <c r="I354" s="342"/>
      <c r="J354" s="342"/>
      <c r="K354" s="342"/>
      <c r="L354" s="342"/>
      <c r="M354" s="342"/>
    </row>
    <row r="355" ht="15.75" customHeight="1">
      <c r="A355" s="342"/>
      <c r="B355" s="343"/>
      <c r="C355" s="344"/>
      <c r="D355" s="342"/>
      <c r="E355" s="342"/>
      <c r="F355" s="342"/>
      <c r="G355" s="342"/>
      <c r="H355" s="342"/>
      <c r="I355" s="342"/>
      <c r="J355" s="342"/>
      <c r="K355" s="342"/>
      <c r="L355" s="342"/>
      <c r="M355" s="342"/>
    </row>
    <row r="356" ht="15.75" customHeight="1">
      <c r="A356" s="342"/>
      <c r="B356" s="343"/>
      <c r="C356" s="344"/>
      <c r="D356" s="342"/>
      <c r="E356" s="342"/>
      <c r="F356" s="342"/>
      <c r="G356" s="342"/>
      <c r="H356" s="342"/>
      <c r="I356" s="342"/>
      <c r="J356" s="342"/>
      <c r="K356" s="342"/>
      <c r="L356" s="342"/>
      <c r="M356" s="342"/>
    </row>
    <row r="357" ht="15.75" customHeight="1">
      <c r="A357" s="342"/>
      <c r="B357" s="343"/>
      <c r="C357" s="344"/>
      <c r="D357" s="342"/>
      <c r="E357" s="342"/>
      <c r="F357" s="342"/>
      <c r="G357" s="342"/>
      <c r="H357" s="342"/>
      <c r="I357" s="342"/>
      <c r="J357" s="342"/>
      <c r="K357" s="342"/>
      <c r="L357" s="342"/>
      <c r="M357" s="342"/>
    </row>
    <row r="358" ht="15.75" customHeight="1">
      <c r="A358" s="342"/>
      <c r="B358" s="343"/>
      <c r="C358" s="344"/>
      <c r="D358" s="342"/>
      <c r="E358" s="342"/>
      <c r="F358" s="342"/>
      <c r="G358" s="342"/>
      <c r="H358" s="342"/>
      <c r="I358" s="342"/>
      <c r="J358" s="342"/>
      <c r="K358" s="342"/>
      <c r="L358" s="342"/>
      <c r="M358" s="342"/>
    </row>
    <row r="359" ht="15.75" customHeight="1">
      <c r="A359" s="342"/>
      <c r="B359" s="343"/>
      <c r="C359" s="344"/>
      <c r="D359" s="342"/>
      <c r="E359" s="342"/>
      <c r="F359" s="342"/>
      <c r="G359" s="342"/>
      <c r="H359" s="342"/>
      <c r="I359" s="342"/>
      <c r="J359" s="342"/>
      <c r="K359" s="342"/>
      <c r="L359" s="342"/>
      <c r="M359" s="342"/>
    </row>
    <row r="360" ht="15.75" customHeight="1">
      <c r="A360" s="342"/>
      <c r="B360" s="343"/>
      <c r="C360" s="344"/>
      <c r="D360" s="342"/>
      <c r="E360" s="342"/>
      <c r="F360" s="342"/>
      <c r="G360" s="342"/>
      <c r="H360" s="342"/>
      <c r="I360" s="342"/>
      <c r="J360" s="342"/>
      <c r="K360" s="342"/>
      <c r="L360" s="342"/>
      <c r="M360" s="342"/>
    </row>
    <row r="361" ht="15.75" customHeight="1">
      <c r="A361" s="342"/>
      <c r="B361" s="343"/>
      <c r="C361" s="344"/>
      <c r="D361" s="342"/>
      <c r="E361" s="342"/>
      <c r="F361" s="342"/>
      <c r="G361" s="342"/>
      <c r="H361" s="342"/>
      <c r="I361" s="342"/>
      <c r="J361" s="342"/>
      <c r="K361" s="342"/>
      <c r="L361" s="342"/>
      <c r="M361" s="342"/>
    </row>
    <row r="362" ht="15.75" customHeight="1">
      <c r="A362" s="342"/>
      <c r="B362" s="343"/>
      <c r="C362" s="344"/>
      <c r="D362" s="342"/>
      <c r="E362" s="342"/>
      <c r="F362" s="342"/>
      <c r="G362" s="342"/>
      <c r="H362" s="342"/>
      <c r="I362" s="342"/>
      <c r="J362" s="342"/>
      <c r="K362" s="342"/>
      <c r="L362" s="342"/>
      <c r="M362" s="342"/>
    </row>
    <row r="363" ht="15.75" customHeight="1">
      <c r="A363" s="342"/>
      <c r="B363" s="343"/>
      <c r="C363" s="344"/>
      <c r="D363" s="342"/>
      <c r="E363" s="342"/>
      <c r="F363" s="342"/>
      <c r="G363" s="342"/>
      <c r="H363" s="342"/>
      <c r="I363" s="342"/>
      <c r="J363" s="342"/>
      <c r="K363" s="342"/>
      <c r="L363" s="342"/>
      <c r="M363" s="342"/>
    </row>
    <row r="364" ht="15.75" customHeight="1">
      <c r="A364" s="342"/>
      <c r="B364" s="343"/>
      <c r="C364" s="344"/>
      <c r="D364" s="342"/>
      <c r="E364" s="342"/>
      <c r="F364" s="342"/>
      <c r="G364" s="342"/>
      <c r="H364" s="342"/>
      <c r="I364" s="342"/>
      <c r="J364" s="342"/>
      <c r="K364" s="342"/>
      <c r="L364" s="342"/>
      <c r="M364" s="342"/>
    </row>
    <row r="365" ht="15.75" customHeight="1">
      <c r="A365" s="342"/>
      <c r="B365" s="343"/>
      <c r="C365" s="344"/>
      <c r="D365" s="342"/>
      <c r="E365" s="342"/>
      <c r="F365" s="342"/>
      <c r="G365" s="342"/>
      <c r="H365" s="342"/>
      <c r="I365" s="342"/>
      <c r="J365" s="342"/>
      <c r="K365" s="342"/>
      <c r="L365" s="342"/>
      <c r="M365" s="342"/>
    </row>
    <row r="366" ht="15.75" customHeight="1">
      <c r="A366" s="342"/>
      <c r="B366" s="343"/>
      <c r="C366" s="344"/>
      <c r="D366" s="342"/>
      <c r="E366" s="342"/>
      <c r="F366" s="342"/>
      <c r="G366" s="342"/>
      <c r="H366" s="342"/>
      <c r="I366" s="342"/>
      <c r="J366" s="342"/>
      <c r="K366" s="342"/>
      <c r="L366" s="342"/>
      <c r="M366" s="342"/>
    </row>
    <row r="367" ht="15.75" customHeight="1">
      <c r="A367" s="342"/>
      <c r="B367" s="343"/>
      <c r="C367" s="344"/>
      <c r="D367" s="342"/>
      <c r="E367" s="342"/>
      <c r="F367" s="342"/>
      <c r="G367" s="342"/>
      <c r="H367" s="342"/>
      <c r="I367" s="342"/>
      <c r="J367" s="342"/>
      <c r="K367" s="342"/>
      <c r="L367" s="342"/>
      <c r="M367" s="342"/>
    </row>
    <row r="368" ht="15.75" customHeight="1">
      <c r="A368" s="342"/>
      <c r="B368" s="343"/>
      <c r="C368" s="344"/>
      <c r="D368" s="342"/>
      <c r="E368" s="342"/>
      <c r="F368" s="342"/>
      <c r="G368" s="342"/>
      <c r="H368" s="342"/>
      <c r="I368" s="342"/>
      <c r="J368" s="342"/>
      <c r="K368" s="342"/>
      <c r="L368" s="342"/>
      <c r="M368" s="342"/>
    </row>
    <row r="369" ht="15.75" customHeight="1">
      <c r="A369" s="342"/>
      <c r="B369" s="343"/>
      <c r="C369" s="344"/>
      <c r="D369" s="342"/>
      <c r="E369" s="342"/>
      <c r="F369" s="342"/>
      <c r="G369" s="342"/>
      <c r="H369" s="342"/>
      <c r="I369" s="342"/>
      <c r="J369" s="342"/>
      <c r="K369" s="342"/>
      <c r="L369" s="342"/>
      <c r="M369" s="342"/>
    </row>
    <row r="370" ht="15.75" customHeight="1">
      <c r="A370" s="342"/>
      <c r="B370" s="343"/>
      <c r="C370" s="344"/>
      <c r="D370" s="342"/>
      <c r="E370" s="342"/>
      <c r="F370" s="342"/>
      <c r="G370" s="342"/>
      <c r="H370" s="342"/>
      <c r="I370" s="342"/>
      <c r="J370" s="342"/>
      <c r="K370" s="342"/>
      <c r="L370" s="342"/>
      <c r="M370" s="342"/>
    </row>
    <row r="371" ht="15.75" customHeight="1">
      <c r="A371" s="342"/>
      <c r="B371" s="343"/>
      <c r="C371" s="344"/>
      <c r="D371" s="342"/>
      <c r="E371" s="342"/>
      <c r="F371" s="342"/>
      <c r="G371" s="342"/>
      <c r="H371" s="342"/>
      <c r="I371" s="342"/>
      <c r="J371" s="342"/>
      <c r="K371" s="342"/>
      <c r="L371" s="342"/>
      <c r="M371" s="342"/>
    </row>
    <row r="372" ht="15.75" customHeight="1">
      <c r="A372" s="342"/>
      <c r="B372" s="343"/>
      <c r="C372" s="344"/>
      <c r="D372" s="342"/>
      <c r="E372" s="342"/>
      <c r="F372" s="342"/>
      <c r="G372" s="342"/>
      <c r="H372" s="342"/>
      <c r="I372" s="342"/>
      <c r="J372" s="342"/>
      <c r="K372" s="342"/>
      <c r="L372" s="342"/>
      <c r="M372" s="342"/>
    </row>
    <row r="373" ht="15.75" customHeight="1">
      <c r="A373" s="342"/>
      <c r="B373" s="343"/>
      <c r="C373" s="344"/>
      <c r="D373" s="342"/>
      <c r="E373" s="342"/>
      <c r="F373" s="342"/>
      <c r="G373" s="342"/>
      <c r="H373" s="342"/>
      <c r="I373" s="342"/>
      <c r="J373" s="342"/>
      <c r="K373" s="342"/>
      <c r="L373" s="342"/>
      <c r="M373" s="342"/>
    </row>
    <row r="374" ht="15.75" customHeight="1">
      <c r="A374" s="342"/>
      <c r="B374" s="343"/>
      <c r="C374" s="344"/>
      <c r="D374" s="342"/>
      <c r="E374" s="342"/>
      <c r="F374" s="342"/>
      <c r="G374" s="342"/>
      <c r="H374" s="342"/>
      <c r="I374" s="342"/>
      <c r="J374" s="342"/>
      <c r="K374" s="342"/>
      <c r="L374" s="342"/>
      <c r="M374" s="342"/>
    </row>
    <row r="375" ht="15.75" customHeight="1">
      <c r="A375" s="342"/>
      <c r="B375" s="343"/>
      <c r="C375" s="344"/>
      <c r="D375" s="342"/>
      <c r="E375" s="342"/>
      <c r="F375" s="342"/>
      <c r="G375" s="342"/>
      <c r="H375" s="342"/>
      <c r="I375" s="342"/>
      <c r="J375" s="342"/>
      <c r="K375" s="342"/>
      <c r="L375" s="342"/>
      <c r="M375" s="342"/>
    </row>
    <row r="376" ht="15.75" customHeight="1">
      <c r="A376" s="342"/>
      <c r="B376" s="343"/>
      <c r="C376" s="344"/>
      <c r="D376" s="342"/>
      <c r="E376" s="342"/>
      <c r="F376" s="342"/>
      <c r="G376" s="342"/>
      <c r="H376" s="342"/>
      <c r="I376" s="342"/>
      <c r="J376" s="342"/>
      <c r="K376" s="342"/>
      <c r="L376" s="342"/>
      <c r="M376" s="342"/>
    </row>
    <row r="377" ht="15.75" customHeight="1">
      <c r="A377" s="342"/>
      <c r="B377" s="343"/>
      <c r="C377" s="344"/>
      <c r="D377" s="342"/>
      <c r="E377" s="342"/>
      <c r="F377" s="342"/>
      <c r="G377" s="342"/>
      <c r="H377" s="342"/>
      <c r="I377" s="342"/>
      <c r="J377" s="342"/>
      <c r="K377" s="342"/>
      <c r="L377" s="342"/>
      <c r="M377" s="342"/>
    </row>
    <row r="378" ht="15.75" customHeight="1">
      <c r="A378" s="342"/>
      <c r="B378" s="343"/>
      <c r="C378" s="344"/>
      <c r="D378" s="342"/>
      <c r="E378" s="342"/>
      <c r="F378" s="342"/>
      <c r="G378" s="342"/>
      <c r="H378" s="342"/>
      <c r="I378" s="342"/>
      <c r="J378" s="342"/>
      <c r="K378" s="342"/>
      <c r="L378" s="342"/>
      <c r="M378" s="342"/>
    </row>
    <row r="379" ht="15.75" customHeight="1">
      <c r="A379" s="342"/>
      <c r="B379" s="343"/>
      <c r="C379" s="344"/>
      <c r="D379" s="342"/>
      <c r="E379" s="342"/>
      <c r="F379" s="342"/>
      <c r="G379" s="342"/>
      <c r="H379" s="342"/>
      <c r="I379" s="342"/>
      <c r="J379" s="342"/>
      <c r="K379" s="342"/>
      <c r="L379" s="342"/>
      <c r="M379" s="342"/>
    </row>
    <row r="380" ht="15.75" customHeight="1">
      <c r="A380" s="342"/>
      <c r="B380" s="343"/>
      <c r="C380" s="344"/>
      <c r="D380" s="342"/>
      <c r="E380" s="342"/>
      <c r="F380" s="342"/>
      <c r="G380" s="342"/>
      <c r="H380" s="342"/>
      <c r="I380" s="342"/>
      <c r="J380" s="342"/>
      <c r="K380" s="342"/>
      <c r="L380" s="342"/>
      <c r="M380" s="342"/>
    </row>
    <row r="381" ht="15.75" customHeight="1">
      <c r="A381" s="342"/>
      <c r="B381" s="343"/>
      <c r="C381" s="344"/>
      <c r="D381" s="342"/>
      <c r="E381" s="342"/>
      <c r="F381" s="342"/>
      <c r="G381" s="342"/>
      <c r="H381" s="342"/>
      <c r="I381" s="342"/>
      <c r="J381" s="342"/>
      <c r="K381" s="342"/>
      <c r="L381" s="342"/>
      <c r="M381" s="342"/>
    </row>
    <row r="382" ht="15.75" customHeight="1">
      <c r="A382" s="342"/>
      <c r="B382" s="343"/>
      <c r="C382" s="344"/>
      <c r="D382" s="342"/>
      <c r="E382" s="342"/>
      <c r="F382" s="342"/>
      <c r="G382" s="342"/>
      <c r="H382" s="342"/>
      <c r="I382" s="342"/>
      <c r="J382" s="342"/>
      <c r="K382" s="342"/>
      <c r="L382" s="342"/>
      <c r="M382" s="342"/>
    </row>
    <row r="383" ht="15.75" customHeight="1">
      <c r="A383" s="342"/>
      <c r="B383" s="343"/>
      <c r="C383" s="344"/>
      <c r="D383" s="342"/>
      <c r="E383" s="342"/>
      <c r="F383" s="342"/>
      <c r="G383" s="342"/>
      <c r="H383" s="342"/>
      <c r="I383" s="342"/>
      <c r="J383" s="342"/>
      <c r="K383" s="342"/>
      <c r="L383" s="342"/>
      <c r="M383" s="342"/>
    </row>
    <row r="384" ht="15.75" customHeight="1">
      <c r="A384" s="342"/>
      <c r="B384" s="343"/>
      <c r="C384" s="344"/>
      <c r="D384" s="342"/>
      <c r="E384" s="342"/>
      <c r="F384" s="342"/>
      <c r="G384" s="342"/>
      <c r="H384" s="342"/>
      <c r="I384" s="342"/>
      <c r="J384" s="342"/>
      <c r="K384" s="342"/>
      <c r="L384" s="342"/>
      <c r="M384" s="342"/>
    </row>
    <row r="385" ht="15.75" customHeight="1">
      <c r="A385" s="342"/>
      <c r="B385" s="343"/>
      <c r="C385" s="344"/>
      <c r="D385" s="342"/>
      <c r="E385" s="342"/>
      <c r="F385" s="342"/>
      <c r="G385" s="342"/>
      <c r="H385" s="342"/>
      <c r="I385" s="342"/>
      <c r="J385" s="342"/>
      <c r="K385" s="342"/>
      <c r="L385" s="342"/>
      <c r="M385" s="342"/>
    </row>
    <row r="386" ht="15.75" customHeight="1">
      <c r="A386" s="342"/>
      <c r="B386" s="343"/>
      <c r="C386" s="344"/>
      <c r="D386" s="342"/>
      <c r="E386" s="342"/>
      <c r="F386" s="342"/>
      <c r="G386" s="342"/>
      <c r="H386" s="342"/>
      <c r="I386" s="342"/>
      <c r="J386" s="342"/>
      <c r="K386" s="342"/>
      <c r="L386" s="342"/>
      <c r="M386" s="342"/>
    </row>
    <row r="387" ht="15.75" customHeight="1">
      <c r="A387" s="342"/>
      <c r="B387" s="343"/>
      <c r="C387" s="344"/>
      <c r="D387" s="342"/>
      <c r="E387" s="342"/>
      <c r="F387" s="342"/>
      <c r="G387" s="342"/>
      <c r="H387" s="342"/>
      <c r="I387" s="342"/>
      <c r="J387" s="342"/>
      <c r="K387" s="342"/>
      <c r="L387" s="342"/>
      <c r="M387" s="342"/>
    </row>
    <row r="388" ht="15.75" customHeight="1">
      <c r="A388" s="342"/>
      <c r="B388" s="343"/>
      <c r="C388" s="344"/>
      <c r="D388" s="342"/>
      <c r="E388" s="342"/>
      <c r="F388" s="342"/>
      <c r="G388" s="342"/>
      <c r="H388" s="342"/>
      <c r="I388" s="342"/>
      <c r="J388" s="342"/>
      <c r="K388" s="342"/>
      <c r="L388" s="342"/>
      <c r="M388" s="342"/>
    </row>
    <row r="389" ht="15.75" customHeight="1">
      <c r="A389" s="342"/>
      <c r="B389" s="343"/>
      <c r="C389" s="344"/>
      <c r="D389" s="342"/>
      <c r="E389" s="342"/>
      <c r="F389" s="342"/>
      <c r="G389" s="342"/>
      <c r="H389" s="342"/>
      <c r="I389" s="342"/>
      <c r="J389" s="342"/>
      <c r="K389" s="342"/>
      <c r="L389" s="342"/>
      <c r="M389" s="342"/>
    </row>
    <row r="390" ht="15.75" customHeight="1">
      <c r="A390" s="342"/>
      <c r="B390" s="343"/>
      <c r="C390" s="344"/>
      <c r="D390" s="342"/>
      <c r="E390" s="342"/>
      <c r="F390" s="342"/>
      <c r="G390" s="342"/>
      <c r="H390" s="342"/>
      <c r="I390" s="342"/>
      <c r="J390" s="342"/>
      <c r="K390" s="342"/>
      <c r="L390" s="342"/>
      <c r="M390" s="342"/>
    </row>
    <row r="391" ht="15.75" customHeight="1">
      <c r="A391" s="342"/>
      <c r="B391" s="343"/>
      <c r="C391" s="344"/>
      <c r="D391" s="342"/>
      <c r="E391" s="342"/>
      <c r="F391" s="342"/>
      <c r="G391" s="342"/>
      <c r="H391" s="342"/>
      <c r="I391" s="342"/>
      <c r="J391" s="342"/>
      <c r="K391" s="342"/>
      <c r="L391" s="342"/>
      <c r="M391" s="342"/>
    </row>
    <row r="392" ht="15.75" customHeight="1">
      <c r="A392" s="342"/>
      <c r="B392" s="343"/>
      <c r="C392" s="344"/>
      <c r="D392" s="342"/>
      <c r="E392" s="342"/>
      <c r="F392" s="342"/>
      <c r="G392" s="342"/>
      <c r="H392" s="342"/>
      <c r="I392" s="342"/>
      <c r="J392" s="342"/>
      <c r="K392" s="342"/>
      <c r="L392" s="342"/>
      <c r="M392" s="342"/>
    </row>
    <row r="393" ht="15.75" customHeight="1">
      <c r="A393" s="342"/>
      <c r="B393" s="343"/>
      <c r="C393" s="344"/>
      <c r="D393" s="342"/>
      <c r="E393" s="342"/>
      <c r="F393" s="342"/>
      <c r="G393" s="342"/>
      <c r="H393" s="342"/>
      <c r="I393" s="342"/>
      <c r="J393" s="342"/>
      <c r="K393" s="342"/>
      <c r="L393" s="342"/>
      <c r="M393" s="342"/>
    </row>
    <row r="394" ht="15.75" customHeight="1">
      <c r="A394" s="342"/>
      <c r="B394" s="343"/>
      <c r="C394" s="344"/>
      <c r="D394" s="342"/>
      <c r="E394" s="342"/>
      <c r="F394" s="342"/>
      <c r="G394" s="342"/>
      <c r="H394" s="342"/>
      <c r="I394" s="342"/>
      <c r="J394" s="342"/>
      <c r="K394" s="342"/>
      <c r="L394" s="342"/>
      <c r="M394" s="342"/>
    </row>
    <row r="395" ht="15.75" customHeight="1">
      <c r="A395" s="342"/>
      <c r="B395" s="343"/>
      <c r="C395" s="344"/>
      <c r="D395" s="342"/>
      <c r="E395" s="342"/>
      <c r="F395" s="342"/>
      <c r="G395" s="342"/>
      <c r="H395" s="342"/>
      <c r="I395" s="342"/>
      <c r="J395" s="342"/>
      <c r="K395" s="342"/>
      <c r="L395" s="342"/>
      <c r="M395" s="342"/>
    </row>
    <row r="396" ht="15.75" customHeight="1">
      <c r="A396" s="342"/>
      <c r="B396" s="343"/>
      <c r="C396" s="344"/>
      <c r="D396" s="342"/>
      <c r="E396" s="342"/>
      <c r="F396" s="342"/>
      <c r="G396" s="342"/>
      <c r="H396" s="342"/>
      <c r="I396" s="342"/>
      <c r="J396" s="342"/>
      <c r="K396" s="342"/>
      <c r="L396" s="342"/>
      <c r="M396" s="342"/>
    </row>
    <row r="397" ht="15.75" customHeight="1">
      <c r="A397" s="342"/>
      <c r="B397" s="343"/>
      <c r="C397" s="344"/>
      <c r="D397" s="342"/>
      <c r="E397" s="342"/>
      <c r="F397" s="342"/>
      <c r="G397" s="342"/>
      <c r="H397" s="342"/>
      <c r="I397" s="342"/>
      <c r="J397" s="342"/>
      <c r="K397" s="342"/>
      <c r="L397" s="342"/>
      <c r="M397" s="342"/>
    </row>
    <row r="398" ht="15.75" customHeight="1">
      <c r="A398" s="342"/>
      <c r="B398" s="343"/>
      <c r="C398" s="344"/>
      <c r="D398" s="342"/>
      <c r="E398" s="342"/>
      <c r="F398" s="342"/>
      <c r="G398" s="342"/>
      <c r="H398" s="342"/>
      <c r="I398" s="342"/>
      <c r="J398" s="342"/>
      <c r="K398" s="342"/>
      <c r="L398" s="342"/>
      <c r="M398" s="342"/>
    </row>
    <row r="399" ht="15.75" customHeight="1">
      <c r="A399" s="342"/>
      <c r="B399" s="343"/>
      <c r="C399" s="344"/>
      <c r="D399" s="342"/>
      <c r="E399" s="342"/>
      <c r="F399" s="342"/>
      <c r="G399" s="342"/>
      <c r="H399" s="342"/>
      <c r="I399" s="342"/>
      <c r="J399" s="342"/>
      <c r="K399" s="342"/>
      <c r="L399" s="342"/>
      <c r="M399" s="342"/>
    </row>
    <row r="400" ht="15.75" customHeight="1">
      <c r="A400" s="342"/>
      <c r="B400" s="343"/>
      <c r="C400" s="344"/>
      <c r="D400" s="342"/>
      <c r="E400" s="342"/>
      <c r="F400" s="342"/>
      <c r="G400" s="342"/>
      <c r="H400" s="342"/>
      <c r="I400" s="342"/>
      <c r="J400" s="342"/>
      <c r="K400" s="342"/>
      <c r="L400" s="342"/>
      <c r="M400" s="342"/>
    </row>
    <row r="401" ht="15.75" customHeight="1">
      <c r="A401" s="342"/>
      <c r="B401" s="343"/>
      <c r="C401" s="344"/>
      <c r="D401" s="342"/>
      <c r="E401" s="342"/>
      <c r="F401" s="342"/>
      <c r="G401" s="342"/>
      <c r="H401" s="342"/>
      <c r="I401" s="342"/>
      <c r="J401" s="342"/>
      <c r="K401" s="342"/>
      <c r="L401" s="342"/>
      <c r="M401" s="342"/>
    </row>
    <row r="402" ht="15.75" customHeight="1">
      <c r="A402" s="342"/>
      <c r="B402" s="343"/>
      <c r="C402" s="344"/>
      <c r="D402" s="342"/>
      <c r="E402" s="342"/>
      <c r="F402" s="342"/>
      <c r="G402" s="342"/>
      <c r="H402" s="342"/>
      <c r="I402" s="342"/>
      <c r="J402" s="342"/>
      <c r="K402" s="342"/>
      <c r="L402" s="342"/>
      <c r="M402" s="342"/>
    </row>
    <row r="403" ht="15.75" customHeight="1">
      <c r="A403" s="342"/>
      <c r="B403" s="343"/>
      <c r="C403" s="344"/>
      <c r="D403" s="342"/>
      <c r="E403" s="342"/>
      <c r="F403" s="342"/>
      <c r="G403" s="342"/>
      <c r="H403" s="342"/>
      <c r="I403" s="342"/>
      <c r="J403" s="342"/>
      <c r="K403" s="342"/>
      <c r="L403" s="342"/>
      <c r="M403" s="342"/>
    </row>
    <row r="404" ht="15.75" customHeight="1">
      <c r="A404" s="342"/>
      <c r="B404" s="343"/>
      <c r="C404" s="344"/>
      <c r="D404" s="342"/>
      <c r="E404" s="342"/>
      <c r="F404" s="342"/>
      <c r="G404" s="342"/>
      <c r="H404" s="342"/>
      <c r="I404" s="342"/>
      <c r="J404" s="342"/>
      <c r="K404" s="342"/>
      <c r="L404" s="342"/>
      <c r="M404" s="342"/>
    </row>
    <row r="405" ht="15.75" customHeight="1">
      <c r="A405" s="342"/>
      <c r="B405" s="343"/>
      <c r="C405" s="344"/>
      <c r="D405" s="342"/>
      <c r="E405" s="342"/>
      <c r="F405" s="342"/>
      <c r="G405" s="342"/>
      <c r="H405" s="342"/>
      <c r="I405" s="342"/>
      <c r="J405" s="342"/>
      <c r="K405" s="342"/>
      <c r="L405" s="342"/>
      <c r="M405" s="342"/>
    </row>
    <row r="406" ht="15.75" customHeight="1">
      <c r="A406" s="342"/>
      <c r="B406" s="343"/>
      <c r="C406" s="344"/>
      <c r="D406" s="342"/>
      <c r="E406" s="342"/>
      <c r="F406" s="342"/>
      <c r="G406" s="342"/>
      <c r="H406" s="342"/>
      <c r="I406" s="342"/>
      <c r="J406" s="342"/>
      <c r="K406" s="342"/>
      <c r="L406" s="342"/>
      <c r="M406" s="342"/>
    </row>
    <row r="407" ht="15.75" customHeight="1">
      <c r="A407" s="342"/>
      <c r="B407" s="343"/>
      <c r="C407" s="344"/>
      <c r="D407" s="342"/>
      <c r="E407" s="342"/>
      <c r="F407" s="342"/>
      <c r="G407" s="342"/>
      <c r="H407" s="342"/>
      <c r="I407" s="342"/>
      <c r="J407" s="342"/>
      <c r="K407" s="342"/>
      <c r="L407" s="342"/>
      <c r="M407" s="342"/>
    </row>
    <row r="408" ht="15.75" customHeight="1">
      <c r="A408" s="342"/>
      <c r="B408" s="343"/>
      <c r="C408" s="344"/>
      <c r="D408" s="342"/>
      <c r="E408" s="342"/>
      <c r="F408" s="342"/>
      <c r="G408" s="342"/>
      <c r="H408" s="342"/>
      <c r="I408" s="342"/>
      <c r="J408" s="342"/>
      <c r="K408" s="342"/>
      <c r="L408" s="342"/>
      <c r="M408" s="342"/>
    </row>
    <row r="409" ht="15.75" customHeight="1">
      <c r="A409" s="342"/>
      <c r="B409" s="343"/>
      <c r="C409" s="344"/>
      <c r="D409" s="342"/>
      <c r="E409" s="342"/>
      <c r="F409" s="342"/>
      <c r="G409" s="342"/>
      <c r="H409" s="342"/>
      <c r="I409" s="342"/>
      <c r="J409" s="342"/>
      <c r="K409" s="342"/>
      <c r="L409" s="342"/>
      <c r="M409" s="342"/>
    </row>
    <row r="410" ht="15.75" customHeight="1">
      <c r="A410" s="342"/>
      <c r="B410" s="343"/>
      <c r="C410" s="344"/>
      <c r="D410" s="342"/>
      <c r="E410" s="342"/>
      <c r="F410" s="342"/>
      <c r="G410" s="342"/>
      <c r="H410" s="342"/>
      <c r="I410" s="342"/>
      <c r="J410" s="342"/>
      <c r="K410" s="342"/>
      <c r="L410" s="342"/>
      <c r="M410" s="342"/>
    </row>
    <row r="411" ht="15.75" customHeight="1">
      <c r="A411" s="342"/>
      <c r="B411" s="343"/>
      <c r="C411" s="344"/>
      <c r="D411" s="342"/>
      <c r="E411" s="342"/>
      <c r="F411" s="342"/>
      <c r="G411" s="342"/>
      <c r="H411" s="342"/>
      <c r="I411" s="342"/>
      <c r="J411" s="342"/>
      <c r="K411" s="342"/>
      <c r="L411" s="342"/>
      <c r="M411" s="342"/>
    </row>
    <row r="412" ht="15.75" customHeight="1">
      <c r="A412" s="342"/>
      <c r="B412" s="343"/>
      <c r="C412" s="344"/>
      <c r="D412" s="342"/>
      <c r="E412" s="342"/>
      <c r="F412" s="342"/>
      <c r="G412" s="342"/>
      <c r="H412" s="342"/>
      <c r="I412" s="342"/>
      <c r="J412" s="342"/>
      <c r="K412" s="342"/>
      <c r="L412" s="342"/>
      <c r="M412" s="342"/>
    </row>
    <row r="413" ht="15.75" customHeight="1">
      <c r="A413" s="342"/>
      <c r="B413" s="343"/>
      <c r="C413" s="344"/>
      <c r="D413" s="342"/>
      <c r="E413" s="342"/>
      <c r="F413" s="342"/>
      <c r="G413" s="342"/>
      <c r="H413" s="342"/>
      <c r="I413" s="342"/>
      <c r="J413" s="342"/>
      <c r="K413" s="342"/>
      <c r="L413" s="342"/>
      <c r="M413" s="342"/>
    </row>
    <row r="414" ht="15.75" customHeight="1">
      <c r="A414" s="342"/>
      <c r="B414" s="343"/>
      <c r="C414" s="344"/>
      <c r="D414" s="342"/>
      <c r="E414" s="342"/>
      <c r="F414" s="342"/>
      <c r="G414" s="342"/>
      <c r="H414" s="342"/>
      <c r="I414" s="342"/>
      <c r="J414" s="342"/>
      <c r="K414" s="342"/>
      <c r="L414" s="342"/>
      <c r="M414" s="342"/>
    </row>
    <row r="415" ht="15.75" customHeight="1">
      <c r="A415" s="342"/>
      <c r="B415" s="343"/>
      <c r="C415" s="344"/>
      <c r="D415" s="342"/>
      <c r="E415" s="342"/>
      <c r="F415" s="342"/>
      <c r="G415" s="342"/>
      <c r="H415" s="342"/>
      <c r="I415" s="342"/>
      <c r="J415" s="342"/>
      <c r="K415" s="342"/>
      <c r="L415" s="342"/>
      <c r="M415" s="342"/>
    </row>
    <row r="416" ht="15.75" customHeight="1">
      <c r="A416" s="342"/>
      <c r="B416" s="343"/>
      <c r="C416" s="344"/>
      <c r="D416" s="342"/>
      <c r="E416" s="342"/>
      <c r="F416" s="342"/>
      <c r="G416" s="342"/>
      <c r="H416" s="342"/>
      <c r="I416" s="342"/>
      <c r="J416" s="342"/>
      <c r="K416" s="342"/>
      <c r="L416" s="342"/>
      <c r="M416" s="342"/>
    </row>
    <row r="417" ht="15.75" customHeight="1">
      <c r="A417" s="342"/>
      <c r="B417" s="343"/>
      <c r="C417" s="344"/>
      <c r="D417" s="342"/>
      <c r="E417" s="342"/>
      <c r="F417" s="342"/>
      <c r="G417" s="342"/>
      <c r="H417" s="342"/>
      <c r="I417" s="342"/>
      <c r="J417" s="342"/>
      <c r="K417" s="342"/>
      <c r="L417" s="342"/>
      <c r="M417" s="342"/>
    </row>
    <row r="418" ht="15.75" customHeight="1">
      <c r="A418" s="342"/>
      <c r="B418" s="343"/>
      <c r="C418" s="344"/>
      <c r="D418" s="342"/>
      <c r="E418" s="342"/>
      <c r="F418" s="342"/>
      <c r="G418" s="342"/>
      <c r="H418" s="342"/>
      <c r="I418" s="342"/>
      <c r="J418" s="342"/>
      <c r="K418" s="342"/>
      <c r="L418" s="342"/>
      <c r="M418" s="342"/>
    </row>
    <row r="419" ht="15.75" customHeight="1">
      <c r="A419" s="342"/>
      <c r="B419" s="343"/>
      <c r="C419" s="344"/>
      <c r="D419" s="342"/>
      <c r="E419" s="342"/>
      <c r="F419" s="342"/>
      <c r="G419" s="342"/>
      <c r="H419" s="342"/>
      <c r="I419" s="342"/>
      <c r="J419" s="342"/>
      <c r="K419" s="342"/>
      <c r="L419" s="342"/>
      <c r="M419" s="342"/>
    </row>
    <row r="420" ht="15.75" customHeight="1">
      <c r="A420" s="342"/>
      <c r="B420" s="343"/>
      <c r="C420" s="344"/>
      <c r="D420" s="342"/>
      <c r="E420" s="342"/>
      <c r="F420" s="342"/>
      <c r="G420" s="342"/>
      <c r="H420" s="342"/>
      <c r="I420" s="342"/>
      <c r="J420" s="342"/>
      <c r="K420" s="342"/>
      <c r="L420" s="342"/>
      <c r="M420" s="342"/>
    </row>
    <row r="421" ht="15.75" customHeight="1">
      <c r="A421" s="342"/>
      <c r="B421" s="343"/>
      <c r="C421" s="344"/>
      <c r="D421" s="342"/>
      <c r="E421" s="342"/>
      <c r="F421" s="342"/>
      <c r="G421" s="342"/>
      <c r="H421" s="342"/>
      <c r="I421" s="342"/>
      <c r="J421" s="342"/>
      <c r="K421" s="342"/>
      <c r="L421" s="342"/>
      <c r="M421" s="342"/>
    </row>
    <row r="422" ht="15.75" customHeight="1">
      <c r="A422" s="342"/>
      <c r="B422" s="343"/>
      <c r="C422" s="344"/>
      <c r="D422" s="342"/>
      <c r="E422" s="342"/>
      <c r="F422" s="342"/>
      <c r="G422" s="342"/>
      <c r="H422" s="342"/>
      <c r="I422" s="342"/>
      <c r="J422" s="342"/>
      <c r="K422" s="342"/>
      <c r="L422" s="342"/>
      <c r="M422" s="342"/>
    </row>
    <row r="423" ht="15.75" customHeight="1">
      <c r="A423" s="342"/>
      <c r="B423" s="343"/>
      <c r="C423" s="344"/>
      <c r="D423" s="342"/>
      <c r="E423" s="342"/>
      <c r="F423" s="342"/>
      <c r="G423" s="342"/>
      <c r="H423" s="342"/>
      <c r="I423" s="342"/>
      <c r="J423" s="342"/>
      <c r="K423" s="342"/>
      <c r="L423" s="342"/>
      <c r="M423" s="342"/>
    </row>
    <row r="424" ht="15.75" customHeight="1">
      <c r="A424" s="342"/>
      <c r="B424" s="343"/>
      <c r="C424" s="344"/>
      <c r="D424" s="342"/>
      <c r="E424" s="342"/>
      <c r="F424" s="342"/>
      <c r="G424" s="342"/>
      <c r="H424" s="342"/>
      <c r="I424" s="342"/>
      <c r="J424" s="342"/>
      <c r="K424" s="342"/>
      <c r="L424" s="342"/>
      <c r="M424" s="342"/>
    </row>
    <row r="425" ht="15.75" customHeight="1">
      <c r="A425" s="342"/>
      <c r="B425" s="343"/>
      <c r="C425" s="344"/>
      <c r="D425" s="342"/>
      <c r="E425" s="342"/>
      <c r="F425" s="342"/>
      <c r="G425" s="342"/>
      <c r="H425" s="342"/>
      <c r="I425" s="342"/>
      <c r="J425" s="342"/>
      <c r="K425" s="342"/>
      <c r="L425" s="342"/>
      <c r="M425" s="342"/>
    </row>
    <row r="426" ht="15.75" customHeight="1">
      <c r="A426" s="342"/>
      <c r="B426" s="343"/>
      <c r="C426" s="344"/>
      <c r="D426" s="342"/>
      <c r="E426" s="342"/>
      <c r="F426" s="342"/>
      <c r="G426" s="342"/>
      <c r="H426" s="342"/>
      <c r="I426" s="342"/>
      <c r="J426" s="342"/>
      <c r="K426" s="342"/>
      <c r="L426" s="342"/>
      <c r="M426" s="342"/>
    </row>
    <row r="427" ht="15.75" customHeight="1">
      <c r="A427" s="342"/>
      <c r="B427" s="343"/>
      <c r="C427" s="344"/>
      <c r="D427" s="342"/>
      <c r="E427" s="342"/>
      <c r="F427" s="342"/>
      <c r="G427" s="342"/>
      <c r="H427" s="342"/>
      <c r="I427" s="342"/>
      <c r="J427" s="342"/>
      <c r="K427" s="342"/>
      <c r="L427" s="342"/>
      <c r="M427" s="342"/>
    </row>
    <row r="428" ht="15.75" customHeight="1">
      <c r="A428" s="342"/>
      <c r="B428" s="343"/>
      <c r="C428" s="344"/>
      <c r="D428" s="342"/>
      <c r="E428" s="342"/>
      <c r="F428" s="342"/>
      <c r="G428" s="342"/>
      <c r="H428" s="342"/>
      <c r="I428" s="342"/>
      <c r="J428" s="342"/>
      <c r="K428" s="342"/>
      <c r="L428" s="342"/>
      <c r="M428" s="342"/>
    </row>
    <row r="429" ht="15.75" customHeight="1">
      <c r="A429" s="342"/>
      <c r="B429" s="343"/>
      <c r="C429" s="344"/>
      <c r="D429" s="342"/>
      <c r="E429" s="342"/>
      <c r="F429" s="342"/>
      <c r="G429" s="342"/>
      <c r="H429" s="342"/>
      <c r="I429" s="342"/>
      <c r="J429" s="342"/>
      <c r="K429" s="342"/>
      <c r="L429" s="342"/>
      <c r="M429" s="342"/>
    </row>
    <row r="430" ht="15.75" customHeight="1">
      <c r="A430" s="342"/>
      <c r="B430" s="343"/>
      <c r="C430" s="344"/>
      <c r="D430" s="342"/>
      <c r="E430" s="342"/>
      <c r="F430" s="342"/>
      <c r="G430" s="342"/>
      <c r="H430" s="342"/>
      <c r="I430" s="342"/>
      <c r="J430" s="342"/>
      <c r="K430" s="342"/>
      <c r="L430" s="342"/>
      <c r="M430" s="342"/>
    </row>
    <row r="431" ht="15.75" customHeight="1">
      <c r="A431" s="342"/>
      <c r="B431" s="343"/>
      <c r="C431" s="344"/>
      <c r="D431" s="342"/>
      <c r="E431" s="342"/>
      <c r="F431" s="342"/>
      <c r="G431" s="342"/>
      <c r="H431" s="342"/>
      <c r="I431" s="342"/>
      <c r="J431" s="342"/>
      <c r="K431" s="342"/>
      <c r="L431" s="342"/>
      <c r="M431" s="342"/>
    </row>
    <row r="432" ht="15.75" customHeight="1">
      <c r="A432" s="342"/>
      <c r="B432" s="343"/>
      <c r="C432" s="344"/>
      <c r="D432" s="342"/>
      <c r="E432" s="342"/>
      <c r="F432" s="342"/>
      <c r="G432" s="342"/>
      <c r="H432" s="342"/>
      <c r="I432" s="342"/>
      <c r="J432" s="342"/>
      <c r="K432" s="342"/>
      <c r="L432" s="342"/>
      <c r="M432" s="342"/>
    </row>
    <row r="433" ht="15.75" customHeight="1">
      <c r="A433" s="342"/>
      <c r="B433" s="343"/>
      <c r="C433" s="344"/>
      <c r="D433" s="342"/>
      <c r="E433" s="342"/>
      <c r="F433" s="342"/>
      <c r="G433" s="342"/>
      <c r="H433" s="342"/>
      <c r="I433" s="342"/>
      <c r="J433" s="342"/>
      <c r="K433" s="342"/>
      <c r="L433" s="342"/>
      <c r="M433" s="342"/>
    </row>
    <row r="434" ht="15.75" customHeight="1">
      <c r="A434" s="342"/>
      <c r="B434" s="343"/>
      <c r="C434" s="344"/>
      <c r="D434" s="342"/>
      <c r="E434" s="342"/>
      <c r="F434" s="342"/>
      <c r="G434" s="342"/>
      <c r="H434" s="342"/>
      <c r="I434" s="342"/>
      <c r="J434" s="342"/>
      <c r="K434" s="342"/>
      <c r="L434" s="342"/>
      <c r="M434" s="342"/>
    </row>
    <row r="435" ht="15.75" customHeight="1">
      <c r="A435" s="342"/>
      <c r="B435" s="343"/>
      <c r="C435" s="344"/>
      <c r="D435" s="342"/>
      <c r="E435" s="342"/>
      <c r="F435" s="342"/>
      <c r="G435" s="342"/>
      <c r="H435" s="342"/>
      <c r="I435" s="342"/>
      <c r="J435" s="342"/>
      <c r="K435" s="342"/>
      <c r="L435" s="342"/>
      <c r="M435" s="342"/>
    </row>
    <row r="436" ht="15.75" customHeight="1">
      <c r="A436" s="342"/>
      <c r="B436" s="343"/>
      <c r="C436" s="344"/>
      <c r="D436" s="342"/>
      <c r="E436" s="342"/>
      <c r="F436" s="342"/>
      <c r="G436" s="342"/>
      <c r="H436" s="342"/>
      <c r="I436" s="342"/>
      <c r="J436" s="342"/>
      <c r="K436" s="342"/>
      <c r="L436" s="342"/>
      <c r="M436" s="342"/>
    </row>
    <row r="437" ht="15.75" customHeight="1">
      <c r="A437" s="342"/>
      <c r="B437" s="343"/>
      <c r="C437" s="344"/>
      <c r="D437" s="342"/>
      <c r="E437" s="342"/>
      <c r="F437" s="342"/>
      <c r="G437" s="342"/>
      <c r="H437" s="342"/>
      <c r="I437" s="342"/>
      <c r="J437" s="342"/>
      <c r="K437" s="342"/>
      <c r="L437" s="342"/>
      <c r="M437" s="342"/>
    </row>
    <row r="438" ht="15.75" customHeight="1">
      <c r="A438" s="342"/>
      <c r="B438" s="343"/>
      <c r="C438" s="344"/>
      <c r="D438" s="342"/>
      <c r="E438" s="342"/>
      <c r="F438" s="342"/>
      <c r="G438" s="342"/>
      <c r="H438" s="342"/>
      <c r="I438" s="342"/>
      <c r="J438" s="342"/>
      <c r="K438" s="342"/>
      <c r="L438" s="342"/>
      <c r="M438" s="342"/>
    </row>
    <row r="439" ht="15.75" customHeight="1">
      <c r="A439" s="342"/>
      <c r="B439" s="343"/>
      <c r="C439" s="344"/>
      <c r="D439" s="342"/>
      <c r="E439" s="342"/>
      <c r="F439" s="342"/>
      <c r="G439" s="342"/>
      <c r="H439" s="342"/>
      <c r="I439" s="342"/>
      <c r="J439" s="342"/>
      <c r="K439" s="342"/>
      <c r="L439" s="342"/>
      <c r="M439" s="342"/>
    </row>
    <row r="440" ht="15.75" customHeight="1">
      <c r="A440" s="342"/>
      <c r="B440" s="343"/>
      <c r="C440" s="344"/>
      <c r="D440" s="342"/>
      <c r="E440" s="342"/>
      <c r="F440" s="342"/>
      <c r="G440" s="342"/>
      <c r="H440" s="342"/>
      <c r="I440" s="342"/>
      <c r="J440" s="342"/>
      <c r="K440" s="342"/>
      <c r="L440" s="342"/>
      <c r="M440" s="342"/>
    </row>
    <row r="441" ht="15.75" customHeight="1">
      <c r="A441" s="342"/>
      <c r="B441" s="343"/>
      <c r="C441" s="344"/>
      <c r="D441" s="342"/>
      <c r="E441" s="342"/>
      <c r="F441" s="342"/>
      <c r="G441" s="342"/>
      <c r="H441" s="342"/>
      <c r="I441" s="342"/>
      <c r="J441" s="342"/>
      <c r="K441" s="342"/>
      <c r="L441" s="342"/>
      <c r="M441" s="342"/>
    </row>
    <row r="442" ht="15.75" customHeight="1">
      <c r="A442" s="342"/>
      <c r="B442" s="343"/>
      <c r="C442" s="344"/>
      <c r="D442" s="342"/>
      <c r="E442" s="342"/>
      <c r="F442" s="342"/>
      <c r="G442" s="342"/>
      <c r="H442" s="342"/>
      <c r="I442" s="342"/>
      <c r="J442" s="342"/>
      <c r="K442" s="342"/>
      <c r="L442" s="342"/>
      <c r="M442" s="342"/>
    </row>
    <row r="443" ht="15.75" customHeight="1">
      <c r="A443" s="342"/>
      <c r="B443" s="343"/>
      <c r="C443" s="344"/>
      <c r="D443" s="342"/>
      <c r="E443" s="342"/>
      <c r="F443" s="342"/>
      <c r="G443" s="342"/>
      <c r="H443" s="342"/>
      <c r="I443" s="342"/>
      <c r="J443" s="342"/>
      <c r="K443" s="342"/>
      <c r="L443" s="342"/>
      <c r="M443" s="342"/>
    </row>
    <row r="444" ht="15.75" customHeight="1">
      <c r="A444" s="342"/>
      <c r="B444" s="343"/>
      <c r="C444" s="344"/>
      <c r="D444" s="342"/>
      <c r="E444" s="342"/>
      <c r="F444" s="342"/>
      <c r="G444" s="342"/>
      <c r="H444" s="342"/>
      <c r="I444" s="342"/>
      <c r="J444" s="342"/>
      <c r="K444" s="342"/>
      <c r="L444" s="342"/>
      <c r="M444" s="342"/>
    </row>
    <row r="445" ht="15.75" customHeight="1">
      <c r="A445" s="342"/>
      <c r="B445" s="343"/>
      <c r="C445" s="344"/>
      <c r="D445" s="342"/>
      <c r="E445" s="342"/>
      <c r="F445" s="342"/>
      <c r="G445" s="342"/>
      <c r="H445" s="342"/>
      <c r="I445" s="342"/>
      <c r="J445" s="342"/>
      <c r="K445" s="342"/>
      <c r="L445" s="342"/>
      <c r="M445" s="342"/>
    </row>
    <row r="446" ht="15.75" customHeight="1">
      <c r="A446" s="342"/>
      <c r="B446" s="343"/>
      <c r="C446" s="344"/>
      <c r="D446" s="342"/>
      <c r="E446" s="342"/>
      <c r="F446" s="342"/>
      <c r="G446" s="342"/>
      <c r="H446" s="342"/>
      <c r="I446" s="342"/>
      <c r="J446" s="342"/>
      <c r="K446" s="342"/>
      <c r="L446" s="342"/>
      <c r="M446" s="342"/>
    </row>
    <row r="447" ht="15.75" customHeight="1">
      <c r="A447" s="342"/>
      <c r="B447" s="343"/>
      <c r="C447" s="344"/>
      <c r="D447" s="342"/>
      <c r="E447" s="342"/>
      <c r="F447" s="342"/>
      <c r="G447" s="342"/>
      <c r="H447" s="342"/>
      <c r="I447" s="342"/>
      <c r="J447" s="342"/>
      <c r="K447" s="342"/>
      <c r="L447" s="342"/>
      <c r="M447" s="342"/>
    </row>
    <row r="448" ht="15.75" customHeight="1">
      <c r="A448" s="342"/>
      <c r="B448" s="343"/>
      <c r="C448" s="344"/>
      <c r="D448" s="342"/>
      <c r="E448" s="342"/>
      <c r="F448" s="342"/>
      <c r="G448" s="342"/>
      <c r="H448" s="342"/>
      <c r="I448" s="342"/>
      <c r="J448" s="342"/>
      <c r="K448" s="342"/>
      <c r="L448" s="342"/>
      <c r="M448" s="342"/>
    </row>
    <row r="449" ht="15.75" customHeight="1">
      <c r="A449" s="342"/>
      <c r="B449" s="343"/>
      <c r="C449" s="344"/>
      <c r="D449" s="342"/>
      <c r="E449" s="342"/>
      <c r="F449" s="342"/>
      <c r="G449" s="342"/>
      <c r="H449" s="342"/>
      <c r="I449" s="342"/>
      <c r="J449" s="342"/>
      <c r="K449" s="342"/>
      <c r="L449" s="342"/>
      <c r="M449" s="342"/>
    </row>
    <row r="450" ht="15.75" customHeight="1">
      <c r="A450" s="342"/>
      <c r="B450" s="343"/>
      <c r="C450" s="344"/>
      <c r="D450" s="342"/>
      <c r="E450" s="342"/>
      <c r="F450" s="342"/>
      <c r="G450" s="342"/>
      <c r="H450" s="342"/>
      <c r="I450" s="342"/>
      <c r="J450" s="342"/>
      <c r="K450" s="342"/>
      <c r="L450" s="342"/>
      <c r="M450" s="342"/>
    </row>
    <row r="451" ht="15.75" customHeight="1">
      <c r="A451" s="342"/>
      <c r="B451" s="343"/>
      <c r="C451" s="344"/>
      <c r="D451" s="342"/>
      <c r="E451" s="342"/>
      <c r="F451" s="342"/>
      <c r="G451" s="342"/>
      <c r="H451" s="342"/>
      <c r="I451" s="342"/>
      <c r="J451" s="342"/>
      <c r="K451" s="342"/>
      <c r="L451" s="342"/>
      <c r="M451" s="342"/>
    </row>
    <row r="452" ht="15.75" customHeight="1">
      <c r="A452" s="342"/>
      <c r="B452" s="343"/>
      <c r="C452" s="344"/>
      <c r="D452" s="342"/>
      <c r="E452" s="342"/>
      <c r="F452" s="342"/>
      <c r="G452" s="342"/>
      <c r="H452" s="342"/>
      <c r="I452" s="342"/>
      <c r="J452" s="342"/>
      <c r="K452" s="342"/>
      <c r="L452" s="342"/>
      <c r="M452" s="342"/>
    </row>
    <row r="453" ht="15.75" customHeight="1">
      <c r="A453" s="342"/>
      <c r="B453" s="343"/>
      <c r="C453" s="344"/>
      <c r="D453" s="342"/>
      <c r="E453" s="342"/>
      <c r="F453" s="342"/>
      <c r="G453" s="342"/>
      <c r="H453" s="342"/>
      <c r="I453" s="342"/>
      <c r="J453" s="342"/>
      <c r="K453" s="342"/>
      <c r="L453" s="342"/>
      <c r="M453" s="342"/>
    </row>
    <row r="454" ht="15.75" customHeight="1">
      <c r="A454" s="342"/>
      <c r="B454" s="343"/>
      <c r="C454" s="344"/>
      <c r="D454" s="342"/>
      <c r="E454" s="342"/>
      <c r="F454" s="342"/>
      <c r="G454" s="342"/>
      <c r="H454" s="342"/>
      <c r="I454" s="342"/>
      <c r="J454" s="342"/>
      <c r="K454" s="342"/>
      <c r="L454" s="342"/>
      <c r="M454" s="342"/>
    </row>
    <row r="455" ht="15.75" customHeight="1">
      <c r="A455" s="342"/>
      <c r="B455" s="343"/>
      <c r="C455" s="344"/>
      <c r="D455" s="342"/>
      <c r="E455" s="342"/>
      <c r="F455" s="342"/>
      <c r="G455" s="342"/>
      <c r="H455" s="342"/>
      <c r="I455" s="342"/>
      <c r="J455" s="342"/>
      <c r="K455" s="342"/>
      <c r="L455" s="342"/>
      <c r="M455" s="342"/>
    </row>
    <row r="456" ht="15.75" customHeight="1">
      <c r="A456" s="342"/>
      <c r="B456" s="343"/>
      <c r="C456" s="344"/>
      <c r="D456" s="342"/>
      <c r="E456" s="342"/>
      <c r="F456" s="342"/>
      <c r="G456" s="342"/>
      <c r="H456" s="342"/>
      <c r="I456" s="342"/>
      <c r="J456" s="342"/>
      <c r="K456" s="342"/>
      <c r="L456" s="342"/>
      <c r="M456" s="342"/>
    </row>
    <row r="457" ht="15.75" customHeight="1">
      <c r="A457" s="342"/>
      <c r="B457" s="343"/>
      <c r="C457" s="344"/>
      <c r="D457" s="342"/>
      <c r="E457" s="342"/>
      <c r="F457" s="342"/>
      <c r="G457" s="342"/>
      <c r="H457" s="342"/>
      <c r="I457" s="342"/>
      <c r="J457" s="342"/>
      <c r="K457" s="342"/>
      <c r="L457" s="342"/>
      <c r="M457" s="342"/>
    </row>
    <row r="458" ht="15.75" customHeight="1">
      <c r="A458" s="342"/>
      <c r="B458" s="343"/>
      <c r="C458" s="344"/>
      <c r="D458" s="342"/>
      <c r="E458" s="342"/>
      <c r="F458" s="342"/>
      <c r="G458" s="342"/>
      <c r="H458" s="342"/>
      <c r="I458" s="342"/>
      <c r="J458" s="342"/>
      <c r="K458" s="342"/>
      <c r="L458" s="342"/>
      <c r="M458" s="342"/>
    </row>
    <row r="459" ht="15.75" customHeight="1">
      <c r="A459" s="342"/>
      <c r="B459" s="343"/>
      <c r="C459" s="344"/>
      <c r="D459" s="342"/>
      <c r="E459" s="342"/>
      <c r="F459" s="342"/>
      <c r="G459" s="342"/>
      <c r="H459" s="342"/>
      <c r="I459" s="342"/>
      <c r="J459" s="342"/>
      <c r="K459" s="342"/>
      <c r="L459" s="342"/>
      <c r="M459" s="342"/>
    </row>
    <row r="460" ht="15.75" customHeight="1">
      <c r="A460" s="342"/>
      <c r="B460" s="343"/>
      <c r="C460" s="344"/>
      <c r="D460" s="342"/>
      <c r="E460" s="342"/>
      <c r="F460" s="342"/>
      <c r="G460" s="342"/>
      <c r="H460" s="342"/>
      <c r="I460" s="342"/>
      <c r="J460" s="342"/>
      <c r="K460" s="342"/>
      <c r="L460" s="342"/>
      <c r="M460" s="342"/>
    </row>
    <row r="461" ht="15.75" customHeight="1">
      <c r="A461" s="342"/>
      <c r="B461" s="343"/>
      <c r="C461" s="344"/>
      <c r="D461" s="342"/>
      <c r="E461" s="342"/>
      <c r="F461" s="342"/>
      <c r="G461" s="342"/>
      <c r="H461" s="342"/>
      <c r="I461" s="342"/>
      <c r="J461" s="342"/>
      <c r="K461" s="342"/>
      <c r="L461" s="342"/>
      <c r="M461" s="342"/>
    </row>
    <row r="462" ht="15.75" customHeight="1">
      <c r="A462" s="342"/>
      <c r="B462" s="343"/>
      <c r="C462" s="344"/>
      <c r="D462" s="342"/>
      <c r="E462" s="342"/>
      <c r="F462" s="342"/>
      <c r="G462" s="342"/>
      <c r="H462" s="342"/>
      <c r="I462" s="342"/>
      <c r="J462" s="342"/>
      <c r="K462" s="342"/>
      <c r="L462" s="342"/>
      <c r="M462" s="342"/>
    </row>
    <row r="463" ht="15.75" customHeight="1">
      <c r="A463" s="342"/>
      <c r="B463" s="343"/>
      <c r="C463" s="344"/>
      <c r="D463" s="342"/>
      <c r="E463" s="342"/>
      <c r="F463" s="342"/>
      <c r="G463" s="342"/>
      <c r="H463" s="342"/>
      <c r="I463" s="342"/>
      <c r="J463" s="342"/>
      <c r="K463" s="342"/>
      <c r="L463" s="342"/>
      <c r="M463" s="342"/>
    </row>
    <row r="464" ht="15.75" customHeight="1">
      <c r="A464" s="342"/>
      <c r="B464" s="343"/>
      <c r="C464" s="344"/>
      <c r="D464" s="342"/>
      <c r="E464" s="342"/>
      <c r="F464" s="342"/>
      <c r="G464" s="342"/>
      <c r="H464" s="342"/>
      <c r="I464" s="342"/>
      <c r="J464" s="342"/>
      <c r="K464" s="342"/>
      <c r="L464" s="342"/>
      <c r="M464" s="342"/>
    </row>
    <row r="465" ht="15.75" customHeight="1">
      <c r="A465" s="342"/>
      <c r="B465" s="343"/>
      <c r="C465" s="344"/>
      <c r="D465" s="342"/>
      <c r="E465" s="342"/>
      <c r="F465" s="342"/>
      <c r="G465" s="342"/>
      <c r="H465" s="342"/>
      <c r="I465" s="342"/>
      <c r="J465" s="342"/>
      <c r="K465" s="342"/>
      <c r="L465" s="342"/>
      <c r="M465" s="342"/>
    </row>
    <row r="466" ht="15.75" customHeight="1">
      <c r="A466" s="342"/>
      <c r="B466" s="343"/>
      <c r="C466" s="344"/>
      <c r="D466" s="342"/>
      <c r="E466" s="342"/>
      <c r="F466" s="342"/>
      <c r="G466" s="342"/>
      <c r="H466" s="342"/>
      <c r="I466" s="342"/>
      <c r="J466" s="342"/>
      <c r="K466" s="342"/>
      <c r="L466" s="342"/>
      <c r="M466" s="342"/>
    </row>
    <row r="467" ht="15.75" customHeight="1">
      <c r="A467" s="342"/>
      <c r="B467" s="343"/>
      <c r="C467" s="344"/>
      <c r="D467" s="342"/>
      <c r="E467" s="342"/>
      <c r="F467" s="342"/>
      <c r="G467" s="342"/>
      <c r="H467" s="342"/>
      <c r="I467" s="342"/>
      <c r="J467" s="342"/>
      <c r="K467" s="342"/>
      <c r="L467" s="342"/>
      <c r="M467" s="342"/>
    </row>
    <row r="468" ht="15.75" customHeight="1">
      <c r="A468" s="342"/>
      <c r="B468" s="343"/>
      <c r="C468" s="344"/>
      <c r="D468" s="342"/>
      <c r="E468" s="342"/>
      <c r="F468" s="342"/>
      <c r="G468" s="342"/>
      <c r="H468" s="342"/>
      <c r="I468" s="342"/>
      <c r="J468" s="342"/>
      <c r="K468" s="342"/>
      <c r="L468" s="342"/>
      <c r="M468" s="342"/>
    </row>
    <row r="469" ht="15.75" customHeight="1">
      <c r="A469" s="342"/>
      <c r="B469" s="343"/>
      <c r="C469" s="344"/>
      <c r="D469" s="342"/>
      <c r="E469" s="342"/>
      <c r="F469" s="342"/>
      <c r="G469" s="342"/>
      <c r="H469" s="342"/>
      <c r="I469" s="342"/>
      <c r="J469" s="342"/>
      <c r="K469" s="342"/>
      <c r="L469" s="342"/>
      <c r="M469" s="342"/>
    </row>
    <row r="470" ht="15.75" customHeight="1">
      <c r="A470" s="342"/>
      <c r="B470" s="343"/>
      <c r="C470" s="344"/>
      <c r="D470" s="342"/>
      <c r="E470" s="342"/>
      <c r="F470" s="342"/>
      <c r="G470" s="342"/>
      <c r="H470" s="342"/>
      <c r="I470" s="342"/>
      <c r="J470" s="342"/>
      <c r="K470" s="342"/>
      <c r="L470" s="342"/>
      <c r="M470" s="342"/>
    </row>
    <row r="471" ht="15.75" customHeight="1">
      <c r="A471" s="342"/>
      <c r="B471" s="343"/>
      <c r="C471" s="344"/>
      <c r="D471" s="342"/>
      <c r="E471" s="342"/>
      <c r="F471" s="342"/>
      <c r="G471" s="342"/>
      <c r="H471" s="342"/>
      <c r="I471" s="342"/>
      <c r="J471" s="342"/>
      <c r="K471" s="342"/>
      <c r="L471" s="342"/>
      <c r="M471" s="342"/>
    </row>
    <row r="472" ht="15.75" customHeight="1">
      <c r="A472" s="342"/>
      <c r="B472" s="343"/>
      <c r="C472" s="344"/>
      <c r="D472" s="342"/>
      <c r="E472" s="342"/>
      <c r="F472" s="342"/>
      <c r="G472" s="342"/>
      <c r="H472" s="342"/>
      <c r="I472" s="342"/>
      <c r="J472" s="342"/>
      <c r="K472" s="342"/>
      <c r="L472" s="342"/>
      <c r="M472" s="342"/>
    </row>
    <row r="473" ht="15.75" customHeight="1">
      <c r="A473" s="342"/>
      <c r="B473" s="343"/>
      <c r="C473" s="344"/>
      <c r="D473" s="342"/>
      <c r="E473" s="342"/>
      <c r="F473" s="342"/>
      <c r="G473" s="342"/>
      <c r="H473" s="342"/>
      <c r="I473" s="342"/>
      <c r="J473" s="342"/>
      <c r="K473" s="342"/>
      <c r="L473" s="342"/>
      <c r="M473" s="342"/>
    </row>
    <row r="474" ht="15.75" customHeight="1">
      <c r="A474" s="342"/>
      <c r="B474" s="343"/>
      <c r="C474" s="344"/>
      <c r="D474" s="342"/>
      <c r="E474" s="342"/>
      <c r="F474" s="342"/>
      <c r="G474" s="342"/>
      <c r="H474" s="342"/>
      <c r="I474" s="342"/>
      <c r="J474" s="342"/>
      <c r="K474" s="342"/>
      <c r="L474" s="342"/>
      <c r="M474" s="342"/>
    </row>
    <row r="475" ht="15.75" customHeight="1">
      <c r="A475" s="342"/>
      <c r="B475" s="343"/>
      <c r="C475" s="344"/>
      <c r="D475" s="342"/>
      <c r="E475" s="342"/>
      <c r="F475" s="342"/>
      <c r="G475" s="342"/>
      <c r="H475" s="342"/>
      <c r="I475" s="342"/>
      <c r="J475" s="342"/>
      <c r="K475" s="342"/>
      <c r="L475" s="342"/>
      <c r="M475" s="342"/>
    </row>
    <row r="476" ht="15.75" customHeight="1">
      <c r="A476" s="342"/>
      <c r="B476" s="343"/>
      <c r="C476" s="344"/>
      <c r="D476" s="342"/>
      <c r="E476" s="342"/>
      <c r="F476" s="342"/>
      <c r="G476" s="342"/>
      <c r="H476" s="342"/>
      <c r="I476" s="342"/>
      <c r="J476" s="342"/>
      <c r="K476" s="342"/>
      <c r="L476" s="342"/>
      <c r="M476" s="342"/>
    </row>
    <row r="477" ht="15.75" customHeight="1">
      <c r="A477" s="342"/>
      <c r="B477" s="343"/>
      <c r="C477" s="344"/>
      <c r="D477" s="342"/>
      <c r="E477" s="342"/>
      <c r="F477" s="342"/>
      <c r="G477" s="342"/>
      <c r="H477" s="342"/>
      <c r="I477" s="342"/>
      <c r="J477" s="342"/>
      <c r="K477" s="342"/>
      <c r="L477" s="342"/>
      <c r="M477" s="342"/>
    </row>
    <row r="478" ht="15.75" customHeight="1">
      <c r="A478" s="342"/>
      <c r="B478" s="343"/>
      <c r="C478" s="344"/>
      <c r="D478" s="342"/>
      <c r="E478" s="342"/>
      <c r="F478" s="342"/>
      <c r="G478" s="342"/>
      <c r="H478" s="342"/>
      <c r="I478" s="342"/>
      <c r="J478" s="342"/>
      <c r="K478" s="342"/>
      <c r="L478" s="342"/>
      <c r="M478" s="342"/>
    </row>
    <row r="479" ht="15.75" customHeight="1">
      <c r="A479" s="342"/>
      <c r="B479" s="343"/>
      <c r="C479" s="344"/>
      <c r="D479" s="342"/>
      <c r="E479" s="342"/>
      <c r="F479" s="342"/>
      <c r="G479" s="342"/>
      <c r="H479" s="342"/>
      <c r="I479" s="342"/>
      <c r="J479" s="342"/>
      <c r="K479" s="342"/>
      <c r="L479" s="342"/>
      <c r="M479" s="342"/>
    </row>
    <row r="480" ht="15.75" customHeight="1">
      <c r="A480" s="342"/>
      <c r="B480" s="343"/>
      <c r="C480" s="344"/>
      <c r="D480" s="342"/>
      <c r="E480" s="342"/>
      <c r="F480" s="342"/>
      <c r="G480" s="342"/>
      <c r="H480" s="342"/>
      <c r="I480" s="342"/>
      <c r="J480" s="342"/>
      <c r="K480" s="342"/>
      <c r="L480" s="342"/>
      <c r="M480" s="342"/>
    </row>
    <row r="481" ht="15.75" customHeight="1">
      <c r="A481" s="342"/>
      <c r="B481" s="343"/>
      <c r="C481" s="344"/>
      <c r="D481" s="342"/>
      <c r="E481" s="342"/>
      <c r="F481" s="342"/>
      <c r="G481" s="342"/>
      <c r="H481" s="342"/>
      <c r="I481" s="342"/>
      <c r="J481" s="342"/>
      <c r="K481" s="342"/>
      <c r="L481" s="342"/>
      <c r="M481" s="342"/>
    </row>
    <row r="482" ht="15.75" customHeight="1">
      <c r="A482" s="342"/>
      <c r="B482" s="343"/>
      <c r="C482" s="344"/>
      <c r="D482" s="342"/>
      <c r="E482" s="342"/>
      <c r="F482" s="342"/>
      <c r="G482" s="342"/>
      <c r="H482" s="342"/>
      <c r="I482" s="342"/>
      <c r="J482" s="342"/>
      <c r="K482" s="342"/>
      <c r="L482" s="342"/>
      <c r="M482" s="342"/>
    </row>
    <row r="483" ht="15.75" customHeight="1">
      <c r="A483" s="342"/>
      <c r="B483" s="343"/>
      <c r="C483" s="344"/>
      <c r="D483" s="342"/>
      <c r="E483" s="342"/>
      <c r="F483" s="342"/>
      <c r="G483" s="342"/>
      <c r="H483" s="342"/>
      <c r="I483" s="342"/>
      <c r="J483" s="342"/>
      <c r="K483" s="342"/>
      <c r="L483" s="342"/>
      <c r="M483" s="342"/>
    </row>
    <row r="484" ht="15.75" customHeight="1">
      <c r="A484" s="342"/>
      <c r="B484" s="343"/>
      <c r="C484" s="344"/>
      <c r="D484" s="342"/>
      <c r="E484" s="342"/>
      <c r="F484" s="342"/>
      <c r="G484" s="342"/>
      <c r="H484" s="342"/>
      <c r="I484" s="342"/>
      <c r="J484" s="342"/>
      <c r="K484" s="342"/>
      <c r="L484" s="342"/>
      <c r="M484" s="342"/>
    </row>
    <row r="485" ht="15.75" customHeight="1">
      <c r="A485" s="342"/>
      <c r="B485" s="343"/>
      <c r="C485" s="344"/>
      <c r="D485" s="342"/>
      <c r="E485" s="342"/>
      <c r="F485" s="342"/>
      <c r="G485" s="342"/>
      <c r="H485" s="342"/>
      <c r="I485" s="342"/>
      <c r="J485" s="342"/>
      <c r="K485" s="342"/>
      <c r="L485" s="342"/>
      <c r="M485" s="342"/>
    </row>
    <row r="486" ht="15.75" customHeight="1">
      <c r="A486" s="342"/>
      <c r="B486" s="343"/>
      <c r="C486" s="344"/>
      <c r="D486" s="342"/>
      <c r="E486" s="342"/>
      <c r="F486" s="342"/>
      <c r="G486" s="342"/>
      <c r="H486" s="342"/>
      <c r="I486" s="342"/>
      <c r="J486" s="342"/>
      <c r="K486" s="342"/>
      <c r="L486" s="342"/>
      <c r="M486" s="342"/>
    </row>
    <row r="487" ht="15.75" customHeight="1">
      <c r="A487" s="342"/>
      <c r="B487" s="343"/>
      <c r="C487" s="344"/>
      <c r="D487" s="342"/>
      <c r="E487" s="342"/>
      <c r="F487" s="342"/>
      <c r="G487" s="342"/>
      <c r="H487" s="342"/>
      <c r="I487" s="342"/>
      <c r="J487" s="342"/>
      <c r="K487" s="342"/>
      <c r="L487" s="342"/>
      <c r="M487" s="342"/>
    </row>
    <row r="488" ht="15.75" customHeight="1">
      <c r="A488" s="342"/>
      <c r="B488" s="343"/>
      <c r="C488" s="344"/>
      <c r="D488" s="342"/>
      <c r="E488" s="342"/>
      <c r="F488" s="342"/>
      <c r="G488" s="342"/>
      <c r="H488" s="342"/>
      <c r="I488" s="342"/>
      <c r="J488" s="342"/>
      <c r="K488" s="342"/>
      <c r="L488" s="342"/>
      <c r="M488" s="342"/>
    </row>
    <row r="489" ht="15.75" customHeight="1">
      <c r="A489" s="342"/>
      <c r="B489" s="343"/>
      <c r="C489" s="344"/>
      <c r="D489" s="342"/>
      <c r="E489" s="342"/>
      <c r="F489" s="342"/>
      <c r="G489" s="342"/>
      <c r="H489" s="342"/>
      <c r="I489" s="342"/>
      <c r="J489" s="342"/>
      <c r="K489" s="342"/>
      <c r="L489" s="342"/>
      <c r="M489" s="342"/>
    </row>
    <row r="490" ht="15.75" customHeight="1">
      <c r="A490" s="342"/>
      <c r="B490" s="343"/>
      <c r="C490" s="344"/>
      <c r="D490" s="342"/>
      <c r="E490" s="342"/>
      <c r="F490" s="342"/>
      <c r="G490" s="342"/>
      <c r="H490" s="342"/>
      <c r="I490" s="342"/>
      <c r="J490" s="342"/>
      <c r="K490" s="342"/>
      <c r="L490" s="342"/>
      <c r="M490" s="342"/>
    </row>
    <row r="491" ht="15.75" customHeight="1">
      <c r="A491" s="342"/>
      <c r="B491" s="343"/>
      <c r="C491" s="344"/>
      <c r="D491" s="342"/>
      <c r="E491" s="342"/>
      <c r="F491" s="342"/>
      <c r="G491" s="342"/>
      <c r="H491" s="342"/>
      <c r="I491" s="342"/>
      <c r="J491" s="342"/>
      <c r="K491" s="342"/>
      <c r="L491" s="342"/>
      <c r="M491" s="342"/>
    </row>
    <row r="492" ht="15.75" customHeight="1">
      <c r="A492" s="342"/>
      <c r="B492" s="343"/>
      <c r="C492" s="344"/>
      <c r="D492" s="342"/>
      <c r="E492" s="342"/>
      <c r="F492" s="342"/>
      <c r="G492" s="342"/>
      <c r="H492" s="342"/>
      <c r="I492" s="342"/>
      <c r="J492" s="342"/>
      <c r="K492" s="342"/>
      <c r="L492" s="342"/>
      <c r="M492" s="342"/>
    </row>
    <row r="493" ht="15.75" customHeight="1">
      <c r="A493" s="342"/>
      <c r="B493" s="343"/>
      <c r="C493" s="344"/>
      <c r="D493" s="342"/>
      <c r="E493" s="342"/>
      <c r="F493" s="342"/>
      <c r="G493" s="342"/>
      <c r="H493" s="342"/>
      <c r="I493" s="342"/>
      <c r="J493" s="342"/>
      <c r="K493" s="342"/>
      <c r="L493" s="342"/>
      <c r="M493" s="342"/>
    </row>
    <row r="494" ht="15.75" customHeight="1">
      <c r="A494" s="342"/>
      <c r="B494" s="343"/>
      <c r="C494" s="344"/>
      <c r="D494" s="342"/>
      <c r="E494" s="342"/>
      <c r="F494" s="342"/>
      <c r="G494" s="342"/>
      <c r="H494" s="342"/>
      <c r="I494" s="342"/>
      <c r="J494" s="342"/>
      <c r="K494" s="342"/>
      <c r="L494" s="342"/>
      <c r="M494" s="342"/>
    </row>
    <row r="495" ht="15.75" customHeight="1">
      <c r="A495" s="342"/>
      <c r="B495" s="343"/>
      <c r="C495" s="344"/>
      <c r="D495" s="342"/>
      <c r="E495" s="342"/>
      <c r="F495" s="342"/>
      <c r="G495" s="342"/>
      <c r="H495" s="342"/>
      <c r="I495" s="342"/>
      <c r="J495" s="342"/>
      <c r="K495" s="342"/>
      <c r="L495" s="342"/>
      <c r="M495" s="342"/>
    </row>
    <row r="496" ht="15.75" customHeight="1">
      <c r="A496" s="342"/>
      <c r="B496" s="343"/>
      <c r="C496" s="344"/>
      <c r="D496" s="342"/>
      <c r="E496" s="342"/>
      <c r="F496" s="342"/>
      <c r="G496" s="342"/>
      <c r="H496" s="342"/>
      <c r="I496" s="342"/>
      <c r="J496" s="342"/>
      <c r="K496" s="342"/>
      <c r="L496" s="342"/>
      <c r="M496" s="342"/>
    </row>
    <row r="497" ht="15.75" customHeight="1">
      <c r="A497" s="342"/>
      <c r="B497" s="343"/>
      <c r="C497" s="344"/>
      <c r="D497" s="342"/>
      <c r="E497" s="342"/>
      <c r="F497" s="342"/>
      <c r="G497" s="342"/>
      <c r="H497" s="342"/>
      <c r="I497" s="342"/>
      <c r="J497" s="342"/>
      <c r="K497" s="342"/>
      <c r="L497" s="342"/>
      <c r="M497" s="342"/>
    </row>
    <row r="498" ht="15.75" customHeight="1">
      <c r="A498" s="342"/>
      <c r="B498" s="343"/>
      <c r="C498" s="344"/>
      <c r="D498" s="342"/>
      <c r="E498" s="342"/>
      <c r="F498" s="342"/>
      <c r="G498" s="342"/>
      <c r="H498" s="342"/>
      <c r="I498" s="342"/>
      <c r="J498" s="342"/>
      <c r="K498" s="342"/>
      <c r="L498" s="342"/>
      <c r="M498" s="342"/>
    </row>
    <row r="499" ht="15.75" customHeight="1">
      <c r="A499" s="342"/>
      <c r="B499" s="343"/>
      <c r="C499" s="344"/>
      <c r="D499" s="342"/>
      <c r="E499" s="342"/>
      <c r="F499" s="342"/>
      <c r="G499" s="342"/>
      <c r="H499" s="342"/>
      <c r="I499" s="342"/>
      <c r="J499" s="342"/>
      <c r="K499" s="342"/>
      <c r="L499" s="342"/>
      <c r="M499" s="342"/>
    </row>
    <row r="500" ht="15.75" customHeight="1">
      <c r="A500" s="342"/>
      <c r="B500" s="343"/>
      <c r="C500" s="344"/>
      <c r="D500" s="342"/>
      <c r="E500" s="342"/>
      <c r="F500" s="342"/>
      <c r="G500" s="342"/>
      <c r="H500" s="342"/>
      <c r="I500" s="342"/>
      <c r="J500" s="342"/>
      <c r="K500" s="342"/>
      <c r="L500" s="342"/>
      <c r="M500" s="342"/>
    </row>
    <row r="501" ht="15.75" customHeight="1">
      <c r="A501" s="342"/>
      <c r="B501" s="343"/>
      <c r="C501" s="344"/>
      <c r="D501" s="342"/>
      <c r="E501" s="342"/>
      <c r="F501" s="342"/>
      <c r="G501" s="342"/>
      <c r="H501" s="342"/>
      <c r="I501" s="342"/>
      <c r="J501" s="342"/>
      <c r="K501" s="342"/>
      <c r="L501" s="342"/>
      <c r="M501" s="342"/>
    </row>
    <row r="502" ht="15.75" customHeight="1">
      <c r="A502" s="342"/>
      <c r="B502" s="343"/>
      <c r="C502" s="344"/>
      <c r="D502" s="342"/>
      <c r="E502" s="342"/>
      <c r="F502" s="342"/>
      <c r="G502" s="342"/>
      <c r="H502" s="342"/>
      <c r="I502" s="342"/>
      <c r="J502" s="342"/>
      <c r="K502" s="342"/>
      <c r="L502" s="342"/>
      <c r="M502" s="342"/>
    </row>
    <row r="503" ht="15.75" customHeight="1">
      <c r="A503" s="342"/>
      <c r="B503" s="343"/>
      <c r="C503" s="344"/>
      <c r="D503" s="342"/>
      <c r="E503" s="342"/>
      <c r="F503" s="342"/>
      <c r="G503" s="342"/>
      <c r="H503" s="342"/>
      <c r="I503" s="342"/>
      <c r="J503" s="342"/>
      <c r="K503" s="342"/>
      <c r="L503" s="342"/>
      <c r="M503" s="342"/>
    </row>
    <row r="504" ht="15.75" customHeight="1">
      <c r="A504" s="342"/>
      <c r="B504" s="343"/>
      <c r="C504" s="344"/>
      <c r="D504" s="342"/>
      <c r="E504" s="342"/>
      <c r="F504" s="342"/>
      <c r="G504" s="342"/>
      <c r="H504" s="342"/>
      <c r="I504" s="342"/>
      <c r="J504" s="342"/>
      <c r="K504" s="342"/>
      <c r="L504" s="342"/>
      <c r="M504" s="342"/>
    </row>
    <row r="505" ht="15.75" customHeight="1">
      <c r="A505" s="342"/>
      <c r="B505" s="343"/>
      <c r="C505" s="344"/>
      <c r="D505" s="342"/>
      <c r="E505" s="342"/>
      <c r="F505" s="342"/>
      <c r="G505" s="342"/>
      <c r="H505" s="342"/>
      <c r="I505" s="342"/>
      <c r="J505" s="342"/>
      <c r="K505" s="342"/>
      <c r="L505" s="342"/>
      <c r="M505" s="342"/>
    </row>
    <row r="506" ht="15.75" customHeight="1">
      <c r="A506" s="342"/>
      <c r="B506" s="343"/>
      <c r="C506" s="344"/>
      <c r="D506" s="342"/>
      <c r="E506" s="342"/>
      <c r="F506" s="342"/>
      <c r="G506" s="342"/>
      <c r="H506" s="342"/>
      <c r="I506" s="342"/>
      <c r="J506" s="342"/>
      <c r="K506" s="342"/>
      <c r="L506" s="342"/>
      <c r="M506" s="342"/>
    </row>
    <row r="507" ht="15.75" customHeight="1">
      <c r="A507" s="342"/>
      <c r="B507" s="343"/>
      <c r="C507" s="344"/>
      <c r="D507" s="342"/>
      <c r="E507" s="342"/>
      <c r="F507" s="342"/>
      <c r="G507" s="342"/>
      <c r="H507" s="342"/>
      <c r="I507" s="342"/>
      <c r="J507" s="342"/>
      <c r="K507" s="342"/>
      <c r="L507" s="342"/>
      <c r="M507" s="342"/>
    </row>
    <row r="508" ht="15.75" customHeight="1">
      <c r="A508" s="342"/>
      <c r="B508" s="343"/>
      <c r="C508" s="344"/>
      <c r="D508" s="342"/>
      <c r="E508" s="342"/>
      <c r="F508" s="342"/>
      <c r="G508" s="342"/>
      <c r="H508" s="342"/>
      <c r="I508" s="342"/>
      <c r="J508" s="342"/>
      <c r="K508" s="342"/>
      <c r="L508" s="342"/>
      <c r="M508" s="342"/>
    </row>
    <row r="509" ht="15.75" customHeight="1">
      <c r="A509" s="342"/>
      <c r="B509" s="343"/>
      <c r="C509" s="344"/>
      <c r="D509" s="342"/>
      <c r="E509" s="342"/>
      <c r="F509" s="342"/>
      <c r="G509" s="342"/>
      <c r="H509" s="342"/>
      <c r="I509" s="342"/>
      <c r="J509" s="342"/>
      <c r="K509" s="342"/>
      <c r="L509" s="342"/>
      <c r="M509" s="342"/>
    </row>
    <row r="510" ht="15.75" customHeight="1">
      <c r="A510" s="342"/>
      <c r="B510" s="343"/>
      <c r="C510" s="344"/>
      <c r="D510" s="342"/>
      <c r="E510" s="342"/>
      <c r="F510" s="342"/>
      <c r="G510" s="342"/>
      <c r="H510" s="342"/>
      <c r="I510" s="342"/>
      <c r="J510" s="342"/>
      <c r="K510" s="342"/>
      <c r="L510" s="342"/>
      <c r="M510" s="342"/>
    </row>
    <row r="511" ht="15.75" customHeight="1">
      <c r="A511" s="342"/>
      <c r="B511" s="343"/>
      <c r="C511" s="344"/>
      <c r="D511" s="342"/>
      <c r="E511" s="342"/>
      <c r="F511" s="342"/>
      <c r="G511" s="342"/>
      <c r="H511" s="342"/>
      <c r="I511" s="342"/>
      <c r="J511" s="342"/>
      <c r="K511" s="342"/>
      <c r="L511" s="342"/>
      <c r="M511" s="342"/>
    </row>
    <row r="512" ht="15.75" customHeight="1">
      <c r="A512" s="342"/>
      <c r="B512" s="343"/>
      <c r="C512" s="344"/>
      <c r="D512" s="342"/>
      <c r="E512" s="342"/>
      <c r="F512" s="342"/>
      <c r="G512" s="342"/>
      <c r="H512" s="342"/>
      <c r="I512" s="342"/>
      <c r="J512" s="342"/>
      <c r="K512" s="342"/>
      <c r="L512" s="342"/>
      <c r="M512" s="342"/>
    </row>
    <row r="513" ht="15.75" customHeight="1">
      <c r="A513" s="342"/>
      <c r="B513" s="343"/>
      <c r="C513" s="344"/>
      <c r="D513" s="342"/>
      <c r="E513" s="342"/>
      <c r="F513" s="342"/>
      <c r="G513" s="342"/>
      <c r="H513" s="342"/>
      <c r="I513" s="342"/>
      <c r="J513" s="342"/>
      <c r="K513" s="342"/>
      <c r="L513" s="342"/>
      <c r="M513" s="342"/>
    </row>
    <row r="514" ht="15.75" customHeight="1">
      <c r="A514" s="342"/>
      <c r="B514" s="343"/>
      <c r="C514" s="344"/>
      <c r="D514" s="342"/>
      <c r="E514" s="342"/>
      <c r="F514" s="342"/>
      <c r="G514" s="342"/>
      <c r="H514" s="342"/>
      <c r="I514" s="342"/>
      <c r="J514" s="342"/>
      <c r="K514" s="342"/>
      <c r="L514" s="342"/>
      <c r="M514" s="342"/>
    </row>
    <row r="515" ht="15.75" customHeight="1">
      <c r="A515" s="342"/>
      <c r="B515" s="343"/>
      <c r="C515" s="344"/>
      <c r="D515" s="342"/>
      <c r="E515" s="342"/>
      <c r="F515" s="342"/>
      <c r="G515" s="342"/>
      <c r="H515" s="342"/>
      <c r="I515" s="342"/>
      <c r="J515" s="342"/>
      <c r="K515" s="342"/>
      <c r="L515" s="342"/>
      <c r="M515" s="342"/>
    </row>
    <row r="516" ht="15.75" customHeight="1">
      <c r="A516" s="342"/>
      <c r="B516" s="343"/>
      <c r="C516" s="344"/>
      <c r="D516" s="342"/>
      <c r="E516" s="342"/>
      <c r="F516" s="342"/>
      <c r="G516" s="342"/>
      <c r="H516" s="342"/>
      <c r="I516" s="342"/>
      <c r="J516" s="342"/>
      <c r="K516" s="342"/>
      <c r="L516" s="342"/>
      <c r="M516" s="342"/>
    </row>
    <row r="517" ht="15.75" customHeight="1">
      <c r="A517" s="342"/>
      <c r="B517" s="343"/>
      <c r="C517" s="344"/>
      <c r="D517" s="342"/>
      <c r="E517" s="342"/>
      <c r="F517" s="342"/>
      <c r="G517" s="342"/>
      <c r="H517" s="342"/>
      <c r="I517" s="342"/>
      <c r="J517" s="342"/>
      <c r="K517" s="342"/>
      <c r="L517" s="342"/>
      <c r="M517" s="342"/>
    </row>
    <row r="518" ht="15.75" customHeight="1">
      <c r="A518" s="342"/>
      <c r="B518" s="343"/>
      <c r="C518" s="344"/>
      <c r="D518" s="342"/>
      <c r="E518" s="342"/>
      <c r="F518" s="342"/>
      <c r="G518" s="342"/>
      <c r="H518" s="342"/>
      <c r="I518" s="342"/>
      <c r="J518" s="342"/>
      <c r="K518" s="342"/>
      <c r="L518" s="342"/>
      <c r="M518" s="342"/>
    </row>
    <row r="519" ht="15.75" customHeight="1">
      <c r="A519" s="342"/>
      <c r="B519" s="343"/>
      <c r="C519" s="344"/>
      <c r="D519" s="342"/>
      <c r="E519" s="342"/>
      <c r="F519" s="342"/>
      <c r="G519" s="342"/>
      <c r="H519" s="342"/>
      <c r="I519" s="342"/>
      <c r="J519" s="342"/>
      <c r="K519" s="342"/>
      <c r="L519" s="342"/>
      <c r="M519" s="342"/>
    </row>
    <row r="520" ht="15.75" customHeight="1">
      <c r="A520" s="342"/>
      <c r="B520" s="343"/>
      <c r="C520" s="344"/>
      <c r="D520" s="342"/>
      <c r="E520" s="342"/>
      <c r="F520" s="342"/>
      <c r="G520" s="342"/>
      <c r="H520" s="342"/>
      <c r="I520" s="342"/>
      <c r="J520" s="342"/>
      <c r="K520" s="342"/>
      <c r="L520" s="342"/>
      <c r="M520" s="342"/>
    </row>
    <row r="521" ht="15.75" customHeight="1">
      <c r="A521" s="342"/>
      <c r="B521" s="343"/>
      <c r="C521" s="344"/>
      <c r="D521" s="342"/>
      <c r="E521" s="342"/>
      <c r="F521" s="342"/>
      <c r="G521" s="342"/>
      <c r="H521" s="342"/>
      <c r="I521" s="342"/>
      <c r="J521" s="342"/>
      <c r="K521" s="342"/>
      <c r="L521" s="342"/>
      <c r="M521" s="342"/>
    </row>
    <row r="522" ht="15.75" customHeight="1">
      <c r="A522" s="342"/>
      <c r="B522" s="343"/>
      <c r="C522" s="344"/>
      <c r="D522" s="342"/>
      <c r="E522" s="342"/>
      <c r="F522" s="342"/>
      <c r="G522" s="342"/>
      <c r="H522" s="342"/>
      <c r="I522" s="342"/>
      <c r="J522" s="342"/>
      <c r="K522" s="342"/>
      <c r="L522" s="342"/>
      <c r="M522" s="342"/>
    </row>
    <row r="523" ht="15.75" customHeight="1">
      <c r="A523" s="342"/>
      <c r="B523" s="343"/>
      <c r="C523" s="344"/>
      <c r="D523" s="342"/>
      <c r="E523" s="342"/>
      <c r="F523" s="342"/>
      <c r="G523" s="342"/>
      <c r="H523" s="342"/>
      <c r="I523" s="342"/>
      <c r="J523" s="342"/>
      <c r="K523" s="342"/>
      <c r="L523" s="342"/>
      <c r="M523" s="342"/>
    </row>
    <row r="524" ht="15.75" customHeight="1">
      <c r="A524" s="342"/>
      <c r="B524" s="343"/>
      <c r="C524" s="344"/>
      <c r="D524" s="342"/>
      <c r="E524" s="342"/>
      <c r="F524" s="342"/>
      <c r="G524" s="342"/>
      <c r="H524" s="342"/>
      <c r="I524" s="342"/>
      <c r="J524" s="342"/>
      <c r="K524" s="342"/>
      <c r="L524" s="342"/>
      <c r="M524" s="342"/>
    </row>
    <row r="525" ht="15.75" customHeight="1">
      <c r="A525" s="342"/>
      <c r="B525" s="343"/>
      <c r="C525" s="344"/>
      <c r="D525" s="342"/>
      <c r="E525" s="342"/>
      <c r="F525" s="342"/>
      <c r="G525" s="342"/>
      <c r="H525" s="342"/>
      <c r="I525" s="342"/>
      <c r="J525" s="342"/>
      <c r="K525" s="342"/>
      <c r="L525" s="342"/>
      <c r="M525" s="342"/>
    </row>
    <row r="526" ht="15.75" customHeight="1">
      <c r="A526" s="342"/>
      <c r="B526" s="343"/>
      <c r="C526" s="344"/>
      <c r="D526" s="342"/>
      <c r="E526" s="342"/>
      <c r="F526" s="342"/>
      <c r="G526" s="342"/>
      <c r="H526" s="342"/>
      <c r="I526" s="342"/>
      <c r="J526" s="342"/>
      <c r="K526" s="342"/>
      <c r="L526" s="342"/>
      <c r="M526" s="342"/>
    </row>
    <row r="527" ht="15.75" customHeight="1">
      <c r="A527" s="342"/>
      <c r="B527" s="343"/>
      <c r="C527" s="344"/>
      <c r="D527" s="342"/>
      <c r="E527" s="342"/>
      <c r="F527" s="342"/>
      <c r="G527" s="342"/>
      <c r="H527" s="342"/>
      <c r="I527" s="342"/>
      <c r="J527" s="342"/>
      <c r="K527" s="342"/>
      <c r="L527" s="342"/>
      <c r="M527" s="342"/>
    </row>
    <row r="528" ht="15.75" customHeight="1">
      <c r="A528" s="342"/>
      <c r="B528" s="343"/>
      <c r="C528" s="344"/>
      <c r="D528" s="342"/>
      <c r="E528" s="342"/>
      <c r="F528" s="342"/>
      <c r="G528" s="342"/>
      <c r="H528" s="342"/>
      <c r="I528" s="342"/>
      <c r="J528" s="342"/>
      <c r="K528" s="342"/>
      <c r="L528" s="342"/>
      <c r="M528" s="342"/>
    </row>
    <row r="529" ht="15.75" customHeight="1">
      <c r="A529" s="342"/>
      <c r="B529" s="343"/>
      <c r="C529" s="344"/>
      <c r="D529" s="342"/>
      <c r="E529" s="342"/>
      <c r="F529" s="342"/>
      <c r="G529" s="342"/>
      <c r="H529" s="342"/>
      <c r="I529" s="342"/>
      <c r="J529" s="342"/>
      <c r="K529" s="342"/>
      <c r="L529" s="342"/>
      <c r="M529" s="342"/>
    </row>
    <row r="530" ht="15.75" customHeight="1">
      <c r="A530" s="342"/>
      <c r="B530" s="343"/>
      <c r="C530" s="344"/>
      <c r="D530" s="342"/>
      <c r="E530" s="342"/>
      <c r="F530" s="342"/>
      <c r="G530" s="342"/>
      <c r="H530" s="342"/>
      <c r="I530" s="342"/>
      <c r="J530" s="342"/>
      <c r="K530" s="342"/>
      <c r="L530" s="342"/>
      <c r="M530" s="342"/>
    </row>
    <row r="531" ht="15.75" customHeight="1">
      <c r="A531" s="342"/>
      <c r="B531" s="343"/>
      <c r="C531" s="344"/>
      <c r="D531" s="342"/>
      <c r="E531" s="342"/>
      <c r="F531" s="342"/>
      <c r="G531" s="342"/>
      <c r="H531" s="342"/>
      <c r="I531" s="342"/>
      <c r="J531" s="342"/>
      <c r="K531" s="342"/>
      <c r="L531" s="342"/>
      <c r="M531" s="342"/>
    </row>
    <row r="532" ht="15.75" customHeight="1">
      <c r="A532" s="342"/>
      <c r="B532" s="343"/>
      <c r="C532" s="344"/>
      <c r="D532" s="342"/>
      <c r="E532" s="342"/>
      <c r="F532" s="342"/>
      <c r="G532" s="342"/>
      <c r="H532" s="342"/>
      <c r="I532" s="342"/>
      <c r="J532" s="342"/>
      <c r="K532" s="342"/>
      <c r="L532" s="342"/>
      <c r="M532" s="342"/>
    </row>
    <row r="533" ht="15.75" customHeight="1">
      <c r="A533" s="342"/>
      <c r="B533" s="343"/>
      <c r="C533" s="344"/>
      <c r="D533" s="342"/>
      <c r="E533" s="342"/>
      <c r="F533" s="342"/>
      <c r="G533" s="342"/>
      <c r="H533" s="342"/>
      <c r="I533" s="342"/>
      <c r="J533" s="342"/>
      <c r="K533" s="342"/>
      <c r="L533" s="342"/>
      <c r="M533" s="342"/>
    </row>
    <row r="534" ht="15.75" customHeight="1">
      <c r="A534" s="342"/>
      <c r="B534" s="343"/>
      <c r="C534" s="344"/>
      <c r="D534" s="342"/>
      <c r="E534" s="342"/>
      <c r="F534" s="342"/>
      <c r="G534" s="342"/>
      <c r="H534" s="342"/>
      <c r="I534" s="342"/>
      <c r="J534" s="342"/>
      <c r="K534" s="342"/>
      <c r="L534" s="342"/>
      <c r="M534" s="342"/>
    </row>
    <row r="535" ht="15.75" customHeight="1">
      <c r="A535" s="342"/>
      <c r="B535" s="343"/>
      <c r="C535" s="344"/>
      <c r="D535" s="342"/>
      <c r="E535" s="342"/>
      <c r="F535" s="342"/>
      <c r="G535" s="342"/>
      <c r="H535" s="342"/>
      <c r="I535" s="342"/>
      <c r="J535" s="342"/>
      <c r="K535" s="342"/>
      <c r="L535" s="342"/>
      <c r="M535" s="342"/>
    </row>
    <row r="536" ht="15.75" customHeight="1">
      <c r="A536" s="342"/>
      <c r="B536" s="343"/>
      <c r="C536" s="344"/>
      <c r="D536" s="342"/>
      <c r="E536" s="342"/>
      <c r="F536" s="342"/>
      <c r="G536" s="342"/>
      <c r="H536" s="342"/>
      <c r="I536" s="342"/>
      <c r="J536" s="342"/>
      <c r="K536" s="342"/>
      <c r="L536" s="342"/>
      <c r="M536" s="342"/>
    </row>
    <row r="537" ht="15.75" customHeight="1">
      <c r="A537" s="342"/>
      <c r="B537" s="343"/>
      <c r="C537" s="344"/>
      <c r="D537" s="342"/>
      <c r="E537" s="342"/>
      <c r="F537" s="342"/>
      <c r="G537" s="342"/>
      <c r="H537" s="342"/>
      <c r="I537" s="342"/>
      <c r="J537" s="342"/>
      <c r="K537" s="342"/>
      <c r="L537" s="342"/>
      <c r="M537" s="342"/>
    </row>
    <row r="538" ht="15.75" customHeight="1">
      <c r="A538" s="342"/>
      <c r="B538" s="343"/>
      <c r="C538" s="344"/>
      <c r="D538" s="342"/>
      <c r="E538" s="342"/>
      <c r="F538" s="342"/>
      <c r="G538" s="342"/>
      <c r="H538" s="342"/>
      <c r="I538" s="342"/>
      <c r="J538" s="342"/>
      <c r="K538" s="342"/>
      <c r="L538" s="342"/>
      <c r="M538" s="342"/>
    </row>
    <row r="539" ht="15.75" customHeight="1">
      <c r="A539" s="342"/>
      <c r="B539" s="343"/>
      <c r="C539" s="344"/>
      <c r="D539" s="342"/>
      <c r="E539" s="342"/>
      <c r="F539" s="342"/>
      <c r="G539" s="342"/>
      <c r="H539" s="342"/>
      <c r="I539" s="342"/>
      <c r="J539" s="342"/>
      <c r="K539" s="342"/>
      <c r="L539" s="342"/>
      <c r="M539" s="342"/>
    </row>
    <row r="540" ht="15.75" customHeight="1">
      <c r="A540" s="342"/>
      <c r="B540" s="343"/>
      <c r="C540" s="344"/>
      <c r="D540" s="342"/>
      <c r="E540" s="342"/>
      <c r="F540" s="342"/>
      <c r="G540" s="342"/>
      <c r="H540" s="342"/>
      <c r="I540" s="342"/>
      <c r="J540" s="342"/>
      <c r="K540" s="342"/>
      <c r="L540" s="342"/>
      <c r="M540" s="342"/>
    </row>
    <row r="541" ht="15.75" customHeight="1">
      <c r="A541" s="342"/>
      <c r="B541" s="343"/>
      <c r="C541" s="344"/>
      <c r="D541" s="342"/>
      <c r="E541" s="342"/>
      <c r="F541" s="342"/>
      <c r="G541" s="342"/>
      <c r="H541" s="342"/>
      <c r="I541" s="342"/>
      <c r="J541" s="342"/>
      <c r="K541" s="342"/>
      <c r="L541" s="342"/>
      <c r="M541" s="342"/>
    </row>
    <row r="542" ht="15.75" customHeight="1">
      <c r="A542" s="342"/>
      <c r="B542" s="343"/>
      <c r="C542" s="344"/>
      <c r="D542" s="342"/>
      <c r="E542" s="342"/>
      <c r="F542" s="342"/>
      <c r="G542" s="342"/>
      <c r="H542" s="342"/>
      <c r="I542" s="342"/>
      <c r="J542" s="342"/>
      <c r="K542" s="342"/>
      <c r="L542" s="342"/>
      <c r="M542" s="342"/>
    </row>
    <row r="543" ht="15.75" customHeight="1">
      <c r="A543" s="342"/>
      <c r="B543" s="343"/>
      <c r="C543" s="344"/>
      <c r="D543" s="342"/>
      <c r="E543" s="342"/>
      <c r="F543" s="342"/>
      <c r="G543" s="342"/>
      <c r="H543" s="342"/>
      <c r="I543" s="342"/>
      <c r="J543" s="342"/>
      <c r="K543" s="342"/>
      <c r="L543" s="342"/>
      <c r="M543" s="342"/>
    </row>
    <row r="544" ht="15.75" customHeight="1">
      <c r="A544" s="342"/>
      <c r="B544" s="343"/>
      <c r="C544" s="344"/>
      <c r="D544" s="342"/>
      <c r="E544" s="342"/>
      <c r="F544" s="342"/>
      <c r="G544" s="342"/>
      <c r="H544" s="342"/>
      <c r="I544" s="342"/>
      <c r="J544" s="342"/>
      <c r="K544" s="342"/>
      <c r="L544" s="342"/>
      <c r="M544" s="342"/>
    </row>
    <row r="545" ht="15.75" customHeight="1">
      <c r="A545" s="342"/>
      <c r="B545" s="343"/>
      <c r="C545" s="344"/>
      <c r="D545" s="342"/>
      <c r="E545" s="342"/>
      <c r="F545" s="342"/>
      <c r="G545" s="342"/>
      <c r="H545" s="342"/>
      <c r="I545" s="342"/>
      <c r="J545" s="342"/>
      <c r="K545" s="342"/>
      <c r="L545" s="342"/>
      <c r="M545" s="342"/>
    </row>
    <row r="546" ht="15.75" customHeight="1">
      <c r="A546" s="342"/>
      <c r="B546" s="343"/>
      <c r="C546" s="344"/>
      <c r="D546" s="342"/>
      <c r="E546" s="342"/>
      <c r="F546" s="342"/>
      <c r="G546" s="342"/>
      <c r="H546" s="342"/>
      <c r="I546" s="342"/>
      <c r="J546" s="342"/>
      <c r="K546" s="342"/>
      <c r="L546" s="342"/>
      <c r="M546" s="342"/>
    </row>
    <row r="547" ht="15.75" customHeight="1">
      <c r="A547" s="342"/>
      <c r="B547" s="343"/>
      <c r="C547" s="344"/>
      <c r="D547" s="342"/>
      <c r="E547" s="342"/>
      <c r="F547" s="342"/>
      <c r="G547" s="342"/>
      <c r="H547" s="342"/>
      <c r="I547" s="342"/>
      <c r="J547" s="342"/>
      <c r="K547" s="342"/>
      <c r="L547" s="342"/>
      <c r="M547" s="342"/>
    </row>
    <row r="548" ht="15.75" customHeight="1">
      <c r="A548" s="342"/>
      <c r="B548" s="343"/>
      <c r="C548" s="344"/>
      <c r="D548" s="342"/>
      <c r="E548" s="342"/>
      <c r="F548" s="342"/>
      <c r="G548" s="342"/>
      <c r="H548" s="342"/>
      <c r="I548" s="342"/>
      <c r="J548" s="342"/>
      <c r="K548" s="342"/>
      <c r="L548" s="342"/>
      <c r="M548" s="342"/>
    </row>
    <row r="549" ht="15.75" customHeight="1">
      <c r="A549" s="342"/>
      <c r="B549" s="343"/>
      <c r="C549" s="344"/>
      <c r="D549" s="342"/>
      <c r="E549" s="342"/>
      <c r="F549" s="342"/>
      <c r="G549" s="342"/>
      <c r="H549" s="342"/>
      <c r="I549" s="342"/>
      <c r="J549" s="342"/>
      <c r="K549" s="342"/>
      <c r="L549" s="342"/>
      <c r="M549" s="342"/>
    </row>
    <row r="550" ht="15.75" customHeight="1">
      <c r="A550" s="342"/>
      <c r="B550" s="343"/>
      <c r="C550" s="344"/>
      <c r="D550" s="342"/>
      <c r="E550" s="342"/>
      <c r="F550" s="342"/>
      <c r="G550" s="342"/>
      <c r="H550" s="342"/>
      <c r="I550" s="342"/>
      <c r="J550" s="342"/>
      <c r="K550" s="342"/>
      <c r="L550" s="342"/>
      <c r="M550" s="342"/>
    </row>
    <row r="551" ht="15.75" customHeight="1">
      <c r="A551" s="342"/>
      <c r="B551" s="343"/>
      <c r="C551" s="344"/>
      <c r="D551" s="342"/>
      <c r="E551" s="342"/>
      <c r="F551" s="342"/>
      <c r="G551" s="342"/>
      <c r="H551" s="342"/>
      <c r="I551" s="342"/>
      <c r="J551" s="342"/>
      <c r="K551" s="342"/>
      <c r="L551" s="342"/>
      <c r="M551" s="342"/>
    </row>
    <row r="552" ht="15.75" customHeight="1">
      <c r="A552" s="342"/>
      <c r="B552" s="343"/>
      <c r="C552" s="344"/>
      <c r="D552" s="342"/>
      <c r="E552" s="342"/>
      <c r="F552" s="342"/>
      <c r="G552" s="342"/>
      <c r="H552" s="342"/>
      <c r="I552" s="342"/>
      <c r="J552" s="342"/>
      <c r="K552" s="342"/>
      <c r="L552" s="342"/>
      <c r="M552" s="342"/>
    </row>
    <row r="553" ht="15.75" customHeight="1">
      <c r="A553" s="342"/>
      <c r="B553" s="343"/>
      <c r="C553" s="344"/>
      <c r="D553" s="342"/>
      <c r="E553" s="342"/>
      <c r="F553" s="342"/>
      <c r="G553" s="342"/>
      <c r="H553" s="342"/>
      <c r="I553" s="342"/>
      <c r="J553" s="342"/>
      <c r="K553" s="342"/>
      <c r="L553" s="342"/>
      <c r="M553" s="342"/>
    </row>
    <row r="554" ht="15.75" customHeight="1">
      <c r="A554" s="342"/>
      <c r="B554" s="343"/>
      <c r="C554" s="344"/>
      <c r="D554" s="342"/>
      <c r="E554" s="342"/>
      <c r="F554" s="342"/>
      <c r="G554" s="342"/>
      <c r="H554" s="342"/>
      <c r="I554" s="342"/>
      <c r="J554" s="342"/>
      <c r="K554" s="342"/>
      <c r="L554" s="342"/>
      <c r="M554" s="342"/>
    </row>
    <row r="555" ht="15.75" customHeight="1">
      <c r="A555" s="342"/>
      <c r="B555" s="343"/>
      <c r="C555" s="344"/>
      <c r="D555" s="342"/>
      <c r="E555" s="342"/>
      <c r="F555" s="342"/>
      <c r="G555" s="342"/>
      <c r="H555" s="342"/>
      <c r="I555" s="342"/>
      <c r="J555" s="342"/>
      <c r="K555" s="342"/>
      <c r="L555" s="342"/>
      <c r="M555" s="342"/>
    </row>
    <row r="556" ht="15.75" customHeight="1">
      <c r="A556" s="342"/>
      <c r="B556" s="343"/>
      <c r="C556" s="344"/>
      <c r="D556" s="342"/>
      <c r="E556" s="342"/>
      <c r="F556" s="342"/>
      <c r="G556" s="342"/>
      <c r="H556" s="342"/>
      <c r="I556" s="342"/>
      <c r="J556" s="342"/>
      <c r="K556" s="342"/>
      <c r="L556" s="342"/>
      <c r="M556" s="342"/>
    </row>
    <row r="557" ht="15.75" customHeight="1">
      <c r="A557" s="342"/>
      <c r="B557" s="343"/>
      <c r="C557" s="344"/>
      <c r="D557" s="342"/>
      <c r="E557" s="342"/>
      <c r="F557" s="342"/>
      <c r="G557" s="342"/>
      <c r="H557" s="342"/>
      <c r="I557" s="342"/>
      <c r="J557" s="342"/>
      <c r="K557" s="342"/>
      <c r="L557" s="342"/>
      <c r="M557" s="342"/>
    </row>
    <row r="558" ht="15.75" customHeight="1">
      <c r="A558" s="342"/>
      <c r="B558" s="343"/>
      <c r="C558" s="344"/>
      <c r="D558" s="342"/>
      <c r="E558" s="342"/>
      <c r="F558" s="342"/>
      <c r="G558" s="342"/>
      <c r="H558" s="342"/>
      <c r="I558" s="342"/>
      <c r="J558" s="342"/>
      <c r="K558" s="342"/>
      <c r="L558" s="342"/>
      <c r="M558" s="342"/>
    </row>
    <row r="559" ht="15.75" customHeight="1">
      <c r="A559" s="342"/>
      <c r="B559" s="343"/>
      <c r="C559" s="344"/>
      <c r="D559" s="342"/>
      <c r="E559" s="342"/>
      <c r="F559" s="342"/>
      <c r="G559" s="342"/>
      <c r="H559" s="342"/>
      <c r="I559" s="342"/>
      <c r="J559" s="342"/>
      <c r="K559" s="342"/>
      <c r="L559" s="342"/>
      <c r="M559" s="342"/>
    </row>
    <row r="560" ht="15.75" customHeight="1">
      <c r="A560" s="342"/>
      <c r="B560" s="343"/>
      <c r="C560" s="344"/>
      <c r="D560" s="342"/>
      <c r="E560" s="342"/>
      <c r="F560" s="342"/>
      <c r="G560" s="342"/>
      <c r="H560" s="342"/>
      <c r="I560" s="342"/>
      <c r="J560" s="342"/>
      <c r="K560" s="342"/>
      <c r="L560" s="342"/>
      <c r="M560" s="342"/>
    </row>
    <row r="561" ht="15.75" customHeight="1">
      <c r="A561" s="342"/>
      <c r="B561" s="343"/>
      <c r="C561" s="344"/>
      <c r="D561" s="342"/>
      <c r="E561" s="342"/>
      <c r="F561" s="342"/>
      <c r="G561" s="342"/>
      <c r="H561" s="342"/>
      <c r="I561" s="342"/>
      <c r="J561" s="342"/>
      <c r="K561" s="342"/>
      <c r="L561" s="342"/>
      <c r="M561" s="342"/>
    </row>
    <row r="562" ht="15.75" customHeight="1">
      <c r="A562" s="342"/>
      <c r="B562" s="343"/>
      <c r="C562" s="344"/>
      <c r="D562" s="342"/>
      <c r="E562" s="342"/>
      <c r="F562" s="342"/>
      <c r="G562" s="342"/>
      <c r="H562" s="342"/>
      <c r="I562" s="342"/>
      <c r="J562" s="342"/>
      <c r="K562" s="342"/>
      <c r="L562" s="342"/>
      <c r="M562" s="342"/>
    </row>
    <row r="563" ht="15.75" customHeight="1">
      <c r="A563" s="342"/>
      <c r="B563" s="343"/>
      <c r="C563" s="344"/>
      <c r="D563" s="342"/>
      <c r="E563" s="342"/>
      <c r="F563" s="342"/>
      <c r="G563" s="342"/>
      <c r="H563" s="342"/>
      <c r="I563" s="342"/>
      <c r="J563" s="342"/>
      <c r="K563" s="342"/>
      <c r="L563" s="342"/>
      <c r="M563" s="342"/>
    </row>
    <row r="564" ht="15.75" customHeight="1">
      <c r="A564" s="342"/>
      <c r="B564" s="343"/>
      <c r="C564" s="344"/>
      <c r="D564" s="342"/>
      <c r="E564" s="342"/>
      <c r="F564" s="342"/>
      <c r="G564" s="342"/>
      <c r="H564" s="342"/>
      <c r="I564" s="342"/>
      <c r="J564" s="342"/>
      <c r="K564" s="342"/>
      <c r="L564" s="342"/>
      <c r="M564" s="342"/>
    </row>
    <row r="565" ht="15.75" customHeight="1">
      <c r="A565" s="342"/>
      <c r="B565" s="343"/>
      <c r="C565" s="344"/>
      <c r="D565" s="342"/>
      <c r="E565" s="342"/>
      <c r="F565" s="342"/>
      <c r="G565" s="342"/>
      <c r="H565" s="342"/>
      <c r="I565" s="342"/>
      <c r="J565" s="342"/>
      <c r="K565" s="342"/>
      <c r="L565" s="342"/>
      <c r="M565" s="342"/>
    </row>
    <row r="566" ht="15.75" customHeight="1">
      <c r="A566" s="342"/>
      <c r="B566" s="343"/>
      <c r="C566" s="344"/>
      <c r="D566" s="342"/>
      <c r="E566" s="342"/>
      <c r="F566" s="342"/>
      <c r="G566" s="342"/>
      <c r="H566" s="342"/>
      <c r="I566" s="342"/>
      <c r="J566" s="342"/>
      <c r="K566" s="342"/>
      <c r="L566" s="342"/>
      <c r="M566" s="342"/>
    </row>
    <row r="567" ht="15.75" customHeight="1">
      <c r="A567" s="342"/>
      <c r="B567" s="343"/>
      <c r="C567" s="344"/>
      <c r="D567" s="342"/>
      <c r="E567" s="342"/>
      <c r="F567" s="342"/>
      <c r="G567" s="342"/>
      <c r="H567" s="342"/>
      <c r="I567" s="342"/>
      <c r="J567" s="342"/>
      <c r="K567" s="342"/>
      <c r="L567" s="342"/>
      <c r="M567" s="342"/>
    </row>
    <row r="568" ht="15.75" customHeight="1">
      <c r="A568" s="342"/>
      <c r="B568" s="343"/>
      <c r="C568" s="344"/>
      <c r="D568" s="342"/>
      <c r="E568" s="342"/>
      <c r="F568" s="342"/>
      <c r="G568" s="342"/>
      <c r="H568" s="342"/>
      <c r="I568" s="342"/>
      <c r="J568" s="342"/>
      <c r="K568" s="342"/>
      <c r="L568" s="342"/>
      <c r="M568" s="342"/>
    </row>
    <row r="569" ht="15.75" customHeight="1">
      <c r="A569" s="342"/>
      <c r="B569" s="343"/>
      <c r="C569" s="344"/>
      <c r="D569" s="342"/>
      <c r="E569" s="342"/>
      <c r="F569" s="342"/>
      <c r="G569" s="342"/>
      <c r="H569" s="342"/>
      <c r="I569" s="342"/>
      <c r="J569" s="342"/>
      <c r="K569" s="342"/>
      <c r="L569" s="342"/>
      <c r="M569" s="342"/>
    </row>
    <row r="570" ht="15.75" customHeight="1">
      <c r="A570" s="342"/>
      <c r="B570" s="343"/>
      <c r="C570" s="344"/>
      <c r="D570" s="342"/>
      <c r="E570" s="342"/>
      <c r="F570" s="342"/>
      <c r="G570" s="342"/>
      <c r="H570" s="342"/>
      <c r="I570" s="342"/>
      <c r="J570" s="342"/>
      <c r="K570" s="342"/>
      <c r="L570" s="342"/>
      <c r="M570" s="342"/>
    </row>
    <row r="571" ht="15.75" customHeight="1">
      <c r="A571" s="342"/>
      <c r="B571" s="343"/>
      <c r="C571" s="344"/>
      <c r="D571" s="342"/>
      <c r="E571" s="342"/>
      <c r="F571" s="342"/>
      <c r="G571" s="342"/>
      <c r="H571" s="342"/>
      <c r="I571" s="342"/>
      <c r="J571" s="342"/>
      <c r="K571" s="342"/>
      <c r="L571" s="342"/>
      <c r="M571" s="342"/>
    </row>
    <row r="572" ht="15.75" customHeight="1">
      <c r="A572" s="342"/>
      <c r="B572" s="343"/>
      <c r="C572" s="344"/>
      <c r="D572" s="342"/>
      <c r="E572" s="342"/>
      <c r="F572" s="342"/>
      <c r="G572" s="342"/>
      <c r="H572" s="342"/>
      <c r="I572" s="342"/>
      <c r="J572" s="342"/>
      <c r="K572" s="342"/>
      <c r="L572" s="342"/>
      <c r="M572" s="342"/>
    </row>
    <row r="573" ht="15.75" customHeight="1">
      <c r="A573" s="342"/>
      <c r="B573" s="343"/>
      <c r="C573" s="344"/>
      <c r="D573" s="342"/>
      <c r="E573" s="342"/>
      <c r="F573" s="342"/>
      <c r="G573" s="342"/>
      <c r="H573" s="342"/>
      <c r="I573" s="342"/>
      <c r="J573" s="342"/>
      <c r="K573" s="342"/>
      <c r="L573" s="342"/>
      <c r="M573" s="342"/>
    </row>
    <row r="574" ht="15.75" customHeight="1">
      <c r="A574" s="342"/>
      <c r="B574" s="343"/>
      <c r="C574" s="344"/>
      <c r="D574" s="342"/>
      <c r="E574" s="342"/>
      <c r="F574" s="342"/>
      <c r="G574" s="342"/>
      <c r="H574" s="342"/>
      <c r="I574" s="342"/>
      <c r="J574" s="342"/>
      <c r="K574" s="342"/>
      <c r="L574" s="342"/>
      <c r="M574" s="342"/>
    </row>
    <row r="575" ht="15.75" customHeight="1">
      <c r="A575" s="342"/>
      <c r="B575" s="343"/>
      <c r="C575" s="344"/>
      <c r="D575" s="342"/>
      <c r="E575" s="342"/>
      <c r="F575" s="342"/>
      <c r="G575" s="342"/>
      <c r="H575" s="342"/>
      <c r="I575" s="342"/>
      <c r="J575" s="342"/>
      <c r="K575" s="342"/>
      <c r="L575" s="342"/>
      <c r="M575" s="342"/>
    </row>
    <row r="576" ht="15.75" customHeight="1">
      <c r="A576" s="342"/>
      <c r="B576" s="343"/>
      <c r="C576" s="344"/>
      <c r="D576" s="342"/>
      <c r="E576" s="342"/>
      <c r="F576" s="342"/>
      <c r="G576" s="342"/>
      <c r="H576" s="342"/>
      <c r="I576" s="342"/>
      <c r="J576" s="342"/>
      <c r="K576" s="342"/>
      <c r="L576" s="342"/>
      <c r="M576" s="342"/>
    </row>
    <row r="577" ht="15.75" customHeight="1">
      <c r="A577" s="342"/>
      <c r="B577" s="343"/>
      <c r="C577" s="344"/>
      <c r="D577" s="342"/>
      <c r="E577" s="342"/>
      <c r="F577" s="342"/>
      <c r="G577" s="342"/>
      <c r="H577" s="342"/>
      <c r="I577" s="342"/>
      <c r="J577" s="342"/>
      <c r="K577" s="342"/>
      <c r="L577" s="342"/>
      <c r="M577" s="342"/>
    </row>
    <row r="578" ht="15.75" customHeight="1">
      <c r="A578" s="342"/>
      <c r="B578" s="343"/>
      <c r="C578" s="344"/>
      <c r="D578" s="342"/>
      <c r="E578" s="342"/>
      <c r="F578" s="342"/>
      <c r="G578" s="342"/>
      <c r="H578" s="342"/>
      <c r="I578" s="342"/>
      <c r="J578" s="342"/>
      <c r="K578" s="342"/>
      <c r="L578" s="342"/>
      <c r="M578" s="342"/>
    </row>
    <row r="579" ht="15.75" customHeight="1">
      <c r="A579" s="342"/>
      <c r="B579" s="343"/>
      <c r="C579" s="344"/>
      <c r="D579" s="342"/>
      <c r="E579" s="342"/>
      <c r="F579" s="342"/>
      <c r="G579" s="342"/>
      <c r="H579" s="342"/>
      <c r="I579" s="342"/>
      <c r="J579" s="342"/>
      <c r="K579" s="342"/>
      <c r="L579" s="342"/>
      <c r="M579" s="342"/>
    </row>
    <row r="580" ht="15.75" customHeight="1">
      <c r="A580" s="342"/>
      <c r="B580" s="343"/>
      <c r="C580" s="344"/>
      <c r="D580" s="342"/>
      <c r="E580" s="342"/>
      <c r="F580" s="342"/>
      <c r="G580" s="342"/>
      <c r="H580" s="342"/>
      <c r="I580" s="342"/>
      <c r="J580" s="342"/>
      <c r="K580" s="342"/>
      <c r="L580" s="342"/>
      <c r="M580" s="342"/>
    </row>
    <row r="581" ht="15.75" customHeight="1">
      <c r="A581" s="342"/>
      <c r="B581" s="343"/>
      <c r="C581" s="344"/>
      <c r="D581" s="342"/>
      <c r="E581" s="342"/>
      <c r="F581" s="342"/>
      <c r="G581" s="342"/>
      <c r="H581" s="342"/>
      <c r="I581" s="342"/>
      <c r="J581" s="342"/>
      <c r="K581" s="342"/>
      <c r="L581" s="342"/>
      <c r="M581" s="342"/>
    </row>
    <row r="582" ht="15.75" customHeight="1">
      <c r="A582" s="342"/>
      <c r="B582" s="343"/>
      <c r="C582" s="344"/>
      <c r="D582" s="342"/>
      <c r="E582" s="342"/>
      <c r="F582" s="342"/>
      <c r="G582" s="342"/>
      <c r="H582" s="342"/>
      <c r="I582" s="342"/>
      <c r="J582" s="342"/>
      <c r="K582" s="342"/>
      <c r="L582" s="342"/>
      <c r="M582" s="342"/>
    </row>
    <row r="583" ht="15.75" customHeight="1">
      <c r="A583" s="342"/>
      <c r="B583" s="343"/>
      <c r="C583" s="344"/>
      <c r="D583" s="342"/>
      <c r="E583" s="342"/>
      <c r="F583" s="342"/>
      <c r="G583" s="342"/>
      <c r="H583" s="342"/>
      <c r="I583" s="342"/>
      <c r="J583" s="342"/>
      <c r="K583" s="342"/>
      <c r="L583" s="342"/>
      <c r="M583" s="342"/>
    </row>
    <row r="584" ht="15.75" customHeight="1">
      <c r="A584" s="342"/>
      <c r="B584" s="343"/>
      <c r="C584" s="344"/>
      <c r="D584" s="342"/>
      <c r="E584" s="342"/>
      <c r="F584" s="342"/>
      <c r="G584" s="342"/>
      <c r="H584" s="342"/>
      <c r="I584" s="342"/>
      <c r="J584" s="342"/>
      <c r="K584" s="342"/>
      <c r="L584" s="342"/>
      <c r="M584" s="342"/>
    </row>
    <row r="585" ht="15.75" customHeight="1">
      <c r="A585" s="342"/>
      <c r="B585" s="343"/>
      <c r="C585" s="344"/>
      <c r="D585" s="342"/>
      <c r="E585" s="342"/>
      <c r="F585" s="342"/>
      <c r="G585" s="342"/>
      <c r="H585" s="342"/>
      <c r="I585" s="342"/>
      <c r="J585" s="342"/>
      <c r="K585" s="342"/>
      <c r="L585" s="342"/>
      <c r="M585" s="342"/>
    </row>
    <row r="586" ht="15.75" customHeight="1">
      <c r="A586" s="342"/>
      <c r="B586" s="343"/>
      <c r="C586" s="344"/>
      <c r="D586" s="342"/>
      <c r="E586" s="342"/>
      <c r="F586" s="342"/>
      <c r="G586" s="342"/>
      <c r="H586" s="342"/>
      <c r="I586" s="342"/>
      <c r="J586" s="342"/>
      <c r="K586" s="342"/>
      <c r="L586" s="342"/>
      <c r="M586" s="342"/>
    </row>
    <row r="587" ht="15.75" customHeight="1">
      <c r="A587" s="342"/>
      <c r="B587" s="343"/>
      <c r="C587" s="344"/>
      <c r="D587" s="342"/>
      <c r="E587" s="342"/>
      <c r="F587" s="342"/>
      <c r="G587" s="342"/>
      <c r="H587" s="342"/>
      <c r="I587" s="342"/>
      <c r="J587" s="342"/>
      <c r="K587" s="342"/>
      <c r="L587" s="342"/>
      <c r="M587" s="342"/>
    </row>
    <row r="588" ht="15.75" customHeight="1">
      <c r="A588" s="342"/>
      <c r="B588" s="343"/>
      <c r="C588" s="344"/>
      <c r="D588" s="342"/>
      <c r="E588" s="342"/>
      <c r="F588" s="342"/>
      <c r="G588" s="342"/>
      <c r="H588" s="342"/>
      <c r="I588" s="342"/>
      <c r="J588" s="342"/>
      <c r="K588" s="342"/>
      <c r="L588" s="342"/>
      <c r="M588" s="342"/>
    </row>
    <row r="589" ht="15.75" customHeight="1">
      <c r="A589" s="342"/>
      <c r="B589" s="343"/>
      <c r="C589" s="344"/>
      <c r="D589" s="342"/>
      <c r="E589" s="342"/>
      <c r="F589" s="342"/>
      <c r="G589" s="342"/>
      <c r="H589" s="342"/>
      <c r="I589" s="342"/>
      <c r="J589" s="342"/>
      <c r="K589" s="342"/>
      <c r="L589" s="342"/>
      <c r="M589" s="342"/>
    </row>
    <row r="590" ht="15.75" customHeight="1">
      <c r="A590" s="342"/>
      <c r="B590" s="343"/>
      <c r="C590" s="344"/>
      <c r="D590" s="342"/>
      <c r="E590" s="342"/>
      <c r="F590" s="342"/>
      <c r="G590" s="342"/>
      <c r="H590" s="342"/>
      <c r="I590" s="342"/>
      <c r="J590" s="342"/>
      <c r="K590" s="342"/>
      <c r="L590" s="342"/>
      <c r="M590" s="342"/>
    </row>
    <row r="591" ht="15.75" customHeight="1">
      <c r="A591" s="342"/>
      <c r="B591" s="343"/>
      <c r="C591" s="344"/>
      <c r="D591" s="342"/>
      <c r="E591" s="342"/>
      <c r="F591" s="342"/>
      <c r="G591" s="342"/>
      <c r="H591" s="342"/>
      <c r="I591" s="342"/>
      <c r="J591" s="342"/>
      <c r="K591" s="342"/>
      <c r="L591" s="342"/>
      <c r="M591" s="342"/>
    </row>
    <row r="592" ht="15.75" customHeight="1">
      <c r="A592" s="342"/>
      <c r="B592" s="343"/>
      <c r="C592" s="344"/>
      <c r="D592" s="342"/>
      <c r="E592" s="342"/>
      <c r="F592" s="342"/>
      <c r="G592" s="342"/>
      <c r="H592" s="342"/>
      <c r="I592" s="342"/>
      <c r="J592" s="342"/>
      <c r="K592" s="342"/>
      <c r="L592" s="342"/>
      <c r="M592" s="342"/>
    </row>
    <row r="593" ht="15.75" customHeight="1">
      <c r="A593" s="342"/>
      <c r="B593" s="343"/>
      <c r="C593" s="344"/>
      <c r="D593" s="342"/>
      <c r="E593" s="342"/>
      <c r="F593" s="342"/>
      <c r="G593" s="342"/>
      <c r="H593" s="342"/>
      <c r="I593" s="342"/>
      <c r="J593" s="342"/>
      <c r="K593" s="342"/>
      <c r="L593" s="342"/>
      <c r="M593" s="342"/>
    </row>
    <row r="594" ht="15.75" customHeight="1">
      <c r="A594" s="342"/>
      <c r="B594" s="343"/>
      <c r="C594" s="344"/>
      <c r="D594" s="342"/>
      <c r="E594" s="342"/>
      <c r="F594" s="342"/>
      <c r="G594" s="342"/>
      <c r="H594" s="342"/>
      <c r="I594" s="342"/>
      <c r="J594" s="342"/>
      <c r="K594" s="342"/>
      <c r="L594" s="342"/>
      <c r="M594" s="342"/>
    </row>
    <row r="595" ht="15.75" customHeight="1">
      <c r="A595" s="342"/>
      <c r="B595" s="343"/>
      <c r="C595" s="344"/>
      <c r="D595" s="342"/>
      <c r="E595" s="342"/>
      <c r="F595" s="342"/>
      <c r="G595" s="342"/>
      <c r="H595" s="342"/>
      <c r="I595" s="342"/>
      <c r="J595" s="342"/>
      <c r="K595" s="342"/>
      <c r="L595" s="342"/>
      <c r="M595" s="342"/>
    </row>
    <row r="596" ht="15.75" customHeight="1">
      <c r="A596" s="342"/>
      <c r="B596" s="343"/>
      <c r="C596" s="344"/>
      <c r="D596" s="342"/>
      <c r="E596" s="342"/>
      <c r="F596" s="342"/>
      <c r="G596" s="342"/>
      <c r="H596" s="342"/>
      <c r="I596" s="342"/>
      <c r="J596" s="342"/>
      <c r="K596" s="342"/>
      <c r="L596" s="342"/>
      <c r="M596" s="342"/>
    </row>
    <row r="597" ht="15.75" customHeight="1">
      <c r="A597" s="342"/>
      <c r="B597" s="343"/>
      <c r="C597" s="344"/>
      <c r="D597" s="342"/>
      <c r="E597" s="342"/>
      <c r="F597" s="342"/>
      <c r="G597" s="342"/>
      <c r="H597" s="342"/>
      <c r="I597" s="342"/>
      <c r="J597" s="342"/>
      <c r="K597" s="342"/>
      <c r="L597" s="342"/>
      <c r="M597" s="342"/>
    </row>
    <row r="598" ht="15.75" customHeight="1">
      <c r="A598" s="342"/>
      <c r="B598" s="343"/>
      <c r="C598" s="344"/>
      <c r="D598" s="342"/>
      <c r="E598" s="342"/>
      <c r="F598" s="342"/>
      <c r="G598" s="342"/>
      <c r="H598" s="342"/>
      <c r="I598" s="342"/>
      <c r="J598" s="342"/>
      <c r="K598" s="342"/>
      <c r="L598" s="342"/>
      <c r="M598" s="342"/>
    </row>
    <row r="599" ht="15.75" customHeight="1">
      <c r="A599" s="342"/>
      <c r="B599" s="343"/>
      <c r="C599" s="344"/>
      <c r="D599" s="342"/>
      <c r="E599" s="342"/>
      <c r="F599" s="342"/>
      <c r="G599" s="342"/>
      <c r="H599" s="342"/>
      <c r="I599" s="342"/>
      <c r="J599" s="342"/>
      <c r="K599" s="342"/>
      <c r="L599" s="342"/>
      <c r="M599" s="342"/>
    </row>
    <row r="600" ht="15.75" customHeight="1">
      <c r="A600" s="342"/>
      <c r="B600" s="343"/>
      <c r="C600" s="344"/>
      <c r="D600" s="342"/>
      <c r="E600" s="342"/>
      <c r="F600" s="342"/>
      <c r="G600" s="342"/>
      <c r="H600" s="342"/>
      <c r="I600" s="342"/>
      <c r="J600" s="342"/>
      <c r="K600" s="342"/>
      <c r="L600" s="342"/>
      <c r="M600" s="342"/>
    </row>
    <row r="601" ht="15.75" customHeight="1">
      <c r="A601" s="342"/>
      <c r="B601" s="343"/>
      <c r="C601" s="344"/>
      <c r="D601" s="342"/>
      <c r="E601" s="342"/>
      <c r="F601" s="342"/>
      <c r="G601" s="342"/>
      <c r="H601" s="342"/>
      <c r="I601" s="342"/>
      <c r="J601" s="342"/>
      <c r="K601" s="342"/>
      <c r="L601" s="342"/>
      <c r="M601" s="342"/>
    </row>
    <row r="602" ht="15.75" customHeight="1">
      <c r="A602" s="342"/>
      <c r="B602" s="343"/>
      <c r="C602" s="344"/>
      <c r="D602" s="342"/>
      <c r="E602" s="342"/>
      <c r="F602" s="342"/>
      <c r="G602" s="342"/>
      <c r="H602" s="342"/>
      <c r="I602" s="342"/>
      <c r="J602" s="342"/>
      <c r="K602" s="342"/>
      <c r="L602" s="342"/>
      <c r="M602" s="342"/>
    </row>
    <row r="603" ht="15.75" customHeight="1">
      <c r="A603" s="342"/>
      <c r="B603" s="343"/>
      <c r="C603" s="344"/>
      <c r="D603" s="342"/>
      <c r="E603" s="342"/>
      <c r="F603" s="342"/>
      <c r="G603" s="342"/>
      <c r="H603" s="342"/>
      <c r="I603" s="342"/>
      <c r="J603" s="342"/>
      <c r="K603" s="342"/>
      <c r="L603" s="342"/>
      <c r="M603" s="342"/>
    </row>
    <row r="604" ht="15.75" customHeight="1">
      <c r="A604" s="342"/>
      <c r="B604" s="343"/>
      <c r="C604" s="344"/>
      <c r="D604" s="342"/>
      <c r="E604" s="342"/>
      <c r="F604" s="342"/>
      <c r="G604" s="342"/>
      <c r="H604" s="342"/>
      <c r="I604" s="342"/>
      <c r="J604" s="342"/>
      <c r="K604" s="342"/>
      <c r="L604" s="342"/>
      <c r="M604" s="342"/>
    </row>
    <row r="605" ht="15.75" customHeight="1">
      <c r="A605" s="342"/>
      <c r="B605" s="343"/>
      <c r="C605" s="344"/>
      <c r="D605" s="342"/>
      <c r="E605" s="342"/>
      <c r="F605" s="342"/>
      <c r="G605" s="342"/>
      <c r="H605" s="342"/>
      <c r="I605" s="342"/>
      <c r="J605" s="342"/>
      <c r="K605" s="342"/>
      <c r="L605" s="342"/>
      <c r="M605" s="342"/>
    </row>
    <row r="606" ht="15.75" customHeight="1">
      <c r="A606" s="342"/>
      <c r="B606" s="343"/>
      <c r="C606" s="344"/>
      <c r="D606" s="342"/>
      <c r="E606" s="342"/>
      <c r="F606" s="342"/>
      <c r="G606" s="342"/>
      <c r="H606" s="342"/>
      <c r="I606" s="342"/>
      <c r="J606" s="342"/>
      <c r="K606" s="342"/>
      <c r="L606" s="342"/>
      <c r="M606" s="342"/>
    </row>
    <row r="607" ht="15.75" customHeight="1">
      <c r="A607" s="342"/>
      <c r="B607" s="343"/>
      <c r="C607" s="344"/>
      <c r="D607" s="342"/>
      <c r="E607" s="342"/>
      <c r="F607" s="342"/>
      <c r="G607" s="342"/>
      <c r="H607" s="342"/>
      <c r="I607" s="342"/>
      <c r="J607" s="342"/>
      <c r="K607" s="342"/>
      <c r="L607" s="342"/>
      <c r="M607" s="342"/>
    </row>
    <row r="608" ht="15.75" customHeight="1">
      <c r="A608" s="342"/>
      <c r="B608" s="343"/>
      <c r="C608" s="344"/>
      <c r="D608" s="342"/>
      <c r="E608" s="342"/>
      <c r="F608" s="342"/>
      <c r="G608" s="342"/>
      <c r="H608" s="342"/>
      <c r="I608" s="342"/>
      <c r="J608" s="342"/>
      <c r="K608" s="342"/>
      <c r="L608" s="342"/>
      <c r="M608" s="342"/>
    </row>
    <row r="609" ht="15.75" customHeight="1">
      <c r="A609" s="342"/>
      <c r="B609" s="343"/>
      <c r="C609" s="344"/>
      <c r="D609" s="342"/>
      <c r="E609" s="342"/>
      <c r="F609" s="342"/>
      <c r="G609" s="342"/>
      <c r="H609" s="342"/>
      <c r="I609" s="342"/>
      <c r="J609" s="342"/>
      <c r="K609" s="342"/>
      <c r="L609" s="342"/>
      <c r="M609" s="342"/>
    </row>
    <row r="610" ht="15.75" customHeight="1">
      <c r="A610" s="342"/>
      <c r="B610" s="343"/>
      <c r="C610" s="344"/>
      <c r="D610" s="342"/>
      <c r="E610" s="342"/>
      <c r="F610" s="342"/>
      <c r="G610" s="342"/>
      <c r="H610" s="342"/>
      <c r="I610" s="342"/>
      <c r="J610" s="342"/>
      <c r="K610" s="342"/>
      <c r="L610" s="342"/>
      <c r="M610" s="342"/>
    </row>
    <row r="611" ht="15.75" customHeight="1">
      <c r="A611" s="342"/>
      <c r="B611" s="343"/>
      <c r="C611" s="344"/>
      <c r="D611" s="342"/>
      <c r="E611" s="342"/>
      <c r="F611" s="342"/>
      <c r="G611" s="342"/>
      <c r="H611" s="342"/>
      <c r="I611" s="342"/>
      <c r="J611" s="342"/>
      <c r="K611" s="342"/>
      <c r="L611" s="342"/>
      <c r="M611" s="342"/>
    </row>
    <row r="612" ht="15.75" customHeight="1">
      <c r="A612" s="342"/>
      <c r="B612" s="343"/>
      <c r="C612" s="344"/>
      <c r="D612" s="342"/>
      <c r="E612" s="342"/>
      <c r="F612" s="342"/>
      <c r="G612" s="342"/>
      <c r="H612" s="342"/>
      <c r="I612" s="342"/>
      <c r="J612" s="342"/>
      <c r="K612" s="342"/>
      <c r="L612" s="342"/>
      <c r="M612" s="342"/>
    </row>
    <row r="613" ht="15.75" customHeight="1">
      <c r="A613" s="342"/>
      <c r="B613" s="343"/>
      <c r="C613" s="344"/>
      <c r="D613" s="342"/>
      <c r="E613" s="342"/>
      <c r="F613" s="342"/>
      <c r="G613" s="342"/>
      <c r="H613" s="342"/>
      <c r="I613" s="342"/>
      <c r="J613" s="342"/>
      <c r="K613" s="342"/>
      <c r="L613" s="342"/>
      <c r="M613" s="342"/>
    </row>
    <row r="614" ht="15.75" customHeight="1">
      <c r="A614" s="342"/>
      <c r="B614" s="343"/>
      <c r="C614" s="344"/>
      <c r="D614" s="342"/>
      <c r="E614" s="342"/>
      <c r="F614" s="342"/>
      <c r="G614" s="342"/>
      <c r="H614" s="342"/>
      <c r="I614" s="342"/>
      <c r="J614" s="342"/>
      <c r="K614" s="342"/>
      <c r="L614" s="342"/>
      <c r="M614" s="342"/>
    </row>
    <row r="615" ht="15.75" customHeight="1">
      <c r="A615" s="342"/>
      <c r="B615" s="343"/>
      <c r="C615" s="344"/>
      <c r="D615" s="342"/>
      <c r="E615" s="342"/>
      <c r="F615" s="342"/>
      <c r="G615" s="342"/>
      <c r="H615" s="342"/>
      <c r="I615" s="342"/>
      <c r="J615" s="342"/>
      <c r="K615" s="342"/>
      <c r="L615" s="342"/>
      <c r="M615" s="342"/>
    </row>
    <row r="616" ht="15.75" customHeight="1">
      <c r="A616" s="342"/>
      <c r="B616" s="343"/>
      <c r="C616" s="344"/>
      <c r="D616" s="342"/>
      <c r="E616" s="342"/>
      <c r="F616" s="342"/>
      <c r="G616" s="342"/>
      <c r="H616" s="342"/>
      <c r="I616" s="342"/>
      <c r="J616" s="342"/>
      <c r="K616" s="342"/>
      <c r="L616" s="342"/>
      <c r="M616" s="342"/>
    </row>
    <row r="617" ht="15.75" customHeight="1">
      <c r="A617" s="342"/>
      <c r="B617" s="343"/>
      <c r="C617" s="344"/>
      <c r="D617" s="342"/>
      <c r="E617" s="342"/>
      <c r="F617" s="342"/>
      <c r="G617" s="342"/>
      <c r="H617" s="342"/>
      <c r="I617" s="342"/>
      <c r="J617" s="342"/>
      <c r="K617" s="342"/>
      <c r="L617" s="342"/>
      <c r="M617" s="342"/>
    </row>
    <row r="618" ht="15.75" customHeight="1">
      <c r="A618" s="342"/>
      <c r="B618" s="343"/>
      <c r="C618" s="344"/>
      <c r="D618" s="342"/>
      <c r="E618" s="342"/>
      <c r="F618" s="342"/>
      <c r="G618" s="342"/>
      <c r="H618" s="342"/>
      <c r="I618" s="342"/>
      <c r="J618" s="342"/>
      <c r="K618" s="342"/>
      <c r="L618" s="342"/>
      <c r="M618" s="342"/>
    </row>
    <row r="619" ht="15.75" customHeight="1">
      <c r="A619" s="342"/>
      <c r="B619" s="343"/>
      <c r="C619" s="344"/>
      <c r="D619" s="342"/>
      <c r="E619" s="342"/>
      <c r="F619" s="342"/>
      <c r="G619" s="342"/>
      <c r="H619" s="342"/>
      <c r="I619" s="342"/>
      <c r="J619" s="342"/>
      <c r="K619" s="342"/>
      <c r="L619" s="342"/>
      <c r="M619" s="342"/>
    </row>
    <row r="620" ht="15.75" customHeight="1">
      <c r="A620" s="342"/>
      <c r="B620" s="343"/>
      <c r="C620" s="344"/>
      <c r="D620" s="342"/>
      <c r="E620" s="342"/>
      <c r="F620" s="342"/>
      <c r="G620" s="342"/>
      <c r="H620" s="342"/>
      <c r="I620" s="342"/>
      <c r="J620" s="342"/>
      <c r="K620" s="342"/>
      <c r="L620" s="342"/>
      <c r="M620" s="342"/>
    </row>
    <row r="621" ht="15.75" customHeight="1">
      <c r="A621" s="342"/>
      <c r="B621" s="343"/>
      <c r="C621" s="344"/>
      <c r="D621" s="342"/>
      <c r="E621" s="342"/>
      <c r="F621" s="342"/>
      <c r="G621" s="342"/>
      <c r="H621" s="342"/>
      <c r="I621" s="342"/>
      <c r="J621" s="342"/>
      <c r="K621" s="342"/>
      <c r="L621" s="342"/>
      <c r="M621" s="342"/>
    </row>
    <row r="622" ht="15.75" customHeight="1">
      <c r="A622" s="342"/>
      <c r="B622" s="343"/>
      <c r="C622" s="344"/>
      <c r="D622" s="342"/>
      <c r="E622" s="342"/>
      <c r="F622" s="342"/>
      <c r="G622" s="342"/>
      <c r="H622" s="342"/>
      <c r="I622" s="342"/>
      <c r="J622" s="342"/>
      <c r="K622" s="342"/>
      <c r="L622" s="342"/>
      <c r="M622" s="342"/>
    </row>
    <row r="623" ht="15.75" customHeight="1">
      <c r="A623" s="342"/>
      <c r="B623" s="343"/>
      <c r="C623" s="344"/>
      <c r="D623" s="342"/>
      <c r="E623" s="342"/>
      <c r="F623" s="342"/>
      <c r="G623" s="342"/>
      <c r="H623" s="342"/>
      <c r="I623" s="342"/>
      <c r="J623" s="342"/>
      <c r="K623" s="342"/>
      <c r="L623" s="342"/>
      <c r="M623" s="342"/>
    </row>
    <row r="624" ht="15.75" customHeight="1">
      <c r="A624" s="342"/>
      <c r="B624" s="343"/>
      <c r="C624" s="344"/>
      <c r="D624" s="342"/>
      <c r="E624" s="342"/>
      <c r="F624" s="342"/>
      <c r="G624" s="342"/>
      <c r="H624" s="342"/>
      <c r="I624" s="342"/>
      <c r="J624" s="342"/>
      <c r="K624" s="342"/>
      <c r="L624" s="342"/>
      <c r="M624" s="342"/>
    </row>
    <row r="625" ht="15.75" customHeight="1">
      <c r="A625" s="342"/>
      <c r="B625" s="343"/>
      <c r="C625" s="344"/>
      <c r="D625" s="342"/>
      <c r="E625" s="342"/>
      <c r="F625" s="342"/>
      <c r="G625" s="342"/>
      <c r="H625" s="342"/>
      <c r="I625" s="342"/>
      <c r="J625" s="342"/>
      <c r="K625" s="342"/>
      <c r="L625" s="342"/>
      <c r="M625" s="342"/>
    </row>
    <row r="626" ht="15.75" customHeight="1">
      <c r="A626" s="342"/>
      <c r="B626" s="343"/>
      <c r="C626" s="344"/>
      <c r="D626" s="342"/>
      <c r="E626" s="342"/>
      <c r="F626" s="342"/>
      <c r="G626" s="342"/>
      <c r="H626" s="342"/>
      <c r="I626" s="342"/>
      <c r="J626" s="342"/>
      <c r="K626" s="342"/>
      <c r="L626" s="342"/>
      <c r="M626" s="342"/>
    </row>
    <row r="627" ht="15.75" customHeight="1">
      <c r="A627" s="342"/>
      <c r="B627" s="343"/>
      <c r="C627" s="344"/>
      <c r="D627" s="342"/>
      <c r="E627" s="342"/>
      <c r="F627" s="342"/>
      <c r="G627" s="342"/>
      <c r="H627" s="342"/>
      <c r="I627" s="342"/>
      <c r="J627" s="342"/>
      <c r="K627" s="342"/>
      <c r="L627" s="342"/>
      <c r="M627" s="342"/>
    </row>
    <row r="628" ht="15.75" customHeight="1">
      <c r="A628" s="342"/>
      <c r="B628" s="343"/>
      <c r="C628" s="344"/>
      <c r="D628" s="342"/>
      <c r="E628" s="342"/>
      <c r="F628" s="342"/>
      <c r="G628" s="342"/>
      <c r="H628" s="342"/>
      <c r="I628" s="342"/>
      <c r="J628" s="342"/>
      <c r="K628" s="342"/>
      <c r="L628" s="342"/>
      <c r="M628" s="342"/>
    </row>
    <row r="629" ht="15.75" customHeight="1">
      <c r="A629" s="342"/>
      <c r="B629" s="343"/>
      <c r="C629" s="344"/>
      <c r="D629" s="342"/>
      <c r="E629" s="342"/>
      <c r="F629" s="342"/>
      <c r="G629" s="342"/>
      <c r="H629" s="342"/>
      <c r="I629" s="342"/>
      <c r="J629" s="342"/>
      <c r="K629" s="342"/>
      <c r="L629" s="342"/>
      <c r="M629" s="342"/>
    </row>
    <row r="630" ht="15.75" customHeight="1">
      <c r="A630" s="342"/>
      <c r="B630" s="343"/>
      <c r="C630" s="344"/>
      <c r="D630" s="342"/>
      <c r="E630" s="342"/>
      <c r="F630" s="342"/>
      <c r="G630" s="342"/>
      <c r="H630" s="342"/>
      <c r="I630" s="342"/>
      <c r="J630" s="342"/>
      <c r="K630" s="342"/>
      <c r="L630" s="342"/>
      <c r="M630" s="342"/>
    </row>
    <row r="631" ht="15.75" customHeight="1">
      <c r="A631" s="342"/>
      <c r="B631" s="343"/>
      <c r="C631" s="344"/>
      <c r="D631" s="342"/>
      <c r="E631" s="342"/>
      <c r="F631" s="342"/>
      <c r="G631" s="342"/>
      <c r="H631" s="342"/>
      <c r="I631" s="342"/>
      <c r="J631" s="342"/>
      <c r="K631" s="342"/>
      <c r="L631" s="342"/>
      <c r="M631" s="342"/>
    </row>
    <row r="632" ht="15.75" customHeight="1">
      <c r="A632" s="342"/>
      <c r="B632" s="343"/>
      <c r="C632" s="344"/>
      <c r="D632" s="342"/>
      <c r="E632" s="342"/>
      <c r="F632" s="342"/>
      <c r="G632" s="342"/>
      <c r="H632" s="342"/>
      <c r="I632" s="342"/>
      <c r="J632" s="342"/>
      <c r="K632" s="342"/>
      <c r="L632" s="342"/>
      <c r="M632" s="342"/>
    </row>
    <row r="633" ht="15.75" customHeight="1">
      <c r="A633" s="342"/>
      <c r="B633" s="343"/>
      <c r="C633" s="344"/>
      <c r="D633" s="342"/>
      <c r="E633" s="342"/>
      <c r="F633" s="342"/>
      <c r="G633" s="342"/>
      <c r="H633" s="342"/>
      <c r="I633" s="342"/>
      <c r="J633" s="342"/>
      <c r="K633" s="342"/>
      <c r="L633" s="342"/>
      <c r="M633" s="342"/>
    </row>
    <row r="634" ht="15.75" customHeight="1">
      <c r="A634" s="342"/>
      <c r="B634" s="343"/>
      <c r="C634" s="344"/>
      <c r="D634" s="342"/>
      <c r="E634" s="342"/>
      <c r="F634" s="342"/>
      <c r="G634" s="342"/>
      <c r="H634" s="342"/>
      <c r="I634" s="342"/>
      <c r="J634" s="342"/>
      <c r="K634" s="342"/>
      <c r="L634" s="342"/>
      <c r="M634" s="342"/>
    </row>
    <row r="635" ht="15.75" customHeight="1">
      <c r="A635" s="342"/>
      <c r="B635" s="343"/>
      <c r="C635" s="344"/>
      <c r="D635" s="342"/>
      <c r="E635" s="342"/>
      <c r="F635" s="342"/>
      <c r="G635" s="342"/>
      <c r="H635" s="342"/>
      <c r="I635" s="342"/>
      <c r="J635" s="342"/>
      <c r="K635" s="342"/>
      <c r="L635" s="342"/>
      <c r="M635" s="342"/>
    </row>
    <row r="636" ht="15.75" customHeight="1">
      <c r="A636" s="342"/>
      <c r="B636" s="343"/>
      <c r="C636" s="344"/>
      <c r="D636" s="342"/>
      <c r="E636" s="342"/>
      <c r="F636" s="342"/>
      <c r="G636" s="342"/>
      <c r="H636" s="342"/>
      <c r="I636" s="342"/>
      <c r="J636" s="342"/>
      <c r="K636" s="342"/>
      <c r="L636" s="342"/>
      <c r="M636" s="342"/>
    </row>
    <row r="637" ht="15.75" customHeight="1">
      <c r="A637" s="342"/>
      <c r="B637" s="343"/>
      <c r="C637" s="344"/>
      <c r="D637" s="342"/>
      <c r="E637" s="342"/>
      <c r="F637" s="342"/>
      <c r="G637" s="342"/>
      <c r="H637" s="342"/>
      <c r="I637" s="342"/>
      <c r="J637" s="342"/>
      <c r="K637" s="342"/>
      <c r="L637" s="342"/>
      <c r="M637" s="342"/>
    </row>
    <row r="638" ht="15.75" customHeight="1">
      <c r="A638" s="342"/>
      <c r="B638" s="343"/>
      <c r="C638" s="344"/>
      <c r="D638" s="342"/>
      <c r="E638" s="342"/>
      <c r="F638" s="342"/>
      <c r="G638" s="342"/>
      <c r="H638" s="342"/>
      <c r="I638" s="342"/>
      <c r="J638" s="342"/>
      <c r="K638" s="342"/>
      <c r="L638" s="342"/>
      <c r="M638" s="342"/>
    </row>
    <row r="639" ht="15.75" customHeight="1">
      <c r="A639" s="342"/>
      <c r="B639" s="343"/>
      <c r="C639" s="344"/>
      <c r="D639" s="342"/>
      <c r="E639" s="342"/>
      <c r="F639" s="342"/>
      <c r="G639" s="342"/>
      <c r="H639" s="342"/>
      <c r="I639" s="342"/>
      <c r="J639" s="342"/>
      <c r="K639" s="342"/>
      <c r="L639" s="342"/>
      <c r="M639" s="342"/>
    </row>
    <row r="640" ht="15.75" customHeight="1">
      <c r="A640" s="342"/>
      <c r="B640" s="343"/>
      <c r="C640" s="344"/>
      <c r="D640" s="342"/>
      <c r="E640" s="342"/>
      <c r="F640" s="342"/>
      <c r="G640" s="342"/>
      <c r="H640" s="342"/>
      <c r="I640" s="342"/>
      <c r="J640" s="342"/>
      <c r="K640" s="342"/>
      <c r="L640" s="342"/>
      <c r="M640" s="342"/>
    </row>
    <row r="641" ht="15.75" customHeight="1">
      <c r="A641" s="342"/>
      <c r="B641" s="343"/>
      <c r="C641" s="344"/>
      <c r="D641" s="342"/>
      <c r="E641" s="342"/>
      <c r="F641" s="342"/>
      <c r="G641" s="342"/>
      <c r="H641" s="342"/>
      <c r="I641" s="342"/>
      <c r="J641" s="342"/>
      <c r="K641" s="342"/>
      <c r="L641" s="342"/>
      <c r="M641" s="342"/>
    </row>
    <row r="642" ht="15.75" customHeight="1">
      <c r="A642" s="342"/>
      <c r="B642" s="343"/>
      <c r="C642" s="344"/>
      <c r="D642" s="342"/>
      <c r="E642" s="342"/>
      <c r="F642" s="342"/>
      <c r="G642" s="342"/>
      <c r="H642" s="342"/>
      <c r="I642" s="342"/>
      <c r="J642" s="342"/>
      <c r="K642" s="342"/>
      <c r="L642" s="342"/>
      <c r="M642" s="342"/>
    </row>
    <row r="643" ht="15.75" customHeight="1">
      <c r="A643" s="342"/>
      <c r="B643" s="343"/>
      <c r="C643" s="344"/>
      <c r="D643" s="342"/>
      <c r="E643" s="342"/>
      <c r="F643" s="342"/>
      <c r="G643" s="342"/>
      <c r="H643" s="342"/>
      <c r="I643" s="342"/>
      <c r="J643" s="342"/>
      <c r="K643" s="342"/>
      <c r="L643" s="342"/>
      <c r="M643" s="342"/>
    </row>
    <row r="644" ht="15.75" customHeight="1">
      <c r="A644" s="342"/>
      <c r="B644" s="343"/>
      <c r="C644" s="344"/>
      <c r="D644" s="342"/>
      <c r="E644" s="342"/>
      <c r="F644" s="342"/>
      <c r="G644" s="342"/>
      <c r="H644" s="342"/>
      <c r="I644" s="342"/>
      <c r="J644" s="342"/>
      <c r="K644" s="342"/>
      <c r="L644" s="342"/>
      <c r="M644" s="342"/>
    </row>
    <row r="645" ht="15.75" customHeight="1">
      <c r="A645" s="342"/>
      <c r="B645" s="343"/>
      <c r="C645" s="344"/>
      <c r="D645" s="342"/>
      <c r="E645" s="342"/>
      <c r="F645" s="342"/>
      <c r="G645" s="342"/>
      <c r="H645" s="342"/>
      <c r="I645" s="342"/>
      <c r="J645" s="342"/>
      <c r="K645" s="342"/>
      <c r="L645" s="342"/>
      <c r="M645" s="342"/>
    </row>
    <row r="646" ht="15.75" customHeight="1">
      <c r="A646" s="342"/>
      <c r="B646" s="343"/>
      <c r="C646" s="344"/>
      <c r="D646" s="342"/>
      <c r="E646" s="342"/>
      <c r="F646" s="342"/>
      <c r="G646" s="342"/>
      <c r="H646" s="342"/>
      <c r="I646" s="342"/>
      <c r="J646" s="342"/>
      <c r="K646" s="342"/>
      <c r="L646" s="342"/>
      <c r="M646" s="342"/>
    </row>
    <row r="647" ht="15.75" customHeight="1">
      <c r="A647" s="342"/>
      <c r="B647" s="343"/>
      <c r="C647" s="344"/>
      <c r="D647" s="342"/>
      <c r="E647" s="342"/>
      <c r="F647" s="342"/>
      <c r="G647" s="342"/>
      <c r="H647" s="342"/>
      <c r="I647" s="342"/>
      <c r="J647" s="342"/>
      <c r="K647" s="342"/>
      <c r="L647" s="342"/>
      <c r="M647" s="342"/>
    </row>
    <row r="648" ht="15.75" customHeight="1">
      <c r="A648" s="342"/>
      <c r="B648" s="343"/>
      <c r="C648" s="344"/>
      <c r="D648" s="342"/>
      <c r="E648" s="342"/>
      <c r="F648" s="342"/>
      <c r="G648" s="342"/>
      <c r="H648" s="342"/>
      <c r="I648" s="342"/>
      <c r="J648" s="342"/>
      <c r="K648" s="342"/>
      <c r="L648" s="342"/>
      <c r="M648" s="342"/>
    </row>
    <row r="649" ht="15.75" customHeight="1">
      <c r="A649" s="342"/>
      <c r="B649" s="343"/>
      <c r="C649" s="344"/>
      <c r="D649" s="342"/>
      <c r="E649" s="342"/>
      <c r="F649" s="342"/>
      <c r="G649" s="342"/>
      <c r="H649" s="342"/>
      <c r="I649" s="342"/>
      <c r="J649" s="342"/>
      <c r="K649" s="342"/>
      <c r="L649" s="342"/>
      <c r="M649" s="342"/>
    </row>
    <row r="650" ht="15.75" customHeight="1">
      <c r="A650" s="342"/>
      <c r="B650" s="343"/>
      <c r="C650" s="344"/>
      <c r="D650" s="342"/>
      <c r="E650" s="342"/>
      <c r="F650" s="342"/>
      <c r="G650" s="342"/>
      <c r="H650" s="342"/>
      <c r="I650" s="342"/>
      <c r="J650" s="342"/>
      <c r="K650" s="342"/>
      <c r="L650" s="342"/>
      <c r="M650" s="342"/>
    </row>
    <row r="651" ht="15.75" customHeight="1">
      <c r="A651" s="342"/>
      <c r="B651" s="343"/>
      <c r="C651" s="344"/>
      <c r="D651" s="342"/>
      <c r="E651" s="342"/>
      <c r="F651" s="342"/>
      <c r="G651" s="342"/>
      <c r="H651" s="342"/>
      <c r="I651" s="342"/>
      <c r="J651" s="342"/>
      <c r="K651" s="342"/>
      <c r="L651" s="342"/>
      <c r="M651" s="342"/>
    </row>
    <row r="652" ht="15.75" customHeight="1">
      <c r="A652" s="342"/>
      <c r="B652" s="343"/>
      <c r="C652" s="344"/>
      <c r="D652" s="342"/>
      <c r="E652" s="342"/>
      <c r="F652" s="342"/>
      <c r="G652" s="342"/>
      <c r="H652" s="342"/>
      <c r="I652" s="342"/>
      <c r="J652" s="342"/>
      <c r="K652" s="342"/>
      <c r="L652" s="342"/>
      <c r="M652" s="342"/>
    </row>
    <row r="653" ht="15.75" customHeight="1">
      <c r="A653" s="342"/>
      <c r="B653" s="343"/>
      <c r="C653" s="344"/>
      <c r="D653" s="342"/>
      <c r="E653" s="342"/>
      <c r="F653" s="342"/>
      <c r="G653" s="342"/>
      <c r="H653" s="342"/>
      <c r="I653" s="342"/>
      <c r="J653" s="342"/>
      <c r="K653" s="342"/>
      <c r="L653" s="342"/>
      <c r="M653" s="342"/>
    </row>
    <row r="654" ht="15.75" customHeight="1">
      <c r="A654" s="342"/>
      <c r="B654" s="343"/>
      <c r="C654" s="344"/>
      <c r="D654" s="342"/>
      <c r="E654" s="342"/>
      <c r="F654" s="342"/>
      <c r="G654" s="342"/>
      <c r="H654" s="342"/>
      <c r="I654" s="342"/>
      <c r="J654" s="342"/>
      <c r="K654" s="342"/>
      <c r="L654" s="342"/>
      <c r="M654" s="342"/>
    </row>
    <row r="655" ht="15.75" customHeight="1">
      <c r="A655" s="342"/>
      <c r="B655" s="343"/>
      <c r="C655" s="344"/>
      <c r="D655" s="342"/>
      <c r="E655" s="342"/>
      <c r="F655" s="342"/>
      <c r="G655" s="342"/>
      <c r="H655" s="342"/>
      <c r="I655" s="342"/>
      <c r="J655" s="342"/>
      <c r="K655" s="342"/>
      <c r="L655" s="342"/>
      <c r="M655" s="342"/>
    </row>
    <row r="656" ht="15.75" customHeight="1">
      <c r="A656" s="342"/>
      <c r="B656" s="343"/>
      <c r="C656" s="344"/>
      <c r="D656" s="342"/>
      <c r="E656" s="342"/>
      <c r="F656" s="342"/>
      <c r="G656" s="342"/>
      <c r="H656" s="342"/>
      <c r="I656" s="342"/>
      <c r="J656" s="342"/>
      <c r="K656" s="342"/>
      <c r="L656" s="342"/>
      <c r="M656" s="342"/>
    </row>
    <row r="657" ht="15.75" customHeight="1">
      <c r="A657" s="342"/>
      <c r="B657" s="343"/>
      <c r="C657" s="344"/>
      <c r="D657" s="342"/>
      <c r="E657" s="342"/>
      <c r="F657" s="342"/>
      <c r="G657" s="342"/>
      <c r="H657" s="342"/>
      <c r="I657" s="342"/>
      <c r="J657" s="342"/>
      <c r="K657" s="342"/>
      <c r="L657" s="342"/>
      <c r="M657" s="342"/>
    </row>
    <row r="658" ht="15.75" customHeight="1">
      <c r="A658" s="342"/>
      <c r="B658" s="343"/>
      <c r="C658" s="344"/>
      <c r="D658" s="342"/>
      <c r="E658" s="342"/>
      <c r="F658" s="342"/>
      <c r="G658" s="342"/>
      <c r="H658" s="342"/>
      <c r="I658" s="342"/>
      <c r="J658" s="342"/>
      <c r="K658" s="342"/>
      <c r="L658" s="342"/>
      <c r="M658" s="342"/>
    </row>
    <row r="659" ht="15.75" customHeight="1">
      <c r="A659" s="342"/>
      <c r="B659" s="343"/>
      <c r="C659" s="344"/>
      <c r="D659" s="342"/>
      <c r="E659" s="342"/>
      <c r="F659" s="342"/>
      <c r="G659" s="342"/>
      <c r="H659" s="342"/>
      <c r="I659" s="342"/>
      <c r="J659" s="342"/>
      <c r="K659" s="342"/>
      <c r="L659" s="342"/>
      <c r="M659" s="342"/>
    </row>
    <row r="660" ht="15.75" customHeight="1">
      <c r="A660" s="342"/>
      <c r="B660" s="343"/>
      <c r="C660" s="344"/>
      <c r="D660" s="342"/>
      <c r="E660" s="342"/>
      <c r="F660" s="342"/>
      <c r="G660" s="342"/>
      <c r="H660" s="342"/>
      <c r="I660" s="342"/>
      <c r="J660" s="342"/>
      <c r="K660" s="342"/>
      <c r="L660" s="342"/>
      <c r="M660" s="342"/>
    </row>
    <row r="661" ht="15.75" customHeight="1">
      <c r="A661" s="342"/>
      <c r="B661" s="343"/>
      <c r="C661" s="344"/>
      <c r="D661" s="342"/>
      <c r="E661" s="342"/>
      <c r="F661" s="342"/>
      <c r="G661" s="342"/>
      <c r="H661" s="342"/>
      <c r="I661" s="342"/>
      <c r="J661" s="342"/>
      <c r="K661" s="342"/>
      <c r="L661" s="342"/>
      <c r="M661" s="342"/>
    </row>
    <row r="662" ht="15.75" customHeight="1">
      <c r="A662" s="342"/>
      <c r="B662" s="343"/>
      <c r="C662" s="344"/>
      <c r="D662" s="342"/>
      <c r="E662" s="342"/>
      <c r="F662" s="342"/>
      <c r="G662" s="342"/>
      <c r="H662" s="342"/>
      <c r="I662" s="342"/>
      <c r="J662" s="342"/>
      <c r="K662" s="342"/>
      <c r="L662" s="342"/>
      <c r="M662" s="342"/>
    </row>
    <row r="663" ht="15.75" customHeight="1">
      <c r="A663" s="342"/>
      <c r="B663" s="343"/>
      <c r="C663" s="344"/>
      <c r="D663" s="342"/>
      <c r="E663" s="342"/>
      <c r="F663" s="342"/>
      <c r="G663" s="342"/>
      <c r="H663" s="342"/>
      <c r="I663" s="342"/>
      <c r="J663" s="342"/>
      <c r="K663" s="342"/>
      <c r="L663" s="342"/>
      <c r="M663" s="342"/>
    </row>
    <row r="664" ht="15.75" customHeight="1">
      <c r="A664" s="342"/>
      <c r="B664" s="343"/>
      <c r="C664" s="344"/>
      <c r="D664" s="342"/>
      <c r="E664" s="342"/>
      <c r="F664" s="342"/>
      <c r="G664" s="342"/>
      <c r="H664" s="342"/>
      <c r="I664" s="342"/>
      <c r="J664" s="342"/>
      <c r="K664" s="342"/>
      <c r="L664" s="342"/>
      <c r="M664" s="342"/>
    </row>
    <row r="665" ht="15.75" customHeight="1">
      <c r="A665" s="342"/>
      <c r="B665" s="343"/>
      <c r="C665" s="344"/>
      <c r="D665" s="342"/>
      <c r="E665" s="342"/>
      <c r="F665" s="342"/>
      <c r="G665" s="342"/>
      <c r="H665" s="342"/>
      <c r="I665" s="342"/>
      <c r="J665" s="342"/>
      <c r="K665" s="342"/>
      <c r="L665" s="342"/>
      <c r="M665" s="342"/>
    </row>
    <row r="666" ht="15.75" customHeight="1">
      <c r="A666" s="342"/>
      <c r="B666" s="343"/>
      <c r="C666" s="344"/>
      <c r="D666" s="342"/>
      <c r="E666" s="342"/>
      <c r="F666" s="342"/>
      <c r="G666" s="342"/>
      <c r="H666" s="342"/>
      <c r="I666" s="342"/>
      <c r="J666" s="342"/>
      <c r="K666" s="342"/>
      <c r="L666" s="342"/>
      <c r="M666" s="342"/>
    </row>
    <row r="667" ht="15.75" customHeight="1">
      <c r="A667" s="342"/>
      <c r="B667" s="343"/>
      <c r="C667" s="344"/>
      <c r="D667" s="342"/>
      <c r="E667" s="342"/>
      <c r="F667" s="342"/>
      <c r="G667" s="342"/>
      <c r="H667" s="342"/>
      <c r="I667" s="342"/>
      <c r="J667" s="342"/>
      <c r="K667" s="342"/>
      <c r="L667" s="342"/>
      <c r="M667" s="342"/>
    </row>
    <row r="668" ht="15.75" customHeight="1">
      <c r="A668" s="342"/>
      <c r="B668" s="343"/>
      <c r="C668" s="344"/>
      <c r="D668" s="342"/>
      <c r="E668" s="342"/>
      <c r="F668" s="342"/>
      <c r="G668" s="342"/>
      <c r="H668" s="342"/>
      <c r="I668" s="342"/>
      <c r="J668" s="342"/>
      <c r="K668" s="342"/>
      <c r="L668" s="342"/>
      <c r="M668" s="342"/>
    </row>
    <row r="669" ht="15.75" customHeight="1">
      <c r="A669" s="342"/>
      <c r="B669" s="343"/>
      <c r="C669" s="344"/>
      <c r="D669" s="342"/>
      <c r="E669" s="342"/>
      <c r="F669" s="342"/>
      <c r="G669" s="342"/>
      <c r="H669" s="342"/>
      <c r="I669" s="342"/>
      <c r="J669" s="342"/>
      <c r="K669" s="342"/>
      <c r="L669" s="342"/>
      <c r="M669" s="342"/>
    </row>
    <row r="670" ht="15.75" customHeight="1">
      <c r="A670" s="342"/>
      <c r="B670" s="343"/>
      <c r="C670" s="344"/>
      <c r="D670" s="342"/>
      <c r="E670" s="342"/>
      <c r="F670" s="342"/>
      <c r="G670" s="342"/>
      <c r="H670" s="342"/>
      <c r="I670" s="342"/>
      <c r="J670" s="342"/>
      <c r="K670" s="342"/>
      <c r="L670" s="342"/>
      <c r="M670" s="342"/>
    </row>
    <row r="671" ht="15.75" customHeight="1">
      <c r="A671" s="342"/>
      <c r="B671" s="343"/>
      <c r="C671" s="344"/>
      <c r="D671" s="342"/>
      <c r="E671" s="342"/>
      <c r="F671" s="342"/>
      <c r="G671" s="342"/>
      <c r="H671" s="342"/>
      <c r="I671" s="342"/>
      <c r="J671" s="342"/>
      <c r="K671" s="342"/>
      <c r="L671" s="342"/>
      <c r="M671" s="342"/>
    </row>
    <row r="672" ht="15.75" customHeight="1">
      <c r="A672" s="342"/>
      <c r="B672" s="343"/>
      <c r="C672" s="344"/>
      <c r="D672" s="342"/>
      <c r="E672" s="342"/>
      <c r="F672" s="342"/>
      <c r="G672" s="342"/>
      <c r="H672" s="342"/>
      <c r="I672" s="342"/>
      <c r="J672" s="342"/>
      <c r="K672" s="342"/>
      <c r="L672" s="342"/>
      <c r="M672" s="342"/>
    </row>
    <row r="673" ht="15.75" customHeight="1">
      <c r="A673" s="342"/>
      <c r="B673" s="343"/>
      <c r="C673" s="344"/>
      <c r="D673" s="342"/>
      <c r="E673" s="342"/>
      <c r="F673" s="342"/>
      <c r="G673" s="342"/>
      <c r="H673" s="342"/>
      <c r="I673" s="342"/>
      <c r="J673" s="342"/>
      <c r="K673" s="342"/>
      <c r="L673" s="342"/>
      <c r="M673" s="342"/>
    </row>
    <row r="674" ht="15.75" customHeight="1">
      <c r="A674" s="342"/>
      <c r="B674" s="343"/>
      <c r="C674" s="344"/>
      <c r="D674" s="342"/>
      <c r="E674" s="342"/>
      <c r="F674" s="342"/>
      <c r="G674" s="342"/>
      <c r="H674" s="342"/>
      <c r="I674" s="342"/>
      <c r="J674" s="342"/>
      <c r="K674" s="342"/>
      <c r="L674" s="342"/>
      <c r="M674" s="342"/>
    </row>
    <row r="675" ht="15.75" customHeight="1">
      <c r="A675" s="342"/>
      <c r="B675" s="343"/>
      <c r="C675" s="344"/>
      <c r="D675" s="342"/>
      <c r="E675" s="342"/>
      <c r="F675" s="342"/>
      <c r="G675" s="342"/>
      <c r="H675" s="342"/>
      <c r="I675" s="342"/>
      <c r="J675" s="342"/>
      <c r="K675" s="342"/>
      <c r="L675" s="342"/>
      <c r="M675" s="342"/>
    </row>
    <row r="676" ht="15.75" customHeight="1">
      <c r="A676" s="342"/>
      <c r="B676" s="343"/>
      <c r="C676" s="344"/>
      <c r="D676" s="342"/>
      <c r="E676" s="342"/>
      <c r="F676" s="342"/>
      <c r="G676" s="342"/>
      <c r="H676" s="342"/>
      <c r="I676" s="342"/>
      <c r="J676" s="342"/>
      <c r="K676" s="342"/>
      <c r="L676" s="342"/>
      <c r="M676" s="342"/>
    </row>
    <row r="677" ht="15.75" customHeight="1">
      <c r="A677" s="342"/>
      <c r="B677" s="343"/>
      <c r="C677" s="344"/>
      <c r="D677" s="342"/>
      <c r="E677" s="342"/>
      <c r="F677" s="342"/>
      <c r="G677" s="342"/>
      <c r="H677" s="342"/>
      <c r="I677" s="342"/>
      <c r="J677" s="342"/>
      <c r="K677" s="342"/>
      <c r="L677" s="342"/>
      <c r="M677" s="342"/>
    </row>
    <row r="678" ht="15.75" customHeight="1">
      <c r="A678" s="342"/>
      <c r="B678" s="343"/>
      <c r="C678" s="344"/>
      <c r="D678" s="342"/>
      <c r="E678" s="342"/>
      <c r="F678" s="342"/>
      <c r="G678" s="342"/>
      <c r="H678" s="342"/>
      <c r="I678" s="342"/>
      <c r="J678" s="342"/>
      <c r="K678" s="342"/>
      <c r="L678" s="342"/>
      <c r="M678" s="342"/>
    </row>
    <row r="679" ht="15.75" customHeight="1">
      <c r="A679" s="342"/>
      <c r="B679" s="343"/>
      <c r="C679" s="344"/>
      <c r="D679" s="342"/>
      <c r="E679" s="342"/>
      <c r="F679" s="342"/>
      <c r="G679" s="342"/>
      <c r="H679" s="342"/>
      <c r="I679" s="342"/>
      <c r="J679" s="342"/>
      <c r="K679" s="342"/>
      <c r="L679" s="342"/>
      <c r="M679" s="342"/>
    </row>
    <row r="680" ht="15.75" customHeight="1">
      <c r="A680" s="342"/>
      <c r="B680" s="343"/>
      <c r="C680" s="344"/>
      <c r="D680" s="342"/>
      <c r="E680" s="342"/>
      <c r="F680" s="342"/>
      <c r="G680" s="342"/>
      <c r="H680" s="342"/>
      <c r="I680" s="342"/>
      <c r="J680" s="342"/>
      <c r="K680" s="342"/>
      <c r="L680" s="342"/>
      <c r="M680" s="342"/>
    </row>
    <row r="681" ht="15.75" customHeight="1">
      <c r="A681" s="342"/>
      <c r="B681" s="343"/>
      <c r="C681" s="344"/>
      <c r="D681" s="342"/>
      <c r="E681" s="342"/>
      <c r="F681" s="342"/>
      <c r="G681" s="342"/>
      <c r="H681" s="342"/>
      <c r="I681" s="342"/>
      <c r="J681" s="342"/>
      <c r="K681" s="342"/>
      <c r="L681" s="342"/>
      <c r="M681" s="342"/>
    </row>
    <row r="682" ht="15.75" customHeight="1">
      <c r="A682" s="342"/>
      <c r="B682" s="343"/>
      <c r="C682" s="344"/>
      <c r="D682" s="342"/>
      <c r="E682" s="342"/>
      <c r="F682" s="342"/>
      <c r="G682" s="342"/>
      <c r="H682" s="342"/>
      <c r="I682" s="342"/>
      <c r="J682" s="342"/>
      <c r="K682" s="342"/>
      <c r="L682" s="342"/>
      <c r="M682" s="342"/>
    </row>
    <row r="683" ht="15.75" customHeight="1">
      <c r="A683" s="342"/>
      <c r="B683" s="343"/>
      <c r="C683" s="344"/>
      <c r="D683" s="342"/>
      <c r="E683" s="342"/>
      <c r="F683" s="342"/>
      <c r="G683" s="342"/>
      <c r="H683" s="342"/>
      <c r="I683" s="342"/>
      <c r="J683" s="342"/>
      <c r="K683" s="342"/>
      <c r="L683" s="342"/>
      <c r="M683" s="342"/>
    </row>
    <row r="684" ht="15.75" customHeight="1">
      <c r="A684" s="342"/>
      <c r="B684" s="343"/>
      <c r="C684" s="344"/>
      <c r="D684" s="342"/>
      <c r="E684" s="342"/>
      <c r="F684" s="342"/>
      <c r="G684" s="342"/>
      <c r="H684" s="342"/>
      <c r="I684" s="342"/>
      <c r="J684" s="342"/>
      <c r="K684" s="342"/>
      <c r="L684" s="342"/>
      <c r="M684" s="342"/>
    </row>
    <row r="685" ht="15.75" customHeight="1">
      <c r="A685" s="342"/>
      <c r="B685" s="343"/>
      <c r="C685" s="344"/>
      <c r="D685" s="342"/>
      <c r="E685" s="342"/>
      <c r="F685" s="342"/>
      <c r="G685" s="342"/>
      <c r="H685" s="342"/>
      <c r="I685" s="342"/>
      <c r="J685" s="342"/>
      <c r="K685" s="342"/>
      <c r="L685" s="342"/>
      <c r="M685" s="342"/>
    </row>
    <row r="686" ht="15.75" customHeight="1">
      <c r="A686" s="342"/>
      <c r="B686" s="343"/>
      <c r="C686" s="344"/>
      <c r="D686" s="342"/>
      <c r="E686" s="342"/>
      <c r="F686" s="342"/>
      <c r="G686" s="342"/>
      <c r="H686" s="342"/>
      <c r="I686" s="342"/>
      <c r="J686" s="342"/>
      <c r="K686" s="342"/>
      <c r="L686" s="342"/>
      <c r="M686" s="342"/>
    </row>
    <row r="687" ht="15.75" customHeight="1">
      <c r="A687" s="342"/>
      <c r="B687" s="343"/>
      <c r="C687" s="344"/>
      <c r="D687" s="342"/>
      <c r="E687" s="342"/>
      <c r="F687" s="342"/>
      <c r="G687" s="342"/>
      <c r="H687" s="342"/>
      <c r="I687" s="342"/>
      <c r="J687" s="342"/>
      <c r="K687" s="342"/>
      <c r="L687" s="342"/>
      <c r="M687" s="342"/>
    </row>
    <row r="688" ht="15.75" customHeight="1">
      <c r="A688" s="342"/>
      <c r="B688" s="343"/>
      <c r="C688" s="344"/>
      <c r="D688" s="342"/>
      <c r="E688" s="342"/>
      <c r="F688" s="342"/>
      <c r="G688" s="342"/>
      <c r="H688" s="342"/>
      <c r="I688" s="342"/>
      <c r="J688" s="342"/>
      <c r="K688" s="342"/>
      <c r="L688" s="342"/>
      <c r="M688" s="342"/>
    </row>
    <row r="689" ht="15.75" customHeight="1">
      <c r="A689" s="342"/>
      <c r="B689" s="343"/>
      <c r="C689" s="344"/>
      <c r="D689" s="342"/>
      <c r="E689" s="342"/>
      <c r="F689" s="342"/>
      <c r="G689" s="342"/>
      <c r="H689" s="342"/>
      <c r="I689" s="342"/>
      <c r="J689" s="342"/>
      <c r="K689" s="342"/>
      <c r="L689" s="342"/>
      <c r="M689" s="342"/>
    </row>
    <row r="690" ht="15.75" customHeight="1">
      <c r="A690" s="342"/>
      <c r="B690" s="343"/>
      <c r="C690" s="344"/>
      <c r="D690" s="342"/>
      <c r="E690" s="342"/>
      <c r="F690" s="342"/>
      <c r="G690" s="342"/>
      <c r="H690" s="342"/>
      <c r="I690" s="342"/>
      <c r="J690" s="342"/>
      <c r="K690" s="342"/>
      <c r="L690" s="342"/>
      <c r="M690" s="342"/>
    </row>
    <row r="691" ht="15.75" customHeight="1">
      <c r="A691" s="342"/>
      <c r="B691" s="343"/>
      <c r="C691" s="344"/>
      <c r="D691" s="342"/>
      <c r="E691" s="342"/>
      <c r="F691" s="342"/>
      <c r="G691" s="342"/>
      <c r="H691" s="342"/>
      <c r="I691" s="342"/>
      <c r="J691" s="342"/>
      <c r="K691" s="342"/>
      <c r="L691" s="342"/>
      <c r="M691" s="342"/>
    </row>
    <row r="692" ht="15.75" customHeight="1">
      <c r="A692" s="342"/>
      <c r="B692" s="343"/>
      <c r="C692" s="344"/>
      <c r="D692" s="342"/>
      <c r="E692" s="342"/>
      <c r="F692" s="342"/>
      <c r="G692" s="342"/>
      <c r="H692" s="342"/>
      <c r="I692" s="342"/>
      <c r="J692" s="342"/>
      <c r="K692" s="342"/>
      <c r="L692" s="342"/>
      <c r="M692" s="342"/>
    </row>
    <row r="693" ht="15.75" customHeight="1">
      <c r="A693" s="342"/>
      <c r="B693" s="343"/>
      <c r="C693" s="344"/>
      <c r="D693" s="342"/>
      <c r="E693" s="342"/>
      <c r="F693" s="342"/>
      <c r="G693" s="342"/>
      <c r="H693" s="342"/>
      <c r="I693" s="342"/>
      <c r="J693" s="342"/>
      <c r="K693" s="342"/>
      <c r="L693" s="342"/>
      <c r="M693" s="342"/>
    </row>
    <row r="694" ht="15.75" customHeight="1">
      <c r="A694" s="342"/>
      <c r="B694" s="343"/>
      <c r="C694" s="344"/>
      <c r="D694" s="342"/>
      <c r="E694" s="342"/>
      <c r="F694" s="342"/>
      <c r="G694" s="342"/>
      <c r="H694" s="342"/>
      <c r="I694" s="342"/>
      <c r="J694" s="342"/>
      <c r="K694" s="342"/>
      <c r="L694" s="342"/>
      <c r="M694" s="342"/>
    </row>
    <row r="695" ht="15.75" customHeight="1">
      <c r="A695" s="342"/>
      <c r="B695" s="343"/>
      <c r="C695" s="344"/>
      <c r="D695" s="342"/>
      <c r="E695" s="342"/>
      <c r="F695" s="342"/>
      <c r="G695" s="342"/>
      <c r="H695" s="342"/>
      <c r="I695" s="342"/>
      <c r="J695" s="342"/>
      <c r="K695" s="342"/>
      <c r="L695" s="342"/>
      <c r="M695" s="342"/>
    </row>
    <row r="696" ht="15.75" customHeight="1">
      <c r="A696" s="342"/>
      <c r="B696" s="343"/>
      <c r="C696" s="344"/>
      <c r="D696" s="342"/>
      <c r="E696" s="342"/>
      <c r="F696" s="342"/>
      <c r="G696" s="342"/>
      <c r="H696" s="342"/>
      <c r="I696" s="342"/>
      <c r="J696" s="342"/>
      <c r="K696" s="342"/>
      <c r="L696" s="342"/>
      <c r="M696" s="342"/>
    </row>
    <row r="697" ht="15.75" customHeight="1">
      <c r="A697" s="342"/>
      <c r="B697" s="343"/>
      <c r="C697" s="344"/>
      <c r="D697" s="342"/>
      <c r="E697" s="342"/>
      <c r="F697" s="342"/>
      <c r="G697" s="342"/>
      <c r="H697" s="342"/>
      <c r="I697" s="342"/>
      <c r="J697" s="342"/>
      <c r="K697" s="342"/>
      <c r="L697" s="342"/>
      <c r="M697" s="342"/>
    </row>
    <row r="698" ht="15.75" customHeight="1">
      <c r="A698" s="342"/>
      <c r="B698" s="343"/>
      <c r="C698" s="344"/>
      <c r="D698" s="342"/>
      <c r="E698" s="342"/>
      <c r="F698" s="342"/>
      <c r="G698" s="342"/>
      <c r="H698" s="342"/>
      <c r="I698" s="342"/>
      <c r="J698" s="342"/>
      <c r="K698" s="342"/>
      <c r="L698" s="342"/>
      <c r="M698" s="342"/>
    </row>
    <row r="699" ht="15.75" customHeight="1">
      <c r="A699" s="342"/>
      <c r="B699" s="343"/>
      <c r="C699" s="344"/>
      <c r="D699" s="342"/>
      <c r="E699" s="342"/>
      <c r="F699" s="342"/>
      <c r="G699" s="342"/>
      <c r="H699" s="342"/>
      <c r="I699" s="342"/>
      <c r="J699" s="342"/>
      <c r="K699" s="342"/>
      <c r="L699" s="342"/>
      <c r="M699" s="342"/>
    </row>
    <row r="700" ht="15.75" customHeight="1">
      <c r="A700" s="342"/>
      <c r="B700" s="343"/>
      <c r="C700" s="344"/>
      <c r="D700" s="342"/>
      <c r="E700" s="342"/>
      <c r="F700" s="342"/>
      <c r="G700" s="342"/>
      <c r="H700" s="342"/>
      <c r="I700" s="342"/>
      <c r="J700" s="342"/>
      <c r="K700" s="342"/>
      <c r="L700" s="342"/>
      <c r="M700" s="342"/>
    </row>
    <row r="701" ht="15.75" customHeight="1">
      <c r="A701" s="342"/>
      <c r="B701" s="343"/>
      <c r="C701" s="344"/>
      <c r="D701" s="342"/>
      <c r="E701" s="342"/>
      <c r="F701" s="342"/>
      <c r="G701" s="342"/>
      <c r="H701" s="342"/>
      <c r="I701" s="342"/>
      <c r="J701" s="342"/>
      <c r="K701" s="342"/>
      <c r="L701" s="342"/>
      <c r="M701" s="342"/>
    </row>
    <row r="702" ht="15.75" customHeight="1">
      <c r="A702" s="342"/>
      <c r="B702" s="343"/>
      <c r="C702" s="344"/>
      <c r="D702" s="342"/>
      <c r="E702" s="342"/>
      <c r="F702" s="342"/>
      <c r="G702" s="342"/>
      <c r="H702" s="342"/>
      <c r="I702" s="342"/>
      <c r="J702" s="342"/>
      <c r="K702" s="342"/>
      <c r="L702" s="342"/>
      <c r="M702" s="342"/>
    </row>
    <row r="703" ht="15.75" customHeight="1">
      <c r="A703" s="342"/>
      <c r="B703" s="343"/>
      <c r="C703" s="344"/>
      <c r="D703" s="342"/>
      <c r="E703" s="342"/>
      <c r="F703" s="342"/>
      <c r="G703" s="342"/>
      <c r="H703" s="342"/>
      <c r="I703" s="342"/>
      <c r="J703" s="342"/>
      <c r="K703" s="342"/>
      <c r="L703" s="342"/>
      <c r="M703" s="342"/>
    </row>
    <row r="704" ht="15.75" customHeight="1">
      <c r="A704" s="342"/>
      <c r="B704" s="343"/>
      <c r="C704" s="344"/>
      <c r="D704" s="342"/>
      <c r="E704" s="342"/>
      <c r="F704" s="342"/>
      <c r="G704" s="342"/>
      <c r="H704" s="342"/>
      <c r="I704" s="342"/>
      <c r="J704" s="342"/>
      <c r="K704" s="342"/>
      <c r="L704" s="342"/>
      <c r="M704" s="342"/>
    </row>
    <row r="705" ht="15.75" customHeight="1">
      <c r="A705" s="342"/>
      <c r="B705" s="343"/>
      <c r="C705" s="344"/>
      <c r="D705" s="342"/>
      <c r="E705" s="342"/>
      <c r="F705" s="342"/>
      <c r="G705" s="342"/>
      <c r="H705" s="342"/>
      <c r="I705" s="342"/>
      <c r="J705" s="342"/>
      <c r="K705" s="342"/>
      <c r="L705" s="342"/>
      <c r="M705" s="342"/>
    </row>
    <row r="706" ht="15.75" customHeight="1">
      <c r="A706" s="342"/>
      <c r="B706" s="343"/>
      <c r="C706" s="344"/>
      <c r="D706" s="342"/>
      <c r="E706" s="342"/>
      <c r="F706" s="342"/>
      <c r="G706" s="342"/>
      <c r="H706" s="342"/>
      <c r="I706" s="342"/>
      <c r="J706" s="342"/>
      <c r="K706" s="342"/>
      <c r="L706" s="342"/>
      <c r="M706" s="342"/>
    </row>
    <row r="707" ht="15.75" customHeight="1">
      <c r="A707" s="342"/>
      <c r="B707" s="343"/>
      <c r="C707" s="344"/>
      <c r="D707" s="342"/>
      <c r="E707" s="342"/>
      <c r="F707" s="342"/>
      <c r="G707" s="342"/>
      <c r="H707" s="342"/>
      <c r="I707" s="342"/>
      <c r="J707" s="342"/>
      <c r="K707" s="342"/>
      <c r="L707" s="342"/>
      <c r="M707" s="342"/>
    </row>
    <row r="708" ht="15.75" customHeight="1">
      <c r="A708" s="342"/>
      <c r="B708" s="343"/>
      <c r="C708" s="344"/>
      <c r="D708" s="342"/>
      <c r="E708" s="342"/>
      <c r="F708" s="342"/>
      <c r="G708" s="342"/>
      <c r="H708" s="342"/>
      <c r="I708" s="342"/>
      <c r="J708" s="342"/>
      <c r="K708" s="342"/>
      <c r="L708" s="342"/>
      <c r="M708" s="342"/>
    </row>
    <row r="709" ht="15.75" customHeight="1">
      <c r="A709" s="342"/>
      <c r="B709" s="343"/>
      <c r="C709" s="344"/>
      <c r="D709" s="342"/>
      <c r="E709" s="342"/>
      <c r="F709" s="342"/>
      <c r="G709" s="342"/>
      <c r="H709" s="342"/>
      <c r="I709" s="342"/>
      <c r="J709" s="342"/>
      <c r="K709" s="342"/>
      <c r="L709" s="342"/>
      <c r="M709" s="342"/>
    </row>
    <row r="710" ht="15.75" customHeight="1">
      <c r="A710" s="342"/>
      <c r="B710" s="343"/>
      <c r="C710" s="344"/>
      <c r="D710" s="342"/>
      <c r="E710" s="342"/>
      <c r="F710" s="342"/>
      <c r="G710" s="342"/>
      <c r="H710" s="342"/>
      <c r="I710" s="342"/>
      <c r="J710" s="342"/>
      <c r="K710" s="342"/>
      <c r="L710" s="342"/>
      <c r="M710" s="342"/>
    </row>
    <row r="711" ht="15.75" customHeight="1">
      <c r="A711" s="342"/>
      <c r="B711" s="343"/>
      <c r="C711" s="344"/>
      <c r="D711" s="342"/>
      <c r="E711" s="342"/>
      <c r="F711" s="342"/>
      <c r="G711" s="342"/>
      <c r="H711" s="342"/>
      <c r="I711" s="342"/>
      <c r="J711" s="342"/>
      <c r="K711" s="342"/>
      <c r="L711" s="342"/>
      <c r="M711" s="342"/>
    </row>
    <row r="712" ht="15.75" customHeight="1">
      <c r="A712" s="342"/>
      <c r="B712" s="343"/>
      <c r="C712" s="344"/>
      <c r="D712" s="342"/>
      <c r="E712" s="342"/>
      <c r="F712" s="342"/>
      <c r="G712" s="342"/>
      <c r="H712" s="342"/>
      <c r="I712" s="342"/>
      <c r="J712" s="342"/>
      <c r="K712" s="342"/>
      <c r="L712" s="342"/>
      <c r="M712" s="342"/>
    </row>
    <row r="713" ht="15.75" customHeight="1">
      <c r="A713" s="342"/>
      <c r="B713" s="343"/>
      <c r="C713" s="344"/>
      <c r="D713" s="342"/>
      <c r="E713" s="342"/>
      <c r="F713" s="342"/>
      <c r="G713" s="342"/>
      <c r="H713" s="342"/>
      <c r="I713" s="342"/>
      <c r="J713" s="342"/>
      <c r="K713" s="342"/>
      <c r="L713" s="342"/>
      <c r="M713" s="342"/>
    </row>
    <row r="714" ht="15.75" customHeight="1">
      <c r="A714" s="342"/>
      <c r="B714" s="343"/>
      <c r="C714" s="344"/>
      <c r="D714" s="342"/>
      <c r="E714" s="342"/>
      <c r="F714" s="342"/>
      <c r="G714" s="342"/>
      <c r="H714" s="342"/>
      <c r="I714" s="342"/>
      <c r="J714" s="342"/>
      <c r="K714" s="342"/>
      <c r="L714" s="342"/>
      <c r="M714" s="342"/>
    </row>
    <row r="715" ht="15.75" customHeight="1">
      <c r="A715" s="342"/>
      <c r="B715" s="343"/>
      <c r="C715" s="344"/>
      <c r="D715" s="342"/>
      <c r="E715" s="342"/>
      <c r="F715" s="342"/>
      <c r="G715" s="342"/>
      <c r="H715" s="342"/>
      <c r="I715" s="342"/>
      <c r="J715" s="342"/>
      <c r="K715" s="342"/>
      <c r="L715" s="342"/>
      <c r="M715" s="342"/>
    </row>
    <row r="716" ht="15.75" customHeight="1">
      <c r="A716" s="342"/>
      <c r="B716" s="343"/>
      <c r="C716" s="344"/>
      <c r="D716" s="342"/>
      <c r="E716" s="342"/>
      <c r="F716" s="342"/>
      <c r="G716" s="342"/>
      <c r="H716" s="342"/>
      <c r="I716" s="342"/>
      <c r="J716" s="342"/>
      <c r="K716" s="342"/>
      <c r="L716" s="342"/>
      <c r="M716" s="342"/>
    </row>
    <row r="717" ht="15.75" customHeight="1">
      <c r="A717" s="342"/>
      <c r="B717" s="343"/>
      <c r="C717" s="344"/>
      <c r="D717" s="342"/>
      <c r="E717" s="342"/>
      <c r="F717" s="342"/>
      <c r="G717" s="342"/>
      <c r="H717" s="342"/>
      <c r="I717" s="342"/>
      <c r="J717" s="342"/>
      <c r="K717" s="342"/>
      <c r="L717" s="342"/>
      <c r="M717" s="342"/>
    </row>
    <row r="718" ht="15.75" customHeight="1">
      <c r="A718" s="342"/>
      <c r="B718" s="343"/>
      <c r="C718" s="344"/>
      <c r="D718" s="342"/>
      <c r="E718" s="342"/>
      <c r="F718" s="342"/>
      <c r="G718" s="342"/>
      <c r="H718" s="342"/>
      <c r="I718" s="342"/>
      <c r="J718" s="342"/>
      <c r="K718" s="342"/>
      <c r="L718" s="342"/>
      <c r="M718" s="342"/>
    </row>
    <row r="719" ht="15.75" customHeight="1">
      <c r="A719" s="342"/>
      <c r="B719" s="343"/>
      <c r="C719" s="344"/>
      <c r="D719" s="342"/>
      <c r="E719" s="342"/>
      <c r="F719" s="342"/>
      <c r="G719" s="342"/>
      <c r="H719" s="342"/>
      <c r="I719" s="342"/>
      <c r="J719" s="342"/>
      <c r="K719" s="342"/>
      <c r="L719" s="342"/>
      <c r="M719" s="342"/>
    </row>
    <row r="720" ht="15.75" customHeight="1">
      <c r="A720" s="342"/>
      <c r="B720" s="343"/>
      <c r="C720" s="344"/>
      <c r="D720" s="342"/>
      <c r="E720" s="342"/>
      <c r="F720" s="342"/>
      <c r="G720" s="342"/>
      <c r="H720" s="342"/>
      <c r="I720" s="342"/>
      <c r="J720" s="342"/>
      <c r="K720" s="342"/>
      <c r="L720" s="342"/>
      <c r="M720" s="342"/>
    </row>
    <row r="721" ht="15.75" customHeight="1">
      <c r="A721" s="342"/>
      <c r="B721" s="343"/>
      <c r="C721" s="344"/>
      <c r="D721" s="342"/>
      <c r="E721" s="342"/>
      <c r="F721" s="342"/>
      <c r="G721" s="342"/>
      <c r="H721" s="342"/>
      <c r="I721" s="342"/>
      <c r="J721" s="342"/>
      <c r="K721" s="342"/>
      <c r="L721" s="342"/>
      <c r="M721" s="342"/>
    </row>
    <row r="722" ht="15.75" customHeight="1">
      <c r="A722" s="342"/>
      <c r="B722" s="343"/>
      <c r="C722" s="344"/>
      <c r="D722" s="342"/>
      <c r="E722" s="342"/>
      <c r="F722" s="342"/>
      <c r="G722" s="342"/>
      <c r="H722" s="342"/>
      <c r="I722" s="342"/>
      <c r="J722" s="342"/>
      <c r="K722" s="342"/>
      <c r="L722" s="342"/>
      <c r="M722" s="342"/>
    </row>
    <row r="723" ht="15.75" customHeight="1">
      <c r="A723" s="342"/>
      <c r="B723" s="343"/>
      <c r="C723" s="344"/>
      <c r="D723" s="342"/>
      <c r="E723" s="342"/>
      <c r="F723" s="342"/>
      <c r="G723" s="342"/>
      <c r="H723" s="342"/>
      <c r="I723" s="342"/>
      <c r="J723" s="342"/>
      <c r="K723" s="342"/>
      <c r="L723" s="342"/>
      <c r="M723" s="342"/>
    </row>
    <row r="724" ht="15.75" customHeight="1">
      <c r="A724" s="342"/>
      <c r="B724" s="343"/>
      <c r="C724" s="344"/>
      <c r="D724" s="342"/>
      <c r="E724" s="342"/>
      <c r="F724" s="342"/>
      <c r="G724" s="342"/>
      <c r="H724" s="342"/>
      <c r="I724" s="342"/>
      <c r="J724" s="342"/>
      <c r="K724" s="342"/>
      <c r="L724" s="342"/>
      <c r="M724" s="342"/>
    </row>
    <row r="725" ht="15.75" customHeight="1">
      <c r="A725" s="342"/>
      <c r="B725" s="343"/>
      <c r="C725" s="344"/>
      <c r="D725" s="342"/>
      <c r="E725" s="342"/>
      <c r="F725" s="342"/>
      <c r="G725" s="342"/>
      <c r="H725" s="342"/>
      <c r="I725" s="342"/>
      <c r="J725" s="342"/>
      <c r="K725" s="342"/>
      <c r="L725" s="342"/>
      <c r="M725" s="342"/>
    </row>
    <row r="726" ht="15.75" customHeight="1">
      <c r="A726" s="342"/>
      <c r="B726" s="343"/>
      <c r="C726" s="344"/>
      <c r="D726" s="342"/>
      <c r="E726" s="342"/>
      <c r="F726" s="342"/>
      <c r="G726" s="342"/>
      <c r="H726" s="342"/>
      <c r="I726" s="342"/>
      <c r="J726" s="342"/>
      <c r="K726" s="342"/>
      <c r="L726" s="342"/>
      <c r="M726" s="342"/>
    </row>
    <row r="727" ht="15.75" customHeight="1">
      <c r="A727" s="342"/>
      <c r="B727" s="343"/>
      <c r="C727" s="344"/>
      <c r="D727" s="342"/>
      <c r="E727" s="342"/>
      <c r="F727" s="342"/>
      <c r="G727" s="342"/>
      <c r="H727" s="342"/>
      <c r="I727" s="342"/>
      <c r="J727" s="342"/>
      <c r="K727" s="342"/>
      <c r="L727" s="342"/>
      <c r="M727" s="342"/>
    </row>
    <row r="728" ht="15.75" customHeight="1">
      <c r="A728" s="342"/>
      <c r="B728" s="343"/>
      <c r="C728" s="344"/>
      <c r="D728" s="342"/>
      <c r="E728" s="342"/>
      <c r="F728" s="342"/>
      <c r="G728" s="342"/>
      <c r="H728" s="342"/>
      <c r="I728" s="342"/>
      <c r="J728" s="342"/>
      <c r="K728" s="342"/>
      <c r="L728" s="342"/>
      <c r="M728" s="342"/>
    </row>
    <row r="729" ht="15.75" customHeight="1">
      <c r="A729" s="342"/>
      <c r="B729" s="343"/>
      <c r="C729" s="344"/>
      <c r="D729" s="342"/>
      <c r="E729" s="342"/>
      <c r="F729" s="342"/>
      <c r="G729" s="342"/>
      <c r="H729" s="342"/>
      <c r="I729" s="342"/>
      <c r="J729" s="342"/>
      <c r="K729" s="342"/>
      <c r="L729" s="342"/>
      <c r="M729" s="342"/>
    </row>
    <row r="730" ht="15.75" customHeight="1">
      <c r="A730" s="342"/>
      <c r="B730" s="343"/>
      <c r="C730" s="344"/>
      <c r="D730" s="342"/>
      <c r="E730" s="342"/>
      <c r="F730" s="342"/>
      <c r="G730" s="342"/>
      <c r="H730" s="342"/>
      <c r="I730" s="342"/>
      <c r="J730" s="342"/>
      <c r="K730" s="342"/>
      <c r="L730" s="342"/>
      <c r="M730" s="342"/>
    </row>
    <row r="731" ht="15.75" customHeight="1">
      <c r="A731" s="342"/>
      <c r="B731" s="343"/>
      <c r="C731" s="344"/>
      <c r="D731" s="342"/>
      <c r="E731" s="342"/>
      <c r="F731" s="342"/>
      <c r="G731" s="342"/>
      <c r="H731" s="342"/>
      <c r="I731" s="342"/>
      <c r="J731" s="342"/>
      <c r="K731" s="342"/>
      <c r="L731" s="342"/>
      <c r="M731" s="342"/>
    </row>
    <row r="732" ht="15.75" customHeight="1">
      <c r="A732" s="342"/>
      <c r="B732" s="343"/>
      <c r="C732" s="344"/>
      <c r="D732" s="342"/>
      <c r="E732" s="342"/>
      <c r="F732" s="342"/>
      <c r="G732" s="342"/>
      <c r="H732" s="342"/>
      <c r="I732" s="342"/>
      <c r="J732" s="342"/>
      <c r="K732" s="342"/>
      <c r="L732" s="342"/>
      <c r="M732" s="342"/>
    </row>
    <row r="733" ht="15.75" customHeight="1">
      <c r="A733" s="342"/>
      <c r="B733" s="343"/>
      <c r="C733" s="344"/>
      <c r="D733" s="342"/>
      <c r="E733" s="342"/>
      <c r="F733" s="342"/>
      <c r="G733" s="342"/>
      <c r="H733" s="342"/>
      <c r="I733" s="342"/>
      <c r="J733" s="342"/>
      <c r="K733" s="342"/>
      <c r="L733" s="342"/>
      <c r="M733" s="342"/>
    </row>
    <row r="734" ht="15.75" customHeight="1">
      <c r="A734" s="342"/>
      <c r="B734" s="343"/>
      <c r="C734" s="344"/>
      <c r="D734" s="342"/>
      <c r="E734" s="342"/>
      <c r="F734" s="342"/>
      <c r="G734" s="342"/>
      <c r="H734" s="342"/>
      <c r="I734" s="342"/>
      <c r="J734" s="342"/>
      <c r="K734" s="342"/>
      <c r="L734" s="342"/>
      <c r="M734" s="342"/>
    </row>
    <row r="735" ht="15.75" customHeight="1">
      <c r="A735" s="342"/>
      <c r="B735" s="343"/>
      <c r="C735" s="344"/>
      <c r="D735" s="342"/>
      <c r="E735" s="342"/>
      <c r="F735" s="342"/>
      <c r="G735" s="342"/>
      <c r="H735" s="342"/>
      <c r="I735" s="342"/>
      <c r="J735" s="342"/>
      <c r="K735" s="342"/>
      <c r="L735" s="342"/>
      <c r="M735" s="342"/>
    </row>
    <row r="736" ht="15.75" customHeight="1">
      <c r="A736" s="342"/>
      <c r="B736" s="343"/>
      <c r="C736" s="344"/>
      <c r="D736" s="342"/>
      <c r="E736" s="342"/>
      <c r="F736" s="342"/>
      <c r="G736" s="342"/>
      <c r="H736" s="342"/>
      <c r="I736" s="342"/>
      <c r="J736" s="342"/>
      <c r="K736" s="342"/>
      <c r="L736" s="342"/>
      <c r="M736" s="342"/>
    </row>
    <row r="737" ht="15.75" customHeight="1">
      <c r="A737" s="342"/>
      <c r="B737" s="343"/>
      <c r="C737" s="344"/>
      <c r="D737" s="342"/>
      <c r="E737" s="342"/>
      <c r="F737" s="342"/>
      <c r="G737" s="342"/>
      <c r="H737" s="342"/>
      <c r="I737" s="342"/>
      <c r="J737" s="342"/>
      <c r="K737" s="342"/>
      <c r="L737" s="342"/>
      <c r="M737" s="342"/>
    </row>
    <row r="738" ht="15.75" customHeight="1">
      <c r="A738" s="342"/>
      <c r="B738" s="343"/>
      <c r="C738" s="344"/>
      <c r="D738" s="342"/>
      <c r="E738" s="342"/>
      <c r="F738" s="342"/>
      <c r="G738" s="342"/>
      <c r="H738" s="342"/>
      <c r="I738" s="342"/>
      <c r="J738" s="342"/>
      <c r="K738" s="342"/>
      <c r="L738" s="342"/>
      <c r="M738" s="342"/>
    </row>
    <row r="739" ht="15.75" customHeight="1">
      <c r="A739" s="342"/>
      <c r="B739" s="343"/>
      <c r="C739" s="344"/>
      <c r="D739" s="342"/>
      <c r="E739" s="342"/>
      <c r="F739" s="342"/>
      <c r="G739" s="342"/>
      <c r="H739" s="342"/>
      <c r="I739" s="342"/>
      <c r="J739" s="342"/>
      <c r="K739" s="342"/>
      <c r="L739" s="342"/>
      <c r="M739" s="342"/>
    </row>
    <row r="740" ht="15.75" customHeight="1">
      <c r="A740" s="342"/>
      <c r="B740" s="343"/>
      <c r="C740" s="344"/>
      <c r="D740" s="342"/>
      <c r="E740" s="342"/>
      <c r="F740" s="342"/>
      <c r="G740" s="342"/>
      <c r="H740" s="342"/>
      <c r="I740" s="342"/>
      <c r="J740" s="342"/>
      <c r="K740" s="342"/>
      <c r="L740" s="342"/>
      <c r="M740" s="342"/>
    </row>
    <row r="741" ht="15.75" customHeight="1">
      <c r="A741" s="342"/>
      <c r="B741" s="343"/>
      <c r="C741" s="344"/>
      <c r="D741" s="342"/>
      <c r="E741" s="342"/>
      <c r="F741" s="342"/>
      <c r="G741" s="342"/>
      <c r="H741" s="342"/>
      <c r="I741" s="342"/>
      <c r="J741" s="342"/>
      <c r="K741" s="342"/>
      <c r="L741" s="342"/>
      <c r="M741" s="342"/>
    </row>
    <row r="742" ht="15.75" customHeight="1">
      <c r="A742" s="342"/>
      <c r="B742" s="343"/>
      <c r="C742" s="344"/>
      <c r="D742" s="342"/>
      <c r="E742" s="342"/>
      <c r="F742" s="342"/>
      <c r="G742" s="342"/>
      <c r="H742" s="342"/>
      <c r="I742" s="342"/>
      <c r="J742" s="342"/>
      <c r="K742" s="342"/>
      <c r="L742" s="342"/>
      <c r="M742" s="342"/>
    </row>
    <row r="743" ht="15.75" customHeight="1">
      <c r="A743" s="342"/>
      <c r="B743" s="343"/>
      <c r="C743" s="344"/>
      <c r="D743" s="342"/>
      <c r="E743" s="342"/>
      <c r="F743" s="342"/>
      <c r="G743" s="342"/>
      <c r="H743" s="342"/>
      <c r="I743" s="342"/>
      <c r="J743" s="342"/>
      <c r="K743" s="342"/>
      <c r="L743" s="342"/>
      <c r="M743" s="342"/>
    </row>
    <row r="744" ht="15.75" customHeight="1">
      <c r="A744" s="342"/>
      <c r="B744" s="343"/>
      <c r="C744" s="344"/>
      <c r="D744" s="342"/>
      <c r="E744" s="342"/>
      <c r="F744" s="342"/>
      <c r="G744" s="342"/>
      <c r="H744" s="342"/>
      <c r="I744" s="342"/>
      <c r="J744" s="342"/>
      <c r="K744" s="342"/>
      <c r="L744" s="342"/>
      <c r="M744" s="342"/>
    </row>
    <row r="745" ht="15.75" customHeight="1">
      <c r="A745" s="342"/>
      <c r="B745" s="343"/>
      <c r="C745" s="344"/>
      <c r="D745" s="342"/>
      <c r="E745" s="342"/>
      <c r="F745" s="342"/>
      <c r="G745" s="342"/>
      <c r="H745" s="342"/>
      <c r="I745" s="342"/>
      <c r="J745" s="342"/>
      <c r="K745" s="342"/>
      <c r="L745" s="342"/>
      <c r="M745" s="342"/>
    </row>
    <row r="746" ht="15.75" customHeight="1">
      <c r="A746" s="342"/>
      <c r="B746" s="343"/>
      <c r="C746" s="344"/>
      <c r="D746" s="342"/>
      <c r="E746" s="342"/>
      <c r="F746" s="342"/>
      <c r="G746" s="342"/>
      <c r="H746" s="342"/>
      <c r="I746" s="342"/>
      <c r="J746" s="342"/>
      <c r="K746" s="342"/>
      <c r="L746" s="342"/>
      <c r="M746" s="342"/>
    </row>
    <row r="747" ht="15.75" customHeight="1">
      <c r="A747" s="342"/>
      <c r="B747" s="343"/>
      <c r="C747" s="344"/>
      <c r="D747" s="342"/>
      <c r="E747" s="342"/>
      <c r="F747" s="342"/>
      <c r="G747" s="342"/>
      <c r="H747" s="342"/>
      <c r="I747" s="342"/>
      <c r="J747" s="342"/>
      <c r="K747" s="342"/>
      <c r="L747" s="342"/>
      <c r="M747" s="342"/>
    </row>
    <row r="748" ht="15.75" customHeight="1">
      <c r="A748" s="342"/>
      <c r="B748" s="343"/>
      <c r="C748" s="344"/>
      <c r="D748" s="342"/>
      <c r="E748" s="342"/>
      <c r="F748" s="342"/>
      <c r="G748" s="342"/>
      <c r="H748" s="342"/>
      <c r="I748" s="342"/>
      <c r="J748" s="342"/>
      <c r="K748" s="342"/>
      <c r="L748" s="342"/>
      <c r="M748" s="342"/>
    </row>
    <row r="749" ht="15.75" customHeight="1">
      <c r="A749" s="342"/>
      <c r="B749" s="343"/>
      <c r="C749" s="344"/>
      <c r="D749" s="342"/>
      <c r="E749" s="342"/>
      <c r="F749" s="342"/>
      <c r="G749" s="342"/>
      <c r="H749" s="342"/>
      <c r="I749" s="342"/>
      <c r="J749" s="342"/>
      <c r="K749" s="342"/>
      <c r="L749" s="342"/>
      <c r="M749" s="342"/>
    </row>
    <row r="750" ht="15.75" customHeight="1">
      <c r="A750" s="342"/>
      <c r="B750" s="343"/>
      <c r="C750" s="344"/>
      <c r="D750" s="342"/>
      <c r="E750" s="342"/>
      <c r="F750" s="342"/>
      <c r="G750" s="342"/>
      <c r="H750" s="342"/>
      <c r="I750" s="342"/>
      <c r="J750" s="342"/>
      <c r="K750" s="342"/>
      <c r="L750" s="342"/>
      <c r="M750" s="342"/>
    </row>
    <row r="751" ht="15.75" customHeight="1">
      <c r="A751" s="342"/>
      <c r="B751" s="343"/>
      <c r="C751" s="344"/>
      <c r="D751" s="342"/>
      <c r="E751" s="342"/>
      <c r="F751" s="342"/>
      <c r="G751" s="342"/>
      <c r="H751" s="342"/>
      <c r="I751" s="342"/>
      <c r="J751" s="342"/>
      <c r="K751" s="342"/>
      <c r="L751" s="342"/>
      <c r="M751" s="342"/>
    </row>
    <row r="752" ht="15.75" customHeight="1">
      <c r="A752" s="342"/>
      <c r="B752" s="343"/>
      <c r="C752" s="344"/>
      <c r="D752" s="342"/>
      <c r="E752" s="342"/>
      <c r="F752" s="342"/>
      <c r="G752" s="342"/>
      <c r="H752" s="342"/>
      <c r="I752" s="342"/>
      <c r="J752" s="342"/>
      <c r="K752" s="342"/>
      <c r="L752" s="342"/>
      <c r="M752" s="342"/>
    </row>
    <row r="753" ht="15.75" customHeight="1">
      <c r="A753" s="342"/>
      <c r="B753" s="343"/>
      <c r="C753" s="344"/>
      <c r="D753" s="342"/>
      <c r="E753" s="342"/>
      <c r="F753" s="342"/>
      <c r="G753" s="342"/>
      <c r="H753" s="342"/>
      <c r="I753" s="342"/>
      <c r="J753" s="342"/>
      <c r="K753" s="342"/>
      <c r="L753" s="342"/>
      <c r="M753" s="342"/>
    </row>
    <row r="754" ht="15.75" customHeight="1">
      <c r="A754" s="342"/>
      <c r="B754" s="343"/>
      <c r="C754" s="344"/>
      <c r="D754" s="342"/>
      <c r="E754" s="342"/>
      <c r="F754" s="342"/>
      <c r="G754" s="342"/>
      <c r="H754" s="342"/>
      <c r="I754" s="342"/>
      <c r="J754" s="342"/>
      <c r="K754" s="342"/>
      <c r="L754" s="342"/>
      <c r="M754" s="342"/>
    </row>
    <row r="755" ht="15.75" customHeight="1">
      <c r="A755" s="342"/>
      <c r="B755" s="343"/>
      <c r="C755" s="344"/>
      <c r="D755" s="342"/>
      <c r="E755" s="342"/>
      <c r="F755" s="342"/>
      <c r="G755" s="342"/>
      <c r="H755" s="342"/>
      <c r="I755" s="342"/>
      <c r="J755" s="342"/>
      <c r="K755" s="342"/>
      <c r="L755" s="342"/>
      <c r="M755" s="342"/>
    </row>
    <row r="756" ht="15.75" customHeight="1">
      <c r="A756" s="342"/>
      <c r="B756" s="343"/>
      <c r="C756" s="344"/>
      <c r="D756" s="342"/>
      <c r="E756" s="342"/>
      <c r="F756" s="342"/>
      <c r="G756" s="342"/>
      <c r="H756" s="342"/>
      <c r="I756" s="342"/>
      <c r="J756" s="342"/>
      <c r="K756" s="342"/>
      <c r="L756" s="342"/>
      <c r="M756" s="342"/>
    </row>
    <row r="757" ht="15.75" customHeight="1">
      <c r="A757" s="342"/>
      <c r="B757" s="343"/>
      <c r="C757" s="344"/>
      <c r="D757" s="342"/>
      <c r="E757" s="342"/>
      <c r="F757" s="342"/>
      <c r="G757" s="342"/>
      <c r="H757" s="342"/>
      <c r="I757" s="342"/>
      <c r="J757" s="342"/>
      <c r="K757" s="342"/>
      <c r="L757" s="342"/>
      <c r="M757" s="342"/>
    </row>
    <row r="758" ht="15.75" customHeight="1">
      <c r="A758" s="342"/>
      <c r="B758" s="343"/>
      <c r="C758" s="344"/>
      <c r="D758" s="342"/>
      <c r="E758" s="342"/>
      <c r="F758" s="342"/>
      <c r="G758" s="342"/>
      <c r="H758" s="342"/>
      <c r="I758" s="342"/>
      <c r="J758" s="342"/>
      <c r="K758" s="342"/>
      <c r="L758" s="342"/>
      <c r="M758" s="342"/>
    </row>
    <row r="759" ht="15.75" customHeight="1">
      <c r="A759" s="342"/>
      <c r="B759" s="343"/>
      <c r="C759" s="344"/>
      <c r="D759" s="342"/>
      <c r="E759" s="342"/>
      <c r="F759" s="342"/>
      <c r="G759" s="342"/>
      <c r="H759" s="342"/>
      <c r="I759" s="342"/>
      <c r="J759" s="342"/>
      <c r="K759" s="342"/>
      <c r="L759" s="342"/>
      <c r="M759" s="342"/>
    </row>
    <row r="760" ht="15.75" customHeight="1">
      <c r="A760" s="342"/>
      <c r="B760" s="343"/>
      <c r="C760" s="344"/>
      <c r="D760" s="342"/>
      <c r="E760" s="342"/>
      <c r="F760" s="342"/>
      <c r="G760" s="342"/>
      <c r="H760" s="342"/>
      <c r="I760" s="342"/>
      <c r="J760" s="342"/>
      <c r="K760" s="342"/>
      <c r="L760" s="342"/>
      <c r="M760" s="342"/>
    </row>
    <row r="761" ht="15.75" customHeight="1">
      <c r="A761" s="342"/>
      <c r="B761" s="343"/>
      <c r="C761" s="344"/>
      <c r="D761" s="342"/>
      <c r="E761" s="342"/>
      <c r="F761" s="342"/>
      <c r="G761" s="342"/>
      <c r="H761" s="342"/>
      <c r="I761" s="342"/>
      <c r="J761" s="342"/>
      <c r="K761" s="342"/>
      <c r="L761" s="342"/>
      <c r="M761" s="342"/>
    </row>
    <row r="762" ht="15.75" customHeight="1">
      <c r="A762" s="342"/>
      <c r="B762" s="343"/>
      <c r="C762" s="344"/>
      <c r="D762" s="342"/>
      <c r="E762" s="342"/>
      <c r="F762" s="342"/>
      <c r="G762" s="342"/>
      <c r="H762" s="342"/>
      <c r="I762" s="342"/>
      <c r="J762" s="342"/>
      <c r="K762" s="342"/>
      <c r="L762" s="342"/>
      <c r="M762" s="342"/>
    </row>
    <row r="763" ht="15.75" customHeight="1">
      <c r="A763" s="342"/>
      <c r="B763" s="343"/>
      <c r="C763" s="344"/>
      <c r="D763" s="342"/>
      <c r="E763" s="342"/>
      <c r="F763" s="342"/>
      <c r="G763" s="342"/>
      <c r="H763" s="342"/>
      <c r="I763" s="342"/>
      <c r="J763" s="342"/>
      <c r="K763" s="342"/>
      <c r="L763" s="342"/>
      <c r="M763" s="342"/>
    </row>
    <row r="764" ht="15.75" customHeight="1">
      <c r="A764" s="342"/>
      <c r="B764" s="343"/>
      <c r="C764" s="344"/>
      <c r="D764" s="342"/>
      <c r="E764" s="342"/>
      <c r="F764" s="342"/>
      <c r="G764" s="342"/>
      <c r="H764" s="342"/>
      <c r="I764" s="342"/>
      <c r="J764" s="342"/>
      <c r="K764" s="342"/>
      <c r="L764" s="342"/>
      <c r="M764" s="342"/>
    </row>
    <row r="765" ht="15.75" customHeight="1">
      <c r="A765" s="342"/>
      <c r="B765" s="343"/>
      <c r="C765" s="344"/>
      <c r="D765" s="342"/>
      <c r="E765" s="342"/>
      <c r="F765" s="342"/>
      <c r="G765" s="342"/>
      <c r="H765" s="342"/>
      <c r="I765" s="342"/>
      <c r="J765" s="342"/>
      <c r="K765" s="342"/>
      <c r="L765" s="342"/>
      <c r="M765" s="342"/>
    </row>
    <row r="766" ht="15.75" customHeight="1">
      <c r="A766" s="342"/>
      <c r="B766" s="343"/>
      <c r="C766" s="344"/>
      <c r="D766" s="342"/>
      <c r="E766" s="342"/>
      <c r="F766" s="342"/>
      <c r="G766" s="342"/>
      <c r="H766" s="342"/>
      <c r="I766" s="342"/>
      <c r="J766" s="342"/>
      <c r="K766" s="342"/>
      <c r="L766" s="342"/>
      <c r="M766" s="342"/>
    </row>
    <row r="767" ht="15.75" customHeight="1">
      <c r="A767" s="342"/>
      <c r="B767" s="343"/>
      <c r="C767" s="344"/>
      <c r="D767" s="342"/>
      <c r="E767" s="342"/>
      <c r="F767" s="342"/>
      <c r="G767" s="342"/>
      <c r="H767" s="342"/>
      <c r="I767" s="342"/>
      <c r="J767" s="342"/>
      <c r="K767" s="342"/>
      <c r="L767" s="342"/>
      <c r="M767" s="342"/>
    </row>
    <row r="768" ht="15.75" customHeight="1">
      <c r="A768" s="342"/>
      <c r="B768" s="343"/>
      <c r="C768" s="344"/>
      <c r="D768" s="342"/>
      <c r="E768" s="342"/>
      <c r="F768" s="342"/>
      <c r="G768" s="342"/>
      <c r="H768" s="342"/>
      <c r="I768" s="342"/>
      <c r="J768" s="342"/>
      <c r="K768" s="342"/>
      <c r="L768" s="342"/>
      <c r="M768" s="342"/>
    </row>
    <row r="769" ht="15.75" customHeight="1">
      <c r="A769" s="342"/>
      <c r="B769" s="343"/>
      <c r="C769" s="344"/>
      <c r="D769" s="342"/>
      <c r="E769" s="342"/>
      <c r="F769" s="342"/>
      <c r="G769" s="342"/>
      <c r="H769" s="342"/>
      <c r="I769" s="342"/>
      <c r="J769" s="342"/>
      <c r="K769" s="342"/>
      <c r="L769" s="342"/>
      <c r="M769" s="342"/>
    </row>
    <row r="770" ht="15.75" customHeight="1">
      <c r="A770" s="342"/>
      <c r="B770" s="343"/>
      <c r="C770" s="344"/>
      <c r="D770" s="342"/>
      <c r="E770" s="342"/>
      <c r="F770" s="342"/>
      <c r="G770" s="342"/>
      <c r="H770" s="342"/>
      <c r="I770" s="342"/>
      <c r="J770" s="342"/>
      <c r="K770" s="342"/>
      <c r="L770" s="342"/>
      <c r="M770" s="342"/>
    </row>
    <row r="771" ht="15.75" customHeight="1">
      <c r="A771" s="342"/>
      <c r="B771" s="343"/>
      <c r="C771" s="344"/>
      <c r="D771" s="342"/>
      <c r="E771" s="342"/>
      <c r="F771" s="342"/>
      <c r="G771" s="342"/>
      <c r="H771" s="342"/>
      <c r="I771" s="342"/>
      <c r="J771" s="342"/>
      <c r="K771" s="342"/>
      <c r="L771" s="342"/>
      <c r="M771" s="342"/>
    </row>
    <row r="772" ht="15.75" customHeight="1">
      <c r="A772" s="342"/>
      <c r="B772" s="343"/>
      <c r="C772" s="344"/>
      <c r="D772" s="342"/>
      <c r="E772" s="342"/>
      <c r="F772" s="342"/>
      <c r="G772" s="342"/>
      <c r="H772" s="342"/>
      <c r="I772" s="342"/>
      <c r="J772" s="342"/>
      <c r="K772" s="342"/>
      <c r="L772" s="342"/>
      <c r="M772" s="342"/>
    </row>
    <row r="773" ht="15.75" customHeight="1">
      <c r="A773" s="342"/>
      <c r="B773" s="343"/>
      <c r="C773" s="344"/>
      <c r="D773" s="342"/>
      <c r="E773" s="342"/>
      <c r="F773" s="342"/>
      <c r="G773" s="342"/>
      <c r="H773" s="342"/>
      <c r="I773" s="342"/>
      <c r="J773" s="342"/>
      <c r="K773" s="342"/>
      <c r="L773" s="342"/>
      <c r="M773" s="342"/>
    </row>
    <row r="774" ht="15.75" customHeight="1">
      <c r="A774" s="342"/>
      <c r="B774" s="343"/>
      <c r="C774" s="344"/>
      <c r="D774" s="342"/>
      <c r="E774" s="342"/>
      <c r="F774" s="342"/>
      <c r="G774" s="342"/>
      <c r="H774" s="342"/>
      <c r="I774" s="342"/>
      <c r="J774" s="342"/>
      <c r="K774" s="342"/>
      <c r="L774" s="342"/>
      <c r="M774" s="342"/>
    </row>
    <row r="775" ht="15.75" customHeight="1">
      <c r="A775" s="342"/>
      <c r="B775" s="343"/>
      <c r="C775" s="344"/>
      <c r="D775" s="342"/>
      <c r="E775" s="342"/>
      <c r="F775" s="342"/>
      <c r="G775" s="342"/>
      <c r="H775" s="342"/>
      <c r="I775" s="342"/>
      <c r="J775" s="342"/>
      <c r="K775" s="342"/>
      <c r="L775" s="342"/>
      <c r="M775" s="342"/>
    </row>
    <row r="776" ht="15.75" customHeight="1">
      <c r="A776" s="342"/>
      <c r="B776" s="343"/>
      <c r="C776" s="344"/>
      <c r="D776" s="342"/>
      <c r="E776" s="342"/>
      <c r="F776" s="342"/>
      <c r="G776" s="342"/>
      <c r="H776" s="342"/>
      <c r="I776" s="342"/>
      <c r="J776" s="342"/>
      <c r="K776" s="342"/>
      <c r="L776" s="342"/>
      <c r="M776" s="342"/>
    </row>
    <row r="777" ht="15.75" customHeight="1">
      <c r="A777" s="342"/>
      <c r="B777" s="343"/>
      <c r="C777" s="344"/>
      <c r="D777" s="342"/>
      <c r="E777" s="342"/>
      <c r="F777" s="342"/>
      <c r="G777" s="342"/>
      <c r="H777" s="342"/>
      <c r="I777" s="342"/>
      <c r="J777" s="342"/>
      <c r="K777" s="342"/>
      <c r="L777" s="342"/>
      <c r="M777" s="342"/>
    </row>
    <row r="778" ht="15.75" customHeight="1">
      <c r="A778" s="342"/>
      <c r="B778" s="343"/>
      <c r="C778" s="344"/>
      <c r="D778" s="342"/>
      <c r="E778" s="342"/>
      <c r="F778" s="342"/>
      <c r="G778" s="342"/>
      <c r="H778" s="342"/>
      <c r="I778" s="342"/>
      <c r="J778" s="342"/>
      <c r="K778" s="342"/>
      <c r="L778" s="342"/>
      <c r="M778" s="342"/>
    </row>
    <row r="779" ht="15.75" customHeight="1">
      <c r="A779" s="342"/>
      <c r="B779" s="343"/>
      <c r="C779" s="344"/>
      <c r="D779" s="342"/>
      <c r="E779" s="342"/>
      <c r="F779" s="342"/>
      <c r="G779" s="342"/>
      <c r="H779" s="342"/>
      <c r="I779" s="342"/>
      <c r="J779" s="342"/>
      <c r="K779" s="342"/>
      <c r="L779" s="342"/>
      <c r="M779" s="342"/>
    </row>
    <row r="780" ht="15.75" customHeight="1">
      <c r="A780" s="342"/>
      <c r="B780" s="343"/>
      <c r="C780" s="344"/>
      <c r="D780" s="342"/>
      <c r="E780" s="342"/>
      <c r="F780" s="342"/>
      <c r="G780" s="342"/>
      <c r="H780" s="342"/>
      <c r="I780" s="342"/>
      <c r="J780" s="342"/>
      <c r="K780" s="342"/>
      <c r="L780" s="342"/>
      <c r="M780" s="342"/>
    </row>
    <row r="781" ht="15.75" customHeight="1">
      <c r="A781" s="342"/>
      <c r="B781" s="343"/>
      <c r="C781" s="344"/>
      <c r="D781" s="342"/>
      <c r="E781" s="342"/>
      <c r="F781" s="342"/>
      <c r="G781" s="342"/>
      <c r="H781" s="342"/>
      <c r="I781" s="342"/>
      <c r="J781" s="342"/>
      <c r="K781" s="342"/>
      <c r="L781" s="342"/>
      <c r="M781" s="342"/>
    </row>
    <row r="782" ht="15.75" customHeight="1">
      <c r="A782" s="342"/>
      <c r="B782" s="343"/>
      <c r="C782" s="344"/>
      <c r="D782" s="342"/>
      <c r="E782" s="342"/>
      <c r="F782" s="342"/>
      <c r="G782" s="342"/>
      <c r="H782" s="342"/>
      <c r="I782" s="342"/>
      <c r="J782" s="342"/>
      <c r="K782" s="342"/>
      <c r="L782" s="342"/>
      <c r="M782" s="342"/>
    </row>
    <row r="783" ht="15.75" customHeight="1">
      <c r="A783" s="342"/>
      <c r="B783" s="343"/>
      <c r="C783" s="344"/>
      <c r="D783" s="342"/>
      <c r="E783" s="342"/>
      <c r="F783" s="342"/>
      <c r="G783" s="342"/>
      <c r="H783" s="342"/>
      <c r="I783" s="342"/>
      <c r="J783" s="342"/>
      <c r="K783" s="342"/>
      <c r="L783" s="342"/>
      <c r="M783" s="342"/>
    </row>
    <row r="784" ht="15.75" customHeight="1">
      <c r="A784" s="342"/>
      <c r="B784" s="343"/>
      <c r="C784" s="344"/>
      <c r="D784" s="342"/>
      <c r="E784" s="342"/>
      <c r="F784" s="342"/>
      <c r="G784" s="342"/>
      <c r="H784" s="342"/>
      <c r="I784" s="342"/>
      <c r="J784" s="342"/>
      <c r="K784" s="342"/>
      <c r="L784" s="342"/>
      <c r="M784" s="342"/>
    </row>
    <row r="785" ht="15.75" customHeight="1">
      <c r="A785" s="342"/>
      <c r="B785" s="343"/>
      <c r="C785" s="344"/>
      <c r="D785" s="342"/>
      <c r="E785" s="342"/>
      <c r="F785" s="342"/>
      <c r="G785" s="342"/>
      <c r="H785" s="342"/>
      <c r="I785" s="342"/>
      <c r="J785" s="342"/>
      <c r="K785" s="342"/>
      <c r="L785" s="342"/>
      <c r="M785" s="342"/>
    </row>
    <row r="786" ht="15.75" customHeight="1">
      <c r="A786" s="342"/>
      <c r="B786" s="343"/>
      <c r="C786" s="344"/>
      <c r="D786" s="342"/>
      <c r="E786" s="342"/>
      <c r="F786" s="342"/>
      <c r="G786" s="342"/>
      <c r="H786" s="342"/>
      <c r="I786" s="342"/>
      <c r="J786" s="342"/>
      <c r="K786" s="342"/>
      <c r="L786" s="342"/>
      <c r="M786" s="342"/>
    </row>
    <row r="787" ht="15.75" customHeight="1">
      <c r="A787" s="342"/>
      <c r="B787" s="343"/>
      <c r="C787" s="344"/>
      <c r="D787" s="342"/>
      <c r="E787" s="342"/>
      <c r="F787" s="342"/>
      <c r="G787" s="342"/>
      <c r="H787" s="342"/>
      <c r="I787" s="342"/>
      <c r="J787" s="342"/>
      <c r="K787" s="342"/>
      <c r="L787" s="342"/>
      <c r="M787" s="342"/>
    </row>
    <row r="788" ht="15.75" customHeight="1">
      <c r="A788" s="342"/>
      <c r="B788" s="343"/>
      <c r="C788" s="344"/>
      <c r="D788" s="342"/>
      <c r="E788" s="342"/>
      <c r="F788" s="342"/>
      <c r="G788" s="342"/>
      <c r="H788" s="342"/>
      <c r="I788" s="342"/>
      <c r="J788" s="342"/>
      <c r="K788" s="342"/>
      <c r="L788" s="342"/>
      <c r="M788" s="342"/>
    </row>
    <row r="789" ht="15.75" customHeight="1">
      <c r="A789" s="342"/>
      <c r="B789" s="343"/>
      <c r="C789" s="344"/>
      <c r="D789" s="342"/>
      <c r="E789" s="342"/>
      <c r="F789" s="342"/>
      <c r="G789" s="342"/>
      <c r="H789" s="342"/>
      <c r="I789" s="342"/>
      <c r="J789" s="342"/>
      <c r="K789" s="342"/>
      <c r="L789" s="342"/>
      <c r="M789" s="342"/>
    </row>
    <row r="790" ht="15.75" customHeight="1">
      <c r="A790" s="342"/>
      <c r="B790" s="343"/>
      <c r="C790" s="344"/>
      <c r="D790" s="342"/>
      <c r="E790" s="342"/>
      <c r="F790" s="342"/>
      <c r="G790" s="342"/>
      <c r="H790" s="342"/>
      <c r="I790" s="342"/>
      <c r="J790" s="342"/>
      <c r="K790" s="342"/>
      <c r="L790" s="342"/>
      <c r="M790" s="342"/>
    </row>
    <row r="791" ht="15.75" customHeight="1">
      <c r="A791" s="342"/>
      <c r="B791" s="343"/>
      <c r="C791" s="344"/>
      <c r="D791" s="342"/>
      <c r="E791" s="342"/>
      <c r="F791" s="342"/>
      <c r="G791" s="342"/>
      <c r="H791" s="342"/>
      <c r="I791" s="342"/>
      <c r="J791" s="342"/>
      <c r="K791" s="342"/>
      <c r="L791" s="342"/>
      <c r="M791" s="342"/>
    </row>
    <row r="792" ht="15.75" customHeight="1">
      <c r="A792" s="342"/>
      <c r="B792" s="343"/>
      <c r="C792" s="344"/>
      <c r="D792" s="342"/>
      <c r="E792" s="342"/>
      <c r="F792" s="342"/>
      <c r="G792" s="342"/>
      <c r="H792" s="342"/>
      <c r="I792" s="342"/>
      <c r="J792" s="342"/>
      <c r="K792" s="342"/>
      <c r="L792" s="342"/>
      <c r="M792" s="342"/>
    </row>
    <row r="793" ht="15.75" customHeight="1">
      <c r="A793" s="342"/>
      <c r="B793" s="343"/>
      <c r="C793" s="344"/>
      <c r="D793" s="342"/>
      <c r="E793" s="342"/>
      <c r="F793" s="342"/>
      <c r="G793" s="342"/>
      <c r="H793" s="342"/>
      <c r="I793" s="342"/>
      <c r="J793" s="342"/>
      <c r="K793" s="342"/>
      <c r="L793" s="342"/>
      <c r="M793" s="342"/>
    </row>
    <row r="794" ht="15.75" customHeight="1">
      <c r="A794" s="342"/>
      <c r="B794" s="343"/>
      <c r="C794" s="344"/>
      <c r="D794" s="342"/>
      <c r="E794" s="342"/>
      <c r="F794" s="342"/>
      <c r="G794" s="342"/>
      <c r="H794" s="342"/>
      <c r="I794" s="342"/>
      <c r="J794" s="342"/>
      <c r="K794" s="342"/>
      <c r="L794" s="342"/>
      <c r="M794" s="342"/>
    </row>
    <row r="795" ht="15.75" customHeight="1">
      <c r="A795" s="342"/>
      <c r="B795" s="343"/>
      <c r="C795" s="344"/>
      <c r="D795" s="342"/>
      <c r="E795" s="342"/>
      <c r="F795" s="342"/>
      <c r="G795" s="342"/>
      <c r="H795" s="342"/>
      <c r="I795" s="342"/>
      <c r="J795" s="342"/>
      <c r="K795" s="342"/>
      <c r="L795" s="342"/>
      <c r="M795" s="342"/>
    </row>
    <row r="796" ht="15.75" customHeight="1">
      <c r="A796" s="342"/>
      <c r="B796" s="343"/>
      <c r="C796" s="344"/>
      <c r="D796" s="342"/>
      <c r="E796" s="342"/>
      <c r="F796" s="342"/>
      <c r="G796" s="342"/>
      <c r="H796" s="342"/>
      <c r="I796" s="342"/>
      <c r="J796" s="342"/>
      <c r="K796" s="342"/>
      <c r="L796" s="342"/>
      <c r="M796" s="342"/>
    </row>
    <row r="797" ht="15.75" customHeight="1">
      <c r="A797" s="342"/>
      <c r="B797" s="343"/>
      <c r="C797" s="344"/>
      <c r="D797" s="342"/>
      <c r="E797" s="342"/>
      <c r="F797" s="342"/>
      <c r="G797" s="342"/>
      <c r="H797" s="342"/>
      <c r="I797" s="342"/>
      <c r="J797" s="342"/>
      <c r="K797" s="342"/>
      <c r="L797" s="342"/>
      <c r="M797" s="342"/>
    </row>
    <row r="798" ht="15.75" customHeight="1">
      <c r="A798" s="342"/>
      <c r="B798" s="343"/>
      <c r="C798" s="344"/>
      <c r="D798" s="342"/>
      <c r="E798" s="342"/>
      <c r="F798" s="342"/>
      <c r="G798" s="342"/>
      <c r="H798" s="342"/>
      <c r="I798" s="342"/>
      <c r="J798" s="342"/>
      <c r="K798" s="342"/>
      <c r="L798" s="342"/>
      <c r="M798" s="342"/>
    </row>
    <row r="799" ht="15.75" customHeight="1">
      <c r="A799" s="342"/>
      <c r="B799" s="343"/>
      <c r="C799" s="344"/>
      <c r="D799" s="342"/>
      <c r="E799" s="342"/>
      <c r="F799" s="342"/>
      <c r="G799" s="342"/>
      <c r="H799" s="342"/>
      <c r="I799" s="342"/>
      <c r="J799" s="342"/>
      <c r="K799" s="342"/>
      <c r="L799" s="342"/>
      <c r="M799" s="342"/>
    </row>
    <row r="800" ht="15.75" customHeight="1">
      <c r="A800" s="342"/>
      <c r="B800" s="343"/>
      <c r="C800" s="344"/>
      <c r="D800" s="342"/>
      <c r="E800" s="342"/>
      <c r="F800" s="342"/>
      <c r="G800" s="342"/>
      <c r="H800" s="342"/>
      <c r="I800" s="342"/>
      <c r="J800" s="342"/>
      <c r="K800" s="342"/>
      <c r="L800" s="342"/>
      <c r="M800" s="342"/>
    </row>
    <row r="801" ht="15.75" customHeight="1">
      <c r="A801" s="342"/>
      <c r="B801" s="343"/>
      <c r="C801" s="344"/>
      <c r="D801" s="342"/>
      <c r="E801" s="342"/>
      <c r="F801" s="342"/>
      <c r="G801" s="342"/>
      <c r="H801" s="342"/>
      <c r="I801" s="342"/>
      <c r="J801" s="342"/>
      <c r="K801" s="342"/>
      <c r="L801" s="342"/>
      <c r="M801" s="342"/>
    </row>
    <row r="802" ht="15.75" customHeight="1">
      <c r="A802" s="342"/>
      <c r="B802" s="343"/>
      <c r="C802" s="344"/>
      <c r="D802" s="342"/>
      <c r="E802" s="342"/>
      <c r="F802" s="342"/>
      <c r="G802" s="342"/>
      <c r="H802" s="342"/>
      <c r="I802" s="342"/>
      <c r="J802" s="342"/>
      <c r="K802" s="342"/>
      <c r="L802" s="342"/>
      <c r="M802" s="342"/>
    </row>
    <row r="803" ht="15.75" customHeight="1">
      <c r="A803" s="342"/>
      <c r="B803" s="343"/>
      <c r="C803" s="344"/>
      <c r="D803" s="342"/>
      <c r="E803" s="342"/>
      <c r="F803" s="342"/>
      <c r="G803" s="342"/>
      <c r="H803" s="342"/>
      <c r="I803" s="342"/>
      <c r="J803" s="342"/>
      <c r="K803" s="342"/>
      <c r="L803" s="342"/>
      <c r="M803" s="342"/>
    </row>
    <row r="804" ht="15.75" customHeight="1">
      <c r="A804" s="342"/>
      <c r="B804" s="343"/>
      <c r="C804" s="344"/>
      <c r="D804" s="342"/>
      <c r="E804" s="342"/>
      <c r="F804" s="342"/>
      <c r="G804" s="342"/>
      <c r="H804" s="342"/>
      <c r="I804" s="342"/>
      <c r="J804" s="342"/>
      <c r="K804" s="342"/>
      <c r="L804" s="342"/>
      <c r="M804" s="342"/>
    </row>
    <row r="805" ht="15.75" customHeight="1">
      <c r="A805" s="342"/>
      <c r="B805" s="343"/>
      <c r="C805" s="344"/>
      <c r="D805" s="342"/>
      <c r="E805" s="342"/>
      <c r="F805" s="342"/>
      <c r="G805" s="342"/>
      <c r="H805" s="342"/>
      <c r="I805" s="342"/>
      <c r="J805" s="342"/>
      <c r="K805" s="342"/>
      <c r="L805" s="342"/>
      <c r="M805" s="342"/>
    </row>
    <row r="806" ht="15.75" customHeight="1">
      <c r="A806" s="342"/>
      <c r="B806" s="343"/>
      <c r="C806" s="344"/>
      <c r="D806" s="342"/>
      <c r="E806" s="342"/>
      <c r="F806" s="342"/>
      <c r="G806" s="342"/>
      <c r="H806" s="342"/>
      <c r="I806" s="342"/>
      <c r="J806" s="342"/>
      <c r="K806" s="342"/>
      <c r="L806" s="342"/>
      <c r="M806" s="342"/>
    </row>
    <row r="807" ht="15.75" customHeight="1">
      <c r="A807" s="342"/>
      <c r="B807" s="343"/>
      <c r="C807" s="344"/>
      <c r="D807" s="342"/>
      <c r="E807" s="342"/>
      <c r="F807" s="342"/>
      <c r="G807" s="342"/>
      <c r="H807" s="342"/>
      <c r="I807" s="342"/>
      <c r="J807" s="342"/>
      <c r="K807" s="342"/>
      <c r="L807" s="342"/>
      <c r="M807" s="342"/>
    </row>
    <row r="808" ht="15.75" customHeight="1">
      <c r="A808" s="342"/>
      <c r="B808" s="343"/>
      <c r="C808" s="344"/>
      <c r="D808" s="342"/>
      <c r="E808" s="342"/>
      <c r="F808" s="342"/>
      <c r="G808" s="342"/>
      <c r="H808" s="342"/>
      <c r="I808" s="342"/>
      <c r="J808" s="342"/>
      <c r="K808" s="342"/>
      <c r="L808" s="342"/>
      <c r="M808" s="342"/>
    </row>
    <row r="809" ht="15.75" customHeight="1">
      <c r="A809" s="342"/>
      <c r="B809" s="343"/>
      <c r="C809" s="344"/>
      <c r="D809" s="342"/>
      <c r="E809" s="342"/>
      <c r="F809" s="342"/>
      <c r="G809" s="342"/>
      <c r="H809" s="342"/>
      <c r="I809" s="342"/>
      <c r="J809" s="342"/>
      <c r="K809" s="342"/>
      <c r="L809" s="342"/>
      <c r="M809" s="342"/>
    </row>
    <row r="810" ht="15.75" customHeight="1">
      <c r="A810" s="342"/>
      <c r="B810" s="343"/>
      <c r="C810" s="344"/>
      <c r="D810" s="342"/>
      <c r="E810" s="342"/>
      <c r="F810" s="342"/>
      <c r="G810" s="342"/>
      <c r="H810" s="342"/>
      <c r="I810" s="342"/>
      <c r="J810" s="342"/>
      <c r="K810" s="342"/>
      <c r="L810" s="342"/>
      <c r="M810" s="342"/>
    </row>
    <row r="811" ht="15.75" customHeight="1">
      <c r="A811" s="342"/>
      <c r="B811" s="343"/>
      <c r="C811" s="344"/>
      <c r="D811" s="342"/>
      <c r="E811" s="342"/>
      <c r="F811" s="342"/>
      <c r="G811" s="342"/>
      <c r="H811" s="342"/>
      <c r="I811" s="342"/>
      <c r="J811" s="342"/>
      <c r="K811" s="342"/>
      <c r="L811" s="342"/>
      <c r="M811" s="342"/>
    </row>
    <row r="812" ht="15.75" customHeight="1">
      <c r="A812" s="342"/>
      <c r="B812" s="343"/>
      <c r="C812" s="344"/>
      <c r="D812" s="342"/>
      <c r="E812" s="342"/>
      <c r="F812" s="342"/>
      <c r="G812" s="342"/>
      <c r="H812" s="342"/>
      <c r="I812" s="342"/>
      <c r="J812" s="342"/>
      <c r="K812" s="342"/>
      <c r="L812" s="342"/>
      <c r="M812" s="342"/>
    </row>
    <row r="813" ht="15.75" customHeight="1">
      <c r="A813" s="342"/>
      <c r="B813" s="343"/>
      <c r="C813" s="344"/>
      <c r="D813" s="342"/>
      <c r="E813" s="342"/>
      <c r="F813" s="342"/>
      <c r="G813" s="342"/>
      <c r="H813" s="342"/>
      <c r="I813" s="342"/>
      <c r="J813" s="342"/>
      <c r="K813" s="342"/>
      <c r="L813" s="342"/>
      <c r="M813" s="342"/>
    </row>
    <row r="814" ht="15.75" customHeight="1">
      <c r="A814" s="342"/>
      <c r="B814" s="343"/>
      <c r="C814" s="344"/>
      <c r="D814" s="342"/>
      <c r="E814" s="342"/>
      <c r="F814" s="342"/>
      <c r="G814" s="342"/>
      <c r="H814" s="342"/>
      <c r="I814" s="342"/>
      <c r="J814" s="342"/>
      <c r="K814" s="342"/>
      <c r="L814" s="342"/>
      <c r="M814" s="342"/>
    </row>
    <row r="815" ht="15.75" customHeight="1">
      <c r="A815" s="342"/>
      <c r="B815" s="343"/>
      <c r="C815" s="344"/>
      <c r="D815" s="342"/>
      <c r="E815" s="342"/>
      <c r="F815" s="342"/>
      <c r="G815" s="342"/>
      <c r="H815" s="342"/>
      <c r="I815" s="342"/>
      <c r="J815" s="342"/>
      <c r="K815" s="342"/>
      <c r="L815" s="342"/>
      <c r="M815" s="342"/>
    </row>
    <row r="816" ht="15.75" customHeight="1">
      <c r="A816" s="342"/>
      <c r="B816" s="343"/>
      <c r="C816" s="344"/>
      <c r="D816" s="342"/>
      <c r="E816" s="342"/>
      <c r="F816" s="342"/>
      <c r="G816" s="342"/>
      <c r="H816" s="342"/>
      <c r="I816" s="342"/>
      <c r="J816" s="342"/>
      <c r="K816" s="342"/>
      <c r="L816" s="342"/>
      <c r="M816" s="342"/>
    </row>
    <row r="817" ht="15.75" customHeight="1">
      <c r="A817" s="342"/>
      <c r="B817" s="343"/>
      <c r="C817" s="344"/>
      <c r="D817" s="342"/>
      <c r="E817" s="342"/>
      <c r="F817" s="342"/>
      <c r="G817" s="342"/>
      <c r="H817" s="342"/>
      <c r="I817" s="342"/>
      <c r="J817" s="342"/>
      <c r="K817" s="342"/>
      <c r="L817" s="342"/>
      <c r="M817" s="342"/>
    </row>
    <row r="818" ht="15.75" customHeight="1">
      <c r="A818" s="342"/>
      <c r="B818" s="343"/>
      <c r="C818" s="344"/>
      <c r="D818" s="342"/>
      <c r="E818" s="342"/>
      <c r="F818" s="342"/>
      <c r="G818" s="342"/>
      <c r="H818" s="342"/>
      <c r="I818" s="342"/>
      <c r="J818" s="342"/>
      <c r="K818" s="342"/>
      <c r="L818" s="342"/>
      <c r="M818" s="342"/>
    </row>
    <row r="819" ht="15.75" customHeight="1">
      <c r="A819" s="342"/>
      <c r="B819" s="343"/>
      <c r="C819" s="344"/>
      <c r="D819" s="342"/>
      <c r="E819" s="342"/>
      <c r="F819" s="342"/>
      <c r="G819" s="342"/>
      <c r="H819" s="342"/>
      <c r="I819" s="342"/>
      <c r="J819" s="342"/>
      <c r="K819" s="342"/>
      <c r="L819" s="342"/>
      <c r="M819" s="342"/>
    </row>
    <row r="820" ht="15.75" customHeight="1">
      <c r="A820" s="342"/>
      <c r="B820" s="343"/>
      <c r="C820" s="344"/>
      <c r="D820" s="342"/>
      <c r="E820" s="342"/>
      <c r="F820" s="342"/>
      <c r="G820" s="342"/>
      <c r="H820" s="342"/>
      <c r="I820" s="342"/>
      <c r="J820" s="342"/>
      <c r="K820" s="342"/>
      <c r="L820" s="342"/>
      <c r="M820" s="342"/>
    </row>
    <row r="821" ht="15.75" customHeight="1">
      <c r="A821" s="342"/>
      <c r="B821" s="343"/>
      <c r="C821" s="344"/>
      <c r="D821" s="342"/>
      <c r="E821" s="342"/>
      <c r="F821" s="342"/>
      <c r="G821" s="342"/>
      <c r="H821" s="342"/>
      <c r="I821" s="342"/>
      <c r="J821" s="342"/>
      <c r="K821" s="342"/>
      <c r="L821" s="342"/>
      <c r="M821" s="342"/>
    </row>
    <row r="822" ht="15.75" customHeight="1">
      <c r="A822" s="342"/>
      <c r="B822" s="343"/>
      <c r="C822" s="344"/>
      <c r="D822" s="342"/>
      <c r="E822" s="342"/>
      <c r="F822" s="342"/>
      <c r="G822" s="342"/>
      <c r="H822" s="342"/>
      <c r="I822" s="342"/>
      <c r="J822" s="342"/>
      <c r="K822" s="342"/>
      <c r="L822" s="342"/>
      <c r="M822" s="342"/>
    </row>
    <row r="823" ht="15.75" customHeight="1">
      <c r="A823" s="342"/>
      <c r="B823" s="343"/>
      <c r="C823" s="344"/>
      <c r="D823" s="342"/>
      <c r="E823" s="342"/>
      <c r="F823" s="342"/>
      <c r="G823" s="342"/>
      <c r="H823" s="342"/>
      <c r="I823" s="342"/>
      <c r="J823" s="342"/>
      <c r="K823" s="342"/>
      <c r="L823" s="342"/>
      <c r="M823" s="342"/>
    </row>
    <row r="824" ht="15.75" customHeight="1">
      <c r="A824" s="342"/>
      <c r="B824" s="343"/>
      <c r="C824" s="344"/>
      <c r="D824" s="342"/>
      <c r="E824" s="342"/>
      <c r="F824" s="342"/>
      <c r="G824" s="342"/>
      <c r="H824" s="342"/>
      <c r="I824" s="342"/>
      <c r="J824" s="342"/>
      <c r="K824" s="342"/>
      <c r="L824" s="342"/>
      <c r="M824" s="342"/>
    </row>
    <row r="825" ht="15.75" customHeight="1">
      <c r="A825" s="342"/>
      <c r="B825" s="343"/>
      <c r="C825" s="344"/>
      <c r="D825" s="342"/>
      <c r="E825" s="342"/>
      <c r="F825" s="342"/>
      <c r="G825" s="342"/>
      <c r="H825" s="342"/>
      <c r="I825" s="342"/>
      <c r="J825" s="342"/>
      <c r="K825" s="342"/>
      <c r="L825" s="342"/>
      <c r="M825" s="342"/>
    </row>
    <row r="826" ht="15.75" customHeight="1">
      <c r="A826" s="342"/>
      <c r="B826" s="343"/>
      <c r="C826" s="344"/>
      <c r="D826" s="342"/>
      <c r="E826" s="342"/>
      <c r="F826" s="342"/>
      <c r="G826" s="342"/>
      <c r="H826" s="342"/>
      <c r="I826" s="342"/>
      <c r="J826" s="342"/>
      <c r="K826" s="342"/>
      <c r="L826" s="342"/>
      <c r="M826" s="342"/>
    </row>
    <row r="827" ht="15.75" customHeight="1">
      <c r="A827" s="342"/>
      <c r="B827" s="343"/>
      <c r="C827" s="344"/>
      <c r="D827" s="342"/>
      <c r="E827" s="342"/>
      <c r="F827" s="342"/>
      <c r="G827" s="342"/>
      <c r="H827" s="342"/>
      <c r="I827" s="342"/>
      <c r="J827" s="342"/>
      <c r="K827" s="342"/>
      <c r="L827" s="342"/>
      <c r="M827" s="342"/>
    </row>
    <row r="828" ht="15.75" customHeight="1">
      <c r="A828" s="342"/>
      <c r="B828" s="343"/>
      <c r="C828" s="344"/>
      <c r="D828" s="342"/>
      <c r="E828" s="342"/>
      <c r="F828" s="342"/>
      <c r="G828" s="342"/>
      <c r="H828" s="342"/>
      <c r="I828" s="342"/>
      <c r="J828" s="342"/>
      <c r="K828" s="342"/>
      <c r="L828" s="342"/>
      <c r="M828" s="342"/>
    </row>
    <row r="829" ht="15.75" customHeight="1">
      <c r="A829" s="342"/>
      <c r="B829" s="343"/>
      <c r="C829" s="344"/>
      <c r="D829" s="342"/>
      <c r="E829" s="342"/>
      <c r="F829" s="342"/>
      <c r="G829" s="342"/>
      <c r="H829" s="342"/>
      <c r="I829" s="342"/>
      <c r="J829" s="342"/>
      <c r="K829" s="342"/>
      <c r="L829" s="342"/>
      <c r="M829" s="342"/>
    </row>
    <row r="830" ht="15.75" customHeight="1">
      <c r="A830" s="342"/>
      <c r="B830" s="343"/>
      <c r="C830" s="344"/>
      <c r="D830" s="342"/>
      <c r="E830" s="342"/>
      <c r="F830" s="342"/>
      <c r="G830" s="342"/>
      <c r="H830" s="342"/>
      <c r="I830" s="342"/>
      <c r="J830" s="342"/>
      <c r="K830" s="342"/>
      <c r="L830" s="342"/>
      <c r="M830" s="342"/>
    </row>
    <row r="831" ht="15.75" customHeight="1">
      <c r="A831" s="342"/>
      <c r="B831" s="343"/>
      <c r="C831" s="344"/>
      <c r="D831" s="342"/>
      <c r="E831" s="342"/>
      <c r="F831" s="342"/>
      <c r="G831" s="342"/>
      <c r="H831" s="342"/>
      <c r="I831" s="342"/>
      <c r="J831" s="342"/>
      <c r="K831" s="342"/>
      <c r="L831" s="342"/>
      <c r="M831" s="342"/>
    </row>
    <row r="832" ht="15.75" customHeight="1">
      <c r="A832" s="342"/>
      <c r="B832" s="343"/>
      <c r="C832" s="344"/>
      <c r="D832" s="342"/>
      <c r="E832" s="342"/>
      <c r="F832" s="342"/>
      <c r="G832" s="342"/>
      <c r="H832" s="342"/>
      <c r="I832" s="342"/>
      <c r="J832" s="342"/>
      <c r="K832" s="342"/>
      <c r="L832" s="342"/>
      <c r="M832" s="342"/>
    </row>
    <row r="833" ht="15.75" customHeight="1">
      <c r="A833" s="342"/>
      <c r="B833" s="343"/>
      <c r="C833" s="344"/>
      <c r="D833" s="342"/>
      <c r="E833" s="342"/>
      <c r="F833" s="342"/>
      <c r="G833" s="342"/>
      <c r="H833" s="342"/>
      <c r="I833" s="342"/>
      <c r="J833" s="342"/>
      <c r="K833" s="342"/>
      <c r="L833" s="342"/>
      <c r="M833" s="342"/>
    </row>
    <row r="834" ht="15.75" customHeight="1">
      <c r="A834" s="342"/>
      <c r="B834" s="343"/>
      <c r="C834" s="344"/>
      <c r="D834" s="342"/>
      <c r="E834" s="342"/>
      <c r="F834" s="342"/>
      <c r="G834" s="342"/>
      <c r="H834" s="342"/>
      <c r="I834" s="342"/>
      <c r="J834" s="342"/>
      <c r="K834" s="342"/>
      <c r="L834" s="342"/>
      <c r="M834" s="342"/>
    </row>
    <row r="835" ht="15.75" customHeight="1">
      <c r="A835" s="342"/>
      <c r="B835" s="343"/>
      <c r="C835" s="344"/>
      <c r="D835" s="342"/>
      <c r="E835" s="342"/>
      <c r="F835" s="342"/>
      <c r="G835" s="342"/>
      <c r="H835" s="342"/>
      <c r="I835" s="342"/>
      <c r="J835" s="342"/>
      <c r="K835" s="342"/>
      <c r="L835" s="342"/>
      <c r="M835" s="342"/>
    </row>
    <row r="836" ht="15.75" customHeight="1">
      <c r="A836" s="342"/>
      <c r="B836" s="343"/>
      <c r="C836" s="344"/>
      <c r="D836" s="342"/>
      <c r="E836" s="342"/>
      <c r="F836" s="342"/>
      <c r="G836" s="342"/>
      <c r="H836" s="342"/>
      <c r="I836" s="342"/>
      <c r="J836" s="342"/>
      <c r="K836" s="342"/>
      <c r="L836" s="342"/>
      <c r="M836" s="342"/>
    </row>
    <row r="837" ht="15.75" customHeight="1">
      <c r="A837" s="342"/>
      <c r="B837" s="343"/>
      <c r="C837" s="344"/>
      <c r="D837" s="342"/>
      <c r="E837" s="342"/>
      <c r="F837" s="342"/>
      <c r="G837" s="342"/>
      <c r="H837" s="342"/>
      <c r="I837" s="342"/>
      <c r="J837" s="342"/>
      <c r="K837" s="342"/>
      <c r="L837" s="342"/>
      <c r="M837" s="342"/>
    </row>
    <row r="838" ht="15.75" customHeight="1">
      <c r="A838" s="342"/>
      <c r="B838" s="343"/>
      <c r="C838" s="344"/>
      <c r="D838" s="342"/>
      <c r="E838" s="342"/>
      <c r="F838" s="342"/>
      <c r="G838" s="342"/>
      <c r="H838" s="342"/>
      <c r="I838" s="342"/>
      <c r="J838" s="342"/>
      <c r="K838" s="342"/>
      <c r="L838" s="342"/>
      <c r="M838" s="342"/>
    </row>
    <row r="839" ht="15.75" customHeight="1">
      <c r="A839" s="342"/>
      <c r="B839" s="343"/>
      <c r="C839" s="344"/>
      <c r="D839" s="342"/>
      <c r="E839" s="342"/>
      <c r="F839" s="342"/>
      <c r="G839" s="342"/>
      <c r="H839" s="342"/>
      <c r="I839" s="342"/>
      <c r="J839" s="342"/>
      <c r="K839" s="342"/>
      <c r="L839" s="342"/>
      <c r="M839" s="342"/>
    </row>
    <row r="840" ht="15.75" customHeight="1">
      <c r="A840" s="342"/>
      <c r="B840" s="343"/>
      <c r="C840" s="344"/>
      <c r="D840" s="342"/>
      <c r="E840" s="342"/>
      <c r="F840" s="342"/>
      <c r="G840" s="342"/>
      <c r="H840" s="342"/>
      <c r="I840" s="342"/>
      <c r="J840" s="342"/>
      <c r="K840" s="342"/>
      <c r="L840" s="342"/>
      <c r="M840" s="342"/>
    </row>
    <row r="841" ht="15.75" customHeight="1">
      <c r="A841" s="342"/>
      <c r="B841" s="343"/>
      <c r="C841" s="344"/>
      <c r="D841" s="342"/>
      <c r="E841" s="342"/>
      <c r="F841" s="342"/>
      <c r="G841" s="342"/>
      <c r="H841" s="342"/>
      <c r="I841" s="342"/>
      <c r="J841" s="342"/>
      <c r="K841" s="342"/>
      <c r="L841" s="342"/>
      <c r="M841" s="342"/>
    </row>
    <row r="842" ht="15.75" customHeight="1">
      <c r="A842" s="342"/>
      <c r="B842" s="343"/>
      <c r="C842" s="344"/>
      <c r="D842" s="342"/>
      <c r="E842" s="342"/>
      <c r="F842" s="342"/>
      <c r="G842" s="342"/>
      <c r="H842" s="342"/>
      <c r="I842" s="342"/>
      <c r="J842" s="342"/>
      <c r="K842" s="342"/>
      <c r="L842" s="342"/>
      <c r="M842" s="342"/>
    </row>
    <row r="843" ht="15.75" customHeight="1">
      <c r="A843" s="342"/>
      <c r="B843" s="343"/>
      <c r="C843" s="344"/>
      <c r="D843" s="342"/>
      <c r="E843" s="342"/>
      <c r="F843" s="342"/>
      <c r="G843" s="342"/>
      <c r="H843" s="342"/>
      <c r="I843" s="342"/>
      <c r="J843" s="342"/>
      <c r="K843" s="342"/>
      <c r="L843" s="342"/>
      <c r="M843" s="342"/>
    </row>
    <row r="844" ht="15.75" customHeight="1">
      <c r="A844" s="342"/>
      <c r="B844" s="343"/>
      <c r="C844" s="344"/>
      <c r="D844" s="342"/>
      <c r="E844" s="342"/>
      <c r="F844" s="342"/>
      <c r="G844" s="342"/>
      <c r="H844" s="342"/>
      <c r="I844" s="342"/>
      <c r="J844" s="342"/>
      <c r="K844" s="342"/>
      <c r="L844" s="342"/>
      <c r="M844" s="342"/>
    </row>
    <row r="845" ht="15.75" customHeight="1">
      <c r="A845" s="342"/>
      <c r="B845" s="343"/>
      <c r="C845" s="344"/>
      <c r="D845" s="342"/>
      <c r="E845" s="342"/>
      <c r="F845" s="342"/>
      <c r="G845" s="342"/>
      <c r="H845" s="342"/>
      <c r="I845" s="342"/>
      <c r="J845" s="342"/>
      <c r="K845" s="342"/>
      <c r="L845" s="342"/>
      <c r="M845" s="342"/>
    </row>
    <row r="846" ht="15.75" customHeight="1">
      <c r="A846" s="342"/>
      <c r="B846" s="343"/>
      <c r="C846" s="344"/>
      <c r="D846" s="342"/>
      <c r="E846" s="342"/>
      <c r="F846" s="342"/>
      <c r="G846" s="342"/>
      <c r="H846" s="342"/>
      <c r="I846" s="342"/>
      <c r="J846" s="342"/>
      <c r="K846" s="342"/>
      <c r="L846" s="342"/>
      <c r="M846" s="342"/>
    </row>
    <row r="847" ht="15.75" customHeight="1">
      <c r="A847" s="342"/>
      <c r="B847" s="343"/>
      <c r="C847" s="344"/>
      <c r="D847" s="342"/>
      <c r="E847" s="342"/>
      <c r="F847" s="342"/>
      <c r="G847" s="342"/>
      <c r="H847" s="342"/>
      <c r="I847" s="342"/>
      <c r="J847" s="342"/>
      <c r="K847" s="342"/>
      <c r="L847" s="342"/>
      <c r="M847" s="342"/>
    </row>
    <row r="848" ht="15.75" customHeight="1">
      <c r="A848" s="342"/>
      <c r="B848" s="343"/>
      <c r="C848" s="344"/>
      <c r="D848" s="342"/>
      <c r="E848" s="342"/>
      <c r="F848" s="342"/>
      <c r="G848" s="342"/>
      <c r="H848" s="342"/>
      <c r="I848" s="342"/>
      <c r="J848" s="342"/>
      <c r="K848" s="342"/>
      <c r="L848" s="342"/>
      <c r="M848" s="342"/>
    </row>
    <row r="849" ht="15.75" customHeight="1">
      <c r="A849" s="342"/>
      <c r="B849" s="343"/>
      <c r="C849" s="344"/>
      <c r="D849" s="342"/>
      <c r="E849" s="342"/>
      <c r="F849" s="342"/>
      <c r="G849" s="342"/>
      <c r="H849" s="342"/>
      <c r="I849" s="342"/>
      <c r="J849" s="342"/>
      <c r="K849" s="342"/>
      <c r="L849" s="342"/>
      <c r="M849" s="342"/>
    </row>
    <row r="850" ht="15.75" customHeight="1">
      <c r="A850" s="342"/>
      <c r="B850" s="343"/>
      <c r="C850" s="344"/>
      <c r="D850" s="342"/>
      <c r="E850" s="342"/>
      <c r="F850" s="342"/>
      <c r="G850" s="342"/>
      <c r="H850" s="342"/>
      <c r="I850" s="342"/>
      <c r="J850" s="342"/>
      <c r="K850" s="342"/>
      <c r="L850" s="342"/>
      <c r="M850" s="342"/>
    </row>
    <row r="851" ht="15.75" customHeight="1">
      <c r="A851" s="342"/>
      <c r="B851" s="343"/>
      <c r="C851" s="344"/>
      <c r="D851" s="342"/>
      <c r="E851" s="342"/>
      <c r="F851" s="342"/>
      <c r="G851" s="342"/>
      <c r="H851" s="342"/>
      <c r="I851" s="342"/>
      <c r="J851" s="342"/>
      <c r="K851" s="342"/>
      <c r="L851" s="342"/>
      <c r="M851" s="342"/>
    </row>
    <row r="852" ht="15.75" customHeight="1">
      <c r="A852" s="342"/>
      <c r="B852" s="343"/>
      <c r="C852" s="344"/>
      <c r="D852" s="342"/>
      <c r="E852" s="342"/>
      <c r="F852" s="342"/>
      <c r="G852" s="342"/>
      <c r="H852" s="342"/>
      <c r="I852" s="342"/>
      <c r="J852" s="342"/>
      <c r="K852" s="342"/>
      <c r="L852" s="342"/>
      <c r="M852" s="342"/>
    </row>
    <row r="853" ht="15.75" customHeight="1">
      <c r="A853" s="342"/>
      <c r="B853" s="343"/>
      <c r="C853" s="344"/>
      <c r="D853" s="342"/>
      <c r="E853" s="342"/>
      <c r="F853" s="342"/>
      <c r="G853" s="342"/>
      <c r="H853" s="342"/>
      <c r="I853" s="342"/>
      <c r="J853" s="342"/>
      <c r="K853" s="342"/>
      <c r="L853" s="342"/>
      <c r="M853" s="342"/>
    </row>
    <row r="854" ht="15.75" customHeight="1">
      <c r="A854" s="342"/>
      <c r="B854" s="343"/>
      <c r="C854" s="344"/>
      <c r="D854" s="342"/>
      <c r="E854" s="342"/>
      <c r="F854" s="342"/>
      <c r="G854" s="342"/>
      <c r="H854" s="342"/>
      <c r="I854" s="342"/>
      <c r="J854" s="342"/>
      <c r="K854" s="342"/>
      <c r="L854" s="342"/>
      <c r="M854" s="342"/>
    </row>
    <row r="855" ht="15.75" customHeight="1">
      <c r="A855" s="342"/>
      <c r="B855" s="343"/>
      <c r="C855" s="344"/>
      <c r="D855" s="342"/>
      <c r="E855" s="342"/>
      <c r="F855" s="342"/>
      <c r="G855" s="342"/>
      <c r="H855" s="342"/>
      <c r="I855" s="342"/>
      <c r="J855" s="342"/>
      <c r="K855" s="342"/>
      <c r="L855" s="342"/>
      <c r="M855" s="342"/>
    </row>
    <row r="856" ht="15.75" customHeight="1">
      <c r="A856" s="342"/>
      <c r="B856" s="343"/>
      <c r="C856" s="344"/>
      <c r="D856" s="342"/>
      <c r="E856" s="342"/>
      <c r="F856" s="342"/>
      <c r="G856" s="342"/>
      <c r="H856" s="342"/>
      <c r="I856" s="342"/>
      <c r="J856" s="342"/>
      <c r="K856" s="342"/>
      <c r="L856" s="342"/>
      <c r="M856" s="342"/>
    </row>
    <row r="857" ht="15.75" customHeight="1">
      <c r="A857" s="342"/>
      <c r="B857" s="343"/>
      <c r="C857" s="344"/>
      <c r="D857" s="342"/>
      <c r="E857" s="342"/>
      <c r="F857" s="342"/>
      <c r="G857" s="342"/>
      <c r="H857" s="342"/>
      <c r="I857" s="342"/>
      <c r="J857" s="342"/>
      <c r="K857" s="342"/>
      <c r="L857" s="342"/>
      <c r="M857" s="342"/>
    </row>
    <row r="858" ht="15.75" customHeight="1">
      <c r="A858" s="342"/>
      <c r="B858" s="343"/>
      <c r="C858" s="344"/>
      <c r="D858" s="342"/>
      <c r="E858" s="342"/>
      <c r="F858" s="342"/>
      <c r="G858" s="342"/>
      <c r="H858" s="342"/>
      <c r="I858" s="342"/>
      <c r="J858" s="342"/>
      <c r="K858" s="342"/>
      <c r="L858" s="342"/>
      <c r="M858" s="342"/>
    </row>
    <row r="859" ht="15.75" customHeight="1">
      <c r="A859" s="342"/>
      <c r="B859" s="343"/>
      <c r="C859" s="344"/>
      <c r="D859" s="342"/>
      <c r="E859" s="342"/>
      <c r="F859" s="342"/>
      <c r="G859" s="342"/>
      <c r="H859" s="342"/>
      <c r="I859" s="342"/>
      <c r="J859" s="342"/>
      <c r="K859" s="342"/>
      <c r="L859" s="342"/>
      <c r="M859" s="342"/>
    </row>
    <row r="860" ht="15.75" customHeight="1">
      <c r="A860" s="342"/>
      <c r="B860" s="343"/>
      <c r="C860" s="344"/>
      <c r="D860" s="342"/>
      <c r="E860" s="342"/>
      <c r="F860" s="342"/>
      <c r="G860" s="342"/>
      <c r="H860" s="342"/>
      <c r="I860" s="342"/>
      <c r="J860" s="342"/>
      <c r="K860" s="342"/>
      <c r="L860" s="342"/>
      <c r="M860" s="342"/>
    </row>
    <row r="861" ht="15.75" customHeight="1">
      <c r="A861" s="342"/>
      <c r="B861" s="343"/>
      <c r="C861" s="344"/>
      <c r="D861" s="342"/>
      <c r="E861" s="342"/>
      <c r="F861" s="342"/>
      <c r="G861" s="342"/>
      <c r="H861" s="342"/>
      <c r="I861" s="342"/>
      <c r="J861" s="342"/>
      <c r="K861" s="342"/>
      <c r="L861" s="342"/>
      <c r="M861" s="342"/>
    </row>
    <row r="862" ht="15.75" customHeight="1">
      <c r="A862" s="342"/>
      <c r="B862" s="343"/>
      <c r="C862" s="344"/>
      <c r="D862" s="342"/>
      <c r="E862" s="342"/>
      <c r="F862" s="342"/>
      <c r="G862" s="342"/>
      <c r="H862" s="342"/>
      <c r="I862" s="342"/>
      <c r="J862" s="342"/>
      <c r="K862" s="342"/>
      <c r="L862" s="342"/>
      <c r="M862" s="342"/>
    </row>
    <row r="863" ht="15.75" customHeight="1">
      <c r="A863" s="342"/>
      <c r="B863" s="343"/>
      <c r="C863" s="344"/>
      <c r="D863" s="342"/>
      <c r="E863" s="342"/>
      <c r="F863" s="342"/>
      <c r="G863" s="342"/>
      <c r="H863" s="342"/>
      <c r="I863" s="342"/>
      <c r="J863" s="342"/>
      <c r="K863" s="342"/>
      <c r="L863" s="342"/>
      <c r="M863" s="342"/>
    </row>
    <row r="864" ht="15.75" customHeight="1">
      <c r="A864" s="342"/>
      <c r="B864" s="343"/>
      <c r="C864" s="344"/>
      <c r="D864" s="342"/>
      <c r="E864" s="342"/>
      <c r="F864" s="342"/>
      <c r="G864" s="342"/>
      <c r="H864" s="342"/>
      <c r="I864" s="342"/>
      <c r="J864" s="342"/>
      <c r="K864" s="342"/>
      <c r="L864" s="342"/>
      <c r="M864" s="342"/>
    </row>
    <row r="865" ht="15.75" customHeight="1">
      <c r="A865" s="342"/>
      <c r="B865" s="343"/>
      <c r="C865" s="344"/>
      <c r="D865" s="342"/>
      <c r="E865" s="342"/>
      <c r="F865" s="342"/>
      <c r="G865" s="342"/>
      <c r="H865" s="342"/>
      <c r="I865" s="342"/>
      <c r="J865" s="342"/>
      <c r="K865" s="342"/>
      <c r="L865" s="342"/>
      <c r="M865" s="342"/>
    </row>
    <row r="866" ht="15.75" customHeight="1">
      <c r="A866" s="342"/>
      <c r="B866" s="343"/>
      <c r="C866" s="344"/>
      <c r="D866" s="342"/>
      <c r="E866" s="342"/>
      <c r="F866" s="342"/>
      <c r="G866" s="342"/>
      <c r="H866" s="342"/>
      <c r="I866" s="342"/>
      <c r="J866" s="342"/>
      <c r="K866" s="342"/>
      <c r="L866" s="342"/>
      <c r="M866" s="342"/>
    </row>
    <row r="867" ht="15.75" customHeight="1">
      <c r="A867" s="342"/>
      <c r="B867" s="343"/>
      <c r="C867" s="344"/>
      <c r="D867" s="342"/>
      <c r="E867" s="342"/>
      <c r="F867" s="342"/>
      <c r="G867" s="342"/>
      <c r="H867" s="342"/>
      <c r="I867" s="342"/>
      <c r="J867" s="342"/>
      <c r="K867" s="342"/>
      <c r="L867" s="342"/>
      <c r="M867" s="342"/>
    </row>
    <row r="868" ht="15.75" customHeight="1">
      <c r="A868" s="342"/>
      <c r="B868" s="343"/>
      <c r="C868" s="344"/>
      <c r="D868" s="342"/>
      <c r="E868" s="342"/>
      <c r="F868" s="342"/>
      <c r="G868" s="342"/>
      <c r="H868" s="342"/>
      <c r="I868" s="342"/>
      <c r="J868" s="342"/>
      <c r="K868" s="342"/>
      <c r="L868" s="342"/>
      <c r="M868" s="342"/>
    </row>
    <row r="869" ht="15.75" customHeight="1">
      <c r="A869" s="342"/>
      <c r="B869" s="343"/>
      <c r="C869" s="344"/>
      <c r="D869" s="342"/>
      <c r="E869" s="342"/>
      <c r="F869" s="342"/>
      <c r="G869" s="342"/>
      <c r="H869" s="342"/>
      <c r="I869" s="342"/>
      <c r="J869" s="342"/>
      <c r="K869" s="342"/>
      <c r="L869" s="342"/>
      <c r="M869" s="342"/>
    </row>
    <row r="870" ht="15.75" customHeight="1">
      <c r="A870" s="342"/>
      <c r="B870" s="343"/>
      <c r="C870" s="344"/>
      <c r="D870" s="342"/>
      <c r="E870" s="342"/>
      <c r="F870" s="342"/>
      <c r="G870" s="342"/>
      <c r="H870" s="342"/>
      <c r="I870" s="342"/>
      <c r="J870" s="342"/>
      <c r="K870" s="342"/>
      <c r="L870" s="342"/>
      <c r="M870" s="342"/>
    </row>
    <row r="871" ht="15.75" customHeight="1">
      <c r="A871" s="342"/>
      <c r="B871" s="343"/>
      <c r="C871" s="344"/>
      <c r="D871" s="342"/>
      <c r="E871" s="342"/>
      <c r="F871" s="342"/>
      <c r="G871" s="342"/>
      <c r="H871" s="342"/>
      <c r="I871" s="342"/>
      <c r="J871" s="342"/>
      <c r="K871" s="342"/>
      <c r="L871" s="342"/>
      <c r="M871" s="342"/>
    </row>
    <row r="872" ht="15.75" customHeight="1">
      <c r="A872" s="342"/>
      <c r="B872" s="343"/>
      <c r="C872" s="344"/>
      <c r="D872" s="342"/>
      <c r="E872" s="342"/>
      <c r="F872" s="342"/>
      <c r="G872" s="342"/>
      <c r="H872" s="342"/>
      <c r="I872" s="342"/>
      <c r="J872" s="342"/>
      <c r="K872" s="342"/>
      <c r="L872" s="342"/>
      <c r="M872" s="342"/>
    </row>
    <row r="873" ht="15.75" customHeight="1">
      <c r="A873" s="342"/>
      <c r="B873" s="343"/>
      <c r="C873" s="344"/>
      <c r="D873" s="342"/>
      <c r="E873" s="342"/>
      <c r="F873" s="342"/>
      <c r="G873" s="342"/>
      <c r="H873" s="342"/>
      <c r="I873" s="342"/>
      <c r="J873" s="342"/>
      <c r="K873" s="342"/>
      <c r="L873" s="342"/>
      <c r="M873" s="342"/>
    </row>
    <row r="874" ht="15.75" customHeight="1">
      <c r="A874" s="342"/>
      <c r="B874" s="343"/>
      <c r="C874" s="344"/>
      <c r="D874" s="342"/>
      <c r="E874" s="342"/>
      <c r="F874" s="342"/>
      <c r="G874" s="342"/>
      <c r="H874" s="342"/>
      <c r="I874" s="342"/>
      <c r="J874" s="342"/>
      <c r="K874" s="342"/>
      <c r="L874" s="342"/>
      <c r="M874" s="342"/>
    </row>
    <row r="875" ht="15.75" customHeight="1">
      <c r="A875" s="342"/>
      <c r="B875" s="343"/>
      <c r="C875" s="344"/>
      <c r="D875" s="342"/>
      <c r="E875" s="342"/>
      <c r="F875" s="342"/>
      <c r="G875" s="342"/>
      <c r="H875" s="342"/>
      <c r="I875" s="342"/>
      <c r="J875" s="342"/>
      <c r="K875" s="342"/>
      <c r="L875" s="342"/>
      <c r="M875" s="342"/>
    </row>
    <row r="876" ht="15.75" customHeight="1">
      <c r="A876" s="342"/>
      <c r="B876" s="343"/>
      <c r="C876" s="344"/>
      <c r="D876" s="342"/>
      <c r="E876" s="342"/>
      <c r="F876" s="342"/>
      <c r="G876" s="342"/>
      <c r="H876" s="342"/>
      <c r="I876" s="342"/>
      <c r="J876" s="342"/>
      <c r="K876" s="342"/>
      <c r="L876" s="342"/>
      <c r="M876" s="342"/>
    </row>
    <row r="877" ht="15.75" customHeight="1">
      <c r="A877" s="342"/>
      <c r="B877" s="343"/>
      <c r="C877" s="344"/>
      <c r="D877" s="342"/>
      <c r="E877" s="342"/>
      <c r="F877" s="342"/>
      <c r="G877" s="342"/>
      <c r="H877" s="342"/>
      <c r="I877" s="342"/>
      <c r="J877" s="342"/>
      <c r="K877" s="342"/>
      <c r="L877" s="342"/>
      <c r="M877" s="342"/>
    </row>
    <row r="878" ht="15.75" customHeight="1">
      <c r="A878" s="342"/>
      <c r="B878" s="343"/>
      <c r="C878" s="344"/>
      <c r="D878" s="342"/>
      <c r="E878" s="342"/>
      <c r="F878" s="342"/>
      <c r="G878" s="342"/>
      <c r="H878" s="342"/>
      <c r="I878" s="342"/>
      <c r="J878" s="342"/>
      <c r="K878" s="342"/>
      <c r="L878" s="342"/>
      <c r="M878" s="342"/>
    </row>
    <row r="879" ht="15.75" customHeight="1">
      <c r="A879" s="342"/>
      <c r="B879" s="343"/>
      <c r="C879" s="344"/>
      <c r="D879" s="342"/>
      <c r="E879" s="342"/>
      <c r="F879" s="342"/>
      <c r="G879" s="342"/>
      <c r="H879" s="342"/>
      <c r="I879" s="342"/>
      <c r="J879" s="342"/>
      <c r="K879" s="342"/>
      <c r="L879" s="342"/>
      <c r="M879" s="342"/>
    </row>
    <row r="880" ht="15.75" customHeight="1">
      <c r="A880" s="342"/>
      <c r="B880" s="343"/>
      <c r="C880" s="344"/>
      <c r="D880" s="342"/>
      <c r="E880" s="342"/>
      <c r="F880" s="342"/>
      <c r="G880" s="342"/>
      <c r="H880" s="342"/>
      <c r="I880" s="342"/>
      <c r="J880" s="342"/>
      <c r="K880" s="342"/>
      <c r="L880" s="342"/>
      <c r="M880" s="342"/>
    </row>
    <row r="881" ht="15.75" customHeight="1">
      <c r="A881" s="342"/>
      <c r="B881" s="343"/>
      <c r="C881" s="344"/>
      <c r="D881" s="342"/>
      <c r="E881" s="342"/>
      <c r="F881" s="342"/>
      <c r="G881" s="342"/>
      <c r="H881" s="342"/>
      <c r="I881" s="342"/>
      <c r="J881" s="342"/>
      <c r="K881" s="342"/>
      <c r="L881" s="342"/>
      <c r="M881" s="342"/>
    </row>
    <row r="882" ht="15.75" customHeight="1">
      <c r="A882" s="342"/>
      <c r="B882" s="343"/>
      <c r="C882" s="344"/>
      <c r="D882" s="342"/>
      <c r="E882" s="342"/>
      <c r="F882" s="342"/>
      <c r="G882" s="342"/>
      <c r="H882" s="342"/>
      <c r="I882" s="342"/>
      <c r="J882" s="342"/>
      <c r="K882" s="342"/>
      <c r="L882" s="342"/>
      <c r="M882" s="342"/>
    </row>
    <row r="883" ht="15.75" customHeight="1">
      <c r="A883" s="342"/>
      <c r="B883" s="343"/>
      <c r="C883" s="344"/>
      <c r="D883" s="342"/>
      <c r="E883" s="342"/>
      <c r="F883" s="342"/>
      <c r="G883" s="342"/>
      <c r="H883" s="342"/>
      <c r="I883" s="342"/>
      <c r="J883" s="342"/>
      <c r="K883" s="342"/>
      <c r="L883" s="342"/>
      <c r="M883" s="342"/>
    </row>
    <row r="884" ht="15.75" customHeight="1">
      <c r="A884" s="342"/>
      <c r="B884" s="343"/>
      <c r="C884" s="344"/>
      <c r="D884" s="342"/>
      <c r="E884" s="342"/>
      <c r="F884" s="342"/>
      <c r="G884" s="342"/>
      <c r="H884" s="342"/>
      <c r="I884" s="342"/>
      <c r="J884" s="342"/>
      <c r="K884" s="342"/>
      <c r="L884" s="342"/>
      <c r="M884" s="342"/>
    </row>
    <row r="885" ht="15.75" customHeight="1">
      <c r="A885" s="342"/>
      <c r="B885" s="343"/>
      <c r="C885" s="344"/>
      <c r="D885" s="342"/>
      <c r="E885" s="342"/>
      <c r="F885" s="342"/>
      <c r="G885" s="342"/>
      <c r="H885" s="342"/>
      <c r="I885" s="342"/>
      <c r="J885" s="342"/>
      <c r="K885" s="342"/>
      <c r="L885" s="342"/>
      <c r="M885" s="342"/>
    </row>
    <row r="886" ht="15.75" customHeight="1">
      <c r="A886" s="342"/>
      <c r="B886" s="343"/>
      <c r="C886" s="344"/>
      <c r="D886" s="342"/>
      <c r="E886" s="342"/>
      <c r="F886" s="342"/>
      <c r="G886" s="342"/>
      <c r="H886" s="342"/>
      <c r="I886" s="342"/>
      <c r="J886" s="342"/>
      <c r="K886" s="342"/>
      <c r="L886" s="342"/>
      <c r="M886" s="342"/>
    </row>
    <row r="887" ht="15.75" customHeight="1">
      <c r="A887" s="342"/>
      <c r="B887" s="343"/>
      <c r="C887" s="344"/>
      <c r="D887" s="342"/>
      <c r="E887" s="342"/>
      <c r="F887" s="342"/>
      <c r="G887" s="342"/>
      <c r="H887" s="342"/>
      <c r="I887" s="342"/>
      <c r="J887" s="342"/>
      <c r="K887" s="342"/>
      <c r="L887" s="342"/>
      <c r="M887" s="342"/>
    </row>
    <row r="888" ht="15.75" customHeight="1">
      <c r="A888" s="342"/>
      <c r="B888" s="343"/>
      <c r="C888" s="344"/>
      <c r="D888" s="342"/>
      <c r="E888" s="342"/>
      <c r="F888" s="342"/>
      <c r="G888" s="342"/>
      <c r="H888" s="342"/>
      <c r="I888" s="342"/>
      <c r="J888" s="342"/>
      <c r="K888" s="342"/>
      <c r="L888" s="342"/>
      <c r="M888" s="342"/>
    </row>
    <row r="889" ht="15.75" customHeight="1">
      <c r="A889" s="342"/>
      <c r="B889" s="343"/>
      <c r="C889" s="344"/>
      <c r="D889" s="342"/>
      <c r="E889" s="342"/>
      <c r="F889" s="342"/>
      <c r="G889" s="342"/>
      <c r="H889" s="342"/>
      <c r="I889" s="342"/>
      <c r="J889" s="342"/>
      <c r="K889" s="342"/>
      <c r="L889" s="342"/>
      <c r="M889" s="342"/>
    </row>
    <row r="890" ht="15.75" customHeight="1">
      <c r="A890" s="342"/>
      <c r="B890" s="343"/>
      <c r="C890" s="344"/>
      <c r="D890" s="342"/>
      <c r="E890" s="342"/>
      <c r="F890" s="342"/>
      <c r="G890" s="342"/>
      <c r="H890" s="342"/>
      <c r="I890" s="342"/>
      <c r="J890" s="342"/>
      <c r="K890" s="342"/>
      <c r="L890" s="342"/>
      <c r="M890" s="342"/>
    </row>
    <row r="891" ht="15.75" customHeight="1">
      <c r="A891" s="342"/>
      <c r="B891" s="343"/>
      <c r="C891" s="344"/>
      <c r="D891" s="342"/>
      <c r="E891" s="342"/>
      <c r="F891" s="342"/>
      <c r="G891" s="342"/>
      <c r="H891" s="342"/>
      <c r="I891" s="342"/>
      <c r="J891" s="342"/>
      <c r="K891" s="342"/>
      <c r="L891" s="342"/>
      <c r="M891" s="342"/>
    </row>
    <row r="892" ht="15.75" customHeight="1">
      <c r="A892" s="342"/>
      <c r="B892" s="343"/>
      <c r="C892" s="344"/>
      <c r="D892" s="342"/>
      <c r="E892" s="342"/>
      <c r="F892" s="342"/>
      <c r="G892" s="342"/>
      <c r="H892" s="342"/>
      <c r="I892" s="342"/>
      <c r="J892" s="342"/>
      <c r="K892" s="342"/>
      <c r="L892" s="342"/>
      <c r="M892" s="342"/>
    </row>
    <row r="893" ht="15.75" customHeight="1">
      <c r="A893" s="342"/>
      <c r="B893" s="343"/>
      <c r="C893" s="344"/>
      <c r="D893" s="342"/>
      <c r="E893" s="342"/>
      <c r="F893" s="342"/>
      <c r="G893" s="342"/>
      <c r="H893" s="342"/>
      <c r="I893" s="342"/>
      <c r="J893" s="342"/>
      <c r="K893" s="342"/>
      <c r="L893" s="342"/>
      <c r="M893" s="342"/>
    </row>
    <row r="894" ht="15.75" customHeight="1">
      <c r="A894" s="342"/>
      <c r="B894" s="343"/>
      <c r="C894" s="344"/>
      <c r="D894" s="342"/>
      <c r="E894" s="342"/>
      <c r="F894" s="342"/>
      <c r="G894" s="342"/>
      <c r="H894" s="342"/>
      <c r="I894" s="342"/>
      <c r="J894" s="342"/>
      <c r="K894" s="342"/>
      <c r="L894" s="342"/>
      <c r="M894" s="342"/>
    </row>
    <row r="895" ht="15.75" customHeight="1">
      <c r="A895" s="342"/>
      <c r="B895" s="343"/>
      <c r="C895" s="344"/>
      <c r="D895" s="342"/>
      <c r="E895" s="342"/>
      <c r="F895" s="342"/>
      <c r="G895" s="342"/>
      <c r="H895" s="342"/>
      <c r="I895" s="342"/>
      <c r="J895" s="342"/>
      <c r="K895" s="342"/>
      <c r="L895" s="342"/>
      <c r="M895" s="342"/>
    </row>
    <row r="896" ht="15.75" customHeight="1">
      <c r="A896" s="342"/>
      <c r="B896" s="343"/>
      <c r="C896" s="344"/>
      <c r="D896" s="342"/>
      <c r="E896" s="342"/>
      <c r="F896" s="342"/>
      <c r="G896" s="342"/>
      <c r="H896" s="342"/>
      <c r="I896" s="342"/>
      <c r="J896" s="342"/>
      <c r="K896" s="342"/>
      <c r="L896" s="342"/>
      <c r="M896" s="342"/>
    </row>
    <row r="897" ht="15.75" customHeight="1">
      <c r="A897" s="342"/>
      <c r="B897" s="343"/>
      <c r="C897" s="344"/>
      <c r="D897" s="342"/>
      <c r="E897" s="342"/>
      <c r="F897" s="342"/>
      <c r="G897" s="342"/>
      <c r="H897" s="342"/>
      <c r="I897" s="342"/>
      <c r="J897" s="342"/>
      <c r="K897" s="342"/>
      <c r="L897" s="342"/>
      <c r="M897" s="342"/>
    </row>
    <row r="898" ht="15.75" customHeight="1">
      <c r="A898" s="342"/>
      <c r="B898" s="343"/>
      <c r="C898" s="344"/>
      <c r="D898" s="342"/>
      <c r="E898" s="342"/>
      <c r="F898" s="342"/>
      <c r="G898" s="342"/>
      <c r="H898" s="342"/>
      <c r="I898" s="342"/>
      <c r="J898" s="342"/>
      <c r="K898" s="342"/>
      <c r="L898" s="342"/>
      <c r="M898" s="342"/>
    </row>
    <row r="899" ht="15.75" customHeight="1">
      <c r="A899" s="342"/>
      <c r="B899" s="343"/>
      <c r="C899" s="344"/>
      <c r="D899" s="342"/>
      <c r="E899" s="342"/>
      <c r="F899" s="342"/>
      <c r="G899" s="342"/>
      <c r="H899" s="342"/>
      <c r="I899" s="342"/>
      <c r="J899" s="342"/>
      <c r="K899" s="342"/>
      <c r="L899" s="342"/>
      <c r="M899" s="342"/>
    </row>
    <row r="900" ht="15.75" customHeight="1">
      <c r="A900" s="342"/>
      <c r="B900" s="343"/>
      <c r="C900" s="344"/>
      <c r="D900" s="342"/>
      <c r="E900" s="342"/>
      <c r="F900" s="342"/>
      <c r="G900" s="342"/>
      <c r="H900" s="342"/>
      <c r="I900" s="342"/>
      <c r="J900" s="342"/>
      <c r="K900" s="342"/>
      <c r="L900" s="342"/>
      <c r="M900" s="342"/>
    </row>
    <row r="901" ht="15.75" customHeight="1">
      <c r="A901" s="342"/>
      <c r="B901" s="343"/>
      <c r="C901" s="344"/>
      <c r="D901" s="342"/>
      <c r="E901" s="342"/>
      <c r="F901" s="342"/>
      <c r="G901" s="342"/>
      <c r="H901" s="342"/>
      <c r="I901" s="342"/>
      <c r="J901" s="342"/>
      <c r="K901" s="342"/>
      <c r="L901" s="342"/>
      <c r="M901" s="342"/>
    </row>
    <row r="902" ht="15.75" customHeight="1">
      <c r="A902" s="342"/>
      <c r="B902" s="343"/>
      <c r="C902" s="344"/>
      <c r="D902" s="342"/>
      <c r="E902" s="342"/>
      <c r="F902" s="342"/>
      <c r="G902" s="342"/>
      <c r="H902" s="342"/>
      <c r="I902" s="342"/>
      <c r="J902" s="342"/>
      <c r="K902" s="342"/>
      <c r="L902" s="342"/>
      <c r="M902" s="342"/>
    </row>
    <row r="903" ht="15.75" customHeight="1">
      <c r="A903" s="342"/>
      <c r="B903" s="343"/>
      <c r="C903" s="344"/>
      <c r="D903" s="342"/>
      <c r="E903" s="342"/>
      <c r="F903" s="342"/>
      <c r="G903" s="342"/>
      <c r="H903" s="342"/>
      <c r="I903" s="342"/>
      <c r="J903" s="342"/>
      <c r="K903" s="342"/>
      <c r="L903" s="342"/>
      <c r="M903" s="342"/>
    </row>
    <row r="904" ht="15.75" customHeight="1">
      <c r="A904" s="342"/>
      <c r="B904" s="343"/>
      <c r="C904" s="344"/>
      <c r="D904" s="342"/>
      <c r="E904" s="342"/>
      <c r="F904" s="342"/>
      <c r="G904" s="342"/>
      <c r="H904" s="342"/>
      <c r="I904" s="342"/>
      <c r="J904" s="342"/>
      <c r="K904" s="342"/>
      <c r="L904" s="342"/>
      <c r="M904" s="342"/>
    </row>
    <row r="905" ht="15.75" customHeight="1">
      <c r="A905" s="342"/>
      <c r="B905" s="343"/>
      <c r="C905" s="344"/>
      <c r="D905" s="342"/>
      <c r="E905" s="342"/>
      <c r="F905" s="342"/>
      <c r="G905" s="342"/>
      <c r="H905" s="342"/>
      <c r="I905" s="342"/>
      <c r="J905" s="342"/>
      <c r="K905" s="342"/>
      <c r="L905" s="342"/>
      <c r="M905" s="342"/>
    </row>
    <row r="906" ht="15.75" customHeight="1">
      <c r="A906" s="342"/>
      <c r="B906" s="343"/>
      <c r="C906" s="344"/>
      <c r="D906" s="342"/>
      <c r="E906" s="342"/>
      <c r="F906" s="342"/>
      <c r="G906" s="342"/>
      <c r="H906" s="342"/>
      <c r="I906" s="342"/>
      <c r="J906" s="342"/>
      <c r="K906" s="342"/>
      <c r="L906" s="342"/>
      <c r="M906" s="342"/>
    </row>
    <row r="907" ht="15.75" customHeight="1">
      <c r="A907" s="342"/>
      <c r="B907" s="343"/>
      <c r="C907" s="344"/>
      <c r="D907" s="342"/>
      <c r="E907" s="342"/>
      <c r="F907" s="342"/>
      <c r="G907" s="342"/>
      <c r="H907" s="342"/>
      <c r="I907" s="342"/>
      <c r="J907" s="342"/>
      <c r="K907" s="342"/>
      <c r="L907" s="342"/>
      <c r="M907" s="342"/>
    </row>
    <row r="908" ht="15.75" customHeight="1">
      <c r="A908" s="342"/>
      <c r="B908" s="343"/>
      <c r="C908" s="344"/>
      <c r="D908" s="342"/>
      <c r="E908" s="342"/>
      <c r="F908" s="342"/>
      <c r="G908" s="342"/>
      <c r="H908" s="342"/>
      <c r="I908" s="342"/>
      <c r="J908" s="342"/>
      <c r="K908" s="342"/>
      <c r="L908" s="342"/>
      <c r="M908" s="342"/>
    </row>
    <row r="909" ht="15.75" customHeight="1">
      <c r="A909" s="342"/>
      <c r="B909" s="343"/>
      <c r="C909" s="344"/>
      <c r="D909" s="342"/>
      <c r="E909" s="342"/>
      <c r="F909" s="342"/>
      <c r="G909" s="342"/>
      <c r="H909" s="342"/>
      <c r="I909" s="342"/>
      <c r="J909" s="342"/>
      <c r="K909" s="342"/>
      <c r="L909" s="342"/>
      <c r="M909" s="342"/>
    </row>
    <row r="910" ht="15.75" customHeight="1">
      <c r="A910" s="342"/>
      <c r="B910" s="343"/>
      <c r="C910" s="344"/>
      <c r="D910" s="342"/>
      <c r="E910" s="342"/>
      <c r="F910" s="342"/>
      <c r="G910" s="342"/>
      <c r="H910" s="342"/>
      <c r="I910" s="342"/>
      <c r="J910" s="342"/>
      <c r="K910" s="342"/>
      <c r="L910" s="342"/>
      <c r="M910" s="342"/>
    </row>
    <row r="911" ht="15.75" customHeight="1">
      <c r="A911" s="342"/>
      <c r="B911" s="343"/>
      <c r="C911" s="344"/>
      <c r="D911" s="342"/>
      <c r="E911" s="342"/>
      <c r="F911" s="342"/>
      <c r="G911" s="342"/>
      <c r="H911" s="342"/>
      <c r="I911" s="342"/>
      <c r="J911" s="342"/>
      <c r="K911" s="342"/>
      <c r="L911" s="342"/>
      <c r="M911" s="342"/>
    </row>
    <row r="912" ht="15.75" customHeight="1">
      <c r="A912" s="342"/>
      <c r="B912" s="343"/>
      <c r="C912" s="344"/>
      <c r="D912" s="342"/>
      <c r="E912" s="342"/>
      <c r="F912" s="342"/>
      <c r="G912" s="342"/>
      <c r="H912" s="342"/>
      <c r="I912" s="342"/>
      <c r="J912" s="342"/>
      <c r="K912" s="342"/>
      <c r="L912" s="342"/>
      <c r="M912" s="342"/>
    </row>
    <row r="913" ht="15.75" customHeight="1">
      <c r="A913" s="342"/>
      <c r="B913" s="343"/>
      <c r="C913" s="344"/>
      <c r="D913" s="342"/>
      <c r="E913" s="342"/>
      <c r="F913" s="342"/>
      <c r="G913" s="342"/>
      <c r="H913" s="342"/>
      <c r="I913" s="342"/>
      <c r="J913" s="342"/>
      <c r="K913" s="342"/>
      <c r="L913" s="342"/>
      <c r="M913" s="342"/>
    </row>
    <row r="914" ht="15.75" customHeight="1">
      <c r="A914" s="342"/>
      <c r="B914" s="343"/>
      <c r="C914" s="344"/>
      <c r="D914" s="342"/>
      <c r="E914" s="342"/>
      <c r="F914" s="342"/>
      <c r="G914" s="342"/>
      <c r="H914" s="342"/>
      <c r="I914" s="342"/>
      <c r="J914" s="342"/>
      <c r="K914" s="342"/>
      <c r="L914" s="342"/>
      <c r="M914" s="342"/>
    </row>
    <row r="915" ht="15.75" customHeight="1">
      <c r="A915" s="342"/>
      <c r="B915" s="343"/>
      <c r="C915" s="344"/>
      <c r="D915" s="342"/>
      <c r="E915" s="342"/>
      <c r="F915" s="342"/>
      <c r="G915" s="342"/>
      <c r="H915" s="342"/>
      <c r="I915" s="342"/>
      <c r="J915" s="342"/>
      <c r="K915" s="342"/>
      <c r="L915" s="342"/>
      <c r="M915" s="342"/>
    </row>
    <row r="916" ht="15.75" customHeight="1">
      <c r="A916" s="342"/>
      <c r="B916" s="343"/>
      <c r="C916" s="344"/>
      <c r="D916" s="342"/>
      <c r="E916" s="342"/>
      <c r="F916" s="342"/>
      <c r="G916" s="342"/>
      <c r="H916" s="342"/>
      <c r="I916" s="342"/>
      <c r="J916" s="342"/>
      <c r="K916" s="342"/>
      <c r="L916" s="342"/>
      <c r="M916" s="342"/>
    </row>
    <row r="917" ht="15.75" customHeight="1">
      <c r="A917" s="342"/>
      <c r="B917" s="343"/>
      <c r="C917" s="344"/>
      <c r="D917" s="342"/>
      <c r="E917" s="342"/>
      <c r="F917" s="342"/>
      <c r="G917" s="342"/>
      <c r="H917" s="342"/>
      <c r="I917" s="342"/>
      <c r="J917" s="342"/>
      <c r="K917" s="342"/>
      <c r="L917" s="342"/>
      <c r="M917" s="342"/>
    </row>
    <row r="918" ht="15.75" customHeight="1">
      <c r="A918" s="342"/>
      <c r="B918" s="343"/>
      <c r="C918" s="344"/>
      <c r="D918" s="342"/>
      <c r="E918" s="342"/>
      <c r="F918" s="342"/>
      <c r="G918" s="342"/>
      <c r="H918" s="342"/>
      <c r="I918" s="342"/>
      <c r="J918" s="342"/>
      <c r="K918" s="342"/>
      <c r="L918" s="342"/>
      <c r="M918" s="342"/>
    </row>
    <row r="919" ht="15.75" customHeight="1">
      <c r="A919" s="342"/>
      <c r="B919" s="343"/>
      <c r="C919" s="344"/>
      <c r="D919" s="342"/>
      <c r="E919" s="342"/>
      <c r="F919" s="342"/>
      <c r="G919" s="342"/>
      <c r="H919" s="342"/>
      <c r="I919" s="342"/>
      <c r="J919" s="342"/>
      <c r="K919" s="342"/>
      <c r="L919" s="342"/>
      <c r="M919" s="342"/>
    </row>
    <row r="920" ht="15.75" customHeight="1">
      <c r="A920" s="342"/>
      <c r="B920" s="343"/>
      <c r="C920" s="344"/>
      <c r="D920" s="342"/>
      <c r="E920" s="342"/>
      <c r="F920" s="342"/>
      <c r="G920" s="342"/>
      <c r="H920" s="342"/>
      <c r="I920" s="342"/>
      <c r="J920" s="342"/>
      <c r="K920" s="342"/>
      <c r="L920" s="342"/>
      <c r="M920" s="342"/>
    </row>
    <row r="921" ht="15.75" customHeight="1">
      <c r="A921" s="342"/>
      <c r="B921" s="343"/>
      <c r="C921" s="344"/>
      <c r="D921" s="342"/>
      <c r="E921" s="342"/>
      <c r="F921" s="342"/>
      <c r="G921" s="342"/>
      <c r="H921" s="342"/>
      <c r="I921" s="342"/>
      <c r="J921" s="342"/>
      <c r="K921" s="342"/>
      <c r="L921" s="342"/>
      <c r="M921" s="342"/>
    </row>
    <row r="922" ht="15.75" customHeight="1">
      <c r="A922" s="342"/>
      <c r="B922" s="343"/>
      <c r="C922" s="344"/>
      <c r="D922" s="342"/>
      <c r="E922" s="342"/>
      <c r="F922" s="342"/>
      <c r="G922" s="342"/>
      <c r="H922" s="342"/>
      <c r="I922" s="342"/>
      <c r="J922" s="342"/>
      <c r="K922" s="342"/>
      <c r="L922" s="342"/>
      <c r="M922" s="342"/>
    </row>
    <row r="923" ht="15.75" customHeight="1">
      <c r="A923" s="342"/>
      <c r="B923" s="343"/>
      <c r="C923" s="344"/>
      <c r="D923" s="342"/>
      <c r="E923" s="342"/>
      <c r="F923" s="342"/>
      <c r="G923" s="342"/>
      <c r="H923" s="342"/>
      <c r="I923" s="342"/>
      <c r="J923" s="342"/>
      <c r="K923" s="342"/>
      <c r="L923" s="342"/>
      <c r="M923" s="342"/>
    </row>
    <row r="924" ht="15.75" customHeight="1">
      <c r="A924" s="342"/>
      <c r="B924" s="343"/>
      <c r="C924" s="344"/>
      <c r="D924" s="342"/>
      <c r="E924" s="342"/>
      <c r="F924" s="342"/>
      <c r="G924" s="342"/>
      <c r="H924" s="342"/>
      <c r="I924" s="342"/>
      <c r="J924" s="342"/>
      <c r="K924" s="342"/>
      <c r="L924" s="342"/>
      <c r="M924" s="342"/>
    </row>
    <row r="925" ht="15.75" customHeight="1">
      <c r="A925" s="342"/>
      <c r="B925" s="343"/>
      <c r="C925" s="344"/>
      <c r="D925" s="342"/>
      <c r="E925" s="342"/>
      <c r="F925" s="342"/>
      <c r="G925" s="342"/>
      <c r="H925" s="342"/>
      <c r="I925" s="342"/>
      <c r="J925" s="342"/>
      <c r="K925" s="342"/>
      <c r="L925" s="342"/>
      <c r="M925" s="342"/>
    </row>
    <row r="926" ht="15.75" customHeight="1">
      <c r="A926" s="342"/>
      <c r="B926" s="343"/>
      <c r="C926" s="344"/>
      <c r="D926" s="342"/>
      <c r="E926" s="342"/>
      <c r="F926" s="342"/>
      <c r="G926" s="342"/>
      <c r="H926" s="342"/>
      <c r="I926" s="342"/>
      <c r="J926" s="342"/>
      <c r="K926" s="342"/>
      <c r="L926" s="342"/>
      <c r="M926" s="342"/>
    </row>
    <row r="927" ht="15.75" customHeight="1">
      <c r="A927" s="342"/>
      <c r="B927" s="343"/>
      <c r="C927" s="344"/>
      <c r="D927" s="342"/>
      <c r="E927" s="342"/>
      <c r="F927" s="342"/>
      <c r="G927" s="342"/>
      <c r="H927" s="342"/>
      <c r="I927" s="342"/>
      <c r="J927" s="342"/>
      <c r="K927" s="342"/>
      <c r="L927" s="342"/>
      <c r="M927" s="342"/>
    </row>
    <row r="928" ht="15.75" customHeight="1">
      <c r="A928" s="342"/>
      <c r="B928" s="343"/>
      <c r="C928" s="344"/>
      <c r="D928" s="342"/>
      <c r="E928" s="342"/>
      <c r="F928" s="342"/>
      <c r="G928" s="342"/>
      <c r="H928" s="342"/>
      <c r="I928" s="342"/>
      <c r="J928" s="342"/>
      <c r="K928" s="342"/>
      <c r="L928" s="342"/>
      <c r="M928" s="342"/>
    </row>
    <row r="929" ht="15.75" customHeight="1">
      <c r="A929" s="342"/>
      <c r="B929" s="343"/>
      <c r="C929" s="344"/>
      <c r="D929" s="342"/>
      <c r="E929" s="342"/>
      <c r="F929" s="342"/>
      <c r="G929" s="342"/>
      <c r="H929" s="342"/>
      <c r="I929" s="342"/>
      <c r="J929" s="342"/>
      <c r="K929" s="342"/>
      <c r="L929" s="342"/>
      <c r="M929" s="342"/>
    </row>
    <row r="930" ht="15.75" customHeight="1">
      <c r="A930" s="342"/>
      <c r="B930" s="343"/>
      <c r="C930" s="344"/>
      <c r="D930" s="342"/>
      <c r="E930" s="342"/>
      <c r="F930" s="342"/>
      <c r="G930" s="342"/>
      <c r="H930" s="342"/>
      <c r="I930" s="342"/>
      <c r="J930" s="342"/>
      <c r="K930" s="342"/>
      <c r="L930" s="342"/>
      <c r="M930" s="342"/>
    </row>
    <row r="931" ht="15.75" customHeight="1">
      <c r="A931" s="342"/>
      <c r="B931" s="343"/>
      <c r="C931" s="344"/>
      <c r="D931" s="342"/>
      <c r="E931" s="342"/>
      <c r="F931" s="342"/>
      <c r="G931" s="342"/>
      <c r="H931" s="342"/>
      <c r="I931" s="342"/>
      <c r="J931" s="342"/>
      <c r="K931" s="342"/>
      <c r="L931" s="342"/>
      <c r="M931" s="342"/>
    </row>
    <row r="932" ht="15.75" customHeight="1">
      <c r="A932" s="342"/>
      <c r="B932" s="343"/>
      <c r="C932" s="344"/>
      <c r="D932" s="342"/>
      <c r="E932" s="342"/>
      <c r="F932" s="342"/>
      <c r="G932" s="342"/>
      <c r="H932" s="342"/>
      <c r="I932" s="342"/>
      <c r="J932" s="342"/>
      <c r="K932" s="342"/>
      <c r="L932" s="342"/>
      <c r="M932" s="342"/>
    </row>
    <row r="933" ht="15.75" customHeight="1">
      <c r="A933" s="342"/>
      <c r="B933" s="343"/>
      <c r="C933" s="344"/>
      <c r="D933" s="342"/>
      <c r="E933" s="342"/>
      <c r="F933" s="342"/>
      <c r="G933" s="342"/>
      <c r="H933" s="342"/>
      <c r="I933" s="342"/>
      <c r="J933" s="342"/>
      <c r="K933" s="342"/>
      <c r="L933" s="342"/>
      <c r="M933" s="342"/>
    </row>
    <row r="934" ht="15.75" customHeight="1">
      <c r="A934" s="342"/>
      <c r="B934" s="343"/>
      <c r="C934" s="344"/>
      <c r="D934" s="342"/>
      <c r="E934" s="342"/>
      <c r="F934" s="342"/>
      <c r="G934" s="342"/>
      <c r="H934" s="342"/>
      <c r="I934" s="342"/>
      <c r="J934" s="342"/>
      <c r="K934" s="342"/>
      <c r="L934" s="342"/>
      <c r="M934" s="342"/>
    </row>
    <row r="935" ht="15.75" customHeight="1">
      <c r="A935" s="342"/>
      <c r="B935" s="343"/>
      <c r="C935" s="344"/>
      <c r="D935" s="342"/>
      <c r="E935" s="342"/>
      <c r="F935" s="342"/>
      <c r="G935" s="342"/>
      <c r="H935" s="342"/>
      <c r="I935" s="342"/>
      <c r="J935" s="342"/>
      <c r="K935" s="342"/>
      <c r="L935" s="342"/>
      <c r="M935" s="342"/>
    </row>
    <row r="936" ht="15.75" customHeight="1">
      <c r="A936" s="342"/>
      <c r="B936" s="343"/>
      <c r="C936" s="344"/>
      <c r="D936" s="342"/>
      <c r="E936" s="342"/>
      <c r="F936" s="342"/>
      <c r="G936" s="342"/>
      <c r="H936" s="342"/>
      <c r="I936" s="342"/>
      <c r="J936" s="342"/>
      <c r="K936" s="342"/>
      <c r="L936" s="342"/>
      <c r="M936" s="342"/>
    </row>
    <row r="937" ht="15.75" customHeight="1">
      <c r="A937" s="342"/>
      <c r="B937" s="343"/>
      <c r="C937" s="344"/>
      <c r="D937" s="342"/>
      <c r="E937" s="342"/>
      <c r="F937" s="342"/>
      <c r="G937" s="342"/>
      <c r="H937" s="342"/>
      <c r="I937" s="342"/>
      <c r="J937" s="342"/>
      <c r="K937" s="342"/>
      <c r="L937" s="342"/>
      <c r="M937" s="342"/>
    </row>
    <row r="938" ht="15.75" customHeight="1">
      <c r="A938" s="342"/>
      <c r="B938" s="343"/>
      <c r="C938" s="344"/>
      <c r="D938" s="342"/>
      <c r="E938" s="342"/>
      <c r="F938" s="342"/>
      <c r="G938" s="342"/>
      <c r="H938" s="342"/>
      <c r="I938" s="342"/>
      <c r="J938" s="342"/>
      <c r="K938" s="342"/>
      <c r="L938" s="342"/>
      <c r="M938" s="342"/>
    </row>
    <row r="939" ht="15.75" customHeight="1">
      <c r="A939" s="342"/>
      <c r="B939" s="343"/>
      <c r="C939" s="344"/>
      <c r="D939" s="342"/>
      <c r="E939" s="342"/>
      <c r="F939" s="342"/>
      <c r="G939" s="342"/>
      <c r="H939" s="342"/>
      <c r="I939" s="342"/>
      <c r="J939" s="342"/>
      <c r="K939" s="342"/>
      <c r="L939" s="342"/>
      <c r="M939" s="342"/>
    </row>
    <row r="940" ht="15.75" customHeight="1">
      <c r="A940" s="342"/>
      <c r="B940" s="343"/>
      <c r="C940" s="344"/>
      <c r="D940" s="342"/>
      <c r="E940" s="342"/>
      <c r="F940" s="342"/>
      <c r="G940" s="342"/>
      <c r="H940" s="342"/>
      <c r="I940" s="342"/>
      <c r="J940" s="342"/>
      <c r="K940" s="342"/>
      <c r="L940" s="342"/>
      <c r="M940" s="342"/>
    </row>
    <row r="941" ht="15.75" customHeight="1">
      <c r="A941" s="342"/>
      <c r="B941" s="343"/>
      <c r="C941" s="344"/>
      <c r="D941" s="342"/>
      <c r="E941" s="342"/>
      <c r="F941" s="342"/>
      <c r="G941" s="342"/>
      <c r="H941" s="342"/>
      <c r="I941" s="342"/>
      <c r="J941" s="342"/>
      <c r="K941" s="342"/>
      <c r="L941" s="342"/>
      <c r="M941" s="342"/>
    </row>
    <row r="942" ht="15.75" customHeight="1">
      <c r="A942" s="342"/>
      <c r="B942" s="343"/>
      <c r="C942" s="344"/>
      <c r="D942" s="342"/>
      <c r="E942" s="342"/>
      <c r="F942" s="342"/>
      <c r="G942" s="342"/>
      <c r="H942" s="342"/>
      <c r="I942" s="342"/>
      <c r="J942" s="342"/>
      <c r="K942" s="342"/>
      <c r="L942" s="342"/>
      <c r="M942" s="342"/>
    </row>
    <row r="943" ht="15.75" customHeight="1">
      <c r="A943" s="342"/>
      <c r="B943" s="343"/>
      <c r="C943" s="344"/>
      <c r="D943" s="342"/>
      <c r="E943" s="342"/>
      <c r="F943" s="342"/>
      <c r="G943" s="342"/>
      <c r="H943" s="342"/>
      <c r="I943" s="342"/>
      <c r="J943" s="342"/>
      <c r="K943" s="342"/>
      <c r="L943" s="342"/>
      <c r="M943" s="342"/>
    </row>
    <row r="944" ht="15.75" customHeight="1">
      <c r="A944" s="342"/>
      <c r="B944" s="343"/>
      <c r="C944" s="344"/>
      <c r="D944" s="342"/>
      <c r="E944" s="342"/>
      <c r="F944" s="342"/>
      <c r="G944" s="342"/>
      <c r="H944" s="342"/>
      <c r="I944" s="342"/>
      <c r="J944" s="342"/>
      <c r="K944" s="342"/>
      <c r="L944" s="342"/>
      <c r="M944" s="342"/>
    </row>
    <row r="945" ht="15.75" customHeight="1">
      <c r="A945" s="342"/>
      <c r="B945" s="343"/>
      <c r="C945" s="344"/>
      <c r="D945" s="342"/>
      <c r="E945" s="342"/>
      <c r="F945" s="342"/>
      <c r="G945" s="342"/>
      <c r="H945" s="342"/>
      <c r="I945" s="342"/>
      <c r="J945" s="342"/>
      <c r="K945" s="342"/>
      <c r="L945" s="342"/>
      <c r="M945" s="342"/>
    </row>
    <row r="946" ht="15.75" customHeight="1">
      <c r="A946" s="342"/>
      <c r="B946" s="343"/>
      <c r="C946" s="344"/>
      <c r="D946" s="342"/>
      <c r="E946" s="342"/>
      <c r="F946" s="342"/>
      <c r="G946" s="342"/>
      <c r="H946" s="342"/>
      <c r="I946" s="342"/>
      <c r="J946" s="342"/>
      <c r="K946" s="342"/>
      <c r="L946" s="342"/>
      <c r="M946" s="342"/>
    </row>
    <row r="947" ht="15.75" customHeight="1">
      <c r="A947" s="342"/>
      <c r="B947" s="343"/>
      <c r="C947" s="344"/>
      <c r="D947" s="342"/>
      <c r="E947" s="342"/>
      <c r="F947" s="342"/>
      <c r="G947" s="342"/>
      <c r="H947" s="342"/>
      <c r="I947" s="342"/>
      <c r="J947" s="342"/>
      <c r="K947" s="342"/>
      <c r="L947" s="342"/>
      <c r="M947" s="342"/>
    </row>
    <row r="948" ht="15.75" customHeight="1">
      <c r="A948" s="342"/>
      <c r="B948" s="343"/>
      <c r="C948" s="344"/>
      <c r="D948" s="342"/>
      <c r="E948" s="342"/>
      <c r="F948" s="342"/>
      <c r="G948" s="342"/>
      <c r="H948" s="342"/>
      <c r="I948" s="342"/>
      <c r="J948" s="342"/>
      <c r="K948" s="342"/>
      <c r="L948" s="342"/>
      <c r="M948" s="342"/>
    </row>
    <row r="949" ht="15.75" customHeight="1">
      <c r="A949" s="342"/>
      <c r="B949" s="343"/>
      <c r="C949" s="344"/>
      <c r="D949" s="342"/>
      <c r="E949" s="342"/>
      <c r="F949" s="342"/>
      <c r="G949" s="342"/>
      <c r="H949" s="342"/>
      <c r="I949" s="342"/>
      <c r="J949" s="342"/>
      <c r="K949" s="342"/>
      <c r="L949" s="342"/>
      <c r="M949" s="342"/>
    </row>
    <row r="950" ht="15.75" customHeight="1">
      <c r="A950" s="342"/>
      <c r="B950" s="343"/>
      <c r="C950" s="344"/>
      <c r="D950" s="342"/>
      <c r="E950" s="342"/>
      <c r="F950" s="342"/>
      <c r="G950" s="342"/>
      <c r="H950" s="342"/>
      <c r="I950" s="342"/>
      <c r="J950" s="342"/>
      <c r="K950" s="342"/>
      <c r="L950" s="342"/>
      <c r="M950" s="342"/>
    </row>
    <row r="951" ht="15.75" customHeight="1">
      <c r="A951" s="342"/>
      <c r="B951" s="343"/>
      <c r="C951" s="344"/>
      <c r="D951" s="342"/>
      <c r="E951" s="342"/>
      <c r="F951" s="342"/>
      <c r="G951" s="342"/>
      <c r="H951" s="342"/>
      <c r="I951" s="342"/>
      <c r="J951" s="342"/>
      <c r="K951" s="342"/>
      <c r="L951" s="342"/>
      <c r="M951" s="342"/>
    </row>
    <row r="952" ht="15.75" customHeight="1">
      <c r="A952" s="342"/>
      <c r="B952" s="343"/>
      <c r="C952" s="344"/>
      <c r="D952" s="342"/>
      <c r="E952" s="342"/>
      <c r="F952" s="342"/>
      <c r="G952" s="342"/>
      <c r="H952" s="342"/>
      <c r="I952" s="342"/>
      <c r="J952" s="342"/>
      <c r="K952" s="342"/>
      <c r="L952" s="342"/>
      <c r="M952" s="342"/>
    </row>
    <row r="953" ht="15.75" customHeight="1">
      <c r="A953" s="342"/>
      <c r="B953" s="343"/>
      <c r="C953" s="344"/>
      <c r="D953" s="342"/>
      <c r="E953" s="342"/>
      <c r="F953" s="342"/>
      <c r="G953" s="342"/>
      <c r="H953" s="342"/>
      <c r="I953" s="342"/>
      <c r="J953" s="342"/>
      <c r="K953" s="342"/>
      <c r="L953" s="342"/>
      <c r="M953" s="342"/>
    </row>
    <row r="954" ht="15.75" customHeight="1">
      <c r="A954" s="342"/>
      <c r="B954" s="343"/>
      <c r="C954" s="344"/>
      <c r="D954" s="342"/>
      <c r="E954" s="342"/>
      <c r="F954" s="342"/>
      <c r="G954" s="342"/>
      <c r="H954" s="342"/>
      <c r="I954" s="342"/>
      <c r="J954" s="342"/>
      <c r="K954" s="342"/>
      <c r="L954" s="342"/>
      <c r="M954" s="342"/>
    </row>
    <row r="955" ht="15.75" customHeight="1">
      <c r="A955" s="342"/>
      <c r="B955" s="343"/>
      <c r="C955" s="344"/>
      <c r="D955" s="342"/>
      <c r="E955" s="342"/>
      <c r="F955" s="342"/>
      <c r="G955" s="342"/>
      <c r="H955" s="342"/>
      <c r="I955" s="342"/>
      <c r="J955" s="342"/>
      <c r="K955" s="342"/>
      <c r="L955" s="342"/>
      <c r="M955" s="342"/>
    </row>
    <row r="956" ht="15.75" customHeight="1">
      <c r="A956" s="342"/>
      <c r="B956" s="343"/>
      <c r="C956" s="344"/>
      <c r="D956" s="342"/>
      <c r="E956" s="342"/>
      <c r="F956" s="342"/>
      <c r="G956" s="342"/>
      <c r="H956" s="342"/>
      <c r="I956" s="342"/>
      <c r="J956" s="342"/>
      <c r="K956" s="342"/>
      <c r="L956" s="342"/>
      <c r="M956" s="342"/>
    </row>
    <row r="957" ht="15.75" customHeight="1">
      <c r="A957" s="342"/>
      <c r="B957" s="343"/>
      <c r="C957" s="344"/>
      <c r="D957" s="342"/>
      <c r="E957" s="342"/>
      <c r="F957" s="342"/>
      <c r="G957" s="342"/>
      <c r="H957" s="342"/>
      <c r="I957" s="342"/>
      <c r="J957" s="342"/>
      <c r="K957" s="342"/>
      <c r="L957" s="342"/>
      <c r="M957" s="342"/>
    </row>
    <row r="958" ht="15.75" customHeight="1">
      <c r="A958" s="342"/>
      <c r="B958" s="343"/>
      <c r="C958" s="344"/>
      <c r="D958" s="342"/>
      <c r="E958" s="342"/>
      <c r="F958" s="342"/>
      <c r="G958" s="342"/>
      <c r="H958" s="342"/>
      <c r="I958" s="342"/>
      <c r="J958" s="342"/>
      <c r="K958" s="342"/>
      <c r="L958" s="342"/>
      <c r="M958" s="342"/>
    </row>
    <row r="959" ht="15.75" customHeight="1">
      <c r="A959" s="342"/>
      <c r="B959" s="343"/>
      <c r="C959" s="344"/>
      <c r="D959" s="342"/>
      <c r="E959" s="342"/>
      <c r="F959" s="342"/>
      <c r="G959" s="342"/>
      <c r="H959" s="342"/>
      <c r="I959" s="342"/>
      <c r="J959" s="342"/>
      <c r="K959" s="342"/>
      <c r="L959" s="342"/>
      <c r="M959" s="342"/>
    </row>
    <row r="960" ht="15.75" customHeight="1">
      <c r="A960" s="342"/>
      <c r="B960" s="343"/>
      <c r="C960" s="344"/>
      <c r="D960" s="342"/>
      <c r="E960" s="342"/>
      <c r="F960" s="342"/>
      <c r="G960" s="342"/>
      <c r="H960" s="342"/>
      <c r="I960" s="342"/>
      <c r="J960" s="342"/>
      <c r="K960" s="342"/>
      <c r="L960" s="342"/>
      <c r="M960" s="342"/>
    </row>
    <row r="961" ht="15.75" customHeight="1">
      <c r="A961" s="342"/>
      <c r="B961" s="343"/>
      <c r="C961" s="344"/>
      <c r="D961" s="342"/>
      <c r="E961" s="342"/>
      <c r="F961" s="342"/>
      <c r="G961" s="342"/>
      <c r="H961" s="342"/>
      <c r="I961" s="342"/>
      <c r="J961" s="342"/>
      <c r="K961" s="342"/>
      <c r="L961" s="342"/>
      <c r="M961" s="342"/>
    </row>
    <row r="962" ht="15.75" customHeight="1">
      <c r="A962" s="342"/>
      <c r="B962" s="343"/>
      <c r="C962" s="344"/>
      <c r="D962" s="342"/>
      <c r="E962" s="342"/>
      <c r="F962" s="342"/>
      <c r="G962" s="342"/>
      <c r="H962" s="342"/>
      <c r="I962" s="342"/>
      <c r="J962" s="342"/>
      <c r="K962" s="342"/>
      <c r="L962" s="342"/>
      <c r="M962" s="342"/>
    </row>
    <row r="963" ht="15.75" customHeight="1">
      <c r="A963" s="342"/>
      <c r="B963" s="343"/>
      <c r="C963" s="344"/>
      <c r="D963" s="342"/>
      <c r="E963" s="342"/>
      <c r="F963" s="342"/>
      <c r="G963" s="342"/>
      <c r="H963" s="342"/>
      <c r="I963" s="342"/>
      <c r="J963" s="342"/>
      <c r="K963" s="342"/>
      <c r="L963" s="342"/>
      <c r="M963" s="342"/>
    </row>
    <row r="964" ht="15.75" customHeight="1">
      <c r="A964" s="342"/>
      <c r="B964" s="343"/>
      <c r="C964" s="344"/>
      <c r="D964" s="342"/>
      <c r="E964" s="342"/>
      <c r="F964" s="342"/>
      <c r="G964" s="342"/>
      <c r="H964" s="342"/>
      <c r="I964" s="342"/>
      <c r="J964" s="342"/>
      <c r="K964" s="342"/>
      <c r="L964" s="342"/>
      <c r="M964" s="342"/>
    </row>
    <row r="965" ht="15.75" customHeight="1">
      <c r="A965" s="342"/>
      <c r="B965" s="343"/>
      <c r="C965" s="344"/>
      <c r="D965" s="342"/>
      <c r="E965" s="342"/>
      <c r="F965" s="342"/>
      <c r="G965" s="342"/>
      <c r="H965" s="342"/>
      <c r="I965" s="342"/>
      <c r="J965" s="342"/>
      <c r="K965" s="342"/>
      <c r="L965" s="342"/>
      <c r="M965" s="342"/>
    </row>
    <row r="966" ht="15.75" customHeight="1">
      <c r="A966" s="342"/>
      <c r="B966" s="343"/>
      <c r="C966" s="344"/>
      <c r="D966" s="342"/>
      <c r="E966" s="342"/>
      <c r="F966" s="342"/>
      <c r="G966" s="342"/>
      <c r="H966" s="342"/>
      <c r="I966" s="342"/>
      <c r="J966" s="342"/>
      <c r="K966" s="342"/>
      <c r="L966" s="342"/>
      <c r="M966" s="342"/>
    </row>
    <row r="967" ht="15.75" customHeight="1">
      <c r="A967" s="342"/>
      <c r="B967" s="343"/>
      <c r="C967" s="344"/>
      <c r="D967" s="342"/>
      <c r="E967" s="342"/>
      <c r="F967" s="342"/>
      <c r="G967" s="342"/>
      <c r="H967" s="342"/>
      <c r="I967" s="342"/>
      <c r="J967" s="342"/>
      <c r="K967" s="342"/>
      <c r="L967" s="342"/>
      <c r="M967" s="342"/>
    </row>
    <row r="968" ht="15.75" customHeight="1">
      <c r="A968" s="342"/>
      <c r="B968" s="343"/>
      <c r="C968" s="344"/>
      <c r="D968" s="342"/>
      <c r="E968" s="342"/>
      <c r="F968" s="342"/>
      <c r="G968" s="342"/>
      <c r="H968" s="342"/>
      <c r="I968" s="342"/>
      <c r="J968" s="342"/>
      <c r="K968" s="342"/>
      <c r="L968" s="342"/>
      <c r="M968" s="342"/>
    </row>
    <row r="969" ht="15.75" customHeight="1">
      <c r="A969" s="342"/>
      <c r="B969" s="343"/>
      <c r="C969" s="344"/>
      <c r="D969" s="342"/>
      <c r="E969" s="342"/>
      <c r="F969" s="342"/>
      <c r="G969" s="342"/>
      <c r="H969" s="342"/>
      <c r="I969" s="342"/>
      <c r="J969" s="342"/>
      <c r="K969" s="342"/>
      <c r="L969" s="342"/>
      <c r="M969" s="342"/>
    </row>
    <row r="970" ht="15.75" customHeight="1">
      <c r="A970" s="342"/>
      <c r="B970" s="343"/>
      <c r="C970" s="344"/>
      <c r="D970" s="342"/>
      <c r="E970" s="342"/>
      <c r="F970" s="342"/>
      <c r="G970" s="342"/>
      <c r="H970" s="342"/>
      <c r="I970" s="342"/>
      <c r="J970" s="342"/>
      <c r="K970" s="342"/>
      <c r="L970" s="342"/>
      <c r="M970" s="342"/>
    </row>
    <row r="971" ht="15.75" customHeight="1">
      <c r="A971" s="342"/>
      <c r="B971" s="343"/>
      <c r="C971" s="344"/>
      <c r="D971" s="342"/>
      <c r="E971" s="342"/>
      <c r="F971" s="342"/>
      <c r="G971" s="342"/>
      <c r="H971" s="342"/>
      <c r="I971" s="342"/>
      <c r="J971" s="342"/>
      <c r="K971" s="342"/>
      <c r="L971" s="342"/>
      <c r="M971" s="342"/>
    </row>
    <row r="972" ht="15.75" customHeight="1">
      <c r="A972" s="342"/>
      <c r="B972" s="343"/>
      <c r="C972" s="344"/>
      <c r="D972" s="342"/>
      <c r="E972" s="342"/>
      <c r="F972" s="342"/>
      <c r="G972" s="342"/>
      <c r="H972" s="342"/>
      <c r="I972" s="342"/>
      <c r="J972" s="342"/>
      <c r="K972" s="342"/>
      <c r="L972" s="342"/>
      <c r="M972" s="342"/>
    </row>
    <row r="973" ht="15.75" customHeight="1">
      <c r="A973" s="342"/>
      <c r="B973" s="343"/>
      <c r="C973" s="344"/>
      <c r="D973" s="342"/>
      <c r="E973" s="342"/>
      <c r="F973" s="342"/>
      <c r="G973" s="342"/>
      <c r="H973" s="342"/>
      <c r="I973" s="342"/>
      <c r="J973" s="342"/>
      <c r="K973" s="342"/>
      <c r="L973" s="342"/>
      <c r="M973" s="342"/>
    </row>
    <row r="974" ht="15.75" customHeight="1">
      <c r="A974" s="342"/>
      <c r="B974" s="343"/>
      <c r="C974" s="344"/>
      <c r="D974" s="342"/>
      <c r="E974" s="342"/>
      <c r="F974" s="342"/>
      <c r="G974" s="342"/>
      <c r="H974" s="342"/>
      <c r="I974" s="342"/>
      <c r="J974" s="342"/>
      <c r="K974" s="342"/>
      <c r="L974" s="342"/>
      <c r="M974" s="342"/>
    </row>
    <row r="975" ht="15.75" customHeight="1">
      <c r="A975" s="342"/>
      <c r="B975" s="343"/>
      <c r="C975" s="344"/>
      <c r="D975" s="342"/>
      <c r="E975" s="342"/>
      <c r="F975" s="342"/>
      <c r="G975" s="342"/>
      <c r="H975" s="342"/>
      <c r="I975" s="342"/>
      <c r="J975" s="342"/>
      <c r="K975" s="342"/>
      <c r="L975" s="342"/>
      <c r="M975" s="342"/>
    </row>
    <row r="976" ht="15.75" customHeight="1">
      <c r="A976" s="342"/>
      <c r="B976" s="343"/>
      <c r="C976" s="344"/>
      <c r="D976" s="342"/>
      <c r="E976" s="342"/>
      <c r="F976" s="342"/>
      <c r="G976" s="342"/>
      <c r="H976" s="342"/>
      <c r="I976" s="342"/>
      <c r="J976" s="342"/>
      <c r="K976" s="342"/>
      <c r="L976" s="342"/>
      <c r="M976" s="342"/>
    </row>
    <row r="977" ht="15.75" customHeight="1">
      <c r="A977" s="342"/>
      <c r="B977" s="343"/>
      <c r="C977" s="344"/>
      <c r="D977" s="342"/>
      <c r="E977" s="342"/>
      <c r="F977" s="342"/>
      <c r="G977" s="342"/>
      <c r="H977" s="342"/>
      <c r="I977" s="342"/>
      <c r="J977" s="342"/>
      <c r="K977" s="342"/>
      <c r="L977" s="342"/>
      <c r="M977" s="342"/>
    </row>
    <row r="978" ht="15.75" customHeight="1">
      <c r="A978" s="342"/>
      <c r="B978" s="343"/>
      <c r="C978" s="344"/>
      <c r="D978" s="342"/>
      <c r="E978" s="342"/>
      <c r="F978" s="342"/>
      <c r="G978" s="342"/>
      <c r="H978" s="342"/>
      <c r="I978" s="342"/>
      <c r="J978" s="342"/>
      <c r="K978" s="342"/>
      <c r="L978" s="342"/>
      <c r="M978" s="342"/>
    </row>
    <row r="979" ht="15.75" customHeight="1">
      <c r="A979" s="342"/>
      <c r="B979" s="343"/>
      <c r="C979" s="344"/>
      <c r="D979" s="342"/>
      <c r="E979" s="342"/>
      <c r="F979" s="342"/>
      <c r="G979" s="342"/>
      <c r="H979" s="342"/>
      <c r="I979" s="342"/>
      <c r="J979" s="342"/>
      <c r="K979" s="342"/>
      <c r="L979" s="342"/>
      <c r="M979" s="342"/>
    </row>
    <row r="980" ht="15.75" customHeight="1">
      <c r="A980" s="342"/>
      <c r="B980" s="343"/>
      <c r="C980" s="344"/>
      <c r="D980" s="342"/>
      <c r="E980" s="342"/>
      <c r="F980" s="342"/>
      <c r="G980" s="342"/>
      <c r="H980" s="342"/>
      <c r="I980" s="342"/>
      <c r="J980" s="342"/>
      <c r="K980" s="342"/>
      <c r="L980" s="342"/>
      <c r="M980" s="342"/>
    </row>
    <row r="981" ht="15.75" customHeight="1">
      <c r="A981" s="342"/>
      <c r="B981" s="343"/>
      <c r="C981" s="344"/>
      <c r="D981" s="342"/>
      <c r="E981" s="342"/>
      <c r="F981" s="342"/>
      <c r="G981" s="342"/>
      <c r="H981" s="342"/>
      <c r="I981" s="342"/>
      <c r="J981" s="342"/>
      <c r="K981" s="342"/>
      <c r="L981" s="342"/>
      <c r="M981" s="342"/>
    </row>
    <row r="982" ht="15.75" customHeight="1">
      <c r="A982" s="342"/>
      <c r="B982" s="343"/>
      <c r="C982" s="344"/>
      <c r="D982" s="342"/>
      <c r="E982" s="342"/>
      <c r="F982" s="342"/>
      <c r="G982" s="342"/>
      <c r="H982" s="342"/>
      <c r="I982" s="342"/>
      <c r="J982" s="342"/>
      <c r="K982" s="342"/>
      <c r="L982" s="342"/>
      <c r="M982" s="342"/>
    </row>
    <row r="983" ht="15.75" customHeight="1">
      <c r="A983" s="342"/>
      <c r="B983" s="343"/>
      <c r="C983" s="344"/>
      <c r="D983" s="342"/>
      <c r="E983" s="342"/>
      <c r="F983" s="342"/>
      <c r="G983" s="342"/>
      <c r="H983" s="342"/>
      <c r="I983" s="342"/>
      <c r="J983" s="342"/>
      <c r="K983" s="342"/>
      <c r="L983" s="342"/>
      <c r="M983" s="342"/>
    </row>
    <row r="984" ht="15.75" customHeight="1">
      <c r="A984" s="342"/>
      <c r="B984" s="343"/>
      <c r="C984" s="344"/>
      <c r="D984" s="342"/>
      <c r="E984" s="342"/>
      <c r="F984" s="342"/>
      <c r="G984" s="342"/>
      <c r="H984" s="342"/>
      <c r="I984" s="342"/>
      <c r="J984" s="342"/>
      <c r="K984" s="342"/>
      <c r="L984" s="342"/>
      <c r="M984" s="342"/>
    </row>
    <row r="985" ht="15.75" customHeight="1">
      <c r="A985" s="342"/>
      <c r="B985" s="343"/>
      <c r="C985" s="344"/>
      <c r="D985" s="342"/>
      <c r="E985" s="342"/>
      <c r="F985" s="342"/>
      <c r="G985" s="342"/>
      <c r="H985" s="342"/>
      <c r="I985" s="342"/>
      <c r="J985" s="342"/>
      <c r="K985" s="342"/>
      <c r="L985" s="342"/>
      <c r="M985" s="342"/>
    </row>
    <row r="986" ht="15.75" customHeight="1">
      <c r="A986" s="342"/>
      <c r="B986" s="343"/>
      <c r="C986" s="344"/>
      <c r="D986" s="342"/>
      <c r="E986" s="342"/>
      <c r="F986" s="342"/>
      <c r="G986" s="342"/>
      <c r="H986" s="342"/>
      <c r="I986" s="342"/>
      <c r="J986" s="342"/>
      <c r="K986" s="342"/>
      <c r="L986" s="342"/>
      <c r="M986" s="342"/>
    </row>
    <row r="987" ht="15.75" customHeight="1">
      <c r="A987" s="342"/>
      <c r="B987" s="343"/>
      <c r="C987" s="344"/>
      <c r="D987" s="342"/>
      <c r="E987" s="342"/>
      <c r="F987" s="342"/>
      <c r="G987" s="342"/>
      <c r="H987" s="342"/>
      <c r="I987" s="342"/>
      <c r="J987" s="342"/>
      <c r="K987" s="342"/>
      <c r="L987" s="342"/>
      <c r="M987" s="342"/>
    </row>
    <row r="988" ht="15.75" customHeight="1">
      <c r="A988" s="342"/>
      <c r="B988" s="343"/>
      <c r="C988" s="344"/>
      <c r="D988" s="342"/>
      <c r="E988" s="342"/>
      <c r="F988" s="342"/>
      <c r="G988" s="342"/>
      <c r="H988" s="342"/>
      <c r="I988" s="342"/>
      <c r="J988" s="342"/>
      <c r="K988" s="342"/>
      <c r="L988" s="342"/>
      <c r="M988" s="342"/>
    </row>
    <row r="989" ht="15.75" customHeight="1">
      <c r="A989" s="342"/>
      <c r="B989" s="343"/>
      <c r="C989" s="344"/>
      <c r="D989" s="342"/>
      <c r="E989" s="342"/>
      <c r="F989" s="342"/>
      <c r="G989" s="342"/>
      <c r="H989" s="342"/>
      <c r="I989" s="342"/>
      <c r="J989" s="342"/>
      <c r="K989" s="342"/>
      <c r="L989" s="342"/>
      <c r="M989" s="342"/>
    </row>
    <row r="990" ht="15.75" customHeight="1">
      <c r="A990" s="342"/>
      <c r="B990" s="343"/>
      <c r="C990" s="344"/>
      <c r="D990" s="342"/>
      <c r="E990" s="342"/>
      <c r="F990" s="342"/>
      <c r="G990" s="342"/>
      <c r="H990" s="342"/>
      <c r="I990" s="342"/>
      <c r="J990" s="342"/>
      <c r="K990" s="342"/>
      <c r="L990" s="342"/>
      <c r="M990" s="342"/>
    </row>
    <row r="991" ht="15.75" customHeight="1">
      <c r="A991" s="342"/>
      <c r="B991" s="343"/>
      <c r="C991" s="344"/>
      <c r="D991" s="342"/>
      <c r="E991" s="342"/>
      <c r="F991" s="342"/>
      <c r="G991" s="342"/>
      <c r="H991" s="342"/>
      <c r="I991" s="342"/>
      <c r="J991" s="342"/>
      <c r="K991" s="342"/>
      <c r="L991" s="342"/>
      <c r="M991" s="342"/>
    </row>
    <row r="992" ht="15.75" customHeight="1">
      <c r="A992" s="342"/>
      <c r="B992" s="343"/>
      <c r="C992" s="344"/>
      <c r="D992" s="342"/>
      <c r="E992" s="342"/>
      <c r="F992" s="342"/>
      <c r="G992" s="342"/>
      <c r="H992" s="342"/>
      <c r="I992" s="342"/>
      <c r="J992" s="342"/>
      <c r="K992" s="342"/>
      <c r="L992" s="342"/>
      <c r="M992" s="342"/>
    </row>
    <row r="993" ht="15.75" customHeight="1">
      <c r="A993" s="342"/>
      <c r="B993" s="343"/>
      <c r="C993" s="344"/>
      <c r="D993" s="342"/>
      <c r="E993" s="342"/>
      <c r="F993" s="342"/>
      <c r="G993" s="342"/>
      <c r="H993" s="342"/>
      <c r="I993" s="342"/>
      <c r="J993" s="342"/>
      <c r="K993" s="342"/>
      <c r="L993" s="342"/>
      <c r="M993" s="342"/>
    </row>
    <row r="994" ht="15.75" customHeight="1">
      <c r="A994" s="342"/>
      <c r="B994" s="343"/>
      <c r="C994" s="344"/>
      <c r="D994" s="342"/>
      <c r="E994" s="342"/>
      <c r="F994" s="342"/>
      <c r="G994" s="342"/>
      <c r="H994" s="342"/>
      <c r="I994" s="342"/>
      <c r="J994" s="342"/>
      <c r="K994" s="342"/>
      <c r="L994" s="342"/>
      <c r="M994" s="342"/>
    </row>
    <row r="995" ht="15.75" customHeight="1">
      <c r="A995" s="342"/>
      <c r="B995" s="343"/>
      <c r="C995" s="344"/>
      <c r="D995" s="342"/>
      <c r="E995" s="342"/>
      <c r="F995" s="342"/>
      <c r="G995" s="342"/>
      <c r="H995" s="342"/>
      <c r="I995" s="342"/>
      <c r="J995" s="342"/>
      <c r="K995" s="342"/>
      <c r="L995" s="342"/>
      <c r="M995" s="342"/>
    </row>
    <row r="996" ht="15.75" customHeight="1">
      <c r="A996" s="342"/>
      <c r="B996" s="343"/>
      <c r="C996" s="344"/>
      <c r="D996" s="342"/>
      <c r="E996" s="342"/>
      <c r="F996" s="342"/>
      <c r="G996" s="342"/>
      <c r="H996" s="342"/>
      <c r="I996" s="342"/>
      <c r="J996" s="342"/>
      <c r="K996" s="342"/>
      <c r="L996" s="342"/>
      <c r="M996" s="342"/>
    </row>
    <row r="997" ht="15.75" customHeight="1">
      <c r="A997" s="342"/>
      <c r="B997" s="343"/>
      <c r="C997" s="344"/>
      <c r="D997" s="342"/>
      <c r="E997" s="342"/>
      <c r="F997" s="342"/>
      <c r="G997" s="342"/>
      <c r="H997" s="342"/>
      <c r="I997" s="342"/>
      <c r="J997" s="342"/>
      <c r="K997" s="342"/>
      <c r="L997" s="342"/>
      <c r="M997" s="342"/>
    </row>
    <row r="998" ht="15.75" customHeight="1">
      <c r="A998" s="342"/>
      <c r="B998" s="343"/>
      <c r="C998" s="344"/>
      <c r="D998" s="342"/>
      <c r="E998" s="342"/>
      <c r="F998" s="342"/>
      <c r="G998" s="342"/>
      <c r="H998" s="342"/>
      <c r="I998" s="342"/>
      <c r="J998" s="342"/>
      <c r="K998" s="342"/>
      <c r="L998" s="342"/>
      <c r="M998" s="342"/>
    </row>
    <row r="999" ht="15.75" customHeight="1">
      <c r="A999" s="342"/>
      <c r="B999" s="343"/>
      <c r="C999" s="344"/>
      <c r="D999" s="342"/>
      <c r="E999" s="342"/>
      <c r="F999" s="342"/>
      <c r="G999" s="342"/>
      <c r="H999" s="342"/>
      <c r="I999" s="342"/>
      <c r="J999" s="342"/>
      <c r="K999" s="342"/>
      <c r="L999" s="342"/>
      <c r="M999" s="342"/>
    </row>
    <row r="1000" ht="15.75" customHeight="1">
      <c r="A1000" s="342"/>
      <c r="B1000" s="343"/>
      <c r="C1000" s="344"/>
      <c r="D1000" s="342"/>
      <c r="E1000" s="342"/>
      <c r="F1000" s="342"/>
      <c r="G1000" s="342"/>
      <c r="H1000" s="342"/>
      <c r="I1000" s="342"/>
      <c r="J1000" s="342"/>
      <c r="K1000" s="342"/>
      <c r="L1000" s="342"/>
      <c r="M1000" s="342"/>
    </row>
    <row r="1001" ht="15.75" customHeight="1">
      <c r="A1001" s="342"/>
      <c r="B1001" s="343"/>
      <c r="C1001" s="344"/>
      <c r="D1001" s="342"/>
      <c r="E1001" s="342"/>
      <c r="F1001" s="342"/>
      <c r="G1001" s="342"/>
      <c r="H1001" s="342"/>
      <c r="I1001" s="342"/>
      <c r="J1001" s="342"/>
      <c r="K1001" s="342"/>
      <c r="L1001" s="342"/>
      <c r="M1001" s="342"/>
    </row>
    <row r="1002" ht="15.75" customHeight="1">
      <c r="A1002" s="342"/>
      <c r="B1002" s="343"/>
      <c r="C1002" s="344"/>
      <c r="D1002" s="342"/>
      <c r="E1002" s="342"/>
      <c r="F1002" s="342"/>
      <c r="G1002" s="342"/>
      <c r="H1002" s="342"/>
      <c r="I1002" s="342"/>
      <c r="J1002" s="342"/>
      <c r="K1002" s="342"/>
      <c r="L1002" s="342"/>
      <c r="M1002" s="342"/>
    </row>
    <row r="1003" ht="15.75" customHeight="1">
      <c r="A1003" s="342"/>
      <c r="B1003" s="343"/>
      <c r="C1003" s="344"/>
      <c r="D1003" s="342"/>
      <c r="E1003" s="342"/>
      <c r="F1003" s="342"/>
      <c r="G1003" s="342"/>
      <c r="H1003" s="342"/>
      <c r="I1003" s="342"/>
      <c r="J1003" s="342"/>
      <c r="K1003" s="342"/>
      <c r="L1003" s="342"/>
      <c r="M1003" s="342"/>
    </row>
    <row r="1004" ht="15.75" customHeight="1">
      <c r="A1004" s="342"/>
      <c r="B1004" s="343"/>
      <c r="C1004" s="344"/>
      <c r="D1004" s="342"/>
      <c r="E1004" s="342"/>
      <c r="F1004" s="342"/>
      <c r="G1004" s="342"/>
      <c r="H1004" s="342"/>
      <c r="I1004" s="342"/>
      <c r="J1004" s="342"/>
      <c r="K1004" s="342"/>
      <c r="L1004" s="342"/>
      <c r="M1004" s="342"/>
    </row>
    <row r="1005" ht="15.75" customHeight="1">
      <c r="A1005" s="342"/>
      <c r="B1005" s="343"/>
      <c r="C1005" s="344"/>
      <c r="D1005" s="342"/>
      <c r="E1005" s="342"/>
      <c r="F1005" s="342"/>
      <c r="G1005" s="342"/>
      <c r="H1005" s="342"/>
      <c r="I1005" s="342"/>
      <c r="J1005" s="342"/>
      <c r="K1005" s="342"/>
      <c r="L1005" s="342"/>
      <c r="M1005" s="342"/>
    </row>
    <row r="1006" ht="15.75" customHeight="1">
      <c r="A1006" s="342"/>
      <c r="B1006" s="343"/>
      <c r="C1006" s="344"/>
      <c r="D1006" s="342"/>
      <c r="E1006" s="342"/>
      <c r="F1006" s="342"/>
      <c r="G1006" s="342"/>
      <c r="H1006" s="342"/>
      <c r="I1006" s="342"/>
      <c r="J1006" s="342"/>
      <c r="K1006" s="342"/>
      <c r="L1006" s="342"/>
      <c r="M1006" s="342"/>
    </row>
    <row r="1007" ht="15.75" customHeight="1">
      <c r="A1007" s="342"/>
      <c r="B1007" s="343"/>
      <c r="C1007" s="344"/>
      <c r="D1007" s="342"/>
      <c r="E1007" s="342"/>
      <c r="F1007" s="342"/>
      <c r="G1007" s="342"/>
      <c r="H1007" s="342"/>
      <c r="I1007" s="342"/>
      <c r="J1007" s="342"/>
      <c r="K1007" s="342"/>
      <c r="L1007" s="342"/>
      <c r="M1007" s="342"/>
    </row>
    <row r="1008" ht="15.75" customHeight="1">
      <c r="A1008" s="342"/>
      <c r="B1008" s="343"/>
      <c r="C1008" s="344"/>
      <c r="D1008" s="342"/>
      <c r="E1008" s="342"/>
      <c r="F1008" s="342"/>
      <c r="G1008" s="342"/>
      <c r="H1008" s="342"/>
      <c r="I1008" s="342"/>
      <c r="J1008" s="342"/>
      <c r="K1008" s="342"/>
      <c r="L1008" s="342"/>
      <c r="M1008" s="342"/>
    </row>
    <row r="1009" ht="15.75" customHeight="1">
      <c r="A1009" s="342"/>
      <c r="B1009" s="343"/>
      <c r="C1009" s="344"/>
      <c r="D1009" s="342"/>
      <c r="E1009" s="342"/>
      <c r="F1009" s="342"/>
      <c r="G1009" s="342"/>
      <c r="H1009" s="342"/>
      <c r="I1009" s="342"/>
      <c r="J1009" s="342"/>
      <c r="K1009" s="342"/>
      <c r="L1009" s="342"/>
      <c r="M1009" s="342"/>
    </row>
    <row r="1010" ht="15.75" customHeight="1">
      <c r="A1010" s="342"/>
      <c r="B1010" s="343"/>
      <c r="C1010" s="344"/>
      <c r="D1010" s="342"/>
      <c r="E1010" s="342"/>
      <c r="F1010" s="342"/>
      <c r="G1010" s="342"/>
      <c r="H1010" s="342"/>
      <c r="I1010" s="342"/>
      <c r="J1010" s="342"/>
      <c r="K1010" s="342"/>
      <c r="L1010" s="342"/>
      <c r="M1010" s="342"/>
    </row>
    <row r="1011" ht="15.75" customHeight="1">
      <c r="A1011" s="342"/>
      <c r="B1011" s="343"/>
      <c r="C1011" s="344"/>
      <c r="D1011" s="342"/>
      <c r="E1011" s="342"/>
      <c r="F1011" s="342"/>
      <c r="G1011" s="342"/>
      <c r="H1011" s="342"/>
      <c r="I1011" s="342"/>
      <c r="J1011" s="342"/>
      <c r="K1011" s="342"/>
      <c r="L1011" s="342"/>
      <c r="M1011" s="342"/>
    </row>
    <row r="1012" ht="15.75" customHeight="1">
      <c r="A1012" s="342"/>
      <c r="B1012" s="343"/>
      <c r="C1012" s="344"/>
      <c r="D1012" s="342"/>
      <c r="E1012" s="342"/>
      <c r="F1012" s="342"/>
      <c r="G1012" s="342"/>
      <c r="H1012" s="342"/>
      <c r="I1012" s="342"/>
      <c r="J1012" s="342"/>
      <c r="K1012" s="342"/>
      <c r="L1012" s="342"/>
      <c r="M1012" s="342"/>
    </row>
    <row r="1013" ht="15.75" customHeight="1">
      <c r="A1013" s="342"/>
      <c r="B1013" s="343"/>
      <c r="C1013" s="344"/>
      <c r="D1013" s="342"/>
      <c r="E1013" s="342"/>
      <c r="F1013" s="342"/>
      <c r="G1013" s="342"/>
      <c r="H1013" s="342"/>
      <c r="I1013" s="342"/>
      <c r="J1013" s="342"/>
      <c r="K1013" s="342"/>
      <c r="L1013" s="342"/>
      <c r="M1013" s="342"/>
    </row>
    <row r="1014" ht="15.75" customHeight="1">
      <c r="A1014" s="342"/>
      <c r="B1014" s="343"/>
      <c r="C1014" s="344"/>
      <c r="D1014" s="342"/>
      <c r="E1014" s="342"/>
      <c r="F1014" s="342"/>
      <c r="G1014" s="342"/>
      <c r="H1014" s="342"/>
      <c r="I1014" s="342"/>
      <c r="J1014" s="342"/>
      <c r="K1014" s="342"/>
      <c r="L1014" s="342"/>
      <c r="M1014" s="342"/>
    </row>
    <row r="1015" ht="15.75" customHeight="1">
      <c r="A1015" s="342"/>
      <c r="B1015" s="343"/>
      <c r="C1015" s="344"/>
      <c r="D1015" s="342"/>
      <c r="E1015" s="342"/>
      <c r="F1015" s="342"/>
      <c r="G1015" s="342"/>
      <c r="H1015" s="342"/>
      <c r="I1015" s="342"/>
      <c r="J1015" s="342"/>
      <c r="K1015" s="342"/>
      <c r="L1015" s="342"/>
      <c r="M1015" s="342"/>
    </row>
    <row r="1016" ht="15.75" customHeight="1">
      <c r="A1016" s="342"/>
      <c r="B1016" s="343"/>
      <c r="C1016" s="344"/>
      <c r="D1016" s="342"/>
      <c r="E1016" s="342"/>
      <c r="F1016" s="342"/>
      <c r="G1016" s="342"/>
      <c r="H1016" s="342"/>
      <c r="I1016" s="342"/>
      <c r="J1016" s="342"/>
      <c r="K1016" s="342"/>
      <c r="L1016" s="342"/>
      <c r="M1016" s="342"/>
    </row>
    <row r="1017" ht="15.75" customHeight="1">
      <c r="A1017" s="342"/>
      <c r="B1017" s="343"/>
      <c r="C1017" s="344"/>
      <c r="D1017" s="342"/>
      <c r="E1017" s="342"/>
      <c r="F1017" s="342"/>
      <c r="G1017" s="342"/>
      <c r="H1017" s="342"/>
      <c r="I1017" s="342"/>
      <c r="J1017" s="342"/>
      <c r="K1017" s="342"/>
      <c r="L1017" s="342"/>
      <c r="M1017" s="342"/>
    </row>
    <row r="1018" ht="15.75" customHeight="1">
      <c r="A1018" s="342"/>
      <c r="B1018" s="343"/>
      <c r="C1018" s="344"/>
      <c r="D1018" s="342"/>
      <c r="E1018" s="342"/>
      <c r="F1018" s="342"/>
      <c r="G1018" s="342"/>
      <c r="H1018" s="342"/>
      <c r="I1018" s="342"/>
      <c r="J1018" s="342"/>
      <c r="K1018" s="342"/>
      <c r="L1018" s="342"/>
      <c r="M1018" s="342"/>
    </row>
    <row r="1019" ht="15.75" customHeight="1">
      <c r="A1019" s="342"/>
      <c r="B1019" s="343"/>
      <c r="C1019" s="344"/>
      <c r="D1019" s="342"/>
      <c r="E1019" s="342"/>
      <c r="F1019" s="342"/>
      <c r="G1019" s="342"/>
      <c r="H1019" s="342"/>
      <c r="I1019" s="342"/>
      <c r="J1019" s="342"/>
      <c r="K1019" s="342"/>
      <c r="L1019" s="342"/>
      <c r="M1019" s="342"/>
    </row>
    <row r="1020" ht="15.75" customHeight="1">
      <c r="A1020" s="342"/>
      <c r="B1020" s="343"/>
      <c r="C1020" s="344"/>
      <c r="D1020" s="342"/>
      <c r="E1020" s="342"/>
      <c r="F1020" s="342"/>
      <c r="G1020" s="342"/>
      <c r="H1020" s="342"/>
      <c r="I1020" s="342"/>
      <c r="J1020" s="342"/>
      <c r="K1020" s="342"/>
      <c r="L1020" s="342"/>
      <c r="M1020" s="342"/>
    </row>
    <row r="1021" ht="15.75" customHeight="1">
      <c r="A1021" s="342"/>
      <c r="B1021" s="343"/>
      <c r="C1021" s="344"/>
      <c r="D1021" s="342"/>
      <c r="E1021" s="342"/>
      <c r="F1021" s="342"/>
      <c r="G1021" s="342"/>
      <c r="H1021" s="342"/>
      <c r="I1021" s="342"/>
      <c r="J1021" s="342"/>
      <c r="K1021" s="342"/>
      <c r="L1021" s="342"/>
      <c r="M1021" s="342"/>
    </row>
    <row r="1022" ht="15.75" customHeight="1">
      <c r="A1022" s="342"/>
      <c r="B1022" s="343"/>
      <c r="C1022" s="344"/>
      <c r="D1022" s="342"/>
      <c r="E1022" s="342"/>
      <c r="F1022" s="342"/>
      <c r="G1022" s="342"/>
      <c r="H1022" s="342"/>
      <c r="I1022" s="342"/>
      <c r="J1022" s="342"/>
      <c r="K1022" s="342"/>
      <c r="L1022" s="342"/>
      <c r="M1022" s="342"/>
    </row>
    <row r="1023" ht="15.75" customHeight="1">
      <c r="A1023" s="342"/>
      <c r="B1023" s="343"/>
      <c r="C1023" s="344"/>
      <c r="D1023" s="342"/>
      <c r="E1023" s="342"/>
      <c r="F1023" s="342"/>
      <c r="G1023" s="342"/>
      <c r="H1023" s="342"/>
      <c r="I1023" s="342"/>
      <c r="J1023" s="342"/>
      <c r="K1023" s="342"/>
      <c r="L1023" s="342"/>
      <c r="M1023" s="342"/>
    </row>
    <row r="1024" ht="15.75" customHeight="1">
      <c r="A1024" s="342"/>
      <c r="B1024" s="343"/>
      <c r="C1024" s="344"/>
      <c r="D1024" s="342"/>
      <c r="E1024" s="342"/>
      <c r="F1024" s="342"/>
      <c r="G1024" s="342"/>
      <c r="H1024" s="342"/>
      <c r="I1024" s="342"/>
      <c r="J1024" s="342"/>
      <c r="K1024" s="342"/>
      <c r="L1024" s="342"/>
      <c r="M1024" s="342"/>
    </row>
    <row r="1025" ht="15.75" customHeight="1">
      <c r="A1025" s="342"/>
      <c r="B1025" s="343"/>
      <c r="C1025" s="344"/>
      <c r="D1025" s="342"/>
      <c r="E1025" s="342"/>
      <c r="F1025" s="342"/>
      <c r="G1025" s="342"/>
      <c r="H1025" s="342"/>
      <c r="I1025" s="342"/>
      <c r="J1025" s="342"/>
      <c r="K1025" s="342"/>
      <c r="L1025" s="342"/>
      <c r="M1025" s="342"/>
    </row>
    <row r="1026" ht="15.75" customHeight="1">
      <c r="A1026" s="342"/>
      <c r="B1026" s="343"/>
      <c r="C1026" s="344"/>
      <c r="D1026" s="342"/>
      <c r="E1026" s="342"/>
      <c r="F1026" s="342"/>
      <c r="G1026" s="342"/>
      <c r="H1026" s="342"/>
      <c r="I1026" s="342"/>
      <c r="J1026" s="342"/>
      <c r="K1026" s="342"/>
      <c r="L1026" s="342"/>
      <c r="M1026" s="342"/>
    </row>
    <row r="1027" ht="15.75" customHeight="1">
      <c r="A1027" s="342"/>
      <c r="B1027" s="343"/>
      <c r="C1027" s="344"/>
      <c r="D1027" s="342"/>
      <c r="E1027" s="342"/>
      <c r="F1027" s="342"/>
      <c r="G1027" s="342"/>
      <c r="H1027" s="342"/>
      <c r="I1027" s="342"/>
      <c r="J1027" s="342"/>
      <c r="K1027" s="342"/>
      <c r="L1027" s="342"/>
      <c r="M1027" s="342"/>
    </row>
    <row r="1028" ht="15.75" customHeight="1">
      <c r="A1028" s="342"/>
      <c r="B1028" s="343"/>
      <c r="C1028" s="344"/>
      <c r="D1028" s="342"/>
      <c r="E1028" s="342"/>
      <c r="F1028" s="342"/>
      <c r="G1028" s="342"/>
      <c r="H1028" s="342"/>
      <c r="I1028" s="342"/>
      <c r="J1028" s="342"/>
      <c r="K1028" s="342"/>
      <c r="L1028" s="342"/>
      <c r="M1028" s="342"/>
    </row>
    <row r="1029" ht="15.75" customHeight="1">
      <c r="A1029" s="342"/>
      <c r="B1029" s="343"/>
      <c r="C1029" s="344"/>
      <c r="D1029" s="342"/>
      <c r="E1029" s="342"/>
      <c r="F1029" s="342"/>
      <c r="G1029" s="342"/>
      <c r="H1029" s="342"/>
      <c r="I1029" s="342"/>
      <c r="J1029" s="342"/>
      <c r="K1029" s="342"/>
      <c r="L1029" s="342"/>
      <c r="M1029" s="342"/>
    </row>
    <row r="1030" ht="15.75" customHeight="1">
      <c r="A1030" s="342"/>
      <c r="B1030" s="343"/>
      <c r="C1030" s="344"/>
      <c r="D1030" s="342"/>
      <c r="E1030" s="342"/>
      <c r="F1030" s="342"/>
      <c r="G1030" s="342"/>
      <c r="H1030" s="342"/>
      <c r="I1030" s="342"/>
      <c r="J1030" s="342"/>
      <c r="K1030" s="342"/>
      <c r="L1030" s="342"/>
      <c r="M1030" s="342"/>
    </row>
    <row r="1031" ht="15.75" customHeight="1">
      <c r="A1031" s="342"/>
      <c r="B1031" s="343"/>
      <c r="C1031" s="344"/>
      <c r="D1031" s="342"/>
      <c r="E1031" s="342"/>
      <c r="F1031" s="342"/>
      <c r="G1031" s="342"/>
      <c r="H1031" s="342"/>
      <c r="I1031" s="342"/>
      <c r="J1031" s="342"/>
      <c r="K1031" s="342"/>
      <c r="L1031" s="342"/>
      <c r="M1031" s="342"/>
    </row>
    <row r="1032" ht="15.75" customHeight="1">
      <c r="A1032" s="342"/>
      <c r="B1032" s="343"/>
      <c r="C1032" s="344"/>
      <c r="D1032" s="342"/>
      <c r="E1032" s="342"/>
      <c r="F1032" s="342"/>
      <c r="G1032" s="342"/>
      <c r="H1032" s="342"/>
      <c r="I1032" s="342"/>
      <c r="J1032" s="342"/>
      <c r="K1032" s="342"/>
      <c r="L1032" s="342"/>
      <c r="M1032" s="342"/>
    </row>
    <row r="1033" ht="15.75" customHeight="1">
      <c r="A1033" s="342"/>
      <c r="B1033" s="343"/>
      <c r="C1033" s="344"/>
      <c r="D1033" s="342"/>
      <c r="E1033" s="342"/>
      <c r="F1033" s="342"/>
      <c r="G1033" s="342"/>
      <c r="H1033" s="342"/>
      <c r="I1033" s="342"/>
      <c r="J1033" s="342"/>
      <c r="K1033" s="342"/>
      <c r="L1033" s="342"/>
      <c r="M1033" s="342"/>
    </row>
    <row r="1034" ht="15.75" customHeight="1">
      <c r="A1034" s="342"/>
      <c r="B1034" s="343"/>
      <c r="C1034" s="344"/>
      <c r="D1034" s="342"/>
      <c r="E1034" s="342"/>
      <c r="F1034" s="342"/>
      <c r="G1034" s="342"/>
      <c r="H1034" s="342"/>
      <c r="I1034" s="342"/>
      <c r="J1034" s="342"/>
      <c r="K1034" s="342"/>
      <c r="L1034" s="342"/>
      <c r="M1034" s="342"/>
    </row>
    <row r="1035" ht="15.75" customHeight="1">
      <c r="A1035" s="342"/>
      <c r="B1035" s="343"/>
      <c r="C1035" s="344"/>
      <c r="D1035" s="342"/>
      <c r="E1035" s="342"/>
      <c r="F1035" s="342"/>
      <c r="G1035" s="342"/>
      <c r="H1035" s="342"/>
      <c r="I1035" s="342"/>
      <c r="J1035" s="342"/>
      <c r="K1035" s="342"/>
      <c r="L1035" s="342"/>
      <c r="M1035" s="342"/>
    </row>
    <row r="1036" ht="15.75" customHeight="1">
      <c r="A1036" s="342"/>
      <c r="B1036" s="343"/>
      <c r="C1036" s="344"/>
      <c r="D1036" s="342"/>
      <c r="E1036" s="342"/>
      <c r="F1036" s="342"/>
      <c r="G1036" s="342"/>
      <c r="H1036" s="342"/>
      <c r="I1036" s="342"/>
      <c r="J1036" s="342"/>
      <c r="K1036" s="342"/>
      <c r="L1036" s="342"/>
      <c r="M1036" s="342"/>
    </row>
    <row r="1037" ht="15.75" customHeight="1">
      <c r="A1037" s="342"/>
      <c r="B1037" s="343"/>
      <c r="C1037" s="344"/>
      <c r="D1037" s="342"/>
      <c r="E1037" s="342"/>
      <c r="F1037" s="342"/>
      <c r="G1037" s="342"/>
      <c r="H1037" s="342"/>
      <c r="I1037" s="342"/>
      <c r="J1037" s="342"/>
      <c r="K1037" s="342"/>
      <c r="L1037" s="342"/>
      <c r="M1037" s="342"/>
    </row>
    <row r="1038" ht="15.75" customHeight="1">
      <c r="A1038" s="342"/>
      <c r="B1038" s="343"/>
      <c r="C1038" s="344"/>
      <c r="D1038" s="342"/>
      <c r="E1038" s="342"/>
      <c r="F1038" s="342"/>
      <c r="G1038" s="342"/>
      <c r="H1038" s="342"/>
      <c r="I1038" s="342"/>
      <c r="J1038" s="342"/>
      <c r="K1038" s="342"/>
      <c r="L1038" s="342"/>
      <c r="M1038" s="342"/>
    </row>
    <row r="1039" ht="15.75" customHeight="1">
      <c r="A1039" s="342"/>
      <c r="B1039" s="343"/>
      <c r="C1039" s="344"/>
      <c r="D1039" s="342"/>
      <c r="E1039" s="342"/>
      <c r="F1039" s="342"/>
      <c r="G1039" s="342"/>
      <c r="H1039" s="342"/>
      <c r="I1039" s="342"/>
      <c r="J1039" s="342"/>
      <c r="K1039" s="342"/>
      <c r="L1039" s="342"/>
      <c r="M1039" s="342"/>
    </row>
    <row r="1040" ht="15.75" customHeight="1">
      <c r="A1040" s="342"/>
      <c r="B1040" s="343"/>
      <c r="C1040" s="344"/>
      <c r="D1040" s="342"/>
      <c r="E1040" s="342"/>
      <c r="F1040" s="342"/>
      <c r="G1040" s="342"/>
      <c r="H1040" s="342"/>
      <c r="I1040" s="342"/>
      <c r="J1040" s="342"/>
      <c r="K1040" s="342"/>
      <c r="L1040" s="342"/>
      <c r="M1040" s="342"/>
    </row>
    <row r="1041" ht="15.75" customHeight="1">
      <c r="A1041" s="342"/>
      <c r="B1041" s="343"/>
      <c r="C1041" s="344"/>
      <c r="D1041" s="342"/>
      <c r="E1041" s="342"/>
      <c r="F1041" s="342"/>
      <c r="G1041" s="342"/>
      <c r="H1041" s="342"/>
      <c r="I1041" s="342"/>
      <c r="J1041" s="342"/>
      <c r="K1041" s="342"/>
      <c r="L1041" s="342"/>
      <c r="M1041" s="342"/>
    </row>
    <row r="1042" ht="15.75" customHeight="1">
      <c r="A1042" s="342"/>
      <c r="B1042" s="343"/>
      <c r="C1042" s="344"/>
      <c r="D1042" s="342"/>
      <c r="E1042" s="342"/>
      <c r="F1042" s="342"/>
      <c r="G1042" s="342"/>
      <c r="H1042" s="342"/>
      <c r="I1042" s="342"/>
      <c r="J1042" s="342"/>
      <c r="K1042" s="342"/>
      <c r="L1042" s="342"/>
      <c r="M1042" s="342"/>
    </row>
    <row r="1043" ht="15.75" customHeight="1">
      <c r="A1043" s="342"/>
      <c r="B1043" s="343"/>
      <c r="C1043" s="344"/>
      <c r="D1043" s="342"/>
      <c r="E1043" s="342"/>
      <c r="F1043" s="342"/>
      <c r="G1043" s="342"/>
      <c r="H1043" s="342"/>
      <c r="I1043" s="342"/>
      <c r="J1043" s="342"/>
      <c r="K1043" s="342"/>
      <c r="L1043" s="342"/>
      <c r="M1043" s="342"/>
    </row>
    <row r="1044" ht="15.75" customHeight="1">
      <c r="A1044" s="342"/>
      <c r="B1044" s="343"/>
      <c r="C1044" s="344"/>
      <c r="D1044" s="342"/>
      <c r="E1044" s="342"/>
      <c r="F1044" s="342"/>
      <c r="G1044" s="342"/>
      <c r="H1044" s="342"/>
      <c r="I1044" s="342"/>
      <c r="J1044" s="342"/>
      <c r="K1044" s="342"/>
      <c r="L1044" s="342"/>
      <c r="M1044" s="342"/>
    </row>
    <row r="1045" ht="15.75" customHeight="1">
      <c r="A1045" s="342"/>
      <c r="B1045" s="343"/>
      <c r="C1045" s="344"/>
      <c r="D1045" s="342"/>
      <c r="E1045" s="342"/>
      <c r="F1045" s="342"/>
      <c r="G1045" s="342"/>
      <c r="H1045" s="342"/>
      <c r="I1045" s="342"/>
      <c r="J1045" s="342"/>
      <c r="K1045" s="342"/>
      <c r="L1045" s="342"/>
      <c r="M1045" s="342"/>
    </row>
    <row r="1046" ht="15.75" customHeight="1">
      <c r="A1046" s="342"/>
      <c r="B1046" s="343"/>
      <c r="C1046" s="344"/>
      <c r="D1046" s="342"/>
      <c r="E1046" s="342"/>
      <c r="F1046" s="342"/>
      <c r="G1046" s="342"/>
      <c r="H1046" s="342"/>
      <c r="I1046" s="342"/>
      <c r="J1046" s="342"/>
      <c r="K1046" s="342"/>
      <c r="L1046" s="342"/>
      <c r="M1046" s="342"/>
    </row>
    <row r="1047" ht="15.75" customHeight="1">
      <c r="A1047" s="342"/>
      <c r="B1047" s="343"/>
      <c r="C1047" s="344"/>
      <c r="D1047" s="342"/>
      <c r="E1047" s="342"/>
      <c r="F1047" s="342"/>
      <c r="G1047" s="342"/>
      <c r="H1047" s="342"/>
      <c r="I1047" s="342"/>
      <c r="J1047" s="342"/>
      <c r="K1047" s="342"/>
      <c r="L1047" s="342"/>
      <c r="M1047" s="342"/>
    </row>
    <row r="1048" ht="15.75" customHeight="1">
      <c r="A1048" s="342"/>
      <c r="B1048" s="343"/>
      <c r="C1048" s="344"/>
      <c r="D1048" s="342"/>
      <c r="E1048" s="342"/>
      <c r="F1048" s="342"/>
      <c r="G1048" s="342"/>
      <c r="H1048" s="342"/>
      <c r="I1048" s="342"/>
      <c r="J1048" s="342"/>
      <c r="K1048" s="342"/>
      <c r="L1048" s="342"/>
      <c r="M1048" s="342"/>
    </row>
    <row r="1049" ht="15.75" customHeight="1">
      <c r="A1049" s="342"/>
      <c r="B1049" s="343"/>
      <c r="C1049" s="344"/>
      <c r="D1049" s="342"/>
      <c r="E1049" s="342"/>
      <c r="F1049" s="342"/>
      <c r="G1049" s="342"/>
      <c r="H1049" s="342"/>
      <c r="I1049" s="342"/>
      <c r="J1049" s="342"/>
      <c r="K1049" s="342"/>
      <c r="L1049" s="342"/>
      <c r="M1049" s="342"/>
    </row>
    <row r="1050" ht="15.75" customHeight="1">
      <c r="A1050" s="342"/>
      <c r="B1050" s="343"/>
      <c r="C1050" s="344"/>
      <c r="D1050" s="342"/>
      <c r="E1050" s="342"/>
      <c r="F1050" s="342"/>
      <c r="G1050" s="342"/>
      <c r="H1050" s="342"/>
      <c r="I1050" s="342"/>
      <c r="J1050" s="342"/>
      <c r="K1050" s="342"/>
      <c r="L1050" s="342"/>
      <c r="M1050" s="342"/>
    </row>
    <row r="1051" ht="15.75" customHeight="1">
      <c r="A1051" s="342"/>
      <c r="B1051" s="343"/>
      <c r="C1051" s="344"/>
      <c r="D1051" s="342"/>
      <c r="E1051" s="342"/>
      <c r="F1051" s="342"/>
      <c r="G1051" s="342"/>
      <c r="H1051" s="342"/>
      <c r="I1051" s="342"/>
      <c r="J1051" s="342"/>
      <c r="K1051" s="342"/>
      <c r="L1051" s="342"/>
      <c r="M1051" s="342"/>
    </row>
    <row r="1052" ht="15.75" customHeight="1">
      <c r="A1052" s="342"/>
      <c r="B1052" s="343"/>
      <c r="C1052" s="344"/>
      <c r="D1052" s="342"/>
      <c r="E1052" s="342"/>
      <c r="F1052" s="342"/>
      <c r="G1052" s="342"/>
      <c r="H1052" s="342"/>
      <c r="I1052" s="342"/>
      <c r="J1052" s="342"/>
      <c r="K1052" s="342"/>
      <c r="L1052" s="342"/>
      <c r="M1052" s="342"/>
    </row>
    <row r="1053" ht="15.75" customHeight="1">
      <c r="A1053" s="342"/>
      <c r="B1053" s="343"/>
      <c r="C1053" s="344"/>
      <c r="D1053" s="342"/>
      <c r="E1053" s="342"/>
      <c r="F1053" s="342"/>
      <c r="G1053" s="342"/>
      <c r="H1053" s="342"/>
      <c r="I1053" s="342"/>
      <c r="J1053" s="342"/>
      <c r="K1053" s="342"/>
      <c r="L1053" s="342"/>
      <c r="M1053" s="342"/>
    </row>
    <row r="1054" ht="15.75" customHeight="1">
      <c r="A1054" s="342"/>
      <c r="B1054" s="343"/>
      <c r="C1054" s="344"/>
      <c r="D1054" s="342"/>
      <c r="E1054" s="342"/>
      <c r="F1054" s="342"/>
      <c r="G1054" s="342"/>
      <c r="H1054" s="342"/>
      <c r="I1054" s="342"/>
      <c r="J1054" s="342"/>
      <c r="K1054" s="342"/>
      <c r="L1054" s="342"/>
      <c r="M1054" s="342"/>
    </row>
    <row r="1055" ht="15.75" customHeight="1">
      <c r="A1055" s="342"/>
      <c r="B1055" s="343"/>
      <c r="C1055" s="344"/>
      <c r="D1055" s="342"/>
      <c r="E1055" s="342"/>
      <c r="F1055" s="342"/>
      <c r="G1055" s="342"/>
      <c r="H1055" s="342"/>
      <c r="I1055" s="342"/>
      <c r="J1055" s="342"/>
      <c r="K1055" s="342"/>
      <c r="L1055" s="342"/>
      <c r="M1055" s="342"/>
    </row>
    <row r="1056" ht="15.75" customHeight="1">
      <c r="A1056" s="342"/>
      <c r="B1056" s="343"/>
      <c r="C1056" s="344"/>
      <c r="D1056" s="342"/>
      <c r="E1056" s="342"/>
      <c r="F1056" s="342"/>
      <c r="G1056" s="342"/>
      <c r="H1056" s="342"/>
      <c r="I1056" s="342"/>
      <c r="J1056" s="342"/>
      <c r="K1056" s="342"/>
      <c r="L1056" s="342"/>
      <c r="M1056" s="342"/>
    </row>
    <row r="1057" ht="15.75" customHeight="1">
      <c r="A1057" s="342"/>
      <c r="B1057" s="343"/>
      <c r="C1057" s="344"/>
      <c r="D1057" s="342"/>
      <c r="E1057" s="342"/>
      <c r="F1057" s="342"/>
      <c r="G1057" s="342"/>
      <c r="H1057" s="342"/>
      <c r="I1057" s="342"/>
      <c r="J1057" s="342"/>
      <c r="K1057" s="342"/>
      <c r="L1057" s="342"/>
      <c r="M1057" s="342"/>
    </row>
    <row r="1058" ht="15.75" customHeight="1">
      <c r="A1058" s="342"/>
      <c r="B1058" s="343"/>
      <c r="C1058" s="344"/>
      <c r="D1058" s="342"/>
      <c r="E1058" s="342"/>
      <c r="F1058" s="342"/>
      <c r="G1058" s="342"/>
      <c r="H1058" s="342"/>
      <c r="I1058" s="342"/>
      <c r="J1058" s="342"/>
      <c r="K1058" s="342"/>
      <c r="L1058" s="342"/>
      <c r="M1058" s="342"/>
    </row>
    <row r="1059" ht="15.75" customHeight="1">
      <c r="A1059" s="342"/>
      <c r="B1059" s="343"/>
      <c r="C1059" s="344"/>
      <c r="D1059" s="342"/>
      <c r="E1059" s="342"/>
      <c r="F1059" s="342"/>
      <c r="G1059" s="342"/>
      <c r="H1059" s="342"/>
      <c r="I1059" s="342"/>
      <c r="J1059" s="342"/>
      <c r="K1059" s="342"/>
      <c r="L1059" s="342"/>
      <c r="M1059" s="342"/>
    </row>
    <row r="1060" ht="15.75" customHeight="1">
      <c r="A1060" s="342"/>
      <c r="B1060" s="343"/>
      <c r="C1060" s="344"/>
      <c r="D1060" s="342"/>
      <c r="E1060" s="342"/>
      <c r="F1060" s="342"/>
      <c r="G1060" s="342"/>
      <c r="H1060" s="342"/>
      <c r="I1060" s="342"/>
      <c r="J1060" s="342"/>
      <c r="K1060" s="342"/>
      <c r="L1060" s="342"/>
      <c r="M1060" s="342"/>
    </row>
    <row r="1061" ht="15.75" customHeight="1">
      <c r="A1061" s="342"/>
      <c r="B1061" s="343"/>
      <c r="C1061" s="344"/>
      <c r="D1061" s="342"/>
      <c r="E1061" s="342"/>
      <c r="F1061" s="342"/>
      <c r="G1061" s="342"/>
      <c r="H1061" s="342"/>
      <c r="I1061" s="342"/>
      <c r="J1061" s="342"/>
      <c r="K1061" s="342"/>
      <c r="L1061" s="342"/>
      <c r="M1061" s="342"/>
    </row>
    <row r="1062" ht="15.75" customHeight="1">
      <c r="A1062" s="342"/>
      <c r="B1062" s="343"/>
      <c r="C1062" s="344"/>
      <c r="D1062" s="342"/>
      <c r="E1062" s="342"/>
      <c r="F1062" s="342"/>
      <c r="G1062" s="342"/>
      <c r="H1062" s="342"/>
      <c r="I1062" s="342"/>
      <c r="J1062" s="342"/>
      <c r="K1062" s="342"/>
      <c r="L1062" s="342"/>
      <c r="M1062" s="342"/>
    </row>
    <row r="1063" ht="15.75" customHeight="1">
      <c r="A1063" s="342"/>
      <c r="B1063" s="343"/>
      <c r="C1063" s="344"/>
      <c r="D1063" s="342"/>
      <c r="E1063" s="342"/>
      <c r="F1063" s="342"/>
      <c r="G1063" s="342"/>
      <c r="H1063" s="342"/>
      <c r="I1063" s="342"/>
      <c r="J1063" s="342"/>
      <c r="K1063" s="342"/>
      <c r="L1063" s="342"/>
      <c r="M1063" s="342"/>
    </row>
    <row r="1064" ht="15.75" customHeight="1">
      <c r="A1064" s="342"/>
      <c r="B1064" s="343"/>
      <c r="C1064" s="344"/>
      <c r="D1064" s="342"/>
      <c r="E1064" s="342"/>
      <c r="F1064" s="342"/>
      <c r="G1064" s="342"/>
      <c r="H1064" s="342"/>
      <c r="I1064" s="342"/>
      <c r="J1064" s="342"/>
      <c r="K1064" s="342"/>
      <c r="L1064" s="342"/>
      <c r="M1064" s="342"/>
    </row>
    <row r="1065" ht="15.75" customHeight="1">
      <c r="A1065" s="342"/>
      <c r="B1065" s="343"/>
      <c r="C1065" s="344"/>
      <c r="D1065" s="342"/>
      <c r="E1065" s="342"/>
      <c r="F1065" s="342"/>
      <c r="G1065" s="342"/>
      <c r="H1065" s="342"/>
      <c r="I1065" s="342"/>
      <c r="J1065" s="342"/>
      <c r="K1065" s="342"/>
      <c r="L1065" s="342"/>
      <c r="M1065" s="342"/>
    </row>
    <row r="1066" ht="15.75" customHeight="1">
      <c r="A1066" s="342"/>
      <c r="B1066" s="343"/>
      <c r="C1066" s="344"/>
      <c r="D1066" s="342"/>
      <c r="E1066" s="342"/>
      <c r="F1066" s="342"/>
      <c r="G1066" s="342"/>
      <c r="H1066" s="342"/>
      <c r="I1066" s="342"/>
      <c r="J1066" s="342"/>
      <c r="K1066" s="342"/>
      <c r="L1066" s="342"/>
      <c r="M1066" s="342"/>
    </row>
    <row r="1067" ht="15.75" customHeight="1">
      <c r="A1067" s="342"/>
      <c r="B1067" s="343"/>
      <c r="C1067" s="344"/>
      <c r="D1067" s="342"/>
      <c r="E1067" s="342"/>
      <c r="F1067" s="342"/>
      <c r="G1067" s="342"/>
      <c r="H1067" s="342"/>
      <c r="I1067" s="342"/>
      <c r="J1067" s="342"/>
      <c r="K1067" s="342"/>
      <c r="L1067" s="342"/>
      <c r="M1067" s="342"/>
    </row>
    <row r="1068" ht="15.75" customHeight="1">
      <c r="A1068" s="342"/>
      <c r="B1068" s="343"/>
      <c r="C1068" s="344"/>
      <c r="D1068" s="342"/>
      <c r="E1068" s="342"/>
      <c r="F1068" s="342"/>
      <c r="G1068" s="342"/>
      <c r="H1068" s="342"/>
      <c r="I1068" s="342"/>
      <c r="J1068" s="342"/>
      <c r="K1068" s="342"/>
      <c r="L1068" s="342"/>
      <c r="M1068" s="342"/>
    </row>
    <row r="1069" ht="15.75" customHeight="1">
      <c r="A1069" s="342"/>
      <c r="B1069" s="343"/>
      <c r="C1069" s="344"/>
      <c r="D1069" s="342"/>
      <c r="E1069" s="342"/>
      <c r="F1069" s="342"/>
      <c r="G1069" s="342"/>
      <c r="H1069" s="342"/>
      <c r="I1069" s="342"/>
      <c r="J1069" s="342"/>
      <c r="K1069" s="342"/>
      <c r="L1069" s="342"/>
      <c r="M1069" s="342"/>
    </row>
    <row r="1070" ht="15.75" customHeight="1">
      <c r="A1070" s="342"/>
      <c r="B1070" s="343"/>
      <c r="C1070" s="344"/>
      <c r="D1070" s="342"/>
      <c r="E1070" s="342"/>
      <c r="F1070" s="342"/>
      <c r="G1070" s="342"/>
      <c r="H1070" s="342"/>
      <c r="I1070" s="342"/>
      <c r="J1070" s="342"/>
      <c r="K1070" s="342"/>
      <c r="L1070" s="342"/>
      <c r="M1070" s="342"/>
    </row>
    <row r="1071" ht="15.75" customHeight="1">
      <c r="A1071" s="342"/>
      <c r="B1071" s="343"/>
      <c r="C1071" s="344"/>
      <c r="D1071" s="342"/>
      <c r="E1071" s="342"/>
      <c r="F1071" s="342"/>
      <c r="G1071" s="342"/>
      <c r="H1071" s="342"/>
      <c r="I1071" s="342"/>
      <c r="J1071" s="342"/>
      <c r="K1071" s="342"/>
      <c r="L1071" s="342"/>
      <c r="M1071" s="342"/>
    </row>
    <row r="1072" ht="15.75" customHeight="1">
      <c r="A1072" s="342"/>
      <c r="B1072" s="343"/>
      <c r="C1072" s="344"/>
      <c r="D1072" s="342"/>
      <c r="E1072" s="342"/>
      <c r="F1072" s="342"/>
      <c r="G1072" s="342"/>
      <c r="H1072" s="342"/>
      <c r="I1072" s="342"/>
      <c r="J1072" s="342"/>
      <c r="K1072" s="342"/>
      <c r="L1072" s="342"/>
      <c r="M1072" s="342"/>
    </row>
    <row r="1073" ht="15.75" customHeight="1">
      <c r="A1073" s="342"/>
      <c r="B1073" s="343"/>
      <c r="C1073" s="344"/>
      <c r="D1073" s="342"/>
      <c r="E1073" s="342"/>
      <c r="F1073" s="342"/>
      <c r="G1073" s="342"/>
      <c r="H1073" s="342"/>
      <c r="I1073" s="342"/>
      <c r="J1073" s="342"/>
      <c r="K1073" s="342"/>
      <c r="L1073" s="342"/>
      <c r="M1073" s="342"/>
    </row>
    <row r="1074" ht="15.75" customHeight="1">
      <c r="A1074" s="342"/>
      <c r="B1074" s="343"/>
      <c r="C1074" s="344"/>
      <c r="D1074" s="342"/>
      <c r="E1074" s="342"/>
      <c r="F1074" s="342"/>
      <c r="G1074" s="342"/>
      <c r="H1074" s="342"/>
      <c r="I1074" s="342"/>
      <c r="J1074" s="342"/>
      <c r="K1074" s="342"/>
      <c r="L1074" s="342"/>
      <c r="M1074" s="342"/>
    </row>
    <row r="1075" ht="15.75" customHeight="1">
      <c r="A1075" s="342"/>
      <c r="B1075" s="343"/>
      <c r="C1075" s="344"/>
      <c r="D1075" s="342"/>
      <c r="E1075" s="342"/>
      <c r="F1075" s="342"/>
      <c r="G1075" s="342"/>
      <c r="H1075" s="342"/>
      <c r="I1075" s="342"/>
      <c r="J1075" s="342"/>
      <c r="K1075" s="342"/>
      <c r="L1075" s="342"/>
      <c r="M1075" s="342"/>
    </row>
    <row r="1076" ht="15.75" customHeight="1">
      <c r="A1076" s="342"/>
      <c r="B1076" s="343"/>
      <c r="C1076" s="344"/>
      <c r="D1076" s="342"/>
      <c r="E1076" s="342"/>
      <c r="F1076" s="342"/>
      <c r="G1076" s="342"/>
      <c r="H1076" s="342"/>
      <c r="I1076" s="342"/>
      <c r="J1076" s="342"/>
      <c r="K1076" s="342"/>
      <c r="L1076" s="342"/>
      <c r="M1076" s="342"/>
    </row>
    <row r="1077" ht="15.75" customHeight="1">
      <c r="A1077" s="342"/>
      <c r="B1077" s="343"/>
      <c r="C1077" s="344"/>
      <c r="D1077" s="342"/>
      <c r="E1077" s="342"/>
      <c r="F1077" s="342"/>
      <c r="G1077" s="342"/>
      <c r="H1077" s="342"/>
      <c r="I1077" s="342"/>
      <c r="J1077" s="342"/>
      <c r="K1077" s="342"/>
      <c r="L1077" s="342"/>
      <c r="M1077" s="342"/>
    </row>
    <row r="1078" ht="15.75" customHeight="1">
      <c r="A1078" s="342"/>
      <c r="B1078" s="343"/>
      <c r="C1078" s="344"/>
      <c r="D1078" s="342"/>
      <c r="E1078" s="342"/>
      <c r="F1078" s="342"/>
      <c r="G1078" s="342"/>
      <c r="H1078" s="342"/>
      <c r="I1078" s="342"/>
      <c r="J1078" s="342"/>
      <c r="K1078" s="342"/>
      <c r="L1078" s="342"/>
      <c r="M1078" s="342"/>
    </row>
    <row r="1079" ht="15.75" customHeight="1">
      <c r="A1079" s="342"/>
      <c r="B1079" s="343"/>
      <c r="C1079" s="344"/>
      <c r="D1079" s="342"/>
      <c r="E1079" s="342"/>
      <c r="F1079" s="342"/>
      <c r="G1079" s="342"/>
      <c r="H1079" s="342"/>
      <c r="I1079" s="342"/>
      <c r="J1079" s="342"/>
      <c r="K1079" s="342"/>
      <c r="L1079" s="342"/>
      <c r="M1079" s="342"/>
    </row>
    <row r="1080" ht="15.75" customHeight="1">
      <c r="A1080" s="342"/>
      <c r="B1080" s="343"/>
      <c r="C1080" s="344"/>
      <c r="D1080" s="342"/>
      <c r="E1080" s="342"/>
      <c r="F1080" s="342"/>
      <c r="G1080" s="342"/>
      <c r="H1080" s="342"/>
      <c r="I1080" s="342"/>
      <c r="J1080" s="342"/>
      <c r="K1080" s="342"/>
      <c r="L1080" s="342"/>
      <c r="M1080" s="342"/>
    </row>
    <row r="1081" ht="15.75" customHeight="1">
      <c r="A1081" s="342"/>
      <c r="B1081" s="343"/>
      <c r="C1081" s="344"/>
      <c r="D1081" s="342"/>
      <c r="E1081" s="342"/>
      <c r="F1081" s="342"/>
      <c r="G1081" s="342"/>
      <c r="H1081" s="342"/>
      <c r="I1081" s="342"/>
      <c r="J1081" s="342"/>
      <c r="K1081" s="342"/>
      <c r="L1081" s="342"/>
      <c r="M1081" s="342"/>
    </row>
    <row r="1082" ht="15.75" customHeight="1">
      <c r="A1082" s="342"/>
      <c r="B1082" s="343"/>
      <c r="C1082" s="344"/>
      <c r="D1082" s="342"/>
      <c r="E1082" s="342"/>
      <c r="F1082" s="342"/>
      <c r="G1082" s="342"/>
      <c r="H1082" s="342"/>
      <c r="I1082" s="342"/>
      <c r="J1082" s="342"/>
      <c r="K1082" s="342"/>
      <c r="L1082" s="342"/>
      <c r="M1082" s="342"/>
    </row>
    <row r="1083" ht="15.75" customHeight="1">
      <c r="A1083" s="342"/>
      <c r="B1083" s="343"/>
      <c r="C1083" s="344"/>
      <c r="D1083" s="342"/>
      <c r="E1083" s="342"/>
      <c r="F1083" s="342"/>
      <c r="G1083" s="342"/>
      <c r="H1083" s="342"/>
      <c r="I1083" s="342"/>
      <c r="J1083" s="342"/>
      <c r="K1083" s="342"/>
      <c r="L1083" s="342"/>
      <c r="M1083" s="342"/>
    </row>
    <row r="1084" ht="15.75" customHeight="1">
      <c r="A1084" s="342"/>
      <c r="B1084" s="343"/>
      <c r="C1084" s="344"/>
      <c r="D1084" s="342"/>
      <c r="E1084" s="342"/>
      <c r="F1084" s="342"/>
      <c r="G1084" s="342"/>
      <c r="H1084" s="342"/>
      <c r="I1084" s="342"/>
      <c r="J1084" s="342"/>
      <c r="K1084" s="342"/>
      <c r="L1084" s="342"/>
      <c r="M1084" s="342"/>
    </row>
    <row r="1085" ht="15.75" customHeight="1">
      <c r="A1085" s="342"/>
      <c r="B1085" s="343"/>
      <c r="C1085" s="344"/>
      <c r="D1085" s="342"/>
      <c r="E1085" s="342"/>
      <c r="F1085" s="342"/>
      <c r="G1085" s="342"/>
      <c r="H1085" s="342"/>
      <c r="I1085" s="342"/>
      <c r="J1085" s="342"/>
      <c r="K1085" s="342"/>
      <c r="L1085" s="342"/>
      <c r="M1085" s="342"/>
    </row>
    <row r="1086" ht="15.75" customHeight="1">
      <c r="A1086" s="342"/>
      <c r="B1086" s="343"/>
      <c r="C1086" s="344"/>
      <c r="D1086" s="342"/>
      <c r="E1086" s="342"/>
      <c r="F1086" s="342"/>
      <c r="G1086" s="342"/>
      <c r="H1086" s="342"/>
      <c r="I1086" s="342"/>
      <c r="J1086" s="342"/>
      <c r="K1086" s="342"/>
      <c r="L1086" s="342"/>
      <c r="M1086" s="342"/>
    </row>
  </sheetData>
  <printOptions/>
  <pageMargins bottom="0.75" footer="0.0" header="0.0" left="0.7" right="0.7" top="0.75"/>
  <pageSetup paperSize="9" orientation="portrait"/>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4.43" defaultRowHeight="15.0"/>
  <cols>
    <col customWidth="1" min="1" max="1" width="11.0"/>
    <col customWidth="1" min="2" max="2" width="63.43"/>
    <col customWidth="1" min="3" max="3" width="75.86"/>
    <col customWidth="1" min="4" max="25" width="11.0"/>
  </cols>
  <sheetData>
    <row r="1">
      <c r="A1" s="416"/>
      <c r="C1" s="417" t="s">
        <v>507</v>
      </c>
    </row>
    <row r="2">
      <c r="A2" s="418" t="s">
        <v>508</v>
      </c>
      <c r="C2" s="417" t="s">
        <v>509</v>
      </c>
    </row>
    <row r="3">
      <c r="A3" s="419"/>
      <c r="B3" s="420"/>
      <c r="C3" s="421" t="s">
        <v>510</v>
      </c>
      <c r="D3" s="422"/>
      <c r="E3" s="422"/>
      <c r="F3" s="422"/>
      <c r="G3" s="422"/>
      <c r="H3" s="422"/>
      <c r="I3" s="422"/>
      <c r="J3" s="422"/>
      <c r="K3" s="422"/>
      <c r="L3" s="422"/>
      <c r="M3" s="422"/>
      <c r="N3" s="422"/>
      <c r="O3" s="422"/>
      <c r="P3" s="422"/>
      <c r="Q3" s="422"/>
      <c r="R3" s="422"/>
      <c r="S3" s="422"/>
      <c r="T3" s="422"/>
      <c r="U3" s="422"/>
      <c r="V3" s="422"/>
      <c r="W3" s="422"/>
      <c r="X3" s="422"/>
      <c r="Y3" s="422"/>
    </row>
    <row r="4">
      <c r="A4" s="419"/>
      <c r="B4" s="420"/>
      <c r="C4" s="420"/>
      <c r="D4" s="422"/>
      <c r="E4" s="422"/>
      <c r="F4" s="422"/>
      <c r="G4" s="422"/>
      <c r="H4" s="422"/>
      <c r="I4" s="422"/>
      <c r="J4" s="422"/>
      <c r="K4" s="422"/>
      <c r="L4" s="422"/>
      <c r="M4" s="422"/>
      <c r="N4" s="422"/>
      <c r="O4" s="422"/>
      <c r="P4" s="422"/>
      <c r="Q4" s="422"/>
      <c r="R4" s="422"/>
      <c r="S4" s="422"/>
      <c r="T4" s="422"/>
      <c r="U4" s="422"/>
      <c r="V4" s="422"/>
      <c r="W4" s="422"/>
      <c r="X4" s="422"/>
      <c r="Y4" s="422"/>
    </row>
    <row r="5">
      <c r="A5" s="423" t="s">
        <v>2</v>
      </c>
      <c r="B5" s="424" t="s">
        <v>5</v>
      </c>
      <c r="C5" s="424"/>
    </row>
    <row r="6" ht="15.0" customHeight="1">
      <c r="A6" s="425">
        <v>43914.0</v>
      </c>
      <c r="B6" s="426" t="s">
        <v>511</v>
      </c>
      <c r="C6" s="426" t="s">
        <v>512</v>
      </c>
    </row>
    <row r="7" ht="15.0" customHeight="1">
      <c r="A7" s="425">
        <v>43914.0</v>
      </c>
      <c r="B7" s="426" t="s">
        <v>513</v>
      </c>
      <c r="C7" s="426" t="s">
        <v>512</v>
      </c>
    </row>
    <row r="8" ht="15.0" customHeight="1">
      <c r="A8" s="425">
        <v>43914.0</v>
      </c>
      <c r="B8" s="426" t="s">
        <v>514</v>
      </c>
      <c r="C8" s="426" t="s">
        <v>515</v>
      </c>
    </row>
    <row r="9" ht="15.0" customHeight="1">
      <c r="A9" s="425">
        <v>43914.0</v>
      </c>
      <c r="B9" s="427" t="s">
        <v>516</v>
      </c>
      <c r="C9" s="427" t="s">
        <v>517</v>
      </c>
    </row>
    <row r="10" ht="15.0" customHeight="1">
      <c r="A10" s="425">
        <v>43914.0</v>
      </c>
      <c r="B10" s="426" t="s">
        <v>518</v>
      </c>
      <c r="C10" s="426" t="s">
        <v>519</v>
      </c>
    </row>
    <row r="11" ht="15.0" customHeight="1">
      <c r="A11" s="425">
        <v>43914.0</v>
      </c>
      <c r="B11" s="426" t="s">
        <v>520</v>
      </c>
      <c r="C11" s="426" t="s">
        <v>519</v>
      </c>
    </row>
    <row r="12" ht="15.0" customHeight="1">
      <c r="A12" s="425">
        <v>43914.0</v>
      </c>
      <c r="B12" s="426" t="s">
        <v>521</v>
      </c>
      <c r="C12" s="426" t="s">
        <v>519</v>
      </c>
    </row>
    <row r="13" ht="15.0" customHeight="1">
      <c r="A13" s="425">
        <v>43914.0</v>
      </c>
      <c r="B13" s="426" t="s">
        <v>522</v>
      </c>
      <c r="C13" s="426" t="s">
        <v>512</v>
      </c>
    </row>
    <row r="14" ht="15.0" customHeight="1">
      <c r="A14" s="425">
        <v>43914.0</v>
      </c>
      <c r="B14" s="426" t="s">
        <v>523</v>
      </c>
      <c r="C14" s="426" t="s">
        <v>524</v>
      </c>
    </row>
    <row r="15" ht="15.0" customHeight="1">
      <c r="A15" s="425">
        <v>43914.0</v>
      </c>
      <c r="B15" s="426" t="s">
        <v>525</v>
      </c>
      <c r="C15" s="426" t="s">
        <v>526</v>
      </c>
    </row>
    <row r="16" ht="15.0" customHeight="1">
      <c r="A16" s="425">
        <v>43914.0</v>
      </c>
      <c r="B16" s="426" t="s">
        <v>527</v>
      </c>
      <c r="C16" s="426" t="s">
        <v>512</v>
      </c>
    </row>
    <row r="17" ht="15.0" customHeight="1">
      <c r="A17" s="425">
        <v>43914.0</v>
      </c>
      <c r="B17" s="426" t="s">
        <v>528</v>
      </c>
      <c r="C17" s="426" t="s">
        <v>512</v>
      </c>
    </row>
    <row r="18" ht="15.0" customHeight="1">
      <c r="A18" s="425">
        <v>43914.0</v>
      </c>
      <c r="B18" s="426" t="s">
        <v>529</v>
      </c>
      <c r="C18" s="426" t="s">
        <v>530</v>
      </c>
    </row>
    <row r="19" ht="15.0" customHeight="1">
      <c r="A19" s="425"/>
      <c r="B19" s="426"/>
    </row>
    <row r="20">
      <c r="A20" s="416"/>
    </row>
    <row r="21">
      <c r="A21" s="416"/>
    </row>
    <row r="22">
      <c r="A22" s="416"/>
    </row>
    <row r="23">
      <c r="A23" s="416"/>
    </row>
    <row r="24">
      <c r="A24" s="416"/>
    </row>
    <row r="25">
      <c r="A25" s="416"/>
    </row>
    <row r="26">
      <c r="A26" s="416"/>
    </row>
    <row r="27">
      <c r="A27" s="416"/>
    </row>
    <row r="28">
      <c r="A28" s="416"/>
    </row>
    <row r="29">
      <c r="A29" s="416"/>
    </row>
    <row r="30">
      <c r="A30" s="416"/>
    </row>
    <row r="31">
      <c r="A31" s="416"/>
    </row>
    <row r="32">
      <c r="A32" s="416"/>
    </row>
    <row r="33">
      <c r="A33" s="416"/>
    </row>
    <row r="34">
      <c r="A34" s="416"/>
    </row>
    <row r="35">
      <c r="A35" s="416"/>
    </row>
    <row r="36">
      <c r="A36" s="416"/>
    </row>
    <row r="37">
      <c r="A37" s="416"/>
    </row>
    <row r="38">
      <c r="A38" s="416"/>
    </row>
    <row r="39">
      <c r="A39" s="416"/>
    </row>
    <row r="40">
      <c r="A40" s="416"/>
    </row>
    <row r="41">
      <c r="A41" s="416"/>
    </row>
    <row r="42">
      <c r="A42" s="416"/>
    </row>
    <row r="43">
      <c r="A43" s="416"/>
    </row>
    <row r="44">
      <c r="A44" s="416"/>
    </row>
    <row r="45">
      <c r="A45" s="416"/>
    </row>
    <row r="46">
      <c r="A46" s="416"/>
    </row>
    <row r="47">
      <c r="A47" s="416"/>
    </row>
    <row r="48">
      <c r="A48" s="416"/>
    </row>
    <row r="49">
      <c r="A49" s="416"/>
    </row>
    <row r="50">
      <c r="A50" s="416"/>
    </row>
    <row r="51">
      <c r="A51" s="416"/>
    </row>
    <row r="52">
      <c r="A52" s="416"/>
    </row>
    <row r="53">
      <c r="A53" s="416"/>
    </row>
    <row r="54">
      <c r="A54" s="416"/>
    </row>
    <row r="55">
      <c r="A55" s="416"/>
    </row>
    <row r="56">
      <c r="A56" s="416"/>
    </row>
    <row r="57">
      <c r="A57" s="416"/>
    </row>
    <row r="58">
      <c r="A58" s="416"/>
    </row>
    <row r="59">
      <c r="A59" s="416"/>
    </row>
    <row r="60">
      <c r="A60" s="416"/>
    </row>
    <row r="61">
      <c r="A61" s="416"/>
    </row>
    <row r="62">
      <c r="A62" s="416"/>
    </row>
    <row r="63">
      <c r="A63" s="416"/>
    </row>
    <row r="64">
      <c r="A64" s="416"/>
    </row>
    <row r="65">
      <c r="A65" s="416"/>
    </row>
    <row r="66">
      <c r="A66" s="416"/>
    </row>
    <row r="67">
      <c r="A67" s="416"/>
    </row>
    <row r="68">
      <c r="A68" s="416"/>
    </row>
    <row r="69">
      <c r="A69" s="416"/>
    </row>
    <row r="70">
      <c r="A70" s="416"/>
    </row>
    <row r="71">
      <c r="A71" s="416"/>
    </row>
    <row r="72">
      <c r="A72" s="416"/>
    </row>
    <row r="73">
      <c r="A73" s="416"/>
    </row>
    <row r="74">
      <c r="A74" s="416"/>
    </row>
    <row r="75">
      <c r="A75" s="416"/>
    </row>
    <row r="76">
      <c r="A76" s="416"/>
    </row>
    <row r="77">
      <c r="A77" s="416"/>
    </row>
    <row r="78">
      <c r="A78" s="416"/>
    </row>
    <row r="79">
      <c r="A79" s="416"/>
    </row>
    <row r="80">
      <c r="A80" s="416"/>
    </row>
    <row r="81">
      <c r="A81" s="416"/>
    </row>
    <row r="82">
      <c r="A82" s="416"/>
    </row>
    <row r="83">
      <c r="A83" s="416"/>
    </row>
    <row r="84">
      <c r="A84" s="416"/>
    </row>
    <row r="85">
      <c r="A85" s="416"/>
    </row>
    <row r="86">
      <c r="A86" s="416"/>
    </row>
    <row r="87">
      <c r="A87" s="416"/>
    </row>
    <row r="88">
      <c r="A88" s="416"/>
    </row>
    <row r="89">
      <c r="A89" s="416"/>
    </row>
    <row r="90">
      <c r="A90" s="416"/>
    </row>
    <row r="91">
      <c r="A91" s="416"/>
    </row>
    <row r="92">
      <c r="A92" s="416"/>
    </row>
    <row r="93">
      <c r="A93" s="416"/>
    </row>
    <row r="94">
      <c r="A94" s="416"/>
    </row>
    <row r="95">
      <c r="A95" s="416"/>
    </row>
    <row r="96">
      <c r="A96" s="416"/>
    </row>
    <row r="97">
      <c r="A97" s="416"/>
    </row>
    <row r="98">
      <c r="A98" s="416"/>
    </row>
    <row r="99">
      <c r="A99" s="416"/>
    </row>
    <row r="100">
      <c r="A100" s="416"/>
    </row>
    <row r="101">
      <c r="A101" s="416"/>
    </row>
    <row r="102">
      <c r="A102" s="416"/>
    </row>
    <row r="103">
      <c r="A103" s="416"/>
    </row>
    <row r="104">
      <c r="A104" s="416"/>
    </row>
    <row r="105">
      <c r="A105" s="416"/>
    </row>
    <row r="106">
      <c r="A106" s="416"/>
    </row>
    <row r="107">
      <c r="A107" s="416"/>
    </row>
    <row r="108">
      <c r="A108" s="416"/>
    </row>
    <row r="109">
      <c r="A109" s="416"/>
    </row>
    <row r="110">
      <c r="A110" s="416"/>
    </row>
    <row r="111">
      <c r="A111" s="416"/>
    </row>
    <row r="112">
      <c r="A112" s="416"/>
    </row>
    <row r="113">
      <c r="A113" s="416"/>
    </row>
    <row r="114">
      <c r="A114" s="416"/>
    </row>
    <row r="115">
      <c r="A115" s="416"/>
    </row>
    <row r="116">
      <c r="A116" s="416"/>
    </row>
    <row r="117">
      <c r="A117" s="416"/>
    </row>
    <row r="118">
      <c r="A118" s="416"/>
    </row>
    <row r="119">
      <c r="A119" s="416"/>
    </row>
    <row r="120">
      <c r="A120" s="416"/>
    </row>
    <row r="121">
      <c r="A121" s="416"/>
    </row>
    <row r="122">
      <c r="A122" s="416"/>
    </row>
    <row r="123">
      <c r="A123" s="416"/>
    </row>
    <row r="124">
      <c r="A124" s="416"/>
    </row>
    <row r="125">
      <c r="A125" s="416"/>
    </row>
    <row r="126">
      <c r="A126" s="416"/>
    </row>
    <row r="127">
      <c r="A127" s="416"/>
    </row>
    <row r="128">
      <c r="A128" s="416"/>
    </row>
    <row r="129">
      <c r="A129" s="416"/>
    </row>
    <row r="130">
      <c r="A130" s="416"/>
    </row>
    <row r="131">
      <c r="A131" s="416"/>
    </row>
    <row r="132">
      <c r="A132" s="416"/>
    </row>
    <row r="133">
      <c r="A133" s="416"/>
    </row>
    <row r="134">
      <c r="A134" s="416"/>
    </row>
    <row r="135">
      <c r="A135" s="416"/>
    </row>
    <row r="136">
      <c r="A136" s="416"/>
    </row>
    <row r="137">
      <c r="A137" s="416"/>
    </row>
    <row r="138">
      <c r="A138" s="416"/>
    </row>
    <row r="139">
      <c r="A139" s="416"/>
    </row>
    <row r="140">
      <c r="A140" s="416"/>
    </row>
    <row r="141">
      <c r="A141" s="416"/>
    </row>
    <row r="142">
      <c r="A142" s="416"/>
    </row>
    <row r="143">
      <c r="A143" s="416"/>
    </row>
    <row r="144">
      <c r="A144" s="416"/>
    </row>
    <row r="145">
      <c r="A145" s="416"/>
    </row>
    <row r="146">
      <c r="A146" s="416"/>
    </row>
    <row r="147">
      <c r="A147" s="416"/>
    </row>
    <row r="148">
      <c r="A148" s="416"/>
    </row>
    <row r="149">
      <c r="A149" s="416"/>
    </row>
    <row r="150">
      <c r="A150" s="416"/>
    </row>
    <row r="151">
      <c r="A151" s="416"/>
    </row>
    <row r="152">
      <c r="A152" s="416"/>
    </row>
    <row r="153">
      <c r="A153" s="416"/>
    </row>
    <row r="154">
      <c r="A154" s="416"/>
    </row>
    <row r="155">
      <c r="A155" s="416"/>
    </row>
    <row r="156">
      <c r="A156" s="416"/>
    </row>
    <row r="157">
      <c r="A157" s="416"/>
    </row>
    <row r="158">
      <c r="A158" s="416"/>
    </row>
    <row r="159">
      <c r="A159" s="416"/>
    </row>
    <row r="160">
      <c r="A160" s="416"/>
    </row>
    <row r="161">
      <c r="A161" s="416"/>
    </row>
    <row r="162">
      <c r="A162" s="416"/>
    </row>
    <row r="163">
      <c r="A163" s="416"/>
    </row>
    <row r="164">
      <c r="A164" s="416"/>
    </row>
    <row r="165">
      <c r="A165" s="416"/>
    </row>
    <row r="166">
      <c r="A166" s="416"/>
    </row>
    <row r="167">
      <c r="A167" s="416"/>
    </row>
    <row r="168">
      <c r="A168" s="416"/>
    </row>
    <row r="169">
      <c r="A169" s="416"/>
    </row>
    <row r="170">
      <c r="A170" s="416"/>
    </row>
    <row r="171">
      <c r="A171" s="416"/>
    </row>
    <row r="172">
      <c r="A172" s="416"/>
    </row>
    <row r="173">
      <c r="A173" s="416"/>
    </row>
    <row r="174">
      <c r="A174" s="416"/>
    </row>
    <row r="175">
      <c r="A175" s="416"/>
    </row>
    <row r="176">
      <c r="A176" s="416"/>
    </row>
    <row r="177">
      <c r="A177" s="416"/>
    </row>
    <row r="178">
      <c r="A178" s="416"/>
    </row>
    <row r="179">
      <c r="A179" s="416"/>
    </row>
    <row r="180">
      <c r="A180" s="416"/>
    </row>
    <row r="181">
      <c r="A181" s="416"/>
    </row>
    <row r="182">
      <c r="A182" s="416"/>
    </row>
    <row r="183">
      <c r="A183" s="416"/>
    </row>
    <row r="184">
      <c r="A184" s="416"/>
    </row>
    <row r="185">
      <c r="A185" s="416"/>
    </row>
    <row r="186">
      <c r="A186" s="416"/>
    </row>
    <row r="187">
      <c r="A187" s="416"/>
    </row>
    <row r="188">
      <c r="A188" s="416"/>
    </row>
    <row r="189">
      <c r="A189" s="416"/>
    </row>
    <row r="190">
      <c r="A190" s="416"/>
    </row>
    <row r="191">
      <c r="A191" s="416"/>
    </row>
    <row r="192">
      <c r="A192" s="416"/>
    </row>
    <row r="193">
      <c r="A193" s="416"/>
    </row>
    <row r="194">
      <c r="A194" s="416"/>
    </row>
    <row r="195">
      <c r="A195" s="416"/>
    </row>
    <row r="196">
      <c r="A196" s="416"/>
    </row>
    <row r="197">
      <c r="A197" s="416"/>
    </row>
    <row r="198">
      <c r="A198" s="416"/>
    </row>
    <row r="199">
      <c r="A199" s="416"/>
    </row>
    <row r="200">
      <c r="A200" s="416"/>
    </row>
    <row r="201">
      <c r="A201" s="416"/>
    </row>
    <row r="202">
      <c r="A202" s="416"/>
    </row>
    <row r="203">
      <c r="A203" s="416"/>
    </row>
    <row r="204">
      <c r="A204" s="416"/>
    </row>
    <row r="205">
      <c r="A205" s="416"/>
    </row>
    <row r="206">
      <c r="A206" s="416"/>
    </row>
    <row r="207">
      <c r="A207" s="416"/>
    </row>
    <row r="208">
      <c r="A208" s="416"/>
    </row>
    <row r="209">
      <c r="A209" s="416"/>
    </row>
    <row r="210">
      <c r="A210" s="416"/>
    </row>
    <row r="211">
      <c r="A211" s="416"/>
    </row>
    <row r="212">
      <c r="A212" s="416"/>
    </row>
    <row r="213">
      <c r="A213" s="416"/>
    </row>
    <row r="214">
      <c r="A214" s="416"/>
    </row>
    <row r="215">
      <c r="A215" s="416"/>
    </row>
    <row r="216">
      <c r="A216" s="416"/>
    </row>
    <row r="217">
      <c r="A217" s="416"/>
    </row>
    <row r="218">
      <c r="A218" s="416"/>
    </row>
    <row r="219">
      <c r="A219" s="416"/>
    </row>
    <row r="220">
      <c r="A220" s="416"/>
    </row>
    <row r="221">
      <c r="A221" s="416"/>
    </row>
    <row r="222">
      <c r="A222" s="416"/>
    </row>
    <row r="223">
      <c r="A223" s="416"/>
    </row>
    <row r="224">
      <c r="A224" s="416"/>
    </row>
    <row r="225">
      <c r="A225" s="416"/>
    </row>
    <row r="226">
      <c r="A226" s="416"/>
    </row>
    <row r="227">
      <c r="A227" s="416"/>
    </row>
    <row r="228">
      <c r="A228" s="416"/>
    </row>
    <row r="229">
      <c r="A229" s="416"/>
    </row>
    <row r="230">
      <c r="A230" s="416"/>
    </row>
    <row r="231">
      <c r="A231" s="416"/>
    </row>
    <row r="232">
      <c r="A232" s="416"/>
    </row>
    <row r="233">
      <c r="A233" s="416"/>
    </row>
    <row r="234">
      <c r="A234" s="416"/>
    </row>
    <row r="235">
      <c r="A235" s="416"/>
    </row>
    <row r="236">
      <c r="A236" s="416"/>
    </row>
    <row r="237">
      <c r="A237" s="416"/>
    </row>
    <row r="238">
      <c r="A238" s="416"/>
    </row>
    <row r="239">
      <c r="A239" s="416"/>
    </row>
    <row r="240">
      <c r="A240" s="416"/>
    </row>
    <row r="241">
      <c r="A241" s="416"/>
    </row>
    <row r="242">
      <c r="A242" s="416"/>
    </row>
    <row r="243">
      <c r="A243" s="416"/>
    </row>
    <row r="244">
      <c r="A244" s="416"/>
    </row>
    <row r="245">
      <c r="A245" s="416"/>
    </row>
    <row r="246">
      <c r="A246" s="416"/>
    </row>
    <row r="247">
      <c r="A247" s="416"/>
    </row>
    <row r="248">
      <c r="A248" s="416"/>
    </row>
    <row r="249">
      <c r="A249" s="416"/>
    </row>
    <row r="250">
      <c r="A250" s="416"/>
    </row>
    <row r="251">
      <c r="A251" s="416"/>
    </row>
    <row r="252">
      <c r="A252" s="416"/>
    </row>
    <row r="253">
      <c r="A253" s="416"/>
    </row>
    <row r="254">
      <c r="A254" s="416"/>
    </row>
    <row r="255">
      <c r="A255" s="416"/>
    </row>
    <row r="256">
      <c r="A256" s="416"/>
    </row>
    <row r="257">
      <c r="A257" s="416"/>
    </row>
    <row r="258">
      <c r="A258" s="416"/>
    </row>
    <row r="259">
      <c r="A259" s="416"/>
    </row>
    <row r="260">
      <c r="A260" s="416"/>
    </row>
    <row r="261">
      <c r="A261" s="416"/>
    </row>
    <row r="262">
      <c r="A262" s="416"/>
    </row>
    <row r="263">
      <c r="A263" s="416"/>
    </row>
    <row r="264">
      <c r="A264" s="416"/>
    </row>
    <row r="265">
      <c r="A265" s="416"/>
    </row>
    <row r="266">
      <c r="A266" s="416"/>
    </row>
    <row r="267">
      <c r="A267" s="416"/>
    </row>
    <row r="268">
      <c r="A268" s="416"/>
    </row>
    <row r="269">
      <c r="A269" s="416"/>
    </row>
    <row r="270">
      <c r="A270" s="416"/>
    </row>
    <row r="271">
      <c r="A271" s="416"/>
    </row>
    <row r="272">
      <c r="A272" s="416"/>
    </row>
    <row r="273">
      <c r="A273" s="416"/>
    </row>
    <row r="274">
      <c r="A274" s="416"/>
    </row>
    <row r="275">
      <c r="A275" s="416"/>
    </row>
    <row r="276">
      <c r="A276" s="416"/>
    </row>
    <row r="277">
      <c r="A277" s="416"/>
    </row>
    <row r="278">
      <c r="A278" s="416"/>
    </row>
    <row r="279">
      <c r="A279" s="416"/>
    </row>
    <row r="280">
      <c r="A280" s="416"/>
    </row>
    <row r="281">
      <c r="A281" s="416"/>
    </row>
    <row r="282">
      <c r="A282" s="416"/>
    </row>
    <row r="283">
      <c r="A283" s="416"/>
    </row>
    <row r="284">
      <c r="A284" s="416"/>
    </row>
    <row r="285">
      <c r="A285" s="416"/>
    </row>
    <row r="286">
      <c r="A286" s="416"/>
    </row>
    <row r="287">
      <c r="A287" s="416"/>
    </row>
    <row r="288">
      <c r="A288" s="416"/>
    </row>
    <row r="289">
      <c r="A289" s="416"/>
    </row>
    <row r="290">
      <c r="A290" s="416"/>
    </row>
    <row r="291">
      <c r="A291" s="416"/>
    </row>
    <row r="292">
      <c r="A292" s="416"/>
    </row>
    <row r="293">
      <c r="A293" s="416"/>
    </row>
    <row r="294">
      <c r="A294" s="416"/>
    </row>
    <row r="295">
      <c r="A295" s="416"/>
    </row>
    <row r="296">
      <c r="A296" s="416"/>
    </row>
    <row r="297">
      <c r="A297" s="416"/>
    </row>
    <row r="298">
      <c r="A298" s="416"/>
    </row>
    <row r="299">
      <c r="A299" s="416"/>
    </row>
    <row r="300">
      <c r="A300" s="416"/>
    </row>
    <row r="301">
      <c r="A301" s="416"/>
    </row>
    <row r="302">
      <c r="A302" s="416"/>
    </row>
    <row r="303">
      <c r="A303" s="416"/>
    </row>
    <row r="304">
      <c r="A304" s="416"/>
    </row>
    <row r="305">
      <c r="A305" s="416"/>
    </row>
    <row r="306">
      <c r="A306" s="416"/>
    </row>
    <row r="307">
      <c r="A307" s="416"/>
    </row>
    <row r="308">
      <c r="A308" s="416"/>
    </row>
    <row r="309">
      <c r="A309" s="416"/>
    </row>
    <row r="310">
      <c r="A310" s="416"/>
    </row>
    <row r="311">
      <c r="A311" s="416"/>
    </row>
    <row r="312">
      <c r="A312" s="416"/>
    </row>
    <row r="313">
      <c r="A313" s="416"/>
    </row>
    <row r="314">
      <c r="A314" s="416"/>
    </row>
    <row r="315">
      <c r="A315" s="416"/>
    </row>
    <row r="316">
      <c r="A316" s="416"/>
    </row>
    <row r="317">
      <c r="A317" s="416"/>
    </row>
    <row r="318">
      <c r="A318" s="416"/>
    </row>
    <row r="319">
      <c r="A319" s="416"/>
    </row>
    <row r="320">
      <c r="A320" s="416"/>
    </row>
    <row r="321">
      <c r="A321" s="416"/>
    </row>
    <row r="322">
      <c r="A322" s="416"/>
    </row>
    <row r="323">
      <c r="A323" s="416"/>
    </row>
    <row r="324">
      <c r="A324" s="416"/>
    </row>
    <row r="325">
      <c r="A325" s="416"/>
    </row>
    <row r="326">
      <c r="A326" s="416"/>
    </row>
    <row r="327">
      <c r="A327" s="416"/>
    </row>
    <row r="328">
      <c r="A328" s="416"/>
    </row>
    <row r="329">
      <c r="A329" s="416"/>
    </row>
    <row r="330">
      <c r="A330" s="416"/>
    </row>
    <row r="331">
      <c r="A331" s="416"/>
    </row>
    <row r="332">
      <c r="A332" s="416"/>
    </row>
    <row r="333">
      <c r="A333" s="416"/>
    </row>
    <row r="334">
      <c r="A334" s="416"/>
    </row>
    <row r="335">
      <c r="A335" s="416"/>
    </row>
    <row r="336">
      <c r="A336" s="416"/>
    </row>
    <row r="337">
      <c r="A337" s="416"/>
    </row>
    <row r="338">
      <c r="A338" s="416"/>
    </row>
    <row r="339">
      <c r="A339" s="416"/>
    </row>
    <row r="340">
      <c r="A340" s="416"/>
    </row>
    <row r="341">
      <c r="A341" s="416"/>
    </row>
    <row r="342">
      <c r="A342" s="416"/>
    </row>
    <row r="343">
      <c r="A343" s="416"/>
    </row>
    <row r="344">
      <c r="A344" s="416"/>
    </row>
    <row r="345">
      <c r="A345" s="416"/>
    </row>
    <row r="346">
      <c r="A346" s="416"/>
    </row>
    <row r="347">
      <c r="A347" s="416"/>
    </row>
    <row r="348">
      <c r="A348" s="416"/>
    </row>
    <row r="349">
      <c r="A349" s="416"/>
    </row>
    <row r="350">
      <c r="A350" s="416"/>
    </row>
    <row r="351">
      <c r="A351" s="416"/>
    </row>
    <row r="352">
      <c r="A352" s="416"/>
    </row>
    <row r="353">
      <c r="A353" s="416"/>
    </row>
    <row r="354">
      <c r="A354" s="416"/>
    </row>
    <row r="355">
      <c r="A355" s="416"/>
    </row>
    <row r="356">
      <c r="A356" s="416"/>
    </row>
    <row r="357">
      <c r="A357" s="416"/>
    </row>
    <row r="358">
      <c r="A358" s="416"/>
    </row>
    <row r="359">
      <c r="A359" s="416"/>
    </row>
    <row r="360">
      <c r="A360" s="416"/>
    </row>
    <row r="361">
      <c r="A361" s="416"/>
    </row>
    <row r="362">
      <c r="A362" s="416"/>
    </row>
    <row r="363">
      <c r="A363" s="416"/>
    </row>
    <row r="364">
      <c r="A364" s="416"/>
    </row>
    <row r="365">
      <c r="A365" s="416"/>
    </row>
    <row r="366">
      <c r="A366" s="416"/>
    </row>
    <row r="367">
      <c r="A367" s="416"/>
    </row>
    <row r="368">
      <c r="A368" s="416"/>
    </row>
    <row r="369">
      <c r="A369" s="416"/>
    </row>
    <row r="370">
      <c r="A370" s="416"/>
    </row>
    <row r="371">
      <c r="A371" s="416"/>
    </row>
    <row r="372">
      <c r="A372" s="416"/>
    </row>
    <row r="373">
      <c r="A373" s="416"/>
    </row>
    <row r="374">
      <c r="A374" s="416"/>
    </row>
    <row r="375">
      <c r="A375" s="416"/>
    </row>
    <row r="376">
      <c r="A376" s="416"/>
    </row>
    <row r="377">
      <c r="A377" s="416"/>
    </row>
    <row r="378">
      <c r="A378" s="416"/>
    </row>
    <row r="379">
      <c r="A379" s="416"/>
    </row>
    <row r="380">
      <c r="A380" s="416"/>
    </row>
    <row r="381">
      <c r="A381" s="416"/>
    </row>
    <row r="382">
      <c r="A382" s="416"/>
    </row>
    <row r="383">
      <c r="A383" s="416"/>
    </row>
    <row r="384">
      <c r="A384" s="416"/>
    </row>
    <row r="385">
      <c r="A385" s="416"/>
    </row>
    <row r="386">
      <c r="A386" s="416"/>
    </row>
    <row r="387">
      <c r="A387" s="416"/>
    </row>
    <row r="388">
      <c r="A388" s="416"/>
    </row>
    <row r="389">
      <c r="A389" s="416"/>
    </row>
    <row r="390">
      <c r="A390" s="416"/>
    </row>
    <row r="391">
      <c r="A391" s="416"/>
    </row>
    <row r="392">
      <c r="A392" s="416"/>
    </row>
    <row r="393">
      <c r="A393" s="416"/>
    </row>
    <row r="394">
      <c r="A394" s="416"/>
    </row>
    <row r="395">
      <c r="A395" s="416"/>
    </row>
    <row r="396">
      <c r="A396" s="416"/>
    </row>
    <row r="397">
      <c r="A397" s="416"/>
    </row>
    <row r="398">
      <c r="A398" s="416"/>
    </row>
    <row r="399">
      <c r="A399" s="416"/>
    </row>
    <row r="400">
      <c r="A400" s="416"/>
    </row>
    <row r="401">
      <c r="A401" s="416"/>
    </row>
    <row r="402">
      <c r="A402" s="416"/>
    </row>
    <row r="403">
      <c r="A403" s="416"/>
    </row>
    <row r="404">
      <c r="A404" s="416"/>
    </row>
    <row r="405">
      <c r="A405" s="416"/>
    </row>
    <row r="406">
      <c r="A406" s="416"/>
    </row>
    <row r="407">
      <c r="A407" s="416"/>
    </row>
    <row r="408">
      <c r="A408" s="416"/>
    </row>
    <row r="409">
      <c r="A409" s="416"/>
    </row>
    <row r="410">
      <c r="A410" s="416"/>
    </row>
    <row r="411">
      <c r="A411" s="416"/>
    </row>
    <row r="412">
      <c r="A412" s="416"/>
    </row>
    <row r="413">
      <c r="A413" s="416"/>
    </row>
    <row r="414">
      <c r="A414" s="416"/>
    </row>
    <row r="415">
      <c r="A415" s="416"/>
    </row>
    <row r="416">
      <c r="A416" s="416"/>
    </row>
    <row r="417">
      <c r="A417" s="416"/>
    </row>
    <row r="418">
      <c r="A418" s="416"/>
    </row>
    <row r="419">
      <c r="A419" s="416"/>
    </row>
    <row r="420">
      <c r="A420" s="416"/>
    </row>
    <row r="421">
      <c r="A421" s="416"/>
    </row>
    <row r="422">
      <c r="A422" s="416"/>
    </row>
    <row r="423">
      <c r="A423" s="416"/>
    </row>
    <row r="424">
      <c r="A424" s="416"/>
    </row>
    <row r="425">
      <c r="A425" s="416"/>
    </row>
    <row r="426">
      <c r="A426" s="416"/>
    </row>
    <row r="427">
      <c r="A427" s="416"/>
    </row>
    <row r="428">
      <c r="A428" s="416"/>
    </row>
    <row r="429">
      <c r="A429" s="416"/>
    </row>
    <row r="430">
      <c r="A430" s="416"/>
    </row>
    <row r="431">
      <c r="A431" s="416"/>
    </row>
    <row r="432">
      <c r="A432" s="416"/>
    </row>
    <row r="433">
      <c r="A433" s="416"/>
    </row>
    <row r="434">
      <c r="A434" s="416"/>
    </row>
    <row r="435">
      <c r="A435" s="416"/>
    </row>
    <row r="436">
      <c r="A436" s="416"/>
    </row>
    <row r="437">
      <c r="A437" s="416"/>
    </row>
    <row r="438">
      <c r="A438" s="416"/>
    </row>
    <row r="439">
      <c r="A439" s="416"/>
    </row>
    <row r="440">
      <c r="A440" s="416"/>
    </row>
    <row r="441">
      <c r="A441" s="416"/>
    </row>
    <row r="442">
      <c r="A442" s="416"/>
    </row>
    <row r="443">
      <c r="A443" s="416"/>
    </row>
    <row r="444">
      <c r="A444" s="416"/>
    </row>
    <row r="445">
      <c r="A445" s="416"/>
    </row>
    <row r="446">
      <c r="A446" s="416"/>
    </row>
    <row r="447">
      <c r="A447" s="416"/>
    </row>
    <row r="448">
      <c r="A448" s="416"/>
    </row>
    <row r="449">
      <c r="A449" s="416"/>
    </row>
    <row r="450">
      <c r="A450" s="416"/>
    </row>
    <row r="451">
      <c r="A451" s="416"/>
    </row>
    <row r="452">
      <c r="A452" s="416"/>
    </row>
    <row r="453">
      <c r="A453" s="416"/>
    </row>
    <row r="454">
      <c r="A454" s="416"/>
    </row>
    <row r="455">
      <c r="A455" s="416"/>
    </row>
    <row r="456">
      <c r="A456" s="416"/>
    </row>
    <row r="457">
      <c r="A457" s="416"/>
    </row>
    <row r="458">
      <c r="A458" s="416"/>
    </row>
    <row r="459">
      <c r="A459" s="416"/>
    </row>
    <row r="460">
      <c r="A460" s="416"/>
    </row>
    <row r="461">
      <c r="A461" s="416"/>
    </row>
    <row r="462">
      <c r="A462" s="416"/>
    </row>
    <row r="463">
      <c r="A463" s="416"/>
    </row>
    <row r="464">
      <c r="A464" s="416"/>
    </row>
    <row r="465">
      <c r="A465" s="416"/>
    </row>
    <row r="466">
      <c r="A466" s="416"/>
    </row>
    <row r="467">
      <c r="A467" s="416"/>
    </row>
    <row r="468">
      <c r="A468" s="416"/>
    </row>
    <row r="469">
      <c r="A469" s="416"/>
    </row>
    <row r="470">
      <c r="A470" s="416"/>
    </row>
    <row r="471">
      <c r="A471" s="416"/>
    </row>
    <row r="472">
      <c r="A472" s="416"/>
    </row>
    <row r="473">
      <c r="A473" s="416"/>
    </row>
    <row r="474">
      <c r="A474" s="416"/>
    </row>
    <row r="475">
      <c r="A475" s="416"/>
    </row>
    <row r="476">
      <c r="A476" s="416"/>
    </row>
    <row r="477">
      <c r="A477" s="416"/>
    </row>
    <row r="478">
      <c r="A478" s="416"/>
    </row>
    <row r="479">
      <c r="A479" s="416"/>
    </row>
    <row r="480">
      <c r="A480" s="416"/>
    </row>
    <row r="481">
      <c r="A481" s="416"/>
    </row>
    <row r="482">
      <c r="A482" s="416"/>
    </row>
    <row r="483">
      <c r="A483" s="416"/>
    </row>
    <row r="484">
      <c r="A484" s="416"/>
    </row>
    <row r="485">
      <c r="A485" s="416"/>
    </row>
    <row r="486">
      <c r="A486" s="416"/>
    </row>
    <row r="487">
      <c r="A487" s="416"/>
    </row>
    <row r="488">
      <c r="A488" s="416"/>
    </row>
    <row r="489">
      <c r="A489" s="416"/>
    </row>
    <row r="490">
      <c r="A490" s="416"/>
    </row>
    <row r="491">
      <c r="A491" s="416"/>
    </row>
    <row r="492">
      <c r="A492" s="416"/>
    </row>
    <row r="493">
      <c r="A493" s="416"/>
    </row>
    <row r="494">
      <c r="A494" s="416"/>
    </row>
    <row r="495">
      <c r="A495" s="416"/>
    </row>
    <row r="496">
      <c r="A496" s="416"/>
    </row>
    <row r="497">
      <c r="A497" s="416"/>
    </row>
    <row r="498">
      <c r="A498" s="416"/>
    </row>
    <row r="499">
      <c r="A499" s="416"/>
    </row>
    <row r="500">
      <c r="A500" s="416"/>
    </row>
    <row r="501">
      <c r="A501" s="416"/>
    </row>
    <row r="502">
      <c r="A502" s="416"/>
    </row>
    <row r="503">
      <c r="A503" s="416"/>
    </row>
    <row r="504">
      <c r="A504" s="416"/>
    </row>
    <row r="505">
      <c r="A505" s="416"/>
    </row>
    <row r="506">
      <c r="A506" s="416"/>
    </row>
    <row r="507">
      <c r="A507" s="416"/>
    </row>
    <row r="508">
      <c r="A508" s="416"/>
    </row>
    <row r="509">
      <c r="A509" s="416"/>
    </row>
    <row r="510">
      <c r="A510" s="416"/>
    </row>
    <row r="511">
      <c r="A511" s="416"/>
    </row>
    <row r="512">
      <c r="A512" s="416"/>
    </row>
    <row r="513">
      <c r="A513" s="416"/>
    </row>
    <row r="514">
      <c r="A514" s="416"/>
    </row>
    <row r="515">
      <c r="A515" s="416"/>
    </row>
    <row r="516">
      <c r="A516" s="416"/>
    </row>
    <row r="517">
      <c r="A517" s="416"/>
    </row>
    <row r="518">
      <c r="A518" s="416"/>
    </row>
    <row r="519">
      <c r="A519" s="416"/>
    </row>
    <row r="520">
      <c r="A520" s="416"/>
    </row>
    <row r="521">
      <c r="A521" s="416"/>
    </row>
    <row r="522">
      <c r="A522" s="416"/>
    </row>
    <row r="523">
      <c r="A523" s="416"/>
    </row>
    <row r="524">
      <c r="A524" s="416"/>
    </row>
    <row r="525">
      <c r="A525" s="416"/>
    </row>
    <row r="526">
      <c r="A526" s="416"/>
    </row>
    <row r="527">
      <c r="A527" s="416"/>
    </row>
    <row r="528">
      <c r="A528" s="416"/>
    </row>
    <row r="529">
      <c r="A529" s="416"/>
    </row>
    <row r="530">
      <c r="A530" s="416"/>
    </row>
    <row r="531">
      <c r="A531" s="416"/>
    </row>
    <row r="532">
      <c r="A532" s="416"/>
    </row>
    <row r="533">
      <c r="A533" s="416"/>
    </row>
    <row r="534">
      <c r="A534" s="416"/>
    </row>
    <row r="535">
      <c r="A535" s="416"/>
    </row>
    <row r="536">
      <c r="A536" s="416"/>
    </row>
    <row r="537">
      <c r="A537" s="416"/>
    </row>
    <row r="538">
      <c r="A538" s="416"/>
    </row>
    <row r="539">
      <c r="A539" s="416"/>
    </row>
    <row r="540">
      <c r="A540" s="416"/>
    </row>
    <row r="541">
      <c r="A541" s="416"/>
    </row>
    <row r="542">
      <c r="A542" s="416"/>
    </row>
    <row r="543">
      <c r="A543" s="416"/>
    </row>
    <row r="544">
      <c r="A544" s="416"/>
    </row>
    <row r="545">
      <c r="A545" s="416"/>
    </row>
    <row r="546">
      <c r="A546" s="416"/>
    </row>
    <row r="547">
      <c r="A547" s="416"/>
    </row>
    <row r="548">
      <c r="A548" s="416"/>
    </row>
    <row r="549">
      <c r="A549" s="416"/>
    </row>
    <row r="550">
      <c r="A550" s="416"/>
    </row>
    <row r="551">
      <c r="A551" s="416"/>
    </row>
    <row r="552">
      <c r="A552" s="416"/>
    </row>
    <row r="553">
      <c r="A553" s="416"/>
    </row>
    <row r="554">
      <c r="A554" s="416"/>
    </row>
    <row r="555">
      <c r="A555" s="416"/>
    </row>
    <row r="556">
      <c r="A556" s="416"/>
    </row>
    <row r="557">
      <c r="A557" s="416"/>
    </row>
    <row r="558">
      <c r="A558" s="416"/>
    </row>
    <row r="559">
      <c r="A559" s="416"/>
    </row>
    <row r="560">
      <c r="A560" s="416"/>
    </row>
    <row r="561">
      <c r="A561" s="416"/>
    </row>
    <row r="562">
      <c r="A562" s="416"/>
    </row>
    <row r="563">
      <c r="A563" s="416"/>
    </row>
    <row r="564">
      <c r="A564" s="416"/>
    </row>
    <row r="565">
      <c r="A565" s="416"/>
    </row>
    <row r="566">
      <c r="A566" s="416"/>
    </row>
    <row r="567">
      <c r="A567" s="416"/>
    </row>
    <row r="568">
      <c r="A568" s="416"/>
    </row>
    <row r="569">
      <c r="A569" s="416"/>
    </row>
    <row r="570">
      <c r="A570" s="416"/>
    </row>
    <row r="571">
      <c r="A571" s="416"/>
    </row>
    <row r="572">
      <c r="A572" s="416"/>
    </row>
    <row r="573">
      <c r="A573" s="416"/>
    </row>
    <row r="574">
      <c r="A574" s="416"/>
    </row>
    <row r="575">
      <c r="A575" s="416"/>
    </row>
    <row r="576">
      <c r="A576" s="416"/>
    </row>
    <row r="577">
      <c r="A577" s="416"/>
    </row>
    <row r="578">
      <c r="A578" s="416"/>
    </row>
    <row r="579">
      <c r="A579" s="416"/>
    </row>
    <row r="580">
      <c r="A580" s="416"/>
    </row>
    <row r="581">
      <c r="A581" s="416"/>
    </row>
    <row r="582">
      <c r="A582" s="416"/>
    </row>
    <row r="583">
      <c r="A583" s="416"/>
    </row>
    <row r="584">
      <c r="A584" s="416"/>
    </row>
    <row r="585">
      <c r="A585" s="416"/>
    </row>
    <row r="586">
      <c r="A586" s="416"/>
    </row>
    <row r="587">
      <c r="A587" s="416"/>
    </row>
    <row r="588">
      <c r="A588" s="416"/>
    </row>
    <row r="589">
      <c r="A589" s="416"/>
    </row>
    <row r="590">
      <c r="A590" s="416"/>
    </row>
    <row r="591">
      <c r="A591" s="416"/>
    </row>
    <row r="592">
      <c r="A592" s="416"/>
    </row>
    <row r="593">
      <c r="A593" s="416"/>
    </row>
    <row r="594">
      <c r="A594" s="416"/>
    </row>
    <row r="595">
      <c r="A595" s="416"/>
    </row>
    <row r="596">
      <c r="A596" s="416"/>
    </row>
    <row r="597">
      <c r="A597" s="416"/>
    </row>
    <row r="598">
      <c r="A598" s="416"/>
    </row>
    <row r="599">
      <c r="A599" s="416"/>
    </row>
    <row r="600">
      <c r="A600" s="416"/>
    </row>
    <row r="601">
      <c r="A601" s="416"/>
    </row>
    <row r="602">
      <c r="A602" s="416"/>
    </row>
    <row r="603">
      <c r="A603" s="416"/>
    </row>
    <row r="604">
      <c r="A604" s="416"/>
    </row>
    <row r="605">
      <c r="A605" s="416"/>
    </row>
    <row r="606">
      <c r="A606" s="416"/>
    </row>
    <row r="607">
      <c r="A607" s="416"/>
    </row>
    <row r="608">
      <c r="A608" s="416"/>
    </row>
    <row r="609">
      <c r="A609" s="416"/>
    </row>
    <row r="610">
      <c r="A610" s="416"/>
    </row>
    <row r="611">
      <c r="A611" s="416"/>
    </row>
    <row r="612">
      <c r="A612" s="416"/>
    </row>
    <row r="613">
      <c r="A613" s="416"/>
    </row>
    <row r="614">
      <c r="A614" s="416"/>
    </row>
    <row r="615">
      <c r="A615" s="416"/>
    </row>
    <row r="616">
      <c r="A616" s="416"/>
    </row>
    <row r="617">
      <c r="A617" s="416"/>
    </row>
    <row r="618">
      <c r="A618" s="416"/>
    </row>
    <row r="619">
      <c r="A619" s="416"/>
    </row>
    <row r="620">
      <c r="A620" s="416"/>
    </row>
    <row r="621">
      <c r="A621" s="416"/>
    </row>
    <row r="622">
      <c r="A622" s="416"/>
    </row>
    <row r="623">
      <c r="A623" s="416"/>
    </row>
    <row r="624">
      <c r="A624" s="416"/>
    </row>
    <row r="625">
      <c r="A625" s="416"/>
    </row>
    <row r="626">
      <c r="A626" s="416"/>
    </row>
    <row r="627">
      <c r="A627" s="416"/>
    </row>
    <row r="628">
      <c r="A628" s="416"/>
    </row>
    <row r="629">
      <c r="A629" s="416"/>
    </row>
    <row r="630">
      <c r="A630" s="416"/>
    </row>
    <row r="631">
      <c r="A631" s="416"/>
    </row>
    <row r="632">
      <c r="A632" s="416"/>
    </row>
    <row r="633">
      <c r="A633" s="416"/>
    </row>
    <row r="634">
      <c r="A634" s="416"/>
    </row>
    <row r="635">
      <c r="A635" s="416"/>
    </row>
    <row r="636">
      <c r="A636" s="416"/>
    </row>
    <row r="637">
      <c r="A637" s="416"/>
    </row>
    <row r="638">
      <c r="A638" s="416"/>
    </row>
    <row r="639">
      <c r="A639" s="416"/>
    </row>
    <row r="640">
      <c r="A640" s="416"/>
    </row>
    <row r="641">
      <c r="A641" s="416"/>
    </row>
    <row r="642">
      <c r="A642" s="416"/>
    </row>
    <row r="643">
      <c r="A643" s="416"/>
    </row>
    <row r="644">
      <c r="A644" s="416"/>
    </row>
    <row r="645">
      <c r="A645" s="416"/>
    </row>
    <row r="646">
      <c r="A646" s="416"/>
    </row>
    <row r="647">
      <c r="A647" s="416"/>
    </row>
    <row r="648">
      <c r="A648" s="416"/>
    </row>
    <row r="649">
      <c r="A649" s="416"/>
    </row>
    <row r="650">
      <c r="A650" s="416"/>
    </row>
    <row r="651">
      <c r="A651" s="416"/>
    </row>
    <row r="652">
      <c r="A652" s="416"/>
    </row>
    <row r="653">
      <c r="A653" s="416"/>
    </row>
    <row r="654">
      <c r="A654" s="416"/>
    </row>
    <row r="655">
      <c r="A655" s="416"/>
    </row>
    <row r="656">
      <c r="A656" s="416"/>
    </row>
    <row r="657">
      <c r="A657" s="416"/>
    </row>
    <row r="658">
      <c r="A658" s="416"/>
    </row>
    <row r="659">
      <c r="A659" s="416"/>
    </row>
    <row r="660">
      <c r="A660" s="416"/>
    </row>
    <row r="661">
      <c r="A661" s="416"/>
    </row>
    <row r="662">
      <c r="A662" s="416"/>
    </row>
    <row r="663">
      <c r="A663" s="416"/>
    </row>
    <row r="664">
      <c r="A664" s="416"/>
    </row>
    <row r="665">
      <c r="A665" s="416"/>
    </row>
    <row r="666">
      <c r="A666" s="416"/>
    </row>
    <row r="667">
      <c r="A667" s="416"/>
    </row>
    <row r="668">
      <c r="A668" s="416"/>
    </row>
    <row r="669">
      <c r="A669" s="416"/>
    </row>
    <row r="670">
      <c r="A670" s="416"/>
    </row>
    <row r="671">
      <c r="A671" s="416"/>
    </row>
    <row r="672">
      <c r="A672" s="416"/>
    </row>
    <row r="673">
      <c r="A673" s="416"/>
    </row>
    <row r="674">
      <c r="A674" s="416"/>
    </row>
    <row r="675">
      <c r="A675" s="416"/>
    </row>
    <row r="676">
      <c r="A676" s="416"/>
    </row>
    <row r="677">
      <c r="A677" s="416"/>
    </row>
    <row r="678">
      <c r="A678" s="416"/>
    </row>
    <row r="679">
      <c r="A679" s="416"/>
    </row>
    <row r="680">
      <c r="A680" s="416"/>
    </row>
    <row r="681">
      <c r="A681" s="416"/>
    </row>
    <row r="682">
      <c r="A682" s="416"/>
    </row>
    <row r="683">
      <c r="A683" s="416"/>
    </row>
    <row r="684">
      <c r="A684" s="416"/>
    </row>
    <row r="685">
      <c r="A685" s="416"/>
    </row>
    <row r="686">
      <c r="A686" s="416"/>
    </row>
    <row r="687">
      <c r="A687" s="416"/>
    </row>
    <row r="688">
      <c r="A688" s="416"/>
    </row>
    <row r="689">
      <c r="A689" s="416"/>
    </row>
    <row r="690">
      <c r="A690" s="416"/>
    </row>
    <row r="691">
      <c r="A691" s="416"/>
    </row>
    <row r="692">
      <c r="A692" s="416"/>
    </row>
    <row r="693">
      <c r="A693" s="416"/>
    </row>
    <row r="694">
      <c r="A694" s="416"/>
    </row>
    <row r="695">
      <c r="A695" s="416"/>
    </row>
    <row r="696">
      <c r="A696" s="416"/>
    </row>
    <row r="697">
      <c r="A697" s="416"/>
    </row>
    <row r="698">
      <c r="A698" s="416"/>
    </row>
    <row r="699">
      <c r="A699" s="416"/>
    </row>
    <row r="700">
      <c r="A700" s="416"/>
    </row>
    <row r="701">
      <c r="A701" s="416"/>
    </row>
    <row r="702">
      <c r="A702" s="416"/>
    </row>
    <row r="703">
      <c r="A703" s="416"/>
    </row>
    <row r="704">
      <c r="A704" s="416"/>
    </row>
    <row r="705">
      <c r="A705" s="416"/>
    </row>
    <row r="706">
      <c r="A706" s="416"/>
    </row>
    <row r="707">
      <c r="A707" s="416"/>
    </row>
    <row r="708">
      <c r="A708" s="416"/>
    </row>
    <row r="709">
      <c r="A709" s="416"/>
    </row>
    <row r="710">
      <c r="A710" s="416"/>
    </row>
    <row r="711">
      <c r="A711" s="416"/>
    </row>
    <row r="712">
      <c r="A712" s="416"/>
    </row>
    <row r="713">
      <c r="A713" s="416"/>
    </row>
    <row r="714">
      <c r="A714" s="416"/>
    </row>
    <row r="715">
      <c r="A715" s="416"/>
    </row>
    <row r="716">
      <c r="A716" s="416"/>
    </row>
    <row r="717">
      <c r="A717" s="416"/>
    </row>
    <row r="718">
      <c r="A718" s="416"/>
    </row>
    <row r="719">
      <c r="A719" s="416"/>
    </row>
    <row r="720">
      <c r="A720" s="416"/>
    </row>
    <row r="721">
      <c r="A721" s="416"/>
    </row>
    <row r="722">
      <c r="A722" s="416"/>
    </row>
    <row r="723">
      <c r="A723" s="416"/>
    </row>
    <row r="724">
      <c r="A724" s="416"/>
    </row>
    <row r="725">
      <c r="A725" s="416"/>
    </row>
    <row r="726">
      <c r="A726" s="416"/>
    </row>
    <row r="727">
      <c r="A727" s="416"/>
    </row>
    <row r="728">
      <c r="A728" s="416"/>
    </row>
    <row r="729">
      <c r="A729" s="416"/>
    </row>
    <row r="730">
      <c r="A730" s="416"/>
    </row>
    <row r="731">
      <c r="A731" s="416"/>
    </row>
    <row r="732">
      <c r="A732" s="416"/>
    </row>
    <row r="733">
      <c r="A733" s="416"/>
    </row>
    <row r="734">
      <c r="A734" s="416"/>
    </row>
    <row r="735">
      <c r="A735" s="416"/>
    </row>
    <row r="736">
      <c r="A736" s="416"/>
    </row>
    <row r="737">
      <c r="A737" s="416"/>
    </row>
    <row r="738">
      <c r="A738" s="416"/>
    </row>
    <row r="739">
      <c r="A739" s="416"/>
    </row>
    <row r="740">
      <c r="A740" s="416"/>
    </row>
    <row r="741">
      <c r="A741" s="416"/>
    </row>
    <row r="742">
      <c r="A742" s="416"/>
    </row>
    <row r="743">
      <c r="A743" s="416"/>
    </row>
    <row r="744">
      <c r="A744" s="416"/>
    </row>
    <row r="745">
      <c r="A745" s="416"/>
    </row>
    <row r="746">
      <c r="A746" s="416"/>
    </row>
    <row r="747">
      <c r="A747" s="416"/>
    </row>
    <row r="748">
      <c r="A748" s="416"/>
    </row>
    <row r="749">
      <c r="A749" s="416"/>
    </row>
    <row r="750">
      <c r="A750" s="416"/>
    </row>
    <row r="751">
      <c r="A751" s="416"/>
    </row>
    <row r="752">
      <c r="A752" s="416"/>
    </row>
    <row r="753">
      <c r="A753" s="416"/>
    </row>
    <row r="754">
      <c r="A754" s="416"/>
    </row>
    <row r="755">
      <c r="A755" s="416"/>
    </row>
    <row r="756">
      <c r="A756" s="416"/>
    </row>
    <row r="757">
      <c r="A757" s="416"/>
    </row>
    <row r="758">
      <c r="A758" s="416"/>
    </row>
    <row r="759">
      <c r="A759" s="416"/>
    </row>
    <row r="760">
      <c r="A760" s="416"/>
    </row>
    <row r="761">
      <c r="A761" s="416"/>
    </row>
    <row r="762">
      <c r="A762" s="416"/>
    </row>
    <row r="763">
      <c r="A763" s="416"/>
    </row>
    <row r="764">
      <c r="A764" s="416"/>
    </row>
    <row r="765">
      <c r="A765" s="416"/>
    </row>
    <row r="766">
      <c r="A766" s="416"/>
    </row>
    <row r="767">
      <c r="A767" s="416"/>
    </row>
    <row r="768">
      <c r="A768" s="416"/>
    </row>
    <row r="769">
      <c r="A769" s="416"/>
    </row>
    <row r="770">
      <c r="A770" s="416"/>
    </row>
    <row r="771">
      <c r="A771" s="416"/>
    </row>
    <row r="772">
      <c r="A772" s="416"/>
    </row>
    <row r="773">
      <c r="A773" s="416"/>
    </row>
    <row r="774">
      <c r="A774" s="416"/>
    </row>
    <row r="775">
      <c r="A775" s="416"/>
    </row>
    <row r="776">
      <c r="A776" s="416"/>
    </row>
    <row r="777">
      <c r="A777" s="416"/>
    </row>
    <row r="778">
      <c r="A778" s="416"/>
    </row>
    <row r="779">
      <c r="A779" s="416"/>
    </row>
    <row r="780">
      <c r="A780" s="416"/>
    </row>
    <row r="781">
      <c r="A781" s="416"/>
    </row>
    <row r="782">
      <c r="A782" s="416"/>
    </row>
    <row r="783">
      <c r="A783" s="416"/>
    </row>
    <row r="784">
      <c r="A784" s="416"/>
    </row>
    <row r="785">
      <c r="A785" s="416"/>
    </row>
    <row r="786">
      <c r="A786" s="416"/>
    </row>
    <row r="787">
      <c r="A787" s="416"/>
    </row>
    <row r="788">
      <c r="A788" s="416"/>
    </row>
    <row r="789">
      <c r="A789" s="416"/>
    </row>
    <row r="790">
      <c r="A790" s="416"/>
    </row>
    <row r="791">
      <c r="A791" s="416"/>
    </row>
    <row r="792">
      <c r="A792" s="416"/>
    </row>
    <row r="793">
      <c r="A793" s="416"/>
    </row>
    <row r="794">
      <c r="A794" s="416"/>
    </row>
    <row r="795">
      <c r="A795" s="416"/>
    </row>
    <row r="796">
      <c r="A796" s="416"/>
    </row>
    <row r="797">
      <c r="A797" s="416"/>
    </row>
    <row r="798">
      <c r="A798" s="416"/>
    </row>
    <row r="799">
      <c r="A799" s="416"/>
    </row>
    <row r="800">
      <c r="A800" s="416"/>
    </row>
    <row r="801">
      <c r="A801" s="416"/>
    </row>
    <row r="802">
      <c r="A802" s="416"/>
    </row>
    <row r="803">
      <c r="A803" s="416"/>
    </row>
    <row r="804">
      <c r="A804" s="416"/>
    </row>
    <row r="805">
      <c r="A805" s="416"/>
    </row>
    <row r="806">
      <c r="A806" s="416"/>
    </row>
    <row r="807">
      <c r="A807" s="416"/>
    </row>
    <row r="808">
      <c r="A808" s="416"/>
    </row>
    <row r="809">
      <c r="A809" s="416"/>
    </row>
    <row r="810">
      <c r="A810" s="416"/>
    </row>
    <row r="811">
      <c r="A811" s="416"/>
    </row>
    <row r="812">
      <c r="A812" s="416"/>
    </row>
    <row r="813">
      <c r="A813" s="416"/>
    </row>
    <row r="814">
      <c r="A814" s="416"/>
    </row>
    <row r="815">
      <c r="A815" s="416"/>
    </row>
    <row r="816">
      <c r="A816" s="416"/>
    </row>
    <row r="817">
      <c r="A817" s="416"/>
    </row>
    <row r="818">
      <c r="A818" s="416"/>
    </row>
    <row r="819">
      <c r="A819" s="416"/>
    </row>
    <row r="820">
      <c r="A820" s="416"/>
    </row>
    <row r="821">
      <c r="A821" s="416"/>
    </row>
    <row r="822">
      <c r="A822" s="416"/>
    </row>
    <row r="823">
      <c r="A823" s="416"/>
    </row>
    <row r="824">
      <c r="A824" s="416"/>
    </row>
    <row r="825">
      <c r="A825" s="416"/>
    </row>
    <row r="826">
      <c r="A826" s="416"/>
    </row>
    <row r="827">
      <c r="A827" s="416"/>
    </row>
    <row r="828">
      <c r="A828" s="416"/>
    </row>
    <row r="829">
      <c r="A829" s="416"/>
    </row>
    <row r="830">
      <c r="A830" s="416"/>
    </row>
    <row r="831">
      <c r="A831" s="416"/>
    </row>
    <row r="832">
      <c r="A832" s="416"/>
    </row>
    <row r="833">
      <c r="A833" s="416"/>
    </row>
    <row r="834">
      <c r="A834" s="416"/>
    </row>
    <row r="835">
      <c r="A835" s="416"/>
    </row>
    <row r="836">
      <c r="A836" s="416"/>
    </row>
    <row r="837">
      <c r="A837" s="416"/>
    </row>
    <row r="838">
      <c r="A838" s="416"/>
    </row>
    <row r="839">
      <c r="A839" s="416"/>
    </row>
    <row r="840">
      <c r="A840" s="416"/>
    </row>
    <row r="841">
      <c r="A841" s="416"/>
    </row>
    <row r="842">
      <c r="A842" s="416"/>
    </row>
    <row r="843">
      <c r="A843" s="416"/>
    </row>
    <row r="844">
      <c r="A844" s="416"/>
    </row>
    <row r="845">
      <c r="A845" s="416"/>
    </row>
    <row r="846">
      <c r="A846" s="416"/>
    </row>
    <row r="847">
      <c r="A847" s="416"/>
    </row>
    <row r="848">
      <c r="A848" s="416"/>
    </row>
    <row r="849">
      <c r="A849" s="416"/>
    </row>
    <row r="850">
      <c r="A850" s="416"/>
    </row>
    <row r="851">
      <c r="A851" s="416"/>
    </row>
    <row r="852">
      <c r="A852" s="416"/>
    </row>
    <row r="853">
      <c r="A853" s="416"/>
    </row>
    <row r="854">
      <c r="A854" s="416"/>
    </row>
    <row r="855">
      <c r="A855" s="416"/>
    </row>
    <row r="856">
      <c r="A856" s="416"/>
    </row>
    <row r="857">
      <c r="A857" s="416"/>
    </row>
    <row r="858">
      <c r="A858" s="416"/>
    </row>
    <row r="859">
      <c r="A859" s="416"/>
    </row>
    <row r="860">
      <c r="A860" s="416"/>
    </row>
    <row r="861">
      <c r="A861" s="416"/>
    </row>
    <row r="862">
      <c r="A862" s="416"/>
    </row>
    <row r="863">
      <c r="A863" s="416"/>
    </row>
    <row r="864">
      <c r="A864" s="416"/>
    </row>
    <row r="865">
      <c r="A865" s="416"/>
    </row>
    <row r="866">
      <c r="A866" s="416"/>
    </row>
    <row r="867">
      <c r="A867" s="416"/>
    </row>
    <row r="868">
      <c r="A868" s="416"/>
    </row>
    <row r="869">
      <c r="A869" s="416"/>
    </row>
    <row r="870">
      <c r="A870" s="416"/>
    </row>
    <row r="871">
      <c r="A871" s="416"/>
    </row>
    <row r="872">
      <c r="A872" s="416"/>
    </row>
    <row r="873">
      <c r="A873" s="416"/>
    </row>
    <row r="874">
      <c r="A874" s="416"/>
    </row>
    <row r="875">
      <c r="A875" s="416"/>
    </row>
    <row r="876">
      <c r="A876" s="416"/>
    </row>
    <row r="877">
      <c r="A877" s="416"/>
    </row>
    <row r="878">
      <c r="A878" s="416"/>
    </row>
    <row r="879">
      <c r="A879" s="416"/>
    </row>
    <row r="880">
      <c r="A880" s="416"/>
    </row>
    <row r="881">
      <c r="A881" s="416"/>
    </row>
    <row r="882">
      <c r="A882" s="416"/>
    </row>
    <row r="883">
      <c r="A883" s="416"/>
    </row>
    <row r="884">
      <c r="A884" s="416"/>
    </row>
    <row r="885">
      <c r="A885" s="416"/>
    </row>
    <row r="886">
      <c r="A886" s="416"/>
    </row>
    <row r="887">
      <c r="A887" s="416"/>
    </row>
    <row r="888">
      <c r="A888" s="416"/>
    </row>
    <row r="889">
      <c r="A889" s="416"/>
    </row>
    <row r="890">
      <c r="A890" s="416"/>
    </row>
    <row r="891">
      <c r="A891" s="416"/>
    </row>
    <row r="892">
      <c r="A892" s="416"/>
    </row>
    <row r="893">
      <c r="A893" s="416"/>
    </row>
    <row r="894">
      <c r="A894" s="416"/>
    </row>
    <row r="895">
      <c r="A895" s="416"/>
    </row>
    <row r="896">
      <c r="A896" s="416"/>
    </row>
    <row r="897">
      <c r="A897" s="416"/>
    </row>
    <row r="898">
      <c r="A898" s="416"/>
    </row>
    <row r="899">
      <c r="A899" s="416"/>
    </row>
    <row r="900">
      <c r="A900" s="416"/>
    </row>
    <row r="901">
      <c r="A901" s="416"/>
    </row>
    <row r="902">
      <c r="A902" s="416"/>
    </row>
    <row r="903">
      <c r="A903" s="416"/>
    </row>
    <row r="904">
      <c r="A904" s="416"/>
    </row>
    <row r="905">
      <c r="A905" s="416"/>
    </row>
    <row r="906">
      <c r="A906" s="416"/>
    </row>
    <row r="907">
      <c r="A907" s="416"/>
    </row>
    <row r="908">
      <c r="A908" s="416"/>
    </row>
    <row r="909">
      <c r="A909" s="416"/>
    </row>
    <row r="910">
      <c r="A910" s="416"/>
    </row>
    <row r="911">
      <c r="A911" s="416"/>
    </row>
    <row r="912">
      <c r="A912" s="416"/>
    </row>
    <row r="913">
      <c r="A913" s="416"/>
    </row>
    <row r="914">
      <c r="A914" s="416"/>
    </row>
    <row r="915">
      <c r="A915" s="416"/>
    </row>
    <row r="916">
      <c r="A916" s="416"/>
    </row>
    <row r="917">
      <c r="A917" s="416"/>
    </row>
    <row r="918">
      <c r="A918" s="416"/>
    </row>
    <row r="919">
      <c r="A919" s="416"/>
    </row>
    <row r="920">
      <c r="A920" s="416"/>
    </row>
    <row r="921">
      <c r="A921" s="416"/>
    </row>
    <row r="922">
      <c r="A922" s="416"/>
    </row>
    <row r="923">
      <c r="A923" s="416"/>
    </row>
    <row r="924">
      <c r="A924" s="416"/>
    </row>
    <row r="925">
      <c r="A925" s="416"/>
    </row>
    <row r="926">
      <c r="A926" s="416"/>
    </row>
    <row r="927">
      <c r="A927" s="416"/>
    </row>
    <row r="928">
      <c r="A928" s="416"/>
    </row>
    <row r="929">
      <c r="A929" s="416"/>
    </row>
    <row r="930">
      <c r="A930" s="416"/>
    </row>
    <row r="931">
      <c r="A931" s="416"/>
    </row>
    <row r="932">
      <c r="A932" s="416"/>
    </row>
    <row r="933">
      <c r="A933" s="416"/>
    </row>
    <row r="934">
      <c r="A934" s="416"/>
    </row>
    <row r="935">
      <c r="A935" s="416"/>
    </row>
    <row r="936">
      <c r="A936" s="416"/>
    </row>
    <row r="937">
      <c r="A937" s="416"/>
    </row>
    <row r="938">
      <c r="A938" s="416"/>
    </row>
    <row r="939">
      <c r="A939" s="416"/>
    </row>
    <row r="940">
      <c r="A940" s="416"/>
    </row>
    <row r="941">
      <c r="A941" s="416"/>
    </row>
    <row r="942">
      <c r="A942" s="416"/>
    </row>
    <row r="943">
      <c r="A943" s="416"/>
    </row>
    <row r="944">
      <c r="A944" s="416"/>
    </row>
    <row r="945">
      <c r="A945" s="416"/>
    </row>
    <row r="946">
      <c r="A946" s="416"/>
    </row>
    <row r="947">
      <c r="A947" s="416"/>
    </row>
    <row r="948">
      <c r="A948" s="416"/>
    </row>
    <row r="949">
      <c r="A949" s="416"/>
    </row>
    <row r="950">
      <c r="A950" s="416"/>
    </row>
    <row r="951">
      <c r="A951" s="416"/>
    </row>
    <row r="952">
      <c r="A952" s="416"/>
    </row>
    <row r="953">
      <c r="A953" s="416"/>
    </row>
    <row r="954">
      <c r="A954" s="416"/>
    </row>
    <row r="955">
      <c r="A955" s="416"/>
    </row>
    <row r="956">
      <c r="A956" s="416"/>
    </row>
    <row r="957">
      <c r="A957" s="416"/>
    </row>
    <row r="958">
      <c r="A958" s="416"/>
    </row>
    <row r="959">
      <c r="A959" s="416"/>
    </row>
    <row r="960">
      <c r="A960" s="416"/>
    </row>
    <row r="961">
      <c r="A961" s="416"/>
    </row>
    <row r="962">
      <c r="A962" s="416"/>
    </row>
    <row r="963">
      <c r="A963" s="416"/>
    </row>
    <row r="964">
      <c r="A964" s="416"/>
    </row>
    <row r="965">
      <c r="A965" s="416"/>
    </row>
    <row r="966">
      <c r="A966" s="416"/>
    </row>
    <row r="967">
      <c r="A967" s="416"/>
    </row>
    <row r="968">
      <c r="A968" s="416"/>
    </row>
    <row r="969">
      <c r="A969" s="416"/>
    </row>
    <row r="970">
      <c r="A970" s="416"/>
    </row>
    <row r="971">
      <c r="A971" s="416"/>
    </row>
    <row r="972">
      <c r="A972" s="416"/>
    </row>
    <row r="973">
      <c r="A973" s="416"/>
    </row>
    <row r="974">
      <c r="A974" s="416"/>
    </row>
    <row r="975">
      <c r="A975" s="416"/>
    </row>
    <row r="976">
      <c r="A976" s="416"/>
    </row>
    <row r="977">
      <c r="A977" s="416"/>
    </row>
    <row r="978">
      <c r="A978" s="416"/>
    </row>
    <row r="979">
      <c r="A979" s="416"/>
    </row>
    <row r="980">
      <c r="A980" s="416"/>
    </row>
    <row r="981">
      <c r="A981" s="416"/>
    </row>
    <row r="982">
      <c r="A982" s="416"/>
    </row>
    <row r="983">
      <c r="A983" s="416"/>
    </row>
    <row r="984">
      <c r="A984" s="416"/>
    </row>
    <row r="985">
      <c r="A985" s="416"/>
    </row>
    <row r="986">
      <c r="A986" s="416"/>
    </row>
    <row r="987">
      <c r="A987" s="416"/>
    </row>
    <row r="988">
      <c r="A988" s="416"/>
    </row>
    <row r="989">
      <c r="A989" s="416"/>
    </row>
    <row r="990">
      <c r="A990" s="416"/>
    </row>
    <row r="991">
      <c r="A991" s="416"/>
    </row>
    <row r="992">
      <c r="A992" s="416"/>
    </row>
    <row r="993">
      <c r="A993" s="416"/>
    </row>
    <row r="994">
      <c r="A994" s="416"/>
    </row>
    <row r="995">
      <c r="A995" s="416"/>
    </row>
    <row r="996">
      <c r="A996" s="416"/>
    </row>
    <row r="997">
      <c r="A997" s="416"/>
    </row>
    <row r="998">
      <c r="A998" s="416"/>
    </row>
    <row r="999">
      <c r="A999" s="416"/>
    </row>
    <row r="1000">
      <c r="A1000" s="416"/>
    </row>
    <row r="1001">
      <c r="A1001" s="416"/>
    </row>
    <row r="1002">
      <c r="A1002" s="416"/>
    </row>
  </sheetData>
  <mergeCells count="1">
    <mergeCell ref="A2:B2"/>
  </mergeCells>
  <printOptions/>
  <pageMargins bottom="0.75" footer="0.0" header="0.0" left="0.7" right="0.7" top="0.75"/>
  <pageSetup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3" max="3" width="36.57"/>
    <col customWidth="1" min="4" max="4" width="11.57"/>
    <col customWidth="1" min="5" max="5" width="53.43"/>
  </cols>
  <sheetData>
    <row r="1">
      <c r="A1" s="428" t="s">
        <v>531</v>
      </c>
      <c r="B1" s="429" t="s">
        <v>3</v>
      </c>
      <c r="C1" s="429" t="s">
        <v>532</v>
      </c>
      <c r="D1" s="429" t="s">
        <v>533</v>
      </c>
      <c r="E1" s="429" t="s">
        <v>6</v>
      </c>
      <c r="F1" s="430"/>
      <c r="G1" s="430"/>
      <c r="H1" s="430"/>
      <c r="I1" s="430"/>
      <c r="J1" s="430"/>
      <c r="K1" s="430"/>
      <c r="L1" s="430"/>
      <c r="M1" s="430"/>
      <c r="N1" s="430"/>
      <c r="O1" s="430"/>
      <c r="P1" s="430"/>
      <c r="Q1" s="430"/>
      <c r="R1" s="430"/>
      <c r="S1" s="430"/>
      <c r="T1" s="430"/>
      <c r="U1" s="430"/>
      <c r="V1" s="430"/>
      <c r="W1" s="430"/>
      <c r="X1" s="430"/>
      <c r="Y1" s="430"/>
      <c r="Z1" s="430"/>
      <c r="AA1" s="430"/>
    </row>
    <row r="2">
      <c r="A2" s="428">
        <v>44755.0</v>
      </c>
      <c r="B2" s="429">
        <v>230159.0</v>
      </c>
      <c r="C2" s="429" t="s">
        <v>157</v>
      </c>
      <c r="D2" s="429" t="s">
        <v>534</v>
      </c>
      <c r="E2" s="431" t="s">
        <v>535</v>
      </c>
      <c r="F2" s="430"/>
      <c r="G2" s="430"/>
      <c r="H2" s="430"/>
      <c r="I2" s="430"/>
      <c r="J2" s="430"/>
      <c r="K2" s="430"/>
      <c r="L2" s="430"/>
      <c r="M2" s="430"/>
      <c r="N2" s="430"/>
      <c r="O2" s="430"/>
      <c r="P2" s="430"/>
      <c r="Q2" s="430"/>
      <c r="R2" s="430"/>
      <c r="S2" s="430"/>
      <c r="T2" s="430"/>
      <c r="U2" s="430"/>
      <c r="V2" s="430"/>
      <c r="W2" s="430"/>
      <c r="X2" s="430"/>
      <c r="Y2" s="430"/>
      <c r="Z2" s="430"/>
      <c r="AA2" s="430"/>
    </row>
    <row r="3">
      <c r="A3" s="428">
        <v>44789.0</v>
      </c>
      <c r="B3" s="429">
        <v>245454.0</v>
      </c>
      <c r="C3" s="429" t="s">
        <v>536</v>
      </c>
      <c r="D3" s="429" t="s">
        <v>534</v>
      </c>
      <c r="E3" s="432"/>
      <c r="F3" s="430"/>
      <c r="G3" s="430"/>
      <c r="H3" s="430"/>
      <c r="I3" s="430"/>
      <c r="J3" s="430"/>
      <c r="K3" s="430"/>
      <c r="L3" s="430"/>
      <c r="M3" s="430"/>
      <c r="N3" s="430"/>
      <c r="O3" s="430"/>
      <c r="P3" s="430"/>
      <c r="Q3" s="430"/>
      <c r="R3" s="430"/>
      <c r="S3" s="430"/>
      <c r="T3" s="430"/>
      <c r="U3" s="430"/>
      <c r="V3" s="430"/>
      <c r="W3" s="430"/>
      <c r="X3" s="430"/>
      <c r="Y3" s="430"/>
      <c r="Z3" s="430"/>
      <c r="AA3" s="430"/>
    </row>
    <row r="4">
      <c r="A4" s="428">
        <v>44791.0</v>
      </c>
      <c r="B4" s="429">
        <v>194496.0</v>
      </c>
      <c r="C4" s="429" t="s">
        <v>537</v>
      </c>
      <c r="D4" s="429" t="s">
        <v>534</v>
      </c>
      <c r="E4" s="431" t="s">
        <v>538</v>
      </c>
      <c r="F4" s="430"/>
      <c r="G4" s="430"/>
      <c r="H4" s="430"/>
      <c r="I4" s="430"/>
      <c r="J4" s="430"/>
      <c r="K4" s="430"/>
      <c r="L4" s="430"/>
      <c r="M4" s="430"/>
      <c r="N4" s="430"/>
      <c r="O4" s="430"/>
      <c r="P4" s="430"/>
      <c r="Q4" s="430"/>
      <c r="R4" s="430"/>
      <c r="S4" s="430"/>
      <c r="T4" s="430"/>
      <c r="U4" s="430"/>
      <c r="V4" s="430"/>
      <c r="W4" s="430"/>
      <c r="X4" s="430"/>
      <c r="Y4" s="430"/>
      <c r="Z4" s="430"/>
      <c r="AA4" s="430"/>
    </row>
    <row r="5">
      <c r="A5" s="428">
        <v>44951.0</v>
      </c>
      <c r="B5" s="429">
        <v>232082.0</v>
      </c>
      <c r="C5" s="429" t="s">
        <v>539</v>
      </c>
      <c r="D5" s="429" t="s">
        <v>534</v>
      </c>
      <c r="E5" s="432"/>
      <c r="F5" s="430"/>
      <c r="G5" s="430"/>
      <c r="H5" s="430"/>
      <c r="I5" s="430"/>
      <c r="J5" s="430"/>
      <c r="K5" s="430"/>
      <c r="L5" s="430"/>
      <c r="M5" s="430"/>
      <c r="N5" s="430"/>
      <c r="O5" s="430"/>
      <c r="P5" s="430"/>
      <c r="Q5" s="430"/>
      <c r="R5" s="430"/>
      <c r="S5" s="430"/>
      <c r="T5" s="430"/>
      <c r="U5" s="430"/>
      <c r="V5" s="430"/>
      <c r="W5" s="430"/>
      <c r="X5" s="430"/>
      <c r="Y5" s="430"/>
      <c r="Z5" s="430"/>
      <c r="AA5" s="430"/>
    </row>
    <row r="6">
      <c r="A6" s="433"/>
      <c r="B6" s="430"/>
      <c r="C6" s="430"/>
      <c r="D6" s="430"/>
      <c r="E6" s="432"/>
      <c r="F6" s="430"/>
      <c r="G6" s="430"/>
      <c r="H6" s="430"/>
      <c r="I6" s="430"/>
      <c r="J6" s="430"/>
      <c r="K6" s="430"/>
      <c r="L6" s="430"/>
      <c r="M6" s="430"/>
      <c r="N6" s="430"/>
      <c r="O6" s="430"/>
      <c r="P6" s="430"/>
      <c r="Q6" s="430"/>
      <c r="R6" s="430"/>
      <c r="S6" s="430"/>
      <c r="T6" s="430"/>
      <c r="U6" s="430"/>
      <c r="V6" s="430"/>
      <c r="W6" s="430"/>
      <c r="X6" s="430"/>
      <c r="Y6" s="430"/>
      <c r="Z6" s="430"/>
      <c r="AA6" s="430"/>
    </row>
    <row r="7">
      <c r="A7" s="433"/>
      <c r="B7" s="430"/>
      <c r="C7" s="430"/>
      <c r="D7" s="430"/>
      <c r="E7" s="432"/>
      <c r="F7" s="430"/>
      <c r="G7" s="430"/>
      <c r="H7" s="430"/>
      <c r="I7" s="430"/>
      <c r="J7" s="430"/>
      <c r="K7" s="430"/>
      <c r="L7" s="430"/>
      <c r="M7" s="430"/>
      <c r="N7" s="430"/>
      <c r="O7" s="430"/>
      <c r="P7" s="430"/>
      <c r="Q7" s="430"/>
      <c r="R7" s="430"/>
      <c r="S7" s="430"/>
      <c r="T7" s="430"/>
      <c r="U7" s="430"/>
      <c r="V7" s="430"/>
      <c r="W7" s="430"/>
      <c r="X7" s="430"/>
      <c r="Y7" s="430"/>
      <c r="Z7" s="430"/>
      <c r="AA7" s="430"/>
    </row>
    <row r="8">
      <c r="A8" s="433"/>
      <c r="B8" s="430"/>
      <c r="C8" s="430"/>
      <c r="D8" s="430"/>
      <c r="E8" s="432"/>
      <c r="F8" s="430"/>
      <c r="G8" s="430"/>
      <c r="H8" s="430"/>
      <c r="I8" s="430"/>
      <c r="J8" s="430"/>
      <c r="K8" s="430"/>
      <c r="L8" s="430"/>
      <c r="M8" s="430"/>
      <c r="N8" s="430"/>
      <c r="O8" s="430"/>
      <c r="P8" s="430"/>
      <c r="Q8" s="430"/>
      <c r="R8" s="430"/>
      <c r="S8" s="430"/>
      <c r="T8" s="430"/>
      <c r="U8" s="430"/>
      <c r="V8" s="430"/>
      <c r="W8" s="430"/>
      <c r="X8" s="430"/>
      <c r="Y8" s="430"/>
      <c r="Z8" s="430"/>
      <c r="AA8" s="430"/>
    </row>
    <row r="9">
      <c r="A9" s="433"/>
      <c r="B9" s="430"/>
      <c r="C9" s="430"/>
      <c r="D9" s="430"/>
      <c r="E9" s="432"/>
      <c r="F9" s="430"/>
      <c r="G9" s="430"/>
      <c r="H9" s="430"/>
      <c r="I9" s="430"/>
      <c r="J9" s="430"/>
      <c r="K9" s="430"/>
      <c r="L9" s="430"/>
      <c r="M9" s="430"/>
      <c r="N9" s="430"/>
      <c r="O9" s="430"/>
      <c r="P9" s="430"/>
      <c r="Q9" s="430"/>
      <c r="R9" s="430"/>
      <c r="S9" s="430"/>
      <c r="T9" s="430"/>
      <c r="U9" s="430"/>
      <c r="V9" s="430"/>
      <c r="W9" s="430"/>
      <c r="X9" s="430"/>
      <c r="Y9" s="430"/>
      <c r="Z9" s="430"/>
      <c r="AA9" s="430"/>
    </row>
    <row r="10">
      <c r="A10" s="433"/>
      <c r="B10" s="430"/>
      <c r="C10" s="430"/>
      <c r="D10" s="430"/>
      <c r="E10" s="432"/>
      <c r="F10" s="430"/>
      <c r="G10" s="430"/>
      <c r="H10" s="430"/>
      <c r="I10" s="430"/>
      <c r="J10" s="430"/>
      <c r="K10" s="430"/>
      <c r="L10" s="430"/>
      <c r="M10" s="430"/>
      <c r="N10" s="430"/>
      <c r="O10" s="430"/>
      <c r="P10" s="430"/>
      <c r="Q10" s="430"/>
      <c r="R10" s="430"/>
      <c r="S10" s="430"/>
      <c r="T10" s="430"/>
      <c r="U10" s="430"/>
      <c r="V10" s="430"/>
      <c r="W10" s="430"/>
      <c r="X10" s="430"/>
      <c r="Y10" s="430"/>
      <c r="Z10" s="430"/>
      <c r="AA10" s="430"/>
    </row>
    <row r="11">
      <c r="A11" s="433"/>
      <c r="B11" s="430"/>
      <c r="C11" s="430"/>
      <c r="D11" s="430"/>
      <c r="E11" s="432"/>
      <c r="F11" s="430"/>
      <c r="G11" s="430"/>
      <c r="H11" s="430"/>
      <c r="I11" s="430"/>
      <c r="J11" s="430"/>
      <c r="K11" s="430"/>
      <c r="L11" s="430"/>
      <c r="M11" s="430"/>
      <c r="N11" s="430"/>
      <c r="O11" s="430"/>
      <c r="P11" s="430"/>
      <c r="Q11" s="430"/>
      <c r="R11" s="430"/>
      <c r="S11" s="430"/>
      <c r="T11" s="430"/>
      <c r="U11" s="430"/>
      <c r="V11" s="430"/>
      <c r="W11" s="430"/>
      <c r="X11" s="430"/>
      <c r="Y11" s="430"/>
      <c r="Z11" s="430"/>
      <c r="AA11" s="430"/>
    </row>
    <row r="12">
      <c r="A12" s="433"/>
      <c r="B12" s="430"/>
      <c r="C12" s="430"/>
      <c r="D12" s="430"/>
      <c r="E12" s="432"/>
      <c r="F12" s="430"/>
      <c r="G12" s="430"/>
      <c r="H12" s="430"/>
      <c r="I12" s="430"/>
      <c r="J12" s="430"/>
      <c r="K12" s="430"/>
      <c r="L12" s="430"/>
      <c r="M12" s="430"/>
      <c r="N12" s="430"/>
      <c r="O12" s="430"/>
      <c r="P12" s="430"/>
      <c r="Q12" s="430"/>
      <c r="R12" s="430"/>
      <c r="S12" s="430"/>
      <c r="T12" s="430"/>
      <c r="U12" s="430"/>
      <c r="V12" s="430"/>
      <c r="W12" s="430"/>
      <c r="X12" s="430"/>
      <c r="Y12" s="430"/>
      <c r="Z12" s="430"/>
      <c r="AA12" s="430"/>
    </row>
    <row r="13">
      <c r="A13" s="433"/>
      <c r="B13" s="430"/>
      <c r="C13" s="430"/>
      <c r="D13" s="430"/>
      <c r="E13" s="432"/>
      <c r="F13" s="430"/>
      <c r="G13" s="430"/>
      <c r="H13" s="430"/>
      <c r="I13" s="430"/>
      <c r="J13" s="430"/>
      <c r="K13" s="430"/>
      <c r="L13" s="430"/>
      <c r="M13" s="430"/>
      <c r="N13" s="430"/>
      <c r="O13" s="430"/>
      <c r="P13" s="430"/>
      <c r="Q13" s="430"/>
      <c r="R13" s="430"/>
      <c r="S13" s="430"/>
      <c r="T13" s="430"/>
      <c r="U13" s="430"/>
      <c r="V13" s="430"/>
      <c r="W13" s="430"/>
      <c r="X13" s="430"/>
      <c r="Y13" s="430"/>
      <c r="Z13" s="430"/>
      <c r="AA13" s="430"/>
    </row>
    <row r="14">
      <c r="A14" s="433"/>
      <c r="B14" s="430"/>
      <c r="C14" s="430"/>
      <c r="D14" s="430"/>
      <c r="E14" s="432"/>
      <c r="F14" s="430"/>
      <c r="G14" s="430"/>
      <c r="H14" s="430"/>
      <c r="I14" s="430"/>
      <c r="J14" s="430"/>
      <c r="K14" s="430"/>
      <c r="L14" s="430"/>
      <c r="M14" s="430"/>
      <c r="N14" s="430"/>
      <c r="O14" s="430"/>
      <c r="P14" s="430"/>
      <c r="Q14" s="430"/>
      <c r="R14" s="430"/>
      <c r="S14" s="430"/>
      <c r="T14" s="430"/>
      <c r="U14" s="430"/>
      <c r="V14" s="430"/>
      <c r="W14" s="430"/>
      <c r="X14" s="430"/>
      <c r="Y14" s="430"/>
      <c r="Z14" s="430"/>
      <c r="AA14" s="430"/>
    </row>
    <row r="15">
      <c r="A15" s="433"/>
      <c r="B15" s="430"/>
      <c r="C15" s="430"/>
      <c r="D15" s="430"/>
      <c r="E15" s="432"/>
      <c r="F15" s="430"/>
      <c r="G15" s="430"/>
      <c r="H15" s="430"/>
      <c r="I15" s="430"/>
      <c r="J15" s="430"/>
      <c r="K15" s="430"/>
      <c r="L15" s="430"/>
      <c r="M15" s="430"/>
      <c r="N15" s="430"/>
      <c r="O15" s="430"/>
      <c r="P15" s="430"/>
      <c r="Q15" s="430"/>
      <c r="R15" s="430"/>
      <c r="S15" s="430"/>
      <c r="T15" s="430"/>
      <c r="U15" s="430"/>
      <c r="V15" s="430"/>
      <c r="W15" s="430"/>
      <c r="X15" s="430"/>
      <c r="Y15" s="430"/>
      <c r="Z15" s="430"/>
      <c r="AA15" s="430"/>
    </row>
    <row r="16">
      <c r="A16" s="433"/>
      <c r="B16" s="430"/>
      <c r="C16" s="430"/>
      <c r="D16" s="430"/>
      <c r="E16" s="432"/>
      <c r="F16" s="430"/>
      <c r="G16" s="430"/>
      <c r="H16" s="430"/>
      <c r="I16" s="430"/>
      <c r="J16" s="430"/>
      <c r="K16" s="430"/>
      <c r="L16" s="430"/>
      <c r="M16" s="430"/>
      <c r="N16" s="430"/>
      <c r="O16" s="430"/>
      <c r="P16" s="430"/>
      <c r="Q16" s="430"/>
      <c r="R16" s="430"/>
      <c r="S16" s="430"/>
      <c r="T16" s="430"/>
      <c r="U16" s="430"/>
      <c r="V16" s="430"/>
      <c r="W16" s="430"/>
      <c r="X16" s="430"/>
      <c r="Y16" s="430"/>
      <c r="Z16" s="430"/>
      <c r="AA16" s="430"/>
    </row>
    <row r="17">
      <c r="A17" s="433"/>
      <c r="B17" s="430"/>
      <c r="C17" s="430"/>
      <c r="D17" s="430"/>
      <c r="E17" s="432"/>
      <c r="F17" s="430"/>
      <c r="G17" s="430"/>
      <c r="H17" s="430"/>
      <c r="I17" s="430"/>
      <c r="J17" s="430"/>
      <c r="K17" s="430"/>
      <c r="L17" s="430"/>
      <c r="M17" s="430"/>
      <c r="N17" s="430"/>
      <c r="O17" s="430"/>
      <c r="P17" s="430"/>
      <c r="Q17" s="430"/>
      <c r="R17" s="430"/>
      <c r="S17" s="430"/>
      <c r="T17" s="430"/>
      <c r="U17" s="430"/>
      <c r="V17" s="430"/>
      <c r="W17" s="430"/>
      <c r="X17" s="430"/>
      <c r="Y17" s="430"/>
      <c r="Z17" s="430"/>
      <c r="AA17" s="430"/>
    </row>
    <row r="18">
      <c r="A18" s="433"/>
      <c r="B18" s="430"/>
      <c r="C18" s="430"/>
      <c r="D18" s="430"/>
      <c r="E18" s="432"/>
      <c r="F18" s="430"/>
      <c r="G18" s="430"/>
      <c r="H18" s="430"/>
      <c r="I18" s="430"/>
      <c r="J18" s="430"/>
      <c r="K18" s="430"/>
      <c r="L18" s="430"/>
      <c r="M18" s="430"/>
      <c r="N18" s="430"/>
      <c r="O18" s="430"/>
      <c r="P18" s="430"/>
      <c r="Q18" s="430"/>
      <c r="R18" s="430"/>
      <c r="S18" s="430"/>
      <c r="T18" s="430"/>
      <c r="U18" s="430"/>
      <c r="V18" s="430"/>
      <c r="W18" s="430"/>
      <c r="X18" s="430"/>
      <c r="Y18" s="430"/>
      <c r="Z18" s="430"/>
      <c r="AA18" s="430"/>
    </row>
    <row r="19">
      <c r="A19" s="433"/>
      <c r="B19" s="430"/>
      <c r="C19" s="430"/>
      <c r="D19" s="430"/>
      <c r="E19" s="432"/>
      <c r="F19" s="430"/>
      <c r="G19" s="430"/>
      <c r="H19" s="430"/>
      <c r="I19" s="430"/>
      <c r="J19" s="430"/>
      <c r="K19" s="430"/>
      <c r="L19" s="430"/>
      <c r="M19" s="430"/>
      <c r="N19" s="430"/>
      <c r="O19" s="430"/>
      <c r="P19" s="430"/>
      <c r="Q19" s="430"/>
      <c r="R19" s="430"/>
      <c r="S19" s="430"/>
      <c r="T19" s="430"/>
      <c r="U19" s="430"/>
      <c r="V19" s="430"/>
      <c r="W19" s="430"/>
      <c r="X19" s="430"/>
      <c r="Y19" s="430"/>
      <c r="Z19" s="430"/>
      <c r="AA19" s="430"/>
    </row>
    <row r="20">
      <c r="A20" s="433"/>
      <c r="B20" s="430"/>
      <c r="C20" s="430"/>
      <c r="D20" s="430"/>
      <c r="E20" s="432"/>
      <c r="F20" s="430"/>
      <c r="G20" s="430"/>
      <c r="H20" s="430"/>
      <c r="I20" s="430"/>
      <c r="J20" s="430"/>
      <c r="K20" s="430"/>
      <c r="L20" s="430"/>
      <c r="M20" s="430"/>
      <c r="N20" s="430"/>
      <c r="O20" s="430"/>
      <c r="P20" s="430"/>
      <c r="Q20" s="430"/>
      <c r="R20" s="430"/>
      <c r="S20" s="430"/>
      <c r="T20" s="430"/>
      <c r="U20" s="430"/>
      <c r="V20" s="430"/>
      <c r="W20" s="430"/>
      <c r="X20" s="430"/>
      <c r="Y20" s="430"/>
      <c r="Z20" s="430"/>
      <c r="AA20" s="430"/>
    </row>
    <row r="21">
      <c r="A21" s="433"/>
      <c r="B21" s="430"/>
      <c r="C21" s="430"/>
      <c r="D21" s="430"/>
      <c r="E21" s="432"/>
      <c r="F21" s="430"/>
      <c r="G21" s="430"/>
      <c r="H21" s="430"/>
      <c r="I21" s="430"/>
      <c r="J21" s="430"/>
      <c r="K21" s="430"/>
      <c r="L21" s="430"/>
      <c r="M21" s="430"/>
      <c r="N21" s="430"/>
      <c r="O21" s="430"/>
      <c r="P21" s="430"/>
      <c r="Q21" s="430"/>
      <c r="R21" s="430"/>
      <c r="S21" s="430"/>
      <c r="T21" s="430"/>
      <c r="U21" s="430"/>
      <c r="V21" s="430"/>
      <c r="W21" s="430"/>
      <c r="X21" s="430"/>
      <c r="Y21" s="430"/>
      <c r="Z21" s="430"/>
      <c r="AA21" s="430"/>
    </row>
    <row r="22">
      <c r="A22" s="433"/>
      <c r="B22" s="430"/>
      <c r="C22" s="430"/>
      <c r="D22" s="430"/>
      <c r="E22" s="432"/>
      <c r="F22" s="430"/>
      <c r="G22" s="430"/>
      <c r="H22" s="430"/>
      <c r="I22" s="430"/>
      <c r="J22" s="430"/>
      <c r="K22" s="430"/>
      <c r="L22" s="430"/>
      <c r="M22" s="430"/>
      <c r="N22" s="430"/>
      <c r="O22" s="430"/>
      <c r="P22" s="430"/>
      <c r="Q22" s="430"/>
      <c r="R22" s="430"/>
      <c r="S22" s="430"/>
      <c r="T22" s="430"/>
      <c r="U22" s="430"/>
      <c r="V22" s="430"/>
      <c r="W22" s="430"/>
      <c r="X22" s="430"/>
      <c r="Y22" s="430"/>
      <c r="Z22" s="430"/>
      <c r="AA22" s="430"/>
    </row>
    <row r="23">
      <c r="A23" s="433"/>
      <c r="B23" s="430"/>
      <c r="C23" s="430"/>
      <c r="D23" s="430"/>
      <c r="E23" s="432"/>
      <c r="F23" s="430"/>
      <c r="G23" s="430"/>
      <c r="H23" s="430"/>
      <c r="I23" s="430"/>
      <c r="J23" s="430"/>
      <c r="K23" s="430"/>
      <c r="L23" s="430"/>
      <c r="M23" s="430"/>
      <c r="N23" s="430"/>
      <c r="O23" s="430"/>
      <c r="P23" s="430"/>
      <c r="Q23" s="430"/>
      <c r="R23" s="430"/>
      <c r="S23" s="430"/>
      <c r="T23" s="430"/>
      <c r="U23" s="430"/>
      <c r="V23" s="430"/>
      <c r="W23" s="430"/>
      <c r="X23" s="430"/>
      <c r="Y23" s="430"/>
      <c r="Z23" s="430"/>
      <c r="AA23" s="430"/>
    </row>
    <row r="24">
      <c r="A24" s="433"/>
      <c r="B24" s="430"/>
      <c r="C24" s="430"/>
      <c r="D24" s="430"/>
      <c r="E24" s="432"/>
      <c r="F24" s="430"/>
      <c r="G24" s="430"/>
      <c r="H24" s="430"/>
      <c r="I24" s="430"/>
      <c r="J24" s="430"/>
      <c r="K24" s="430"/>
      <c r="L24" s="430"/>
      <c r="M24" s="430"/>
      <c r="N24" s="430"/>
      <c r="O24" s="430"/>
      <c r="P24" s="430"/>
      <c r="Q24" s="430"/>
      <c r="R24" s="430"/>
      <c r="S24" s="430"/>
      <c r="T24" s="430"/>
      <c r="U24" s="430"/>
      <c r="V24" s="430"/>
      <c r="W24" s="430"/>
      <c r="X24" s="430"/>
      <c r="Y24" s="430"/>
      <c r="Z24" s="430"/>
      <c r="AA24" s="430"/>
    </row>
    <row r="25">
      <c r="A25" s="433"/>
      <c r="B25" s="430"/>
      <c r="C25" s="430"/>
      <c r="D25" s="430"/>
      <c r="E25" s="432"/>
      <c r="F25" s="430"/>
      <c r="G25" s="430"/>
      <c r="H25" s="430"/>
      <c r="I25" s="430"/>
      <c r="J25" s="430"/>
      <c r="K25" s="430"/>
      <c r="L25" s="430"/>
      <c r="M25" s="430"/>
      <c r="N25" s="430"/>
      <c r="O25" s="430"/>
      <c r="P25" s="430"/>
      <c r="Q25" s="430"/>
      <c r="R25" s="430"/>
      <c r="S25" s="430"/>
      <c r="T25" s="430"/>
      <c r="U25" s="430"/>
      <c r="V25" s="430"/>
      <c r="W25" s="430"/>
      <c r="X25" s="430"/>
      <c r="Y25" s="430"/>
      <c r="Z25" s="430"/>
      <c r="AA25" s="430"/>
    </row>
    <row r="26">
      <c r="A26" s="433"/>
      <c r="B26" s="430"/>
      <c r="C26" s="430"/>
      <c r="D26" s="430"/>
      <c r="E26" s="432"/>
      <c r="F26" s="430"/>
      <c r="G26" s="430"/>
      <c r="H26" s="430"/>
      <c r="I26" s="430"/>
      <c r="J26" s="430"/>
      <c r="K26" s="430"/>
      <c r="L26" s="430"/>
      <c r="M26" s="430"/>
      <c r="N26" s="430"/>
      <c r="O26" s="430"/>
      <c r="P26" s="430"/>
      <c r="Q26" s="430"/>
      <c r="R26" s="430"/>
      <c r="S26" s="430"/>
      <c r="T26" s="430"/>
      <c r="U26" s="430"/>
      <c r="V26" s="430"/>
      <c r="W26" s="430"/>
      <c r="X26" s="430"/>
      <c r="Y26" s="430"/>
      <c r="Z26" s="430"/>
      <c r="AA26" s="430"/>
    </row>
    <row r="27">
      <c r="A27" s="433"/>
      <c r="B27" s="430"/>
      <c r="C27" s="430"/>
      <c r="D27" s="430"/>
      <c r="E27" s="432"/>
      <c r="F27" s="430"/>
      <c r="G27" s="430"/>
      <c r="H27" s="430"/>
      <c r="I27" s="430"/>
      <c r="J27" s="430"/>
      <c r="K27" s="430"/>
      <c r="L27" s="430"/>
      <c r="M27" s="430"/>
      <c r="N27" s="430"/>
      <c r="O27" s="430"/>
      <c r="P27" s="430"/>
      <c r="Q27" s="430"/>
      <c r="R27" s="430"/>
      <c r="S27" s="430"/>
      <c r="T27" s="430"/>
      <c r="U27" s="430"/>
      <c r="V27" s="430"/>
      <c r="W27" s="430"/>
      <c r="X27" s="430"/>
      <c r="Y27" s="430"/>
      <c r="Z27" s="430"/>
      <c r="AA27" s="430"/>
    </row>
    <row r="28">
      <c r="A28" s="433"/>
      <c r="B28" s="430"/>
      <c r="C28" s="430"/>
      <c r="D28" s="430"/>
      <c r="E28" s="432"/>
      <c r="F28" s="430"/>
      <c r="G28" s="430"/>
      <c r="H28" s="430"/>
      <c r="I28" s="430"/>
      <c r="J28" s="430"/>
      <c r="K28" s="430"/>
      <c r="L28" s="430"/>
      <c r="M28" s="430"/>
      <c r="N28" s="430"/>
      <c r="O28" s="430"/>
      <c r="P28" s="430"/>
      <c r="Q28" s="430"/>
      <c r="R28" s="430"/>
      <c r="S28" s="430"/>
      <c r="T28" s="430"/>
      <c r="U28" s="430"/>
      <c r="V28" s="430"/>
      <c r="W28" s="430"/>
      <c r="X28" s="430"/>
      <c r="Y28" s="430"/>
      <c r="Z28" s="430"/>
      <c r="AA28" s="430"/>
    </row>
    <row r="29">
      <c r="A29" s="433"/>
      <c r="B29" s="430"/>
      <c r="C29" s="430"/>
      <c r="D29" s="430"/>
      <c r="E29" s="432"/>
      <c r="F29" s="430"/>
      <c r="G29" s="430"/>
      <c r="H29" s="430"/>
      <c r="I29" s="430"/>
      <c r="J29" s="430"/>
      <c r="K29" s="430"/>
      <c r="L29" s="430"/>
      <c r="M29" s="430"/>
      <c r="N29" s="430"/>
      <c r="O29" s="430"/>
      <c r="P29" s="430"/>
      <c r="Q29" s="430"/>
      <c r="R29" s="430"/>
      <c r="S29" s="430"/>
      <c r="T29" s="430"/>
      <c r="U29" s="430"/>
      <c r="V29" s="430"/>
      <c r="W29" s="430"/>
      <c r="X29" s="430"/>
      <c r="Y29" s="430"/>
      <c r="Z29" s="430"/>
      <c r="AA29" s="430"/>
    </row>
    <row r="30">
      <c r="A30" s="433"/>
      <c r="B30" s="430"/>
      <c r="C30" s="430"/>
      <c r="D30" s="430"/>
      <c r="E30" s="432"/>
      <c r="F30" s="430"/>
      <c r="G30" s="430"/>
      <c r="H30" s="430"/>
      <c r="I30" s="430"/>
      <c r="J30" s="430"/>
      <c r="K30" s="430"/>
      <c r="L30" s="430"/>
      <c r="M30" s="430"/>
      <c r="N30" s="430"/>
      <c r="O30" s="430"/>
      <c r="P30" s="430"/>
      <c r="Q30" s="430"/>
      <c r="R30" s="430"/>
      <c r="S30" s="430"/>
      <c r="T30" s="430"/>
      <c r="U30" s="430"/>
      <c r="V30" s="430"/>
      <c r="W30" s="430"/>
      <c r="X30" s="430"/>
      <c r="Y30" s="430"/>
      <c r="Z30" s="430"/>
      <c r="AA30" s="430"/>
    </row>
    <row r="31">
      <c r="A31" s="433"/>
      <c r="B31" s="430"/>
      <c r="C31" s="430"/>
      <c r="D31" s="430"/>
      <c r="E31" s="432"/>
      <c r="F31" s="430"/>
      <c r="G31" s="430"/>
      <c r="H31" s="430"/>
      <c r="I31" s="430"/>
      <c r="J31" s="430"/>
      <c r="K31" s="430"/>
      <c r="L31" s="430"/>
      <c r="M31" s="430"/>
      <c r="N31" s="430"/>
      <c r="O31" s="430"/>
      <c r="P31" s="430"/>
      <c r="Q31" s="430"/>
      <c r="R31" s="430"/>
      <c r="S31" s="430"/>
      <c r="T31" s="430"/>
      <c r="U31" s="430"/>
      <c r="V31" s="430"/>
      <c r="W31" s="430"/>
      <c r="X31" s="430"/>
      <c r="Y31" s="430"/>
      <c r="Z31" s="430"/>
      <c r="AA31" s="430"/>
    </row>
    <row r="32">
      <c r="A32" s="433"/>
      <c r="B32" s="430"/>
      <c r="C32" s="430"/>
      <c r="D32" s="430"/>
      <c r="E32" s="432"/>
      <c r="F32" s="430"/>
      <c r="G32" s="430"/>
      <c r="H32" s="430"/>
      <c r="I32" s="430"/>
      <c r="J32" s="430"/>
      <c r="K32" s="430"/>
      <c r="L32" s="430"/>
      <c r="M32" s="430"/>
      <c r="N32" s="430"/>
      <c r="O32" s="430"/>
      <c r="P32" s="430"/>
      <c r="Q32" s="430"/>
      <c r="R32" s="430"/>
      <c r="S32" s="430"/>
      <c r="T32" s="430"/>
      <c r="U32" s="430"/>
      <c r="V32" s="430"/>
      <c r="W32" s="430"/>
      <c r="X32" s="430"/>
      <c r="Y32" s="430"/>
      <c r="Z32" s="430"/>
      <c r="AA32" s="430"/>
    </row>
    <row r="33">
      <c r="A33" s="433"/>
      <c r="B33" s="430"/>
      <c r="C33" s="430"/>
      <c r="D33" s="430"/>
      <c r="E33" s="432"/>
      <c r="F33" s="430"/>
      <c r="G33" s="430"/>
      <c r="H33" s="430"/>
      <c r="I33" s="430"/>
      <c r="J33" s="430"/>
      <c r="K33" s="430"/>
      <c r="L33" s="430"/>
      <c r="M33" s="430"/>
      <c r="N33" s="430"/>
      <c r="O33" s="430"/>
      <c r="P33" s="430"/>
      <c r="Q33" s="430"/>
      <c r="R33" s="430"/>
      <c r="S33" s="430"/>
      <c r="T33" s="430"/>
      <c r="U33" s="430"/>
      <c r="V33" s="430"/>
      <c r="W33" s="430"/>
      <c r="X33" s="430"/>
      <c r="Y33" s="430"/>
      <c r="Z33" s="430"/>
      <c r="AA33" s="430"/>
    </row>
    <row r="34">
      <c r="A34" s="433"/>
      <c r="B34" s="430"/>
      <c r="C34" s="430"/>
      <c r="D34" s="430"/>
      <c r="E34" s="432"/>
      <c r="F34" s="430"/>
      <c r="G34" s="430"/>
      <c r="H34" s="430"/>
      <c r="I34" s="430"/>
      <c r="J34" s="430"/>
      <c r="K34" s="430"/>
      <c r="L34" s="430"/>
      <c r="M34" s="430"/>
      <c r="N34" s="430"/>
      <c r="O34" s="430"/>
      <c r="P34" s="430"/>
      <c r="Q34" s="430"/>
      <c r="R34" s="430"/>
      <c r="S34" s="430"/>
      <c r="T34" s="430"/>
      <c r="U34" s="430"/>
      <c r="V34" s="430"/>
      <c r="W34" s="430"/>
      <c r="X34" s="430"/>
      <c r="Y34" s="430"/>
      <c r="Z34" s="430"/>
      <c r="AA34" s="430"/>
    </row>
    <row r="35">
      <c r="A35" s="433"/>
      <c r="B35" s="430"/>
      <c r="C35" s="430"/>
      <c r="D35" s="430"/>
      <c r="E35" s="432"/>
      <c r="F35" s="430"/>
      <c r="G35" s="430"/>
      <c r="H35" s="430"/>
      <c r="I35" s="430"/>
      <c r="J35" s="430"/>
      <c r="K35" s="430"/>
      <c r="L35" s="430"/>
      <c r="M35" s="430"/>
      <c r="N35" s="430"/>
      <c r="O35" s="430"/>
      <c r="P35" s="430"/>
      <c r="Q35" s="430"/>
      <c r="R35" s="430"/>
      <c r="S35" s="430"/>
      <c r="T35" s="430"/>
      <c r="U35" s="430"/>
      <c r="V35" s="430"/>
      <c r="W35" s="430"/>
      <c r="X35" s="430"/>
      <c r="Y35" s="430"/>
      <c r="Z35" s="430"/>
      <c r="AA35" s="430"/>
    </row>
    <row r="36">
      <c r="A36" s="433"/>
      <c r="B36" s="430"/>
      <c r="C36" s="430"/>
      <c r="D36" s="430"/>
      <c r="E36" s="432"/>
      <c r="F36" s="430"/>
      <c r="G36" s="430"/>
      <c r="H36" s="430"/>
      <c r="I36" s="430"/>
      <c r="J36" s="430"/>
      <c r="K36" s="430"/>
      <c r="L36" s="430"/>
      <c r="M36" s="430"/>
      <c r="N36" s="430"/>
      <c r="O36" s="430"/>
      <c r="P36" s="430"/>
      <c r="Q36" s="430"/>
      <c r="R36" s="430"/>
      <c r="S36" s="430"/>
      <c r="T36" s="430"/>
      <c r="U36" s="430"/>
      <c r="V36" s="430"/>
      <c r="W36" s="430"/>
      <c r="X36" s="430"/>
      <c r="Y36" s="430"/>
      <c r="Z36" s="430"/>
      <c r="AA36" s="430"/>
    </row>
    <row r="37">
      <c r="A37" s="433"/>
      <c r="B37" s="430"/>
      <c r="C37" s="430"/>
      <c r="D37" s="430"/>
      <c r="E37" s="432"/>
      <c r="F37" s="430"/>
      <c r="G37" s="430"/>
      <c r="H37" s="430"/>
      <c r="I37" s="430"/>
      <c r="J37" s="430"/>
      <c r="K37" s="430"/>
      <c r="L37" s="430"/>
      <c r="M37" s="430"/>
      <c r="N37" s="430"/>
      <c r="O37" s="430"/>
      <c r="P37" s="430"/>
      <c r="Q37" s="430"/>
      <c r="R37" s="430"/>
      <c r="S37" s="430"/>
      <c r="T37" s="430"/>
      <c r="U37" s="430"/>
      <c r="V37" s="430"/>
      <c r="W37" s="430"/>
      <c r="X37" s="430"/>
      <c r="Y37" s="430"/>
      <c r="Z37" s="430"/>
      <c r="AA37" s="430"/>
    </row>
    <row r="38">
      <c r="A38" s="433"/>
      <c r="B38" s="430"/>
      <c r="C38" s="430"/>
      <c r="D38" s="430"/>
      <c r="E38" s="432"/>
      <c r="F38" s="430"/>
      <c r="G38" s="430"/>
      <c r="H38" s="430"/>
      <c r="I38" s="430"/>
      <c r="J38" s="430"/>
      <c r="K38" s="430"/>
      <c r="L38" s="430"/>
      <c r="M38" s="430"/>
      <c r="N38" s="430"/>
      <c r="O38" s="430"/>
      <c r="P38" s="430"/>
      <c r="Q38" s="430"/>
      <c r="R38" s="430"/>
      <c r="S38" s="430"/>
      <c r="T38" s="430"/>
      <c r="U38" s="430"/>
      <c r="V38" s="430"/>
      <c r="W38" s="430"/>
      <c r="X38" s="430"/>
      <c r="Y38" s="430"/>
      <c r="Z38" s="430"/>
      <c r="AA38" s="430"/>
    </row>
    <row r="39">
      <c r="A39" s="433"/>
      <c r="B39" s="430"/>
      <c r="C39" s="430"/>
      <c r="D39" s="430"/>
      <c r="E39" s="432"/>
      <c r="F39" s="430"/>
      <c r="G39" s="430"/>
      <c r="H39" s="430"/>
      <c r="I39" s="430"/>
      <c r="J39" s="430"/>
      <c r="K39" s="430"/>
      <c r="L39" s="430"/>
      <c r="M39" s="430"/>
      <c r="N39" s="430"/>
      <c r="O39" s="430"/>
      <c r="P39" s="430"/>
      <c r="Q39" s="430"/>
      <c r="R39" s="430"/>
      <c r="S39" s="430"/>
      <c r="T39" s="430"/>
      <c r="U39" s="430"/>
      <c r="V39" s="430"/>
      <c r="W39" s="430"/>
      <c r="X39" s="430"/>
      <c r="Y39" s="430"/>
      <c r="Z39" s="430"/>
      <c r="AA39" s="430"/>
    </row>
    <row r="40">
      <c r="A40" s="433"/>
      <c r="B40" s="430"/>
      <c r="C40" s="430"/>
      <c r="D40" s="430"/>
      <c r="E40" s="432"/>
      <c r="F40" s="430"/>
      <c r="G40" s="430"/>
      <c r="H40" s="430"/>
      <c r="I40" s="430"/>
      <c r="J40" s="430"/>
      <c r="K40" s="430"/>
      <c r="L40" s="430"/>
      <c r="M40" s="430"/>
      <c r="N40" s="430"/>
      <c r="O40" s="430"/>
      <c r="P40" s="430"/>
      <c r="Q40" s="430"/>
      <c r="R40" s="430"/>
      <c r="S40" s="430"/>
      <c r="T40" s="430"/>
      <c r="U40" s="430"/>
      <c r="V40" s="430"/>
      <c r="W40" s="430"/>
      <c r="X40" s="430"/>
      <c r="Y40" s="430"/>
      <c r="Z40" s="430"/>
      <c r="AA40" s="430"/>
    </row>
    <row r="41">
      <c r="A41" s="433"/>
      <c r="B41" s="430"/>
      <c r="C41" s="430"/>
      <c r="D41" s="430"/>
      <c r="E41" s="432"/>
      <c r="F41" s="430"/>
      <c r="G41" s="430"/>
      <c r="H41" s="430"/>
      <c r="I41" s="430"/>
      <c r="J41" s="430"/>
      <c r="K41" s="430"/>
      <c r="L41" s="430"/>
      <c r="M41" s="430"/>
      <c r="N41" s="430"/>
      <c r="O41" s="430"/>
      <c r="P41" s="430"/>
      <c r="Q41" s="430"/>
      <c r="R41" s="430"/>
      <c r="S41" s="430"/>
      <c r="T41" s="430"/>
      <c r="U41" s="430"/>
      <c r="V41" s="430"/>
      <c r="W41" s="430"/>
      <c r="X41" s="430"/>
      <c r="Y41" s="430"/>
      <c r="Z41" s="430"/>
      <c r="AA41" s="430"/>
    </row>
    <row r="42">
      <c r="A42" s="433"/>
      <c r="B42" s="430"/>
      <c r="C42" s="430"/>
      <c r="D42" s="430"/>
      <c r="E42" s="432"/>
      <c r="F42" s="430"/>
      <c r="G42" s="430"/>
      <c r="H42" s="430"/>
      <c r="I42" s="430"/>
      <c r="J42" s="430"/>
      <c r="K42" s="430"/>
      <c r="L42" s="430"/>
      <c r="M42" s="430"/>
      <c r="N42" s="430"/>
      <c r="O42" s="430"/>
      <c r="P42" s="430"/>
      <c r="Q42" s="430"/>
      <c r="R42" s="430"/>
      <c r="S42" s="430"/>
      <c r="T42" s="430"/>
      <c r="U42" s="430"/>
      <c r="V42" s="430"/>
      <c r="W42" s="430"/>
      <c r="X42" s="430"/>
      <c r="Y42" s="430"/>
      <c r="Z42" s="430"/>
      <c r="AA42" s="430"/>
    </row>
    <row r="43">
      <c r="A43" s="433"/>
      <c r="B43" s="430"/>
      <c r="C43" s="430"/>
      <c r="D43" s="430"/>
      <c r="E43" s="432"/>
      <c r="F43" s="430"/>
      <c r="G43" s="430"/>
      <c r="H43" s="430"/>
      <c r="I43" s="430"/>
      <c r="J43" s="430"/>
      <c r="K43" s="430"/>
      <c r="L43" s="430"/>
      <c r="M43" s="430"/>
      <c r="N43" s="430"/>
      <c r="O43" s="430"/>
      <c r="P43" s="430"/>
      <c r="Q43" s="430"/>
      <c r="R43" s="430"/>
      <c r="S43" s="430"/>
      <c r="T43" s="430"/>
      <c r="U43" s="430"/>
      <c r="V43" s="430"/>
      <c r="W43" s="430"/>
      <c r="X43" s="430"/>
      <c r="Y43" s="430"/>
      <c r="Z43" s="430"/>
      <c r="AA43" s="430"/>
    </row>
    <row r="44">
      <c r="A44" s="433"/>
      <c r="B44" s="430"/>
      <c r="C44" s="430"/>
      <c r="D44" s="430"/>
      <c r="E44" s="432"/>
      <c r="F44" s="430"/>
      <c r="G44" s="430"/>
      <c r="H44" s="430"/>
      <c r="I44" s="430"/>
      <c r="J44" s="430"/>
      <c r="K44" s="430"/>
      <c r="L44" s="430"/>
      <c r="M44" s="430"/>
      <c r="N44" s="430"/>
      <c r="O44" s="430"/>
      <c r="P44" s="430"/>
      <c r="Q44" s="430"/>
      <c r="R44" s="430"/>
      <c r="S44" s="430"/>
      <c r="T44" s="430"/>
      <c r="U44" s="430"/>
      <c r="V44" s="430"/>
      <c r="W44" s="430"/>
      <c r="X44" s="430"/>
      <c r="Y44" s="430"/>
      <c r="Z44" s="430"/>
      <c r="AA44" s="430"/>
    </row>
    <row r="45">
      <c r="A45" s="433"/>
      <c r="B45" s="430"/>
      <c r="C45" s="430"/>
      <c r="D45" s="430"/>
      <c r="E45" s="432"/>
      <c r="F45" s="430"/>
      <c r="G45" s="430"/>
      <c r="H45" s="430"/>
      <c r="I45" s="430"/>
      <c r="J45" s="430"/>
      <c r="K45" s="430"/>
      <c r="L45" s="430"/>
      <c r="M45" s="430"/>
      <c r="N45" s="430"/>
      <c r="O45" s="430"/>
      <c r="P45" s="430"/>
      <c r="Q45" s="430"/>
      <c r="R45" s="430"/>
      <c r="S45" s="430"/>
      <c r="T45" s="430"/>
      <c r="U45" s="430"/>
      <c r="V45" s="430"/>
      <c r="W45" s="430"/>
      <c r="X45" s="430"/>
      <c r="Y45" s="430"/>
      <c r="Z45" s="430"/>
      <c r="AA45" s="430"/>
    </row>
    <row r="46">
      <c r="A46" s="433"/>
      <c r="B46" s="430"/>
      <c r="C46" s="430"/>
      <c r="D46" s="430"/>
      <c r="E46" s="432"/>
      <c r="F46" s="430"/>
      <c r="G46" s="430"/>
      <c r="H46" s="430"/>
      <c r="I46" s="430"/>
      <c r="J46" s="430"/>
      <c r="K46" s="430"/>
      <c r="L46" s="430"/>
      <c r="M46" s="430"/>
      <c r="N46" s="430"/>
      <c r="O46" s="430"/>
      <c r="P46" s="430"/>
      <c r="Q46" s="430"/>
      <c r="R46" s="430"/>
      <c r="S46" s="430"/>
      <c r="T46" s="430"/>
      <c r="U46" s="430"/>
      <c r="V46" s="430"/>
      <c r="W46" s="430"/>
      <c r="X46" s="430"/>
      <c r="Y46" s="430"/>
      <c r="Z46" s="430"/>
      <c r="AA46" s="430"/>
    </row>
    <row r="47">
      <c r="A47" s="433"/>
      <c r="B47" s="430"/>
      <c r="C47" s="430"/>
      <c r="D47" s="430"/>
      <c r="E47" s="432"/>
      <c r="F47" s="430"/>
      <c r="G47" s="430"/>
      <c r="H47" s="430"/>
      <c r="I47" s="430"/>
      <c r="J47" s="430"/>
      <c r="K47" s="430"/>
      <c r="L47" s="430"/>
      <c r="M47" s="430"/>
      <c r="N47" s="430"/>
      <c r="O47" s="430"/>
      <c r="P47" s="430"/>
      <c r="Q47" s="430"/>
      <c r="R47" s="430"/>
      <c r="S47" s="430"/>
      <c r="T47" s="430"/>
      <c r="U47" s="430"/>
      <c r="V47" s="430"/>
      <c r="W47" s="430"/>
      <c r="X47" s="430"/>
      <c r="Y47" s="430"/>
      <c r="Z47" s="430"/>
      <c r="AA47" s="430"/>
    </row>
    <row r="48">
      <c r="A48" s="433"/>
      <c r="B48" s="430"/>
      <c r="C48" s="430"/>
      <c r="D48" s="430"/>
      <c r="E48" s="432"/>
      <c r="F48" s="430"/>
      <c r="G48" s="430"/>
      <c r="H48" s="430"/>
      <c r="I48" s="430"/>
      <c r="J48" s="430"/>
      <c r="K48" s="430"/>
      <c r="L48" s="430"/>
      <c r="M48" s="430"/>
      <c r="N48" s="430"/>
      <c r="O48" s="430"/>
      <c r="P48" s="430"/>
      <c r="Q48" s="430"/>
      <c r="R48" s="430"/>
      <c r="S48" s="430"/>
      <c r="T48" s="430"/>
      <c r="U48" s="430"/>
      <c r="V48" s="430"/>
      <c r="W48" s="430"/>
      <c r="X48" s="430"/>
      <c r="Y48" s="430"/>
      <c r="Z48" s="430"/>
      <c r="AA48" s="430"/>
    </row>
    <row r="49">
      <c r="A49" s="433"/>
      <c r="B49" s="430"/>
      <c r="C49" s="430"/>
      <c r="D49" s="430"/>
      <c r="E49" s="432"/>
      <c r="F49" s="430"/>
      <c r="G49" s="430"/>
      <c r="H49" s="430"/>
      <c r="I49" s="430"/>
      <c r="J49" s="430"/>
      <c r="K49" s="430"/>
      <c r="L49" s="430"/>
      <c r="M49" s="430"/>
      <c r="N49" s="430"/>
      <c r="O49" s="430"/>
      <c r="P49" s="430"/>
      <c r="Q49" s="430"/>
      <c r="R49" s="430"/>
      <c r="S49" s="430"/>
      <c r="T49" s="430"/>
      <c r="U49" s="430"/>
      <c r="V49" s="430"/>
      <c r="W49" s="430"/>
      <c r="X49" s="430"/>
      <c r="Y49" s="430"/>
      <c r="Z49" s="430"/>
      <c r="AA49" s="430"/>
    </row>
    <row r="50">
      <c r="A50" s="433"/>
      <c r="B50" s="430"/>
      <c r="C50" s="430"/>
      <c r="D50" s="430"/>
      <c r="E50" s="432"/>
      <c r="F50" s="430"/>
      <c r="G50" s="430"/>
      <c r="H50" s="430"/>
      <c r="I50" s="430"/>
      <c r="J50" s="430"/>
      <c r="K50" s="430"/>
      <c r="L50" s="430"/>
      <c r="M50" s="430"/>
      <c r="N50" s="430"/>
      <c r="O50" s="430"/>
      <c r="P50" s="430"/>
      <c r="Q50" s="430"/>
      <c r="R50" s="430"/>
      <c r="S50" s="430"/>
      <c r="T50" s="430"/>
      <c r="U50" s="430"/>
      <c r="V50" s="430"/>
      <c r="W50" s="430"/>
      <c r="X50" s="430"/>
      <c r="Y50" s="430"/>
      <c r="Z50" s="430"/>
      <c r="AA50" s="430"/>
    </row>
    <row r="51">
      <c r="A51" s="433"/>
      <c r="B51" s="430"/>
      <c r="C51" s="430"/>
      <c r="D51" s="430"/>
      <c r="E51" s="432"/>
      <c r="F51" s="430"/>
      <c r="G51" s="430"/>
      <c r="H51" s="430"/>
      <c r="I51" s="430"/>
      <c r="J51" s="430"/>
      <c r="K51" s="430"/>
      <c r="L51" s="430"/>
      <c r="M51" s="430"/>
      <c r="N51" s="430"/>
      <c r="O51" s="430"/>
      <c r="P51" s="430"/>
      <c r="Q51" s="430"/>
      <c r="R51" s="430"/>
      <c r="S51" s="430"/>
      <c r="T51" s="430"/>
      <c r="U51" s="430"/>
      <c r="V51" s="430"/>
      <c r="W51" s="430"/>
      <c r="X51" s="430"/>
      <c r="Y51" s="430"/>
      <c r="Z51" s="430"/>
      <c r="AA51" s="430"/>
    </row>
    <row r="52">
      <c r="A52" s="433"/>
      <c r="B52" s="430"/>
      <c r="C52" s="430"/>
      <c r="D52" s="430"/>
      <c r="E52" s="432"/>
      <c r="F52" s="430"/>
      <c r="G52" s="430"/>
      <c r="H52" s="430"/>
      <c r="I52" s="430"/>
      <c r="J52" s="430"/>
      <c r="K52" s="430"/>
      <c r="L52" s="430"/>
      <c r="M52" s="430"/>
      <c r="N52" s="430"/>
      <c r="O52" s="430"/>
      <c r="P52" s="430"/>
      <c r="Q52" s="430"/>
      <c r="R52" s="430"/>
      <c r="S52" s="430"/>
      <c r="T52" s="430"/>
      <c r="U52" s="430"/>
      <c r="V52" s="430"/>
      <c r="W52" s="430"/>
      <c r="X52" s="430"/>
      <c r="Y52" s="430"/>
      <c r="Z52" s="430"/>
      <c r="AA52" s="430"/>
    </row>
    <row r="53">
      <c r="A53" s="433"/>
      <c r="B53" s="430"/>
      <c r="C53" s="430"/>
      <c r="D53" s="430"/>
      <c r="E53" s="432"/>
      <c r="F53" s="430"/>
      <c r="G53" s="430"/>
      <c r="H53" s="430"/>
      <c r="I53" s="430"/>
      <c r="J53" s="430"/>
      <c r="K53" s="430"/>
      <c r="L53" s="430"/>
      <c r="M53" s="430"/>
      <c r="N53" s="430"/>
      <c r="O53" s="430"/>
      <c r="P53" s="430"/>
      <c r="Q53" s="430"/>
      <c r="R53" s="430"/>
      <c r="S53" s="430"/>
      <c r="T53" s="430"/>
      <c r="U53" s="430"/>
      <c r="V53" s="430"/>
      <c r="W53" s="430"/>
      <c r="X53" s="430"/>
      <c r="Y53" s="430"/>
      <c r="Z53" s="430"/>
      <c r="AA53" s="430"/>
    </row>
    <row r="54">
      <c r="A54" s="433"/>
      <c r="B54" s="430"/>
      <c r="C54" s="430"/>
      <c r="D54" s="430"/>
      <c r="E54" s="432"/>
      <c r="F54" s="430"/>
      <c r="G54" s="430"/>
      <c r="H54" s="430"/>
      <c r="I54" s="430"/>
      <c r="J54" s="430"/>
      <c r="K54" s="430"/>
      <c r="L54" s="430"/>
      <c r="M54" s="430"/>
      <c r="N54" s="430"/>
      <c r="O54" s="430"/>
      <c r="P54" s="430"/>
      <c r="Q54" s="430"/>
      <c r="R54" s="430"/>
      <c r="S54" s="430"/>
      <c r="T54" s="430"/>
      <c r="U54" s="430"/>
      <c r="V54" s="430"/>
      <c r="W54" s="430"/>
      <c r="X54" s="430"/>
      <c r="Y54" s="430"/>
      <c r="Z54" s="430"/>
      <c r="AA54" s="430"/>
    </row>
    <row r="55">
      <c r="A55" s="433"/>
      <c r="B55" s="430"/>
      <c r="C55" s="430"/>
      <c r="D55" s="430"/>
      <c r="E55" s="432"/>
      <c r="F55" s="430"/>
      <c r="G55" s="430"/>
      <c r="H55" s="430"/>
      <c r="I55" s="430"/>
      <c r="J55" s="430"/>
      <c r="K55" s="430"/>
      <c r="L55" s="430"/>
      <c r="M55" s="430"/>
      <c r="N55" s="430"/>
      <c r="O55" s="430"/>
      <c r="P55" s="430"/>
      <c r="Q55" s="430"/>
      <c r="R55" s="430"/>
      <c r="S55" s="430"/>
      <c r="T55" s="430"/>
      <c r="U55" s="430"/>
      <c r="V55" s="430"/>
      <c r="W55" s="430"/>
      <c r="X55" s="430"/>
      <c r="Y55" s="430"/>
      <c r="Z55" s="430"/>
      <c r="AA55" s="430"/>
    </row>
    <row r="56">
      <c r="A56" s="433"/>
      <c r="B56" s="430"/>
      <c r="C56" s="430"/>
      <c r="D56" s="430"/>
      <c r="E56" s="432"/>
      <c r="F56" s="430"/>
      <c r="G56" s="430"/>
      <c r="H56" s="430"/>
      <c r="I56" s="430"/>
      <c r="J56" s="430"/>
      <c r="K56" s="430"/>
      <c r="L56" s="430"/>
      <c r="M56" s="430"/>
      <c r="N56" s="430"/>
      <c r="O56" s="430"/>
      <c r="P56" s="430"/>
      <c r="Q56" s="430"/>
      <c r="R56" s="430"/>
      <c r="S56" s="430"/>
      <c r="T56" s="430"/>
      <c r="U56" s="430"/>
      <c r="V56" s="430"/>
      <c r="W56" s="430"/>
      <c r="X56" s="430"/>
      <c r="Y56" s="430"/>
      <c r="Z56" s="430"/>
      <c r="AA56" s="430"/>
    </row>
    <row r="57">
      <c r="A57" s="433"/>
      <c r="B57" s="430"/>
      <c r="C57" s="430"/>
      <c r="D57" s="430"/>
      <c r="E57" s="432"/>
      <c r="F57" s="430"/>
      <c r="G57" s="430"/>
      <c r="H57" s="430"/>
      <c r="I57" s="430"/>
      <c r="J57" s="430"/>
      <c r="K57" s="430"/>
      <c r="L57" s="430"/>
      <c r="M57" s="430"/>
      <c r="N57" s="430"/>
      <c r="O57" s="430"/>
      <c r="P57" s="430"/>
      <c r="Q57" s="430"/>
      <c r="R57" s="430"/>
      <c r="S57" s="430"/>
      <c r="T57" s="430"/>
      <c r="U57" s="430"/>
      <c r="V57" s="430"/>
      <c r="W57" s="430"/>
      <c r="X57" s="430"/>
      <c r="Y57" s="430"/>
      <c r="Z57" s="430"/>
      <c r="AA57" s="430"/>
    </row>
    <row r="58">
      <c r="A58" s="433"/>
      <c r="B58" s="430"/>
      <c r="C58" s="430"/>
      <c r="D58" s="430"/>
      <c r="E58" s="432"/>
      <c r="F58" s="430"/>
      <c r="G58" s="430"/>
      <c r="H58" s="430"/>
      <c r="I58" s="430"/>
      <c r="J58" s="430"/>
      <c r="K58" s="430"/>
      <c r="L58" s="430"/>
      <c r="M58" s="430"/>
      <c r="N58" s="430"/>
      <c r="O58" s="430"/>
      <c r="P58" s="430"/>
      <c r="Q58" s="430"/>
      <c r="R58" s="430"/>
      <c r="S58" s="430"/>
      <c r="T58" s="430"/>
      <c r="U58" s="430"/>
      <c r="V58" s="430"/>
      <c r="W58" s="430"/>
      <c r="X58" s="430"/>
      <c r="Y58" s="430"/>
      <c r="Z58" s="430"/>
      <c r="AA58" s="430"/>
    </row>
    <row r="59">
      <c r="A59" s="433"/>
      <c r="B59" s="430"/>
      <c r="C59" s="430"/>
      <c r="D59" s="430"/>
      <c r="E59" s="432"/>
      <c r="F59" s="430"/>
      <c r="G59" s="430"/>
      <c r="H59" s="430"/>
      <c r="I59" s="430"/>
      <c r="J59" s="430"/>
      <c r="K59" s="430"/>
      <c r="L59" s="430"/>
      <c r="M59" s="430"/>
      <c r="N59" s="430"/>
      <c r="O59" s="430"/>
      <c r="P59" s="430"/>
      <c r="Q59" s="430"/>
      <c r="R59" s="430"/>
      <c r="S59" s="430"/>
      <c r="T59" s="430"/>
      <c r="U59" s="430"/>
      <c r="V59" s="430"/>
      <c r="W59" s="430"/>
      <c r="X59" s="430"/>
      <c r="Y59" s="430"/>
      <c r="Z59" s="430"/>
      <c r="AA59" s="430"/>
    </row>
    <row r="60">
      <c r="A60" s="433"/>
      <c r="B60" s="430"/>
      <c r="C60" s="430"/>
      <c r="D60" s="430"/>
      <c r="E60" s="432"/>
      <c r="F60" s="430"/>
      <c r="G60" s="430"/>
      <c r="H60" s="430"/>
      <c r="I60" s="430"/>
      <c r="J60" s="430"/>
      <c r="K60" s="430"/>
      <c r="L60" s="430"/>
      <c r="M60" s="430"/>
      <c r="N60" s="430"/>
      <c r="O60" s="430"/>
      <c r="P60" s="430"/>
      <c r="Q60" s="430"/>
      <c r="R60" s="430"/>
      <c r="S60" s="430"/>
      <c r="T60" s="430"/>
      <c r="U60" s="430"/>
      <c r="V60" s="430"/>
      <c r="W60" s="430"/>
      <c r="X60" s="430"/>
      <c r="Y60" s="430"/>
      <c r="Z60" s="430"/>
      <c r="AA60" s="430"/>
    </row>
    <row r="61">
      <c r="A61" s="433"/>
      <c r="B61" s="430"/>
      <c r="C61" s="430"/>
      <c r="D61" s="430"/>
      <c r="E61" s="432"/>
      <c r="F61" s="430"/>
      <c r="G61" s="430"/>
      <c r="H61" s="430"/>
      <c r="I61" s="430"/>
      <c r="J61" s="430"/>
      <c r="K61" s="430"/>
      <c r="L61" s="430"/>
      <c r="M61" s="430"/>
      <c r="N61" s="430"/>
      <c r="O61" s="430"/>
      <c r="P61" s="430"/>
      <c r="Q61" s="430"/>
      <c r="R61" s="430"/>
      <c r="S61" s="430"/>
      <c r="T61" s="430"/>
      <c r="U61" s="430"/>
      <c r="V61" s="430"/>
      <c r="W61" s="430"/>
      <c r="X61" s="430"/>
      <c r="Y61" s="430"/>
      <c r="Z61" s="430"/>
      <c r="AA61" s="430"/>
    </row>
    <row r="62">
      <c r="A62" s="433"/>
      <c r="B62" s="430"/>
      <c r="C62" s="430"/>
      <c r="D62" s="430"/>
      <c r="E62" s="432"/>
      <c r="F62" s="430"/>
      <c r="G62" s="430"/>
      <c r="H62" s="430"/>
      <c r="I62" s="430"/>
      <c r="J62" s="430"/>
      <c r="K62" s="430"/>
      <c r="L62" s="430"/>
      <c r="M62" s="430"/>
      <c r="N62" s="430"/>
      <c r="O62" s="430"/>
      <c r="P62" s="430"/>
      <c r="Q62" s="430"/>
      <c r="R62" s="430"/>
      <c r="S62" s="430"/>
      <c r="T62" s="430"/>
      <c r="U62" s="430"/>
      <c r="V62" s="430"/>
      <c r="W62" s="430"/>
      <c r="X62" s="430"/>
      <c r="Y62" s="430"/>
      <c r="Z62" s="430"/>
      <c r="AA62" s="430"/>
    </row>
    <row r="63">
      <c r="A63" s="433"/>
      <c r="B63" s="430"/>
      <c r="C63" s="430"/>
      <c r="D63" s="430"/>
      <c r="E63" s="432"/>
      <c r="F63" s="430"/>
      <c r="G63" s="430"/>
      <c r="H63" s="430"/>
      <c r="I63" s="430"/>
      <c r="J63" s="430"/>
      <c r="K63" s="430"/>
      <c r="L63" s="430"/>
      <c r="M63" s="430"/>
      <c r="N63" s="430"/>
      <c r="O63" s="430"/>
      <c r="P63" s="430"/>
      <c r="Q63" s="430"/>
      <c r="R63" s="430"/>
      <c r="S63" s="430"/>
      <c r="T63" s="430"/>
      <c r="U63" s="430"/>
      <c r="V63" s="430"/>
      <c r="W63" s="430"/>
      <c r="X63" s="430"/>
      <c r="Y63" s="430"/>
      <c r="Z63" s="430"/>
      <c r="AA63" s="430"/>
    </row>
    <row r="64">
      <c r="A64" s="433"/>
      <c r="B64" s="430"/>
      <c r="C64" s="430"/>
      <c r="D64" s="430"/>
      <c r="E64" s="432"/>
      <c r="F64" s="430"/>
      <c r="G64" s="430"/>
      <c r="H64" s="430"/>
      <c r="I64" s="430"/>
      <c r="J64" s="430"/>
      <c r="K64" s="430"/>
      <c r="L64" s="430"/>
      <c r="M64" s="430"/>
      <c r="N64" s="430"/>
      <c r="O64" s="430"/>
      <c r="P64" s="430"/>
      <c r="Q64" s="430"/>
      <c r="R64" s="430"/>
      <c r="S64" s="430"/>
      <c r="T64" s="430"/>
      <c r="U64" s="430"/>
      <c r="V64" s="430"/>
      <c r="W64" s="430"/>
      <c r="X64" s="430"/>
      <c r="Y64" s="430"/>
      <c r="Z64" s="430"/>
      <c r="AA64" s="430"/>
    </row>
    <row r="65">
      <c r="A65" s="433"/>
      <c r="B65" s="430"/>
      <c r="C65" s="430"/>
      <c r="D65" s="430"/>
      <c r="E65" s="432"/>
      <c r="F65" s="430"/>
      <c r="G65" s="430"/>
      <c r="H65" s="430"/>
      <c r="I65" s="430"/>
      <c r="J65" s="430"/>
      <c r="K65" s="430"/>
      <c r="L65" s="430"/>
      <c r="M65" s="430"/>
      <c r="N65" s="430"/>
      <c r="O65" s="430"/>
      <c r="P65" s="430"/>
      <c r="Q65" s="430"/>
      <c r="R65" s="430"/>
      <c r="S65" s="430"/>
      <c r="T65" s="430"/>
      <c r="U65" s="430"/>
      <c r="V65" s="430"/>
      <c r="W65" s="430"/>
      <c r="X65" s="430"/>
      <c r="Y65" s="430"/>
      <c r="Z65" s="430"/>
      <c r="AA65" s="430"/>
    </row>
    <row r="66">
      <c r="A66" s="433"/>
      <c r="B66" s="430"/>
      <c r="C66" s="430"/>
      <c r="D66" s="430"/>
      <c r="E66" s="432"/>
      <c r="F66" s="430"/>
      <c r="G66" s="430"/>
      <c r="H66" s="430"/>
      <c r="I66" s="430"/>
      <c r="J66" s="430"/>
      <c r="K66" s="430"/>
      <c r="L66" s="430"/>
      <c r="M66" s="430"/>
      <c r="N66" s="430"/>
      <c r="O66" s="430"/>
      <c r="P66" s="430"/>
      <c r="Q66" s="430"/>
      <c r="R66" s="430"/>
      <c r="S66" s="430"/>
      <c r="T66" s="430"/>
      <c r="U66" s="430"/>
      <c r="V66" s="430"/>
      <c r="W66" s="430"/>
      <c r="X66" s="430"/>
      <c r="Y66" s="430"/>
      <c r="Z66" s="430"/>
      <c r="AA66" s="430"/>
    </row>
    <row r="67">
      <c r="A67" s="433"/>
      <c r="B67" s="430"/>
      <c r="C67" s="430"/>
      <c r="D67" s="430"/>
      <c r="E67" s="432"/>
      <c r="F67" s="430"/>
      <c r="G67" s="430"/>
      <c r="H67" s="430"/>
      <c r="I67" s="430"/>
      <c r="J67" s="430"/>
      <c r="K67" s="430"/>
      <c r="L67" s="430"/>
      <c r="M67" s="430"/>
      <c r="N67" s="430"/>
      <c r="O67" s="430"/>
      <c r="P67" s="430"/>
      <c r="Q67" s="430"/>
      <c r="R67" s="430"/>
      <c r="S67" s="430"/>
      <c r="T67" s="430"/>
      <c r="U67" s="430"/>
      <c r="V67" s="430"/>
      <c r="W67" s="430"/>
      <c r="X67" s="430"/>
      <c r="Y67" s="430"/>
      <c r="Z67" s="430"/>
      <c r="AA67" s="430"/>
    </row>
    <row r="68">
      <c r="A68" s="433"/>
      <c r="B68" s="430"/>
      <c r="C68" s="430"/>
      <c r="D68" s="430"/>
      <c r="E68" s="432"/>
      <c r="F68" s="430"/>
      <c r="G68" s="430"/>
      <c r="H68" s="430"/>
      <c r="I68" s="430"/>
      <c r="J68" s="430"/>
      <c r="K68" s="430"/>
      <c r="L68" s="430"/>
      <c r="M68" s="430"/>
      <c r="N68" s="430"/>
      <c r="O68" s="430"/>
      <c r="P68" s="430"/>
      <c r="Q68" s="430"/>
      <c r="R68" s="430"/>
      <c r="S68" s="430"/>
      <c r="T68" s="430"/>
      <c r="U68" s="430"/>
      <c r="V68" s="430"/>
      <c r="W68" s="430"/>
      <c r="X68" s="430"/>
      <c r="Y68" s="430"/>
      <c r="Z68" s="430"/>
      <c r="AA68" s="430"/>
    </row>
    <row r="69">
      <c r="A69" s="433"/>
      <c r="B69" s="430"/>
      <c r="C69" s="430"/>
      <c r="D69" s="430"/>
      <c r="E69" s="432"/>
      <c r="F69" s="430"/>
      <c r="G69" s="430"/>
      <c r="H69" s="430"/>
      <c r="I69" s="430"/>
      <c r="J69" s="430"/>
      <c r="K69" s="430"/>
      <c r="L69" s="430"/>
      <c r="M69" s="430"/>
      <c r="N69" s="430"/>
      <c r="O69" s="430"/>
      <c r="P69" s="430"/>
      <c r="Q69" s="430"/>
      <c r="R69" s="430"/>
      <c r="S69" s="430"/>
      <c r="T69" s="430"/>
      <c r="U69" s="430"/>
      <c r="V69" s="430"/>
      <c r="W69" s="430"/>
      <c r="X69" s="430"/>
      <c r="Y69" s="430"/>
      <c r="Z69" s="430"/>
      <c r="AA69" s="430"/>
    </row>
    <row r="70">
      <c r="A70" s="433"/>
      <c r="B70" s="430"/>
      <c r="C70" s="430"/>
      <c r="D70" s="430"/>
      <c r="E70" s="432"/>
      <c r="F70" s="430"/>
      <c r="G70" s="430"/>
      <c r="H70" s="430"/>
      <c r="I70" s="430"/>
      <c r="J70" s="430"/>
      <c r="K70" s="430"/>
      <c r="L70" s="430"/>
      <c r="M70" s="430"/>
      <c r="N70" s="430"/>
      <c r="O70" s="430"/>
      <c r="P70" s="430"/>
      <c r="Q70" s="430"/>
      <c r="R70" s="430"/>
      <c r="S70" s="430"/>
      <c r="T70" s="430"/>
      <c r="U70" s="430"/>
      <c r="V70" s="430"/>
      <c r="W70" s="430"/>
      <c r="X70" s="430"/>
      <c r="Y70" s="430"/>
      <c r="Z70" s="430"/>
      <c r="AA70" s="430"/>
    </row>
    <row r="71">
      <c r="A71" s="433"/>
      <c r="B71" s="430"/>
      <c r="C71" s="430"/>
      <c r="D71" s="430"/>
      <c r="E71" s="432"/>
      <c r="F71" s="430"/>
      <c r="G71" s="430"/>
      <c r="H71" s="430"/>
      <c r="I71" s="430"/>
      <c r="J71" s="430"/>
      <c r="K71" s="430"/>
      <c r="L71" s="430"/>
      <c r="M71" s="430"/>
      <c r="N71" s="430"/>
      <c r="O71" s="430"/>
      <c r="P71" s="430"/>
      <c r="Q71" s="430"/>
      <c r="R71" s="430"/>
      <c r="S71" s="430"/>
      <c r="T71" s="430"/>
      <c r="U71" s="430"/>
      <c r="V71" s="430"/>
      <c r="W71" s="430"/>
      <c r="X71" s="430"/>
      <c r="Y71" s="430"/>
      <c r="Z71" s="430"/>
      <c r="AA71" s="430"/>
    </row>
    <row r="72">
      <c r="A72" s="433"/>
      <c r="B72" s="430"/>
      <c r="C72" s="430"/>
      <c r="D72" s="430"/>
      <c r="E72" s="432"/>
      <c r="F72" s="430"/>
      <c r="G72" s="430"/>
      <c r="H72" s="430"/>
      <c r="I72" s="430"/>
      <c r="J72" s="430"/>
      <c r="K72" s="430"/>
      <c r="L72" s="430"/>
      <c r="M72" s="430"/>
      <c r="N72" s="430"/>
      <c r="O72" s="430"/>
      <c r="P72" s="430"/>
      <c r="Q72" s="430"/>
      <c r="R72" s="430"/>
      <c r="S72" s="430"/>
      <c r="T72" s="430"/>
      <c r="U72" s="430"/>
      <c r="V72" s="430"/>
      <c r="W72" s="430"/>
      <c r="X72" s="430"/>
      <c r="Y72" s="430"/>
      <c r="Z72" s="430"/>
      <c r="AA72" s="430"/>
    </row>
    <row r="73">
      <c r="A73" s="433"/>
      <c r="B73" s="430"/>
      <c r="C73" s="430"/>
      <c r="D73" s="430"/>
      <c r="E73" s="432"/>
      <c r="F73" s="430"/>
      <c r="G73" s="430"/>
      <c r="H73" s="430"/>
      <c r="I73" s="430"/>
      <c r="J73" s="430"/>
      <c r="K73" s="430"/>
      <c r="L73" s="430"/>
      <c r="M73" s="430"/>
      <c r="N73" s="430"/>
      <c r="O73" s="430"/>
      <c r="P73" s="430"/>
      <c r="Q73" s="430"/>
      <c r="R73" s="430"/>
      <c r="S73" s="430"/>
      <c r="T73" s="430"/>
      <c r="U73" s="430"/>
      <c r="V73" s="430"/>
      <c r="W73" s="430"/>
      <c r="X73" s="430"/>
      <c r="Y73" s="430"/>
      <c r="Z73" s="430"/>
      <c r="AA73" s="430"/>
    </row>
    <row r="74">
      <c r="A74" s="433"/>
      <c r="B74" s="430"/>
      <c r="C74" s="430"/>
      <c r="D74" s="430"/>
      <c r="E74" s="432"/>
      <c r="F74" s="430"/>
      <c r="G74" s="430"/>
      <c r="H74" s="430"/>
      <c r="I74" s="430"/>
      <c r="J74" s="430"/>
      <c r="K74" s="430"/>
      <c r="L74" s="430"/>
      <c r="M74" s="430"/>
      <c r="N74" s="430"/>
      <c r="O74" s="430"/>
      <c r="P74" s="430"/>
      <c r="Q74" s="430"/>
      <c r="R74" s="430"/>
      <c r="S74" s="430"/>
      <c r="T74" s="430"/>
      <c r="U74" s="430"/>
      <c r="V74" s="430"/>
      <c r="W74" s="430"/>
      <c r="X74" s="430"/>
      <c r="Y74" s="430"/>
      <c r="Z74" s="430"/>
      <c r="AA74" s="430"/>
    </row>
    <row r="75">
      <c r="A75" s="433"/>
      <c r="B75" s="430"/>
      <c r="C75" s="430"/>
      <c r="D75" s="430"/>
      <c r="E75" s="432"/>
      <c r="F75" s="430"/>
      <c r="G75" s="430"/>
      <c r="H75" s="430"/>
      <c r="I75" s="430"/>
      <c r="J75" s="430"/>
      <c r="K75" s="430"/>
      <c r="L75" s="430"/>
      <c r="M75" s="430"/>
      <c r="N75" s="430"/>
      <c r="O75" s="430"/>
      <c r="P75" s="430"/>
      <c r="Q75" s="430"/>
      <c r="R75" s="430"/>
      <c r="S75" s="430"/>
      <c r="T75" s="430"/>
      <c r="U75" s="430"/>
      <c r="V75" s="430"/>
      <c r="W75" s="430"/>
      <c r="X75" s="430"/>
      <c r="Y75" s="430"/>
      <c r="Z75" s="430"/>
      <c r="AA75" s="430"/>
    </row>
    <row r="76">
      <c r="A76" s="433"/>
      <c r="B76" s="430"/>
      <c r="C76" s="430"/>
      <c r="D76" s="430"/>
      <c r="E76" s="432"/>
      <c r="F76" s="430"/>
      <c r="G76" s="430"/>
      <c r="H76" s="430"/>
      <c r="I76" s="430"/>
      <c r="J76" s="430"/>
      <c r="K76" s="430"/>
      <c r="L76" s="430"/>
      <c r="M76" s="430"/>
      <c r="N76" s="430"/>
      <c r="O76" s="430"/>
      <c r="P76" s="430"/>
      <c r="Q76" s="430"/>
      <c r="R76" s="430"/>
      <c r="S76" s="430"/>
      <c r="T76" s="430"/>
      <c r="U76" s="430"/>
      <c r="V76" s="430"/>
      <c r="W76" s="430"/>
      <c r="X76" s="430"/>
      <c r="Y76" s="430"/>
      <c r="Z76" s="430"/>
      <c r="AA76" s="430"/>
    </row>
    <row r="77">
      <c r="A77" s="433"/>
      <c r="B77" s="430"/>
      <c r="C77" s="430"/>
      <c r="D77" s="430"/>
      <c r="E77" s="432"/>
      <c r="F77" s="430"/>
      <c r="G77" s="430"/>
      <c r="H77" s="430"/>
      <c r="I77" s="430"/>
      <c r="J77" s="430"/>
      <c r="K77" s="430"/>
      <c r="L77" s="430"/>
      <c r="M77" s="430"/>
      <c r="N77" s="430"/>
      <c r="O77" s="430"/>
      <c r="P77" s="430"/>
      <c r="Q77" s="430"/>
      <c r="R77" s="430"/>
      <c r="S77" s="430"/>
      <c r="T77" s="430"/>
      <c r="U77" s="430"/>
      <c r="V77" s="430"/>
      <c r="W77" s="430"/>
      <c r="X77" s="430"/>
      <c r="Y77" s="430"/>
      <c r="Z77" s="430"/>
      <c r="AA77" s="430"/>
    </row>
    <row r="78">
      <c r="A78" s="433"/>
      <c r="B78" s="430"/>
      <c r="C78" s="430"/>
      <c r="D78" s="430"/>
      <c r="E78" s="432"/>
      <c r="F78" s="430"/>
      <c r="G78" s="430"/>
      <c r="H78" s="430"/>
      <c r="I78" s="430"/>
      <c r="J78" s="430"/>
      <c r="K78" s="430"/>
      <c r="L78" s="430"/>
      <c r="M78" s="430"/>
      <c r="N78" s="430"/>
      <c r="O78" s="430"/>
      <c r="P78" s="430"/>
      <c r="Q78" s="430"/>
      <c r="R78" s="430"/>
      <c r="S78" s="430"/>
      <c r="T78" s="430"/>
      <c r="U78" s="430"/>
      <c r="V78" s="430"/>
      <c r="W78" s="430"/>
      <c r="X78" s="430"/>
      <c r="Y78" s="430"/>
      <c r="Z78" s="430"/>
      <c r="AA78" s="430"/>
    </row>
    <row r="79">
      <c r="A79" s="433"/>
      <c r="B79" s="430"/>
      <c r="C79" s="430"/>
      <c r="D79" s="430"/>
      <c r="E79" s="432"/>
      <c r="F79" s="430"/>
      <c r="G79" s="430"/>
      <c r="H79" s="430"/>
      <c r="I79" s="430"/>
      <c r="J79" s="430"/>
      <c r="K79" s="430"/>
      <c r="L79" s="430"/>
      <c r="M79" s="430"/>
      <c r="N79" s="430"/>
      <c r="O79" s="430"/>
      <c r="P79" s="430"/>
      <c r="Q79" s="430"/>
      <c r="R79" s="430"/>
      <c r="S79" s="430"/>
      <c r="T79" s="430"/>
      <c r="U79" s="430"/>
      <c r="V79" s="430"/>
      <c r="W79" s="430"/>
      <c r="X79" s="430"/>
      <c r="Y79" s="430"/>
      <c r="Z79" s="430"/>
      <c r="AA79" s="430"/>
    </row>
    <row r="80">
      <c r="A80" s="433"/>
      <c r="B80" s="430"/>
      <c r="C80" s="430"/>
      <c r="D80" s="430"/>
      <c r="E80" s="432"/>
      <c r="F80" s="430"/>
      <c r="G80" s="430"/>
      <c r="H80" s="430"/>
      <c r="I80" s="430"/>
      <c r="J80" s="430"/>
      <c r="K80" s="430"/>
      <c r="L80" s="430"/>
      <c r="M80" s="430"/>
      <c r="N80" s="430"/>
      <c r="O80" s="430"/>
      <c r="P80" s="430"/>
      <c r="Q80" s="430"/>
      <c r="R80" s="430"/>
      <c r="S80" s="430"/>
      <c r="T80" s="430"/>
      <c r="U80" s="430"/>
      <c r="V80" s="430"/>
      <c r="W80" s="430"/>
      <c r="X80" s="430"/>
      <c r="Y80" s="430"/>
      <c r="Z80" s="430"/>
      <c r="AA80" s="430"/>
    </row>
    <row r="81">
      <c r="A81" s="433"/>
      <c r="B81" s="430"/>
      <c r="C81" s="430"/>
      <c r="D81" s="430"/>
      <c r="E81" s="432"/>
      <c r="F81" s="430"/>
      <c r="G81" s="430"/>
      <c r="H81" s="430"/>
      <c r="I81" s="430"/>
      <c r="J81" s="430"/>
      <c r="K81" s="430"/>
      <c r="L81" s="430"/>
      <c r="M81" s="430"/>
      <c r="N81" s="430"/>
      <c r="O81" s="430"/>
      <c r="P81" s="430"/>
      <c r="Q81" s="430"/>
      <c r="R81" s="430"/>
      <c r="S81" s="430"/>
      <c r="T81" s="430"/>
      <c r="U81" s="430"/>
      <c r="V81" s="430"/>
      <c r="W81" s="430"/>
      <c r="X81" s="430"/>
      <c r="Y81" s="430"/>
      <c r="Z81" s="430"/>
      <c r="AA81" s="430"/>
    </row>
    <row r="82">
      <c r="A82" s="433"/>
      <c r="B82" s="430"/>
      <c r="C82" s="430"/>
      <c r="D82" s="430"/>
      <c r="E82" s="432"/>
      <c r="F82" s="430"/>
      <c r="G82" s="430"/>
      <c r="H82" s="430"/>
      <c r="I82" s="430"/>
      <c r="J82" s="430"/>
      <c r="K82" s="430"/>
      <c r="L82" s="430"/>
      <c r="M82" s="430"/>
      <c r="N82" s="430"/>
      <c r="O82" s="430"/>
      <c r="P82" s="430"/>
      <c r="Q82" s="430"/>
      <c r="R82" s="430"/>
      <c r="S82" s="430"/>
      <c r="T82" s="430"/>
      <c r="U82" s="430"/>
      <c r="V82" s="430"/>
      <c r="W82" s="430"/>
      <c r="X82" s="430"/>
      <c r="Y82" s="430"/>
      <c r="Z82" s="430"/>
      <c r="AA82" s="430"/>
    </row>
    <row r="83">
      <c r="A83" s="433"/>
      <c r="B83" s="430"/>
      <c r="C83" s="430"/>
      <c r="D83" s="430"/>
      <c r="E83" s="432"/>
      <c r="F83" s="430"/>
      <c r="G83" s="430"/>
      <c r="H83" s="430"/>
      <c r="I83" s="430"/>
      <c r="J83" s="430"/>
      <c r="K83" s="430"/>
      <c r="L83" s="430"/>
      <c r="M83" s="430"/>
      <c r="N83" s="430"/>
      <c r="O83" s="430"/>
      <c r="P83" s="430"/>
      <c r="Q83" s="430"/>
      <c r="R83" s="430"/>
      <c r="S83" s="430"/>
      <c r="T83" s="430"/>
      <c r="U83" s="430"/>
      <c r="V83" s="430"/>
      <c r="W83" s="430"/>
      <c r="X83" s="430"/>
      <c r="Y83" s="430"/>
      <c r="Z83" s="430"/>
      <c r="AA83" s="430"/>
    </row>
    <row r="84">
      <c r="A84" s="433"/>
      <c r="B84" s="430"/>
      <c r="C84" s="430"/>
      <c r="D84" s="430"/>
      <c r="E84" s="432"/>
      <c r="F84" s="430"/>
      <c r="G84" s="430"/>
      <c r="H84" s="430"/>
      <c r="I84" s="430"/>
      <c r="J84" s="430"/>
      <c r="K84" s="430"/>
      <c r="L84" s="430"/>
      <c r="M84" s="430"/>
      <c r="N84" s="430"/>
      <c r="O84" s="430"/>
      <c r="P84" s="430"/>
      <c r="Q84" s="430"/>
      <c r="R84" s="430"/>
      <c r="S84" s="430"/>
      <c r="T84" s="430"/>
      <c r="U84" s="430"/>
      <c r="V84" s="430"/>
      <c r="W84" s="430"/>
      <c r="X84" s="430"/>
      <c r="Y84" s="430"/>
      <c r="Z84" s="430"/>
      <c r="AA84" s="430"/>
    </row>
    <row r="85">
      <c r="A85" s="433"/>
      <c r="B85" s="430"/>
      <c r="C85" s="430"/>
      <c r="D85" s="430"/>
      <c r="E85" s="432"/>
      <c r="F85" s="430"/>
      <c r="G85" s="430"/>
      <c r="H85" s="430"/>
      <c r="I85" s="430"/>
      <c r="J85" s="430"/>
      <c r="K85" s="430"/>
      <c r="L85" s="430"/>
      <c r="M85" s="430"/>
      <c r="N85" s="430"/>
      <c r="O85" s="430"/>
      <c r="P85" s="430"/>
      <c r="Q85" s="430"/>
      <c r="R85" s="430"/>
      <c r="S85" s="430"/>
      <c r="T85" s="430"/>
      <c r="U85" s="430"/>
      <c r="V85" s="430"/>
      <c r="W85" s="430"/>
      <c r="X85" s="430"/>
      <c r="Y85" s="430"/>
      <c r="Z85" s="430"/>
      <c r="AA85" s="430"/>
    </row>
    <row r="86">
      <c r="A86" s="433"/>
      <c r="B86" s="430"/>
      <c r="C86" s="430"/>
      <c r="D86" s="430"/>
      <c r="E86" s="432"/>
      <c r="F86" s="430"/>
      <c r="G86" s="430"/>
      <c r="H86" s="430"/>
      <c r="I86" s="430"/>
      <c r="J86" s="430"/>
      <c r="K86" s="430"/>
      <c r="L86" s="430"/>
      <c r="M86" s="430"/>
      <c r="N86" s="430"/>
      <c r="O86" s="430"/>
      <c r="P86" s="430"/>
      <c r="Q86" s="430"/>
      <c r="R86" s="430"/>
      <c r="S86" s="430"/>
      <c r="T86" s="430"/>
      <c r="U86" s="430"/>
      <c r="V86" s="430"/>
      <c r="W86" s="430"/>
      <c r="X86" s="430"/>
      <c r="Y86" s="430"/>
      <c r="Z86" s="430"/>
      <c r="AA86" s="430"/>
    </row>
    <row r="87">
      <c r="A87" s="433"/>
      <c r="B87" s="430"/>
      <c r="C87" s="430"/>
      <c r="D87" s="430"/>
      <c r="E87" s="432"/>
      <c r="F87" s="430"/>
      <c r="G87" s="430"/>
      <c r="H87" s="430"/>
      <c r="I87" s="430"/>
      <c r="J87" s="430"/>
      <c r="K87" s="430"/>
      <c r="L87" s="430"/>
      <c r="M87" s="430"/>
      <c r="N87" s="430"/>
      <c r="O87" s="430"/>
      <c r="P87" s="430"/>
      <c r="Q87" s="430"/>
      <c r="R87" s="430"/>
      <c r="S87" s="430"/>
      <c r="T87" s="430"/>
      <c r="U87" s="430"/>
      <c r="V87" s="430"/>
      <c r="W87" s="430"/>
      <c r="X87" s="430"/>
      <c r="Y87" s="430"/>
      <c r="Z87" s="430"/>
      <c r="AA87" s="430"/>
    </row>
    <row r="88">
      <c r="A88" s="433"/>
      <c r="B88" s="430"/>
      <c r="C88" s="430"/>
      <c r="D88" s="430"/>
      <c r="E88" s="432"/>
      <c r="F88" s="430"/>
      <c r="G88" s="430"/>
      <c r="H88" s="430"/>
      <c r="I88" s="430"/>
      <c r="J88" s="430"/>
      <c r="K88" s="430"/>
      <c r="L88" s="430"/>
      <c r="M88" s="430"/>
      <c r="N88" s="430"/>
      <c r="O88" s="430"/>
      <c r="P88" s="430"/>
      <c r="Q88" s="430"/>
      <c r="R88" s="430"/>
      <c r="S88" s="430"/>
      <c r="T88" s="430"/>
      <c r="U88" s="430"/>
      <c r="V88" s="430"/>
      <c r="W88" s="430"/>
      <c r="X88" s="430"/>
      <c r="Y88" s="430"/>
      <c r="Z88" s="430"/>
      <c r="AA88" s="430"/>
    </row>
    <row r="89">
      <c r="A89" s="433"/>
      <c r="B89" s="430"/>
      <c r="C89" s="430"/>
      <c r="D89" s="430"/>
      <c r="E89" s="432"/>
      <c r="F89" s="430"/>
      <c r="G89" s="430"/>
      <c r="H89" s="430"/>
      <c r="I89" s="430"/>
      <c r="J89" s="430"/>
      <c r="K89" s="430"/>
      <c r="L89" s="430"/>
      <c r="M89" s="430"/>
      <c r="N89" s="430"/>
      <c r="O89" s="430"/>
      <c r="P89" s="430"/>
      <c r="Q89" s="430"/>
      <c r="R89" s="430"/>
      <c r="S89" s="430"/>
      <c r="T89" s="430"/>
      <c r="U89" s="430"/>
      <c r="V89" s="430"/>
      <c r="W89" s="430"/>
      <c r="X89" s="430"/>
      <c r="Y89" s="430"/>
      <c r="Z89" s="430"/>
      <c r="AA89" s="430"/>
    </row>
    <row r="90">
      <c r="A90" s="433"/>
      <c r="B90" s="430"/>
      <c r="C90" s="430"/>
      <c r="D90" s="430"/>
      <c r="E90" s="432"/>
      <c r="F90" s="430"/>
      <c r="G90" s="430"/>
      <c r="H90" s="430"/>
      <c r="I90" s="430"/>
      <c r="J90" s="430"/>
      <c r="K90" s="430"/>
      <c r="L90" s="430"/>
      <c r="M90" s="430"/>
      <c r="N90" s="430"/>
      <c r="O90" s="430"/>
      <c r="P90" s="430"/>
      <c r="Q90" s="430"/>
      <c r="R90" s="430"/>
      <c r="S90" s="430"/>
      <c r="T90" s="430"/>
      <c r="U90" s="430"/>
      <c r="V90" s="430"/>
      <c r="W90" s="430"/>
      <c r="X90" s="430"/>
      <c r="Y90" s="430"/>
      <c r="Z90" s="430"/>
      <c r="AA90" s="430"/>
    </row>
    <row r="91">
      <c r="A91" s="433"/>
      <c r="B91" s="430"/>
      <c r="C91" s="430"/>
      <c r="D91" s="430"/>
      <c r="E91" s="432"/>
      <c r="F91" s="430"/>
      <c r="G91" s="430"/>
      <c r="H91" s="430"/>
      <c r="I91" s="430"/>
      <c r="J91" s="430"/>
      <c r="K91" s="430"/>
      <c r="L91" s="430"/>
      <c r="M91" s="430"/>
      <c r="N91" s="430"/>
      <c r="O91" s="430"/>
      <c r="P91" s="430"/>
      <c r="Q91" s="430"/>
      <c r="R91" s="430"/>
      <c r="S91" s="430"/>
      <c r="T91" s="430"/>
      <c r="U91" s="430"/>
      <c r="V91" s="430"/>
      <c r="W91" s="430"/>
      <c r="X91" s="430"/>
      <c r="Y91" s="430"/>
      <c r="Z91" s="430"/>
      <c r="AA91" s="430"/>
    </row>
    <row r="92">
      <c r="A92" s="433"/>
      <c r="B92" s="430"/>
      <c r="C92" s="430"/>
      <c r="D92" s="430"/>
      <c r="E92" s="432"/>
      <c r="F92" s="430"/>
      <c r="G92" s="430"/>
      <c r="H92" s="430"/>
      <c r="I92" s="430"/>
      <c r="J92" s="430"/>
      <c r="K92" s="430"/>
      <c r="L92" s="430"/>
      <c r="M92" s="430"/>
      <c r="N92" s="430"/>
      <c r="O92" s="430"/>
      <c r="P92" s="430"/>
      <c r="Q92" s="430"/>
      <c r="R92" s="430"/>
      <c r="S92" s="430"/>
      <c r="T92" s="430"/>
      <c r="U92" s="430"/>
      <c r="V92" s="430"/>
      <c r="W92" s="430"/>
      <c r="X92" s="430"/>
      <c r="Y92" s="430"/>
      <c r="Z92" s="430"/>
      <c r="AA92" s="430"/>
    </row>
    <row r="93">
      <c r="A93" s="433"/>
      <c r="B93" s="430"/>
      <c r="C93" s="430"/>
      <c r="D93" s="430"/>
      <c r="E93" s="432"/>
      <c r="F93" s="430"/>
      <c r="G93" s="430"/>
      <c r="H93" s="430"/>
      <c r="I93" s="430"/>
      <c r="J93" s="430"/>
      <c r="K93" s="430"/>
      <c r="L93" s="430"/>
      <c r="M93" s="430"/>
      <c r="N93" s="430"/>
      <c r="O93" s="430"/>
      <c r="P93" s="430"/>
      <c r="Q93" s="430"/>
      <c r="R93" s="430"/>
      <c r="S93" s="430"/>
      <c r="T93" s="430"/>
      <c r="U93" s="430"/>
      <c r="V93" s="430"/>
      <c r="W93" s="430"/>
      <c r="X93" s="430"/>
      <c r="Y93" s="430"/>
      <c r="Z93" s="430"/>
      <c r="AA93" s="430"/>
    </row>
    <row r="94">
      <c r="A94" s="433"/>
      <c r="B94" s="430"/>
      <c r="C94" s="430"/>
      <c r="D94" s="430"/>
      <c r="E94" s="432"/>
      <c r="F94" s="430"/>
      <c r="G94" s="430"/>
      <c r="H94" s="430"/>
      <c r="I94" s="430"/>
      <c r="J94" s="430"/>
      <c r="K94" s="430"/>
      <c r="L94" s="430"/>
      <c r="M94" s="430"/>
      <c r="N94" s="430"/>
      <c r="O94" s="430"/>
      <c r="P94" s="430"/>
      <c r="Q94" s="430"/>
      <c r="R94" s="430"/>
      <c r="S94" s="430"/>
      <c r="T94" s="430"/>
      <c r="U94" s="430"/>
      <c r="V94" s="430"/>
      <c r="W94" s="430"/>
      <c r="X94" s="430"/>
      <c r="Y94" s="430"/>
      <c r="Z94" s="430"/>
      <c r="AA94" s="430"/>
    </row>
    <row r="95">
      <c r="A95" s="433"/>
      <c r="B95" s="430"/>
      <c r="C95" s="430"/>
      <c r="D95" s="430"/>
      <c r="E95" s="432"/>
      <c r="F95" s="430"/>
      <c r="G95" s="430"/>
      <c r="H95" s="430"/>
      <c r="I95" s="430"/>
      <c r="J95" s="430"/>
      <c r="K95" s="430"/>
      <c r="L95" s="430"/>
      <c r="M95" s="430"/>
      <c r="N95" s="430"/>
      <c r="O95" s="430"/>
      <c r="P95" s="430"/>
      <c r="Q95" s="430"/>
      <c r="R95" s="430"/>
      <c r="S95" s="430"/>
      <c r="T95" s="430"/>
      <c r="U95" s="430"/>
      <c r="V95" s="430"/>
      <c r="W95" s="430"/>
      <c r="X95" s="430"/>
      <c r="Y95" s="430"/>
      <c r="Z95" s="430"/>
      <c r="AA95" s="430"/>
    </row>
    <row r="96">
      <c r="A96" s="433"/>
      <c r="B96" s="430"/>
      <c r="C96" s="430"/>
      <c r="D96" s="430"/>
      <c r="E96" s="432"/>
      <c r="F96" s="430"/>
      <c r="G96" s="430"/>
      <c r="H96" s="430"/>
      <c r="I96" s="430"/>
      <c r="J96" s="430"/>
      <c r="K96" s="430"/>
      <c r="L96" s="430"/>
      <c r="M96" s="430"/>
      <c r="N96" s="430"/>
      <c r="O96" s="430"/>
      <c r="P96" s="430"/>
      <c r="Q96" s="430"/>
      <c r="R96" s="430"/>
      <c r="S96" s="430"/>
      <c r="T96" s="430"/>
      <c r="U96" s="430"/>
      <c r="V96" s="430"/>
      <c r="W96" s="430"/>
      <c r="X96" s="430"/>
      <c r="Y96" s="430"/>
      <c r="Z96" s="430"/>
      <c r="AA96" s="430"/>
    </row>
    <row r="97">
      <c r="A97" s="433"/>
      <c r="B97" s="430"/>
      <c r="C97" s="430"/>
      <c r="D97" s="430"/>
      <c r="E97" s="432"/>
      <c r="F97" s="430"/>
      <c r="G97" s="430"/>
      <c r="H97" s="430"/>
      <c r="I97" s="430"/>
      <c r="J97" s="430"/>
      <c r="K97" s="430"/>
      <c r="L97" s="430"/>
      <c r="M97" s="430"/>
      <c r="N97" s="430"/>
      <c r="O97" s="430"/>
      <c r="P97" s="430"/>
      <c r="Q97" s="430"/>
      <c r="R97" s="430"/>
      <c r="S97" s="430"/>
      <c r="T97" s="430"/>
      <c r="U97" s="430"/>
      <c r="V97" s="430"/>
      <c r="W97" s="430"/>
      <c r="X97" s="430"/>
      <c r="Y97" s="430"/>
      <c r="Z97" s="430"/>
      <c r="AA97" s="430"/>
    </row>
    <row r="98">
      <c r="A98" s="433"/>
      <c r="B98" s="430"/>
      <c r="C98" s="430"/>
      <c r="D98" s="430"/>
      <c r="E98" s="432"/>
      <c r="F98" s="430"/>
      <c r="G98" s="430"/>
      <c r="H98" s="430"/>
      <c r="I98" s="430"/>
      <c r="J98" s="430"/>
      <c r="K98" s="430"/>
      <c r="L98" s="430"/>
      <c r="M98" s="430"/>
      <c r="N98" s="430"/>
      <c r="O98" s="430"/>
      <c r="P98" s="430"/>
      <c r="Q98" s="430"/>
      <c r="R98" s="430"/>
      <c r="S98" s="430"/>
      <c r="T98" s="430"/>
      <c r="U98" s="430"/>
      <c r="V98" s="430"/>
      <c r="W98" s="430"/>
      <c r="X98" s="430"/>
      <c r="Y98" s="430"/>
      <c r="Z98" s="430"/>
      <c r="AA98" s="430"/>
    </row>
    <row r="99">
      <c r="A99" s="433"/>
      <c r="B99" s="430"/>
      <c r="C99" s="430"/>
      <c r="D99" s="430"/>
      <c r="E99" s="432"/>
      <c r="F99" s="430"/>
      <c r="G99" s="430"/>
      <c r="H99" s="430"/>
      <c r="I99" s="430"/>
      <c r="J99" s="430"/>
      <c r="K99" s="430"/>
      <c r="L99" s="430"/>
      <c r="M99" s="430"/>
      <c r="N99" s="430"/>
      <c r="O99" s="430"/>
      <c r="P99" s="430"/>
      <c r="Q99" s="430"/>
      <c r="R99" s="430"/>
      <c r="S99" s="430"/>
      <c r="T99" s="430"/>
      <c r="U99" s="430"/>
      <c r="V99" s="430"/>
      <c r="W99" s="430"/>
      <c r="X99" s="430"/>
      <c r="Y99" s="430"/>
      <c r="Z99" s="430"/>
      <c r="AA99" s="430"/>
    </row>
    <row r="100">
      <c r="A100" s="433"/>
      <c r="B100" s="430"/>
      <c r="C100" s="430"/>
      <c r="D100" s="430"/>
      <c r="E100" s="432"/>
      <c r="F100" s="430"/>
      <c r="G100" s="430"/>
      <c r="H100" s="430"/>
      <c r="I100" s="430"/>
      <c r="J100" s="430"/>
      <c r="K100" s="430"/>
      <c r="L100" s="430"/>
      <c r="M100" s="430"/>
      <c r="N100" s="430"/>
      <c r="O100" s="430"/>
      <c r="P100" s="430"/>
      <c r="Q100" s="430"/>
      <c r="R100" s="430"/>
      <c r="S100" s="430"/>
      <c r="T100" s="430"/>
      <c r="U100" s="430"/>
      <c r="V100" s="430"/>
      <c r="W100" s="430"/>
      <c r="X100" s="430"/>
      <c r="Y100" s="430"/>
      <c r="Z100" s="430"/>
      <c r="AA100" s="430"/>
    </row>
    <row r="101">
      <c r="A101" s="433"/>
      <c r="B101" s="430"/>
      <c r="C101" s="430"/>
      <c r="D101" s="430"/>
      <c r="E101" s="432"/>
      <c r="F101" s="430"/>
      <c r="G101" s="430"/>
      <c r="H101" s="430"/>
      <c r="I101" s="430"/>
      <c r="J101" s="430"/>
      <c r="K101" s="430"/>
      <c r="L101" s="430"/>
      <c r="M101" s="430"/>
      <c r="N101" s="430"/>
      <c r="O101" s="430"/>
      <c r="P101" s="430"/>
      <c r="Q101" s="430"/>
      <c r="R101" s="430"/>
      <c r="S101" s="430"/>
      <c r="T101" s="430"/>
      <c r="U101" s="430"/>
      <c r="V101" s="430"/>
      <c r="W101" s="430"/>
      <c r="X101" s="430"/>
      <c r="Y101" s="430"/>
      <c r="Z101" s="430"/>
      <c r="AA101" s="430"/>
    </row>
    <row r="102">
      <c r="A102" s="433"/>
      <c r="B102" s="430"/>
      <c r="C102" s="430"/>
      <c r="D102" s="430"/>
      <c r="E102" s="432"/>
      <c r="F102" s="430"/>
      <c r="G102" s="430"/>
      <c r="H102" s="430"/>
      <c r="I102" s="430"/>
      <c r="J102" s="430"/>
      <c r="K102" s="430"/>
      <c r="L102" s="430"/>
      <c r="M102" s="430"/>
      <c r="N102" s="430"/>
      <c r="O102" s="430"/>
      <c r="P102" s="430"/>
      <c r="Q102" s="430"/>
      <c r="R102" s="430"/>
      <c r="S102" s="430"/>
      <c r="T102" s="430"/>
      <c r="U102" s="430"/>
      <c r="V102" s="430"/>
      <c r="W102" s="430"/>
      <c r="X102" s="430"/>
      <c r="Y102" s="430"/>
      <c r="Z102" s="430"/>
      <c r="AA102" s="430"/>
    </row>
    <row r="103">
      <c r="A103" s="433"/>
      <c r="B103" s="430"/>
      <c r="C103" s="430"/>
      <c r="D103" s="430"/>
      <c r="E103" s="432"/>
      <c r="F103" s="430"/>
      <c r="G103" s="430"/>
      <c r="H103" s="430"/>
      <c r="I103" s="430"/>
      <c r="J103" s="430"/>
      <c r="K103" s="430"/>
      <c r="L103" s="430"/>
      <c r="M103" s="430"/>
      <c r="N103" s="430"/>
      <c r="O103" s="430"/>
      <c r="P103" s="430"/>
      <c r="Q103" s="430"/>
      <c r="R103" s="430"/>
      <c r="S103" s="430"/>
      <c r="T103" s="430"/>
      <c r="U103" s="430"/>
      <c r="V103" s="430"/>
      <c r="W103" s="430"/>
      <c r="X103" s="430"/>
      <c r="Y103" s="430"/>
      <c r="Z103" s="430"/>
      <c r="AA103" s="430"/>
    </row>
    <row r="104">
      <c r="A104" s="433"/>
      <c r="B104" s="430"/>
      <c r="C104" s="430"/>
      <c r="D104" s="430"/>
      <c r="E104" s="432"/>
      <c r="F104" s="430"/>
      <c r="G104" s="430"/>
      <c r="H104" s="430"/>
      <c r="I104" s="430"/>
      <c r="J104" s="430"/>
      <c r="K104" s="430"/>
      <c r="L104" s="430"/>
      <c r="M104" s="430"/>
      <c r="N104" s="430"/>
      <c r="O104" s="430"/>
      <c r="P104" s="430"/>
      <c r="Q104" s="430"/>
      <c r="R104" s="430"/>
      <c r="S104" s="430"/>
      <c r="T104" s="430"/>
      <c r="U104" s="430"/>
      <c r="V104" s="430"/>
      <c r="W104" s="430"/>
      <c r="X104" s="430"/>
      <c r="Y104" s="430"/>
      <c r="Z104" s="430"/>
      <c r="AA104" s="430"/>
    </row>
    <row r="105">
      <c r="A105" s="433"/>
      <c r="B105" s="430"/>
      <c r="C105" s="430"/>
      <c r="D105" s="430"/>
      <c r="E105" s="432"/>
      <c r="F105" s="430"/>
      <c r="G105" s="430"/>
      <c r="H105" s="430"/>
      <c r="I105" s="430"/>
      <c r="J105" s="430"/>
      <c r="K105" s="430"/>
      <c r="L105" s="430"/>
      <c r="M105" s="430"/>
      <c r="N105" s="430"/>
      <c r="O105" s="430"/>
      <c r="P105" s="430"/>
      <c r="Q105" s="430"/>
      <c r="R105" s="430"/>
      <c r="S105" s="430"/>
      <c r="T105" s="430"/>
      <c r="U105" s="430"/>
      <c r="V105" s="430"/>
      <c r="W105" s="430"/>
      <c r="X105" s="430"/>
      <c r="Y105" s="430"/>
      <c r="Z105" s="430"/>
      <c r="AA105" s="430"/>
    </row>
    <row r="106">
      <c r="A106" s="433"/>
      <c r="B106" s="430"/>
      <c r="C106" s="430"/>
      <c r="D106" s="430"/>
      <c r="E106" s="432"/>
      <c r="F106" s="430"/>
      <c r="G106" s="430"/>
      <c r="H106" s="430"/>
      <c r="I106" s="430"/>
      <c r="J106" s="430"/>
      <c r="K106" s="430"/>
      <c r="L106" s="430"/>
      <c r="M106" s="430"/>
      <c r="N106" s="430"/>
      <c r="O106" s="430"/>
      <c r="P106" s="430"/>
      <c r="Q106" s="430"/>
      <c r="R106" s="430"/>
      <c r="S106" s="430"/>
      <c r="T106" s="430"/>
      <c r="U106" s="430"/>
      <c r="V106" s="430"/>
      <c r="W106" s="430"/>
      <c r="X106" s="430"/>
      <c r="Y106" s="430"/>
      <c r="Z106" s="430"/>
      <c r="AA106" s="430"/>
    </row>
    <row r="107">
      <c r="A107" s="433"/>
      <c r="B107" s="430"/>
      <c r="C107" s="430"/>
      <c r="D107" s="430"/>
      <c r="E107" s="432"/>
      <c r="F107" s="430"/>
      <c r="G107" s="430"/>
      <c r="H107" s="430"/>
      <c r="I107" s="430"/>
      <c r="J107" s="430"/>
      <c r="K107" s="430"/>
      <c r="L107" s="430"/>
      <c r="M107" s="430"/>
      <c r="N107" s="430"/>
      <c r="O107" s="430"/>
      <c r="P107" s="430"/>
      <c r="Q107" s="430"/>
      <c r="R107" s="430"/>
      <c r="S107" s="430"/>
      <c r="T107" s="430"/>
      <c r="U107" s="430"/>
      <c r="V107" s="430"/>
      <c r="W107" s="430"/>
      <c r="X107" s="430"/>
      <c r="Y107" s="430"/>
      <c r="Z107" s="430"/>
      <c r="AA107" s="430"/>
    </row>
    <row r="108">
      <c r="A108" s="433"/>
      <c r="B108" s="430"/>
      <c r="C108" s="430"/>
      <c r="D108" s="430"/>
      <c r="E108" s="432"/>
      <c r="F108" s="430"/>
      <c r="G108" s="430"/>
      <c r="H108" s="430"/>
      <c r="I108" s="430"/>
      <c r="J108" s="430"/>
      <c r="K108" s="430"/>
      <c r="L108" s="430"/>
      <c r="M108" s="430"/>
      <c r="N108" s="430"/>
      <c r="O108" s="430"/>
      <c r="P108" s="430"/>
      <c r="Q108" s="430"/>
      <c r="R108" s="430"/>
      <c r="S108" s="430"/>
      <c r="T108" s="430"/>
      <c r="U108" s="430"/>
      <c r="V108" s="430"/>
      <c r="W108" s="430"/>
      <c r="X108" s="430"/>
      <c r="Y108" s="430"/>
      <c r="Z108" s="430"/>
      <c r="AA108" s="430"/>
    </row>
    <row r="109">
      <c r="A109" s="433"/>
      <c r="B109" s="430"/>
      <c r="C109" s="430"/>
      <c r="D109" s="430"/>
      <c r="E109" s="432"/>
      <c r="F109" s="430"/>
      <c r="G109" s="430"/>
      <c r="H109" s="430"/>
      <c r="I109" s="430"/>
      <c r="J109" s="430"/>
      <c r="K109" s="430"/>
      <c r="L109" s="430"/>
      <c r="M109" s="430"/>
      <c r="N109" s="430"/>
      <c r="O109" s="430"/>
      <c r="P109" s="430"/>
      <c r="Q109" s="430"/>
      <c r="R109" s="430"/>
      <c r="S109" s="430"/>
      <c r="T109" s="430"/>
      <c r="U109" s="430"/>
      <c r="V109" s="430"/>
      <c r="W109" s="430"/>
      <c r="X109" s="430"/>
      <c r="Y109" s="430"/>
      <c r="Z109" s="430"/>
      <c r="AA109" s="430"/>
    </row>
    <row r="110">
      <c r="A110" s="433"/>
      <c r="B110" s="430"/>
      <c r="C110" s="430"/>
      <c r="D110" s="430"/>
      <c r="E110" s="432"/>
      <c r="F110" s="430"/>
      <c r="G110" s="430"/>
      <c r="H110" s="430"/>
      <c r="I110" s="430"/>
      <c r="J110" s="430"/>
      <c r="K110" s="430"/>
      <c r="L110" s="430"/>
      <c r="M110" s="430"/>
      <c r="N110" s="430"/>
      <c r="O110" s="430"/>
      <c r="P110" s="430"/>
      <c r="Q110" s="430"/>
      <c r="R110" s="430"/>
      <c r="S110" s="430"/>
      <c r="T110" s="430"/>
      <c r="U110" s="430"/>
      <c r="V110" s="430"/>
      <c r="W110" s="430"/>
      <c r="X110" s="430"/>
      <c r="Y110" s="430"/>
      <c r="Z110" s="430"/>
      <c r="AA110" s="430"/>
    </row>
    <row r="111">
      <c r="A111" s="433"/>
      <c r="B111" s="430"/>
      <c r="C111" s="430"/>
      <c r="D111" s="430"/>
      <c r="E111" s="432"/>
      <c r="F111" s="430"/>
      <c r="G111" s="430"/>
      <c r="H111" s="430"/>
      <c r="I111" s="430"/>
      <c r="J111" s="430"/>
      <c r="K111" s="430"/>
      <c r="L111" s="430"/>
      <c r="M111" s="430"/>
      <c r="N111" s="430"/>
      <c r="O111" s="430"/>
      <c r="P111" s="430"/>
      <c r="Q111" s="430"/>
      <c r="R111" s="430"/>
      <c r="S111" s="430"/>
      <c r="T111" s="430"/>
      <c r="U111" s="430"/>
      <c r="V111" s="430"/>
      <c r="W111" s="430"/>
      <c r="X111" s="430"/>
      <c r="Y111" s="430"/>
      <c r="Z111" s="430"/>
      <c r="AA111" s="430"/>
    </row>
    <row r="112">
      <c r="A112" s="433"/>
      <c r="B112" s="430"/>
      <c r="C112" s="430"/>
      <c r="D112" s="430"/>
      <c r="E112" s="432"/>
      <c r="F112" s="430"/>
      <c r="G112" s="430"/>
      <c r="H112" s="430"/>
      <c r="I112" s="430"/>
      <c r="J112" s="430"/>
      <c r="K112" s="430"/>
      <c r="L112" s="430"/>
      <c r="M112" s="430"/>
      <c r="N112" s="430"/>
      <c r="O112" s="430"/>
      <c r="P112" s="430"/>
      <c r="Q112" s="430"/>
      <c r="R112" s="430"/>
      <c r="S112" s="430"/>
      <c r="T112" s="430"/>
      <c r="U112" s="430"/>
      <c r="V112" s="430"/>
      <c r="W112" s="430"/>
      <c r="X112" s="430"/>
      <c r="Y112" s="430"/>
      <c r="Z112" s="430"/>
      <c r="AA112" s="430"/>
    </row>
    <row r="113">
      <c r="A113" s="433"/>
      <c r="B113" s="430"/>
      <c r="C113" s="430"/>
      <c r="D113" s="430"/>
      <c r="E113" s="432"/>
      <c r="F113" s="430"/>
      <c r="G113" s="430"/>
      <c r="H113" s="430"/>
      <c r="I113" s="430"/>
      <c r="J113" s="430"/>
      <c r="K113" s="430"/>
      <c r="L113" s="430"/>
      <c r="M113" s="430"/>
      <c r="N113" s="430"/>
      <c r="O113" s="430"/>
      <c r="P113" s="430"/>
      <c r="Q113" s="430"/>
      <c r="R113" s="430"/>
      <c r="S113" s="430"/>
      <c r="T113" s="430"/>
      <c r="U113" s="430"/>
      <c r="V113" s="430"/>
      <c r="W113" s="430"/>
      <c r="X113" s="430"/>
      <c r="Y113" s="430"/>
      <c r="Z113" s="430"/>
      <c r="AA113" s="430"/>
    </row>
    <row r="114">
      <c r="A114" s="433"/>
      <c r="B114" s="430"/>
      <c r="C114" s="430"/>
      <c r="D114" s="430"/>
      <c r="E114" s="432"/>
      <c r="F114" s="430"/>
      <c r="G114" s="430"/>
      <c r="H114" s="430"/>
      <c r="I114" s="430"/>
      <c r="J114" s="430"/>
      <c r="K114" s="430"/>
      <c r="L114" s="430"/>
      <c r="M114" s="430"/>
      <c r="N114" s="430"/>
      <c r="O114" s="430"/>
      <c r="P114" s="430"/>
      <c r="Q114" s="430"/>
      <c r="R114" s="430"/>
      <c r="S114" s="430"/>
      <c r="T114" s="430"/>
      <c r="U114" s="430"/>
      <c r="V114" s="430"/>
      <c r="W114" s="430"/>
      <c r="X114" s="430"/>
      <c r="Y114" s="430"/>
      <c r="Z114" s="430"/>
      <c r="AA114" s="430"/>
    </row>
    <row r="115">
      <c r="A115" s="433"/>
      <c r="B115" s="430"/>
      <c r="C115" s="430"/>
      <c r="D115" s="430"/>
      <c r="E115" s="432"/>
      <c r="F115" s="430"/>
      <c r="G115" s="430"/>
      <c r="H115" s="430"/>
      <c r="I115" s="430"/>
      <c r="J115" s="430"/>
      <c r="K115" s="430"/>
      <c r="L115" s="430"/>
      <c r="M115" s="430"/>
      <c r="N115" s="430"/>
      <c r="O115" s="430"/>
      <c r="P115" s="430"/>
      <c r="Q115" s="430"/>
      <c r="R115" s="430"/>
      <c r="S115" s="430"/>
      <c r="T115" s="430"/>
      <c r="U115" s="430"/>
      <c r="V115" s="430"/>
      <c r="W115" s="430"/>
      <c r="X115" s="430"/>
      <c r="Y115" s="430"/>
      <c r="Z115" s="430"/>
      <c r="AA115" s="430"/>
    </row>
    <row r="116">
      <c r="A116" s="433"/>
      <c r="B116" s="430"/>
      <c r="C116" s="430"/>
      <c r="D116" s="430"/>
      <c r="E116" s="432"/>
      <c r="F116" s="430"/>
      <c r="G116" s="430"/>
      <c r="H116" s="430"/>
      <c r="I116" s="430"/>
      <c r="J116" s="430"/>
      <c r="K116" s="430"/>
      <c r="L116" s="430"/>
      <c r="M116" s="430"/>
      <c r="N116" s="430"/>
      <c r="O116" s="430"/>
      <c r="P116" s="430"/>
      <c r="Q116" s="430"/>
      <c r="R116" s="430"/>
      <c r="S116" s="430"/>
      <c r="T116" s="430"/>
      <c r="U116" s="430"/>
      <c r="V116" s="430"/>
      <c r="W116" s="430"/>
      <c r="X116" s="430"/>
      <c r="Y116" s="430"/>
      <c r="Z116" s="430"/>
      <c r="AA116" s="430"/>
    </row>
    <row r="117">
      <c r="A117" s="433"/>
      <c r="B117" s="430"/>
      <c r="C117" s="430"/>
      <c r="D117" s="430"/>
      <c r="E117" s="432"/>
      <c r="F117" s="430"/>
      <c r="G117" s="430"/>
      <c r="H117" s="430"/>
      <c r="I117" s="430"/>
      <c r="J117" s="430"/>
      <c r="K117" s="430"/>
      <c r="L117" s="430"/>
      <c r="M117" s="430"/>
      <c r="N117" s="430"/>
      <c r="O117" s="430"/>
      <c r="P117" s="430"/>
      <c r="Q117" s="430"/>
      <c r="R117" s="430"/>
      <c r="S117" s="430"/>
      <c r="T117" s="430"/>
      <c r="U117" s="430"/>
      <c r="V117" s="430"/>
      <c r="W117" s="430"/>
      <c r="X117" s="430"/>
      <c r="Y117" s="430"/>
      <c r="Z117" s="430"/>
      <c r="AA117" s="430"/>
    </row>
    <row r="118">
      <c r="A118" s="433"/>
      <c r="B118" s="430"/>
      <c r="C118" s="430"/>
      <c r="D118" s="430"/>
      <c r="E118" s="432"/>
      <c r="F118" s="430"/>
      <c r="G118" s="430"/>
      <c r="H118" s="430"/>
      <c r="I118" s="430"/>
      <c r="J118" s="430"/>
      <c r="K118" s="430"/>
      <c r="L118" s="430"/>
      <c r="M118" s="430"/>
      <c r="N118" s="430"/>
      <c r="O118" s="430"/>
      <c r="P118" s="430"/>
      <c r="Q118" s="430"/>
      <c r="R118" s="430"/>
      <c r="S118" s="430"/>
      <c r="T118" s="430"/>
      <c r="U118" s="430"/>
      <c r="V118" s="430"/>
      <c r="W118" s="430"/>
      <c r="X118" s="430"/>
      <c r="Y118" s="430"/>
      <c r="Z118" s="430"/>
      <c r="AA118" s="430"/>
    </row>
    <row r="119">
      <c r="A119" s="433"/>
      <c r="B119" s="430"/>
      <c r="C119" s="430"/>
      <c r="D119" s="430"/>
      <c r="E119" s="432"/>
      <c r="F119" s="430"/>
      <c r="G119" s="430"/>
      <c r="H119" s="430"/>
      <c r="I119" s="430"/>
      <c r="J119" s="430"/>
      <c r="K119" s="430"/>
      <c r="L119" s="430"/>
      <c r="M119" s="430"/>
      <c r="N119" s="430"/>
      <c r="O119" s="430"/>
      <c r="P119" s="430"/>
      <c r="Q119" s="430"/>
      <c r="R119" s="430"/>
      <c r="S119" s="430"/>
      <c r="T119" s="430"/>
      <c r="U119" s="430"/>
      <c r="V119" s="430"/>
      <c r="W119" s="430"/>
      <c r="X119" s="430"/>
      <c r="Y119" s="430"/>
      <c r="Z119" s="430"/>
      <c r="AA119" s="430"/>
    </row>
    <row r="120">
      <c r="A120" s="433"/>
      <c r="B120" s="430"/>
      <c r="C120" s="430"/>
      <c r="D120" s="430"/>
      <c r="E120" s="432"/>
      <c r="F120" s="430"/>
      <c r="G120" s="430"/>
      <c r="H120" s="430"/>
      <c r="I120" s="430"/>
      <c r="J120" s="430"/>
      <c r="K120" s="430"/>
      <c r="L120" s="430"/>
      <c r="M120" s="430"/>
      <c r="N120" s="430"/>
      <c r="O120" s="430"/>
      <c r="P120" s="430"/>
      <c r="Q120" s="430"/>
      <c r="R120" s="430"/>
      <c r="S120" s="430"/>
      <c r="T120" s="430"/>
      <c r="U120" s="430"/>
      <c r="V120" s="430"/>
      <c r="W120" s="430"/>
      <c r="X120" s="430"/>
      <c r="Y120" s="430"/>
      <c r="Z120" s="430"/>
      <c r="AA120" s="430"/>
    </row>
    <row r="121">
      <c r="A121" s="433"/>
      <c r="B121" s="430"/>
      <c r="C121" s="430"/>
      <c r="D121" s="430"/>
      <c r="E121" s="432"/>
      <c r="F121" s="430"/>
      <c r="G121" s="430"/>
      <c r="H121" s="430"/>
      <c r="I121" s="430"/>
      <c r="J121" s="430"/>
      <c r="K121" s="430"/>
      <c r="L121" s="430"/>
      <c r="M121" s="430"/>
      <c r="N121" s="430"/>
      <c r="O121" s="430"/>
      <c r="P121" s="430"/>
      <c r="Q121" s="430"/>
      <c r="R121" s="430"/>
      <c r="S121" s="430"/>
      <c r="T121" s="430"/>
      <c r="U121" s="430"/>
      <c r="V121" s="430"/>
      <c r="W121" s="430"/>
      <c r="X121" s="430"/>
      <c r="Y121" s="430"/>
      <c r="Z121" s="430"/>
      <c r="AA121" s="430"/>
    </row>
    <row r="122">
      <c r="A122" s="433"/>
      <c r="B122" s="430"/>
      <c r="C122" s="430"/>
      <c r="D122" s="430"/>
      <c r="E122" s="432"/>
      <c r="F122" s="430"/>
      <c r="G122" s="430"/>
      <c r="H122" s="430"/>
      <c r="I122" s="430"/>
      <c r="J122" s="430"/>
      <c r="K122" s="430"/>
      <c r="L122" s="430"/>
      <c r="M122" s="430"/>
      <c r="N122" s="430"/>
      <c r="O122" s="430"/>
      <c r="P122" s="430"/>
      <c r="Q122" s="430"/>
      <c r="R122" s="430"/>
      <c r="S122" s="430"/>
      <c r="T122" s="430"/>
      <c r="U122" s="430"/>
      <c r="V122" s="430"/>
      <c r="W122" s="430"/>
      <c r="X122" s="430"/>
      <c r="Y122" s="430"/>
      <c r="Z122" s="430"/>
      <c r="AA122" s="430"/>
    </row>
    <row r="123">
      <c r="A123" s="433"/>
      <c r="B123" s="430"/>
      <c r="C123" s="430"/>
      <c r="D123" s="430"/>
      <c r="E123" s="432"/>
      <c r="F123" s="430"/>
      <c r="G123" s="430"/>
      <c r="H123" s="430"/>
      <c r="I123" s="430"/>
      <c r="J123" s="430"/>
      <c r="K123" s="430"/>
      <c r="L123" s="430"/>
      <c r="M123" s="430"/>
      <c r="N123" s="430"/>
      <c r="O123" s="430"/>
      <c r="P123" s="430"/>
      <c r="Q123" s="430"/>
      <c r="R123" s="430"/>
      <c r="S123" s="430"/>
      <c r="T123" s="430"/>
      <c r="U123" s="430"/>
      <c r="V123" s="430"/>
      <c r="W123" s="430"/>
      <c r="X123" s="430"/>
      <c r="Y123" s="430"/>
      <c r="Z123" s="430"/>
      <c r="AA123" s="430"/>
    </row>
    <row r="124">
      <c r="A124" s="433"/>
      <c r="B124" s="430"/>
      <c r="C124" s="430"/>
      <c r="D124" s="430"/>
      <c r="E124" s="432"/>
      <c r="F124" s="430"/>
      <c r="G124" s="430"/>
      <c r="H124" s="430"/>
      <c r="I124" s="430"/>
      <c r="J124" s="430"/>
      <c r="K124" s="430"/>
      <c r="L124" s="430"/>
      <c r="M124" s="430"/>
      <c r="N124" s="430"/>
      <c r="O124" s="430"/>
      <c r="P124" s="430"/>
      <c r="Q124" s="430"/>
      <c r="R124" s="430"/>
      <c r="S124" s="430"/>
      <c r="T124" s="430"/>
      <c r="U124" s="430"/>
      <c r="V124" s="430"/>
      <c r="W124" s="430"/>
      <c r="X124" s="430"/>
      <c r="Y124" s="430"/>
      <c r="Z124" s="430"/>
      <c r="AA124" s="430"/>
    </row>
    <row r="125">
      <c r="A125" s="433"/>
      <c r="B125" s="430"/>
      <c r="C125" s="430"/>
      <c r="D125" s="430"/>
      <c r="E125" s="432"/>
      <c r="F125" s="430"/>
      <c r="G125" s="430"/>
      <c r="H125" s="430"/>
      <c r="I125" s="430"/>
      <c r="J125" s="430"/>
      <c r="K125" s="430"/>
      <c r="L125" s="430"/>
      <c r="M125" s="430"/>
      <c r="N125" s="430"/>
      <c r="O125" s="430"/>
      <c r="P125" s="430"/>
      <c r="Q125" s="430"/>
      <c r="R125" s="430"/>
      <c r="S125" s="430"/>
      <c r="T125" s="430"/>
      <c r="U125" s="430"/>
      <c r="V125" s="430"/>
      <c r="W125" s="430"/>
      <c r="X125" s="430"/>
      <c r="Y125" s="430"/>
      <c r="Z125" s="430"/>
      <c r="AA125" s="430"/>
    </row>
    <row r="126">
      <c r="A126" s="433"/>
      <c r="B126" s="430"/>
      <c r="C126" s="430"/>
      <c r="D126" s="430"/>
      <c r="E126" s="432"/>
      <c r="F126" s="430"/>
      <c r="G126" s="430"/>
      <c r="H126" s="430"/>
      <c r="I126" s="430"/>
      <c r="J126" s="430"/>
      <c r="K126" s="430"/>
      <c r="L126" s="430"/>
      <c r="M126" s="430"/>
      <c r="N126" s="430"/>
      <c r="O126" s="430"/>
      <c r="P126" s="430"/>
      <c r="Q126" s="430"/>
      <c r="R126" s="430"/>
      <c r="S126" s="430"/>
      <c r="T126" s="430"/>
      <c r="U126" s="430"/>
      <c r="V126" s="430"/>
      <c r="W126" s="430"/>
      <c r="X126" s="430"/>
      <c r="Y126" s="430"/>
      <c r="Z126" s="430"/>
      <c r="AA126" s="430"/>
    </row>
    <row r="127">
      <c r="A127" s="433"/>
      <c r="B127" s="430"/>
      <c r="C127" s="430"/>
      <c r="D127" s="430"/>
      <c r="E127" s="432"/>
      <c r="F127" s="430"/>
      <c r="G127" s="430"/>
      <c r="H127" s="430"/>
      <c r="I127" s="430"/>
      <c r="J127" s="430"/>
      <c r="K127" s="430"/>
      <c r="L127" s="430"/>
      <c r="M127" s="430"/>
      <c r="N127" s="430"/>
      <c r="O127" s="430"/>
      <c r="P127" s="430"/>
      <c r="Q127" s="430"/>
      <c r="R127" s="430"/>
      <c r="S127" s="430"/>
      <c r="T127" s="430"/>
      <c r="U127" s="430"/>
      <c r="V127" s="430"/>
      <c r="W127" s="430"/>
      <c r="X127" s="430"/>
      <c r="Y127" s="430"/>
      <c r="Z127" s="430"/>
      <c r="AA127" s="430"/>
    </row>
    <row r="128">
      <c r="A128" s="433"/>
      <c r="B128" s="430"/>
      <c r="C128" s="430"/>
      <c r="D128" s="430"/>
      <c r="E128" s="432"/>
      <c r="F128" s="430"/>
      <c r="G128" s="430"/>
      <c r="H128" s="430"/>
      <c r="I128" s="430"/>
      <c r="J128" s="430"/>
      <c r="K128" s="430"/>
      <c r="L128" s="430"/>
      <c r="M128" s="430"/>
      <c r="N128" s="430"/>
      <c r="O128" s="430"/>
      <c r="P128" s="430"/>
      <c r="Q128" s="430"/>
      <c r="R128" s="430"/>
      <c r="S128" s="430"/>
      <c r="T128" s="430"/>
      <c r="U128" s="430"/>
      <c r="V128" s="430"/>
      <c r="W128" s="430"/>
      <c r="X128" s="430"/>
      <c r="Y128" s="430"/>
      <c r="Z128" s="430"/>
      <c r="AA128" s="430"/>
    </row>
    <row r="129">
      <c r="A129" s="433"/>
      <c r="B129" s="430"/>
      <c r="C129" s="430"/>
      <c r="D129" s="430"/>
      <c r="E129" s="432"/>
      <c r="F129" s="430"/>
      <c r="G129" s="430"/>
      <c r="H129" s="430"/>
      <c r="I129" s="430"/>
      <c r="J129" s="430"/>
      <c r="K129" s="430"/>
      <c r="L129" s="430"/>
      <c r="M129" s="430"/>
      <c r="N129" s="430"/>
      <c r="O129" s="430"/>
      <c r="P129" s="430"/>
      <c r="Q129" s="430"/>
      <c r="R129" s="430"/>
      <c r="S129" s="430"/>
      <c r="T129" s="430"/>
      <c r="U129" s="430"/>
      <c r="V129" s="430"/>
      <c r="W129" s="430"/>
      <c r="X129" s="430"/>
      <c r="Y129" s="430"/>
      <c r="Z129" s="430"/>
      <c r="AA129" s="430"/>
    </row>
    <row r="130">
      <c r="A130" s="433"/>
      <c r="B130" s="430"/>
      <c r="C130" s="430"/>
      <c r="D130" s="430"/>
      <c r="E130" s="432"/>
      <c r="F130" s="430"/>
      <c r="G130" s="430"/>
      <c r="H130" s="430"/>
      <c r="I130" s="430"/>
      <c r="J130" s="430"/>
      <c r="K130" s="430"/>
      <c r="L130" s="430"/>
      <c r="M130" s="430"/>
      <c r="N130" s="430"/>
      <c r="O130" s="430"/>
      <c r="P130" s="430"/>
      <c r="Q130" s="430"/>
      <c r="R130" s="430"/>
      <c r="S130" s="430"/>
      <c r="T130" s="430"/>
      <c r="U130" s="430"/>
      <c r="V130" s="430"/>
      <c r="W130" s="430"/>
      <c r="X130" s="430"/>
      <c r="Y130" s="430"/>
      <c r="Z130" s="430"/>
      <c r="AA130" s="430"/>
    </row>
    <row r="131">
      <c r="A131" s="433"/>
      <c r="B131" s="430"/>
      <c r="C131" s="430"/>
      <c r="D131" s="430"/>
      <c r="E131" s="432"/>
      <c r="F131" s="430"/>
      <c r="G131" s="430"/>
      <c r="H131" s="430"/>
      <c r="I131" s="430"/>
      <c r="J131" s="430"/>
      <c r="K131" s="430"/>
      <c r="L131" s="430"/>
      <c r="M131" s="430"/>
      <c r="N131" s="430"/>
      <c r="O131" s="430"/>
      <c r="P131" s="430"/>
      <c r="Q131" s="430"/>
      <c r="R131" s="430"/>
      <c r="S131" s="430"/>
      <c r="T131" s="430"/>
      <c r="U131" s="430"/>
      <c r="V131" s="430"/>
      <c r="W131" s="430"/>
      <c r="X131" s="430"/>
      <c r="Y131" s="430"/>
      <c r="Z131" s="430"/>
      <c r="AA131" s="430"/>
    </row>
    <row r="132">
      <c r="A132" s="433"/>
      <c r="B132" s="430"/>
      <c r="C132" s="430"/>
      <c r="D132" s="430"/>
      <c r="E132" s="432"/>
      <c r="F132" s="430"/>
      <c r="G132" s="430"/>
      <c r="H132" s="430"/>
      <c r="I132" s="430"/>
      <c r="J132" s="430"/>
      <c r="K132" s="430"/>
      <c r="L132" s="430"/>
      <c r="M132" s="430"/>
      <c r="N132" s="430"/>
      <c r="O132" s="430"/>
      <c r="P132" s="430"/>
      <c r="Q132" s="430"/>
      <c r="R132" s="430"/>
      <c r="S132" s="430"/>
      <c r="T132" s="430"/>
      <c r="U132" s="430"/>
      <c r="V132" s="430"/>
      <c r="W132" s="430"/>
      <c r="X132" s="430"/>
      <c r="Y132" s="430"/>
      <c r="Z132" s="430"/>
      <c r="AA132" s="430"/>
    </row>
    <row r="133">
      <c r="A133" s="433"/>
      <c r="B133" s="430"/>
      <c r="C133" s="430"/>
      <c r="D133" s="430"/>
      <c r="E133" s="432"/>
      <c r="F133" s="430"/>
      <c r="G133" s="430"/>
      <c r="H133" s="430"/>
      <c r="I133" s="430"/>
      <c r="J133" s="430"/>
      <c r="K133" s="430"/>
      <c r="L133" s="430"/>
      <c r="M133" s="430"/>
      <c r="N133" s="430"/>
      <c r="O133" s="430"/>
      <c r="P133" s="430"/>
      <c r="Q133" s="430"/>
      <c r="R133" s="430"/>
      <c r="S133" s="430"/>
      <c r="T133" s="430"/>
      <c r="U133" s="430"/>
      <c r="V133" s="430"/>
      <c r="W133" s="430"/>
      <c r="X133" s="430"/>
      <c r="Y133" s="430"/>
      <c r="Z133" s="430"/>
      <c r="AA133" s="430"/>
    </row>
    <row r="134">
      <c r="A134" s="433"/>
      <c r="B134" s="430"/>
      <c r="C134" s="430"/>
      <c r="D134" s="430"/>
      <c r="E134" s="432"/>
      <c r="F134" s="430"/>
      <c r="G134" s="430"/>
      <c r="H134" s="430"/>
      <c r="I134" s="430"/>
      <c r="J134" s="430"/>
      <c r="K134" s="430"/>
      <c r="L134" s="430"/>
      <c r="M134" s="430"/>
      <c r="N134" s="430"/>
      <c r="O134" s="430"/>
      <c r="P134" s="430"/>
      <c r="Q134" s="430"/>
      <c r="R134" s="430"/>
      <c r="S134" s="430"/>
      <c r="T134" s="430"/>
      <c r="U134" s="430"/>
      <c r="V134" s="430"/>
      <c r="W134" s="430"/>
      <c r="X134" s="430"/>
      <c r="Y134" s="430"/>
      <c r="Z134" s="430"/>
      <c r="AA134" s="430"/>
    </row>
    <row r="135">
      <c r="A135" s="433"/>
      <c r="B135" s="430"/>
      <c r="C135" s="430"/>
      <c r="D135" s="430"/>
      <c r="E135" s="432"/>
      <c r="F135" s="430"/>
      <c r="G135" s="430"/>
      <c r="H135" s="430"/>
      <c r="I135" s="430"/>
      <c r="J135" s="430"/>
      <c r="K135" s="430"/>
      <c r="L135" s="430"/>
      <c r="M135" s="430"/>
      <c r="N135" s="430"/>
      <c r="O135" s="430"/>
      <c r="P135" s="430"/>
      <c r="Q135" s="430"/>
      <c r="R135" s="430"/>
      <c r="S135" s="430"/>
      <c r="T135" s="430"/>
      <c r="U135" s="430"/>
      <c r="V135" s="430"/>
      <c r="W135" s="430"/>
      <c r="X135" s="430"/>
      <c r="Y135" s="430"/>
      <c r="Z135" s="430"/>
      <c r="AA135" s="430"/>
    </row>
    <row r="136">
      <c r="A136" s="433"/>
      <c r="B136" s="430"/>
      <c r="C136" s="430"/>
      <c r="D136" s="430"/>
      <c r="E136" s="432"/>
      <c r="F136" s="430"/>
      <c r="G136" s="430"/>
      <c r="H136" s="430"/>
      <c r="I136" s="430"/>
      <c r="J136" s="430"/>
      <c r="K136" s="430"/>
      <c r="L136" s="430"/>
      <c r="M136" s="430"/>
      <c r="N136" s="430"/>
      <c r="O136" s="430"/>
      <c r="P136" s="430"/>
      <c r="Q136" s="430"/>
      <c r="R136" s="430"/>
      <c r="S136" s="430"/>
      <c r="T136" s="430"/>
      <c r="U136" s="430"/>
      <c r="V136" s="430"/>
      <c r="W136" s="430"/>
      <c r="X136" s="430"/>
      <c r="Y136" s="430"/>
      <c r="Z136" s="430"/>
      <c r="AA136" s="430"/>
    </row>
    <row r="137">
      <c r="A137" s="433"/>
      <c r="B137" s="430"/>
      <c r="C137" s="430"/>
      <c r="D137" s="430"/>
      <c r="E137" s="432"/>
      <c r="F137" s="430"/>
      <c r="G137" s="430"/>
      <c r="H137" s="430"/>
      <c r="I137" s="430"/>
      <c r="J137" s="430"/>
      <c r="K137" s="430"/>
      <c r="L137" s="430"/>
      <c r="M137" s="430"/>
      <c r="N137" s="430"/>
      <c r="O137" s="430"/>
      <c r="P137" s="430"/>
      <c r="Q137" s="430"/>
      <c r="R137" s="430"/>
      <c r="S137" s="430"/>
      <c r="T137" s="430"/>
      <c r="U137" s="430"/>
      <c r="V137" s="430"/>
      <c r="W137" s="430"/>
      <c r="X137" s="430"/>
      <c r="Y137" s="430"/>
      <c r="Z137" s="430"/>
      <c r="AA137" s="430"/>
    </row>
    <row r="138">
      <c r="A138" s="433"/>
      <c r="B138" s="430"/>
      <c r="C138" s="430"/>
      <c r="D138" s="430"/>
      <c r="E138" s="432"/>
      <c r="F138" s="430"/>
      <c r="G138" s="430"/>
      <c r="H138" s="430"/>
      <c r="I138" s="430"/>
      <c r="J138" s="430"/>
      <c r="K138" s="430"/>
      <c r="L138" s="430"/>
      <c r="M138" s="430"/>
      <c r="N138" s="430"/>
      <c r="O138" s="430"/>
      <c r="P138" s="430"/>
      <c r="Q138" s="430"/>
      <c r="R138" s="430"/>
      <c r="S138" s="430"/>
      <c r="T138" s="430"/>
      <c r="U138" s="430"/>
      <c r="V138" s="430"/>
      <c r="W138" s="430"/>
      <c r="X138" s="430"/>
      <c r="Y138" s="430"/>
      <c r="Z138" s="430"/>
      <c r="AA138" s="430"/>
    </row>
    <row r="139">
      <c r="A139" s="433"/>
      <c r="B139" s="430"/>
      <c r="C139" s="430"/>
      <c r="D139" s="430"/>
      <c r="E139" s="432"/>
      <c r="F139" s="430"/>
      <c r="G139" s="430"/>
      <c r="H139" s="430"/>
      <c r="I139" s="430"/>
      <c r="J139" s="430"/>
      <c r="K139" s="430"/>
      <c r="L139" s="430"/>
      <c r="M139" s="430"/>
      <c r="N139" s="430"/>
      <c r="O139" s="430"/>
      <c r="P139" s="430"/>
      <c r="Q139" s="430"/>
      <c r="R139" s="430"/>
      <c r="S139" s="430"/>
      <c r="T139" s="430"/>
      <c r="U139" s="430"/>
      <c r="V139" s="430"/>
      <c r="W139" s="430"/>
      <c r="X139" s="430"/>
      <c r="Y139" s="430"/>
      <c r="Z139" s="430"/>
      <c r="AA139" s="430"/>
    </row>
    <row r="140">
      <c r="A140" s="433"/>
      <c r="B140" s="430"/>
      <c r="C140" s="430"/>
      <c r="D140" s="430"/>
      <c r="E140" s="432"/>
      <c r="F140" s="430"/>
      <c r="G140" s="430"/>
      <c r="H140" s="430"/>
      <c r="I140" s="430"/>
      <c r="J140" s="430"/>
      <c r="K140" s="430"/>
      <c r="L140" s="430"/>
      <c r="M140" s="430"/>
      <c r="N140" s="430"/>
      <c r="O140" s="430"/>
      <c r="P140" s="430"/>
      <c r="Q140" s="430"/>
      <c r="R140" s="430"/>
      <c r="S140" s="430"/>
      <c r="T140" s="430"/>
      <c r="U140" s="430"/>
      <c r="V140" s="430"/>
      <c r="W140" s="430"/>
      <c r="X140" s="430"/>
      <c r="Y140" s="430"/>
      <c r="Z140" s="430"/>
      <c r="AA140" s="430"/>
    </row>
    <row r="141">
      <c r="A141" s="433"/>
      <c r="B141" s="430"/>
      <c r="C141" s="430"/>
      <c r="D141" s="430"/>
      <c r="E141" s="432"/>
      <c r="F141" s="430"/>
      <c r="G141" s="430"/>
      <c r="H141" s="430"/>
      <c r="I141" s="430"/>
      <c r="J141" s="430"/>
      <c r="K141" s="430"/>
      <c r="L141" s="430"/>
      <c r="M141" s="430"/>
      <c r="N141" s="430"/>
      <c r="O141" s="430"/>
      <c r="P141" s="430"/>
      <c r="Q141" s="430"/>
      <c r="R141" s="430"/>
      <c r="S141" s="430"/>
      <c r="T141" s="430"/>
      <c r="U141" s="430"/>
      <c r="V141" s="430"/>
      <c r="W141" s="430"/>
      <c r="X141" s="430"/>
      <c r="Y141" s="430"/>
      <c r="Z141" s="430"/>
      <c r="AA141" s="430"/>
    </row>
    <row r="142">
      <c r="A142" s="433"/>
      <c r="B142" s="430"/>
      <c r="C142" s="430"/>
      <c r="D142" s="430"/>
      <c r="E142" s="432"/>
      <c r="F142" s="430"/>
      <c r="G142" s="430"/>
      <c r="H142" s="430"/>
      <c r="I142" s="430"/>
      <c r="J142" s="430"/>
      <c r="K142" s="430"/>
      <c r="L142" s="430"/>
      <c r="M142" s="430"/>
      <c r="N142" s="430"/>
      <c r="O142" s="430"/>
      <c r="P142" s="430"/>
      <c r="Q142" s="430"/>
      <c r="R142" s="430"/>
      <c r="S142" s="430"/>
      <c r="T142" s="430"/>
      <c r="U142" s="430"/>
      <c r="V142" s="430"/>
      <c r="W142" s="430"/>
      <c r="X142" s="430"/>
      <c r="Y142" s="430"/>
      <c r="Z142" s="430"/>
      <c r="AA142" s="430"/>
    </row>
    <row r="143">
      <c r="A143" s="433"/>
      <c r="B143" s="430"/>
      <c r="C143" s="430"/>
      <c r="D143" s="430"/>
      <c r="E143" s="432"/>
      <c r="F143" s="430"/>
      <c r="G143" s="430"/>
      <c r="H143" s="430"/>
      <c r="I143" s="430"/>
      <c r="J143" s="430"/>
      <c r="K143" s="430"/>
      <c r="L143" s="430"/>
      <c r="M143" s="430"/>
      <c r="N143" s="430"/>
      <c r="O143" s="430"/>
      <c r="P143" s="430"/>
      <c r="Q143" s="430"/>
      <c r="R143" s="430"/>
      <c r="S143" s="430"/>
      <c r="T143" s="430"/>
      <c r="U143" s="430"/>
      <c r="V143" s="430"/>
      <c r="W143" s="430"/>
      <c r="X143" s="430"/>
      <c r="Y143" s="430"/>
      <c r="Z143" s="430"/>
      <c r="AA143" s="430"/>
    </row>
    <row r="144">
      <c r="A144" s="433"/>
      <c r="B144" s="430"/>
      <c r="C144" s="430"/>
      <c r="D144" s="430"/>
      <c r="E144" s="432"/>
      <c r="F144" s="430"/>
      <c r="G144" s="430"/>
      <c r="H144" s="430"/>
      <c r="I144" s="430"/>
      <c r="J144" s="430"/>
      <c r="K144" s="430"/>
      <c r="L144" s="430"/>
      <c r="M144" s="430"/>
      <c r="N144" s="430"/>
      <c r="O144" s="430"/>
      <c r="P144" s="430"/>
      <c r="Q144" s="430"/>
      <c r="R144" s="430"/>
      <c r="S144" s="430"/>
      <c r="T144" s="430"/>
      <c r="U144" s="430"/>
      <c r="V144" s="430"/>
      <c r="W144" s="430"/>
      <c r="X144" s="430"/>
      <c r="Y144" s="430"/>
      <c r="Z144" s="430"/>
      <c r="AA144" s="430"/>
    </row>
    <row r="145">
      <c r="A145" s="433"/>
      <c r="B145" s="430"/>
      <c r="C145" s="430"/>
      <c r="D145" s="430"/>
      <c r="E145" s="432"/>
      <c r="F145" s="430"/>
      <c r="G145" s="430"/>
      <c r="H145" s="430"/>
      <c r="I145" s="430"/>
      <c r="J145" s="430"/>
      <c r="K145" s="430"/>
      <c r="L145" s="430"/>
      <c r="M145" s="430"/>
      <c r="N145" s="430"/>
      <c r="O145" s="430"/>
      <c r="P145" s="430"/>
      <c r="Q145" s="430"/>
      <c r="R145" s="430"/>
      <c r="S145" s="430"/>
      <c r="T145" s="430"/>
      <c r="U145" s="430"/>
      <c r="V145" s="430"/>
      <c r="W145" s="430"/>
      <c r="X145" s="430"/>
      <c r="Y145" s="430"/>
      <c r="Z145" s="430"/>
      <c r="AA145" s="430"/>
    </row>
    <row r="146">
      <c r="A146" s="433"/>
      <c r="B146" s="430"/>
      <c r="C146" s="430"/>
      <c r="D146" s="430"/>
      <c r="E146" s="432"/>
      <c r="F146" s="430"/>
      <c r="G146" s="430"/>
      <c r="H146" s="430"/>
      <c r="I146" s="430"/>
      <c r="J146" s="430"/>
      <c r="K146" s="430"/>
      <c r="L146" s="430"/>
      <c r="M146" s="430"/>
      <c r="N146" s="430"/>
      <c r="O146" s="430"/>
      <c r="P146" s="430"/>
      <c r="Q146" s="430"/>
      <c r="R146" s="430"/>
      <c r="S146" s="430"/>
      <c r="T146" s="430"/>
      <c r="U146" s="430"/>
      <c r="V146" s="430"/>
      <c r="W146" s="430"/>
      <c r="X146" s="430"/>
      <c r="Y146" s="430"/>
      <c r="Z146" s="430"/>
      <c r="AA146" s="430"/>
    </row>
    <row r="147">
      <c r="A147" s="433"/>
      <c r="B147" s="430"/>
      <c r="C147" s="430"/>
      <c r="D147" s="430"/>
      <c r="E147" s="432"/>
      <c r="F147" s="430"/>
      <c r="G147" s="430"/>
      <c r="H147" s="430"/>
      <c r="I147" s="430"/>
      <c r="J147" s="430"/>
      <c r="K147" s="430"/>
      <c r="L147" s="430"/>
      <c r="M147" s="430"/>
      <c r="N147" s="430"/>
      <c r="O147" s="430"/>
      <c r="P147" s="430"/>
      <c r="Q147" s="430"/>
      <c r="R147" s="430"/>
      <c r="S147" s="430"/>
      <c r="T147" s="430"/>
      <c r="U147" s="430"/>
      <c r="V147" s="430"/>
      <c r="W147" s="430"/>
      <c r="X147" s="430"/>
      <c r="Y147" s="430"/>
      <c r="Z147" s="430"/>
      <c r="AA147" s="430"/>
    </row>
    <row r="148">
      <c r="A148" s="433"/>
      <c r="B148" s="430"/>
      <c r="C148" s="430"/>
      <c r="D148" s="430"/>
      <c r="E148" s="432"/>
      <c r="F148" s="430"/>
      <c r="G148" s="430"/>
      <c r="H148" s="430"/>
      <c r="I148" s="430"/>
      <c r="J148" s="430"/>
      <c r="K148" s="430"/>
      <c r="L148" s="430"/>
      <c r="M148" s="430"/>
      <c r="N148" s="430"/>
      <c r="O148" s="430"/>
      <c r="P148" s="430"/>
      <c r="Q148" s="430"/>
      <c r="R148" s="430"/>
      <c r="S148" s="430"/>
      <c r="T148" s="430"/>
      <c r="U148" s="430"/>
      <c r="V148" s="430"/>
      <c r="W148" s="430"/>
      <c r="X148" s="430"/>
      <c r="Y148" s="430"/>
      <c r="Z148" s="430"/>
      <c r="AA148" s="430"/>
    </row>
    <row r="149">
      <c r="A149" s="433"/>
      <c r="B149" s="430"/>
      <c r="C149" s="430"/>
      <c r="D149" s="430"/>
      <c r="E149" s="432"/>
      <c r="F149" s="430"/>
      <c r="G149" s="430"/>
      <c r="H149" s="430"/>
      <c r="I149" s="430"/>
      <c r="J149" s="430"/>
      <c r="K149" s="430"/>
      <c r="L149" s="430"/>
      <c r="M149" s="430"/>
      <c r="N149" s="430"/>
      <c r="O149" s="430"/>
      <c r="P149" s="430"/>
      <c r="Q149" s="430"/>
      <c r="R149" s="430"/>
      <c r="S149" s="430"/>
      <c r="T149" s="430"/>
      <c r="U149" s="430"/>
      <c r="V149" s="430"/>
      <c r="W149" s="430"/>
      <c r="X149" s="430"/>
      <c r="Y149" s="430"/>
      <c r="Z149" s="430"/>
      <c r="AA149" s="430"/>
    </row>
    <row r="150">
      <c r="A150" s="433"/>
      <c r="B150" s="430"/>
      <c r="C150" s="430"/>
      <c r="D150" s="430"/>
      <c r="E150" s="432"/>
      <c r="F150" s="430"/>
      <c r="G150" s="430"/>
      <c r="H150" s="430"/>
      <c r="I150" s="430"/>
      <c r="J150" s="430"/>
      <c r="K150" s="430"/>
      <c r="L150" s="430"/>
      <c r="M150" s="430"/>
      <c r="N150" s="430"/>
      <c r="O150" s="430"/>
      <c r="P150" s="430"/>
      <c r="Q150" s="430"/>
      <c r="R150" s="430"/>
      <c r="S150" s="430"/>
      <c r="T150" s="430"/>
      <c r="U150" s="430"/>
      <c r="V150" s="430"/>
      <c r="W150" s="430"/>
      <c r="X150" s="430"/>
      <c r="Y150" s="430"/>
      <c r="Z150" s="430"/>
      <c r="AA150" s="430"/>
    </row>
    <row r="151">
      <c r="A151" s="433"/>
      <c r="B151" s="430"/>
      <c r="C151" s="430"/>
      <c r="D151" s="430"/>
      <c r="E151" s="432"/>
      <c r="F151" s="430"/>
      <c r="G151" s="430"/>
      <c r="H151" s="430"/>
      <c r="I151" s="430"/>
      <c r="J151" s="430"/>
      <c r="K151" s="430"/>
      <c r="L151" s="430"/>
      <c r="M151" s="430"/>
      <c r="N151" s="430"/>
      <c r="O151" s="430"/>
      <c r="P151" s="430"/>
      <c r="Q151" s="430"/>
      <c r="R151" s="430"/>
      <c r="S151" s="430"/>
      <c r="T151" s="430"/>
      <c r="U151" s="430"/>
      <c r="V151" s="430"/>
      <c r="W151" s="430"/>
      <c r="X151" s="430"/>
      <c r="Y151" s="430"/>
      <c r="Z151" s="430"/>
      <c r="AA151" s="430"/>
    </row>
    <row r="152">
      <c r="A152" s="433"/>
      <c r="B152" s="430"/>
      <c r="C152" s="430"/>
      <c r="D152" s="430"/>
      <c r="E152" s="432"/>
      <c r="F152" s="430"/>
      <c r="G152" s="430"/>
      <c r="H152" s="430"/>
      <c r="I152" s="430"/>
      <c r="J152" s="430"/>
      <c r="K152" s="430"/>
      <c r="L152" s="430"/>
      <c r="M152" s="430"/>
      <c r="N152" s="430"/>
      <c r="O152" s="430"/>
      <c r="P152" s="430"/>
      <c r="Q152" s="430"/>
      <c r="R152" s="430"/>
      <c r="S152" s="430"/>
      <c r="T152" s="430"/>
      <c r="U152" s="430"/>
      <c r="V152" s="430"/>
      <c r="W152" s="430"/>
      <c r="X152" s="430"/>
      <c r="Y152" s="430"/>
      <c r="Z152" s="430"/>
      <c r="AA152" s="430"/>
    </row>
    <row r="153">
      <c r="A153" s="433"/>
      <c r="B153" s="430"/>
      <c r="C153" s="430"/>
      <c r="D153" s="430"/>
      <c r="E153" s="432"/>
      <c r="F153" s="430"/>
      <c r="G153" s="430"/>
      <c r="H153" s="430"/>
      <c r="I153" s="430"/>
      <c r="J153" s="430"/>
      <c r="K153" s="430"/>
      <c r="L153" s="430"/>
      <c r="M153" s="430"/>
      <c r="N153" s="430"/>
      <c r="O153" s="430"/>
      <c r="P153" s="430"/>
      <c r="Q153" s="430"/>
      <c r="R153" s="430"/>
      <c r="S153" s="430"/>
      <c r="T153" s="430"/>
      <c r="U153" s="430"/>
      <c r="V153" s="430"/>
      <c r="W153" s="430"/>
      <c r="X153" s="430"/>
      <c r="Y153" s="430"/>
      <c r="Z153" s="430"/>
      <c r="AA153" s="430"/>
    </row>
    <row r="154">
      <c r="A154" s="433"/>
      <c r="B154" s="430"/>
      <c r="C154" s="430"/>
      <c r="D154" s="430"/>
      <c r="E154" s="432"/>
      <c r="F154" s="430"/>
      <c r="G154" s="430"/>
      <c r="H154" s="430"/>
      <c r="I154" s="430"/>
      <c r="J154" s="430"/>
      <c r="K154" s="430"/>
      <c r="L154" s="430"/>
      <c r="M154" s="430"/>
      <c r="N154" s="430"/>
      <c r="O154" s="430"/>
      <c r="P154" s="430"/>
      <c r="Q154" s="430"/>
      <c r="R154" s="430"/>
      <c r="S154" s="430"/>
      <c r="T154" s="430"/>
      <c r="U154" s="430"/>
      <c r="V154" s="430"/>
      <c r="W154" s="430"/>
      <c r="X154" s="430"/>
      <c r="Y154" s="430"/>
      <c r="Z154" s="430"/>
      <c r="AA154" s="430"/>
    </row>
    <row r="155">
      <c r="A155" s="433"/>
      <c r="B155" s="430"/>
      <c r="C155" s="430"/>
      <c r="D155" s="430"/>
      <c r="E155" s="432"/>
      <c r="F155" s="430"/>
      <c r="G155" s="430"/>
      <c r="H155" s="430"/>
      <c r="I155" s="430"/>
      <c r="J155" s="430"/>
      <c r="K155" s="430"/>
      <c r="L155" s="430"/>
      <c r="M155" s="430"/>
      <c r="N155" s="430"/>
      <c r="O155" s="430"/>
      <c r="P155" s="430"/>
      <c r="Q155" s="430"/>
      <c r="R155" s="430"/>
      <c r="S155" s="430"/>
      <c r="T155" s="430"/>
      <c r="U155" s="430"/>
      <c r="V155" s="430"/>
      <c r="W155" s="430"/>
      <c r="X155" s="430"/>
      <c r="Y155" s="430"/>
      <c r="Z155" s="430"/>
      <c r="AA155" s="430"/>
    </row>
    <row r="156">
      <c r="A156" s="433"/>
      <c r="B156" s="430"/>
      <c r="C156" s="430"/>
      <c r="D156" s="430"/>
      <c r="E156" s="432"/>
      <c r="F156" s="430"/>
      <c r="G156" s="430"/>
      <c r="H156" s="430"/>
      <c r="I156" s="430"/>
      <c r="J156" s="430"/>
      <c r="K156" s="430"/>
      <c r="L156" s="430"/>
      <c r="M156" s="430"/>
      <c r="N156" s="430"/>
      <c r="O156" s="430"/>
      <c r="P156" s="430"/>
      <c r="Q156" s="430"/>
      <c r="R156" s="430"/>
      <c r="S156" s="430"/>
      <c r="T156" s="430"/>
      <c r="U156" s="430"/>
      <c r="V156" s="430"/>
      <c r="W156" s="430"/>
      <c r="X156" s="430"/>
      <c r="Y156" s="430"/>
      <c r="Z156" s="430"/>
      <c r="AA156" s="430"/>
    </row>
    <row r="157">
      <c r="A157" s="433"/>
      <c r="B157" s="430"/>
      <c r="C157" s="430"/>
      <c r="D157" s="430"/>
      <c r="E157" s="432"/>
      <c r="F157" s="430"/>
      <c r="G157" s="430"/>
      <c r="H157" s="430"/>
      <c r="I157" s="430"/>
      <c r="J157" s="430"/>
      <c r="K157" s="430"/>
      <c r="L157" s="430"/>
      <c r="M157" s="430"/>
      <c r="N157" s="430"/>
      <c r="O157" s="430"/>
      <c r="P157" s="430"/>
      <c r="Q157" s="430"/>
      <c r="R157" s="430"/>
      <c r="S157" s="430"/>
      <c r="T157" s="430"/>
      <c r="U157" s="430"/>
      <c r="V157" s="430"/>
      <c r="W157" s="430"/>
      <c r="X157" s="430"/>
      <c r="Y157" s="430"/>
      <c r="Z157" s="430"/>
      <c r="AA157" s="430"/>
    </row>
    <row r="158">
      <c r="A158" s="433"/>
      <c r="B158" s="430"/>
      <c r="C158" s="430"/>
      <c r="D158" s="430"/>
      <c r="E158" s="432"/>
      <c r="F158" s="430"/>
      <c r="G158" s="430"/>
      <c r="H158" s="430"/>
      <c r="I158" s="430"/>
      <c r="J158" s="430"/>
      <c r="K158" s="430"/>
      <c r="L158" s="430"/>
      <c r="M158" s="430"/>
      <c r="N158" s="430"/>
      <c r="O158" s="430"/>
      <c r="P158" s="430"/>
      <c r="Q158" s="430"/>
      <c r="R158" s="430"/>
      <c r="S158" s="430"/>
      <c r="T158" s="430"/>
      <c r="U158" s="430"/>
      <c r="V158" s="430"/>
      <c r="W158" s="430"/>
      <c r="X158" s="430"/>
      <c r="Y158" s="430"/>
      <c r="Z158" s="430"/>
      <c r="AA158" s="430"/>
    </row>
    <row r="159">
      <c r="A159" s="433"/>
      <c r="B159" s="430"/>
      <c r="C159" s="430"/>
      <c r="D159" s="430"/>
      <c r="E159" s="432"/>
      <c r="F159" s="430"/>
      <c r="G159" s="430"/>
      <c r="H159" s="430"/>
      <c r="I159" s="430"/>
      <c r="J159" s="430"/>
      <c r="K159" s="430"/>
      <c r="L159" s="430"/>
      <c r="M159" s="430"/>
      <c r="N159" s="430"/>
      <c r="O159" s="430"/>
      <c r="P159" s="430"/>
      <c r="Q159" s="430"/>
      <c r="R159" s="430"/>
      <c r="S159" s="430"/>
      <c r="T159" s="430"/>
      <c r="U159" s="430"/>
      <c r="V159" s="430"/>
      <c r="W159" s="430"/>
      <c r="X159" s="430"/>
      <c r="Y159" s="430"/>
      <c r="Z159" s="430"/>
      <c r="AA159" s="430"/>
    </row>
    <row r="160">
      <c r="A160" s="433"/>
      <c r="B160" s="430"/>
      <c r="C160" s="430"/>
      <c r="D160" s="430"/>
      <c r="E160" s="432"/>
      <c r="F160" s="430"/>
      <c r="G160" s="430"/>
      <c r="H160" s="430"/>
      <c r="I160" s="430"/>
      <c r="J160" s="430"/>
      <c r="K160" s="430"/>
      <c r="L160" s="430"/>
      <c r="M160" s="430"/>
      <c r="N160" s="430"/>
      <c r="O160" s="430"/>
      <c r="P160" s="430"/>
      <c r="Q160" s="430"/>
      <c r="R160" s="430"/>
      <c r="S160" s="430"/>
      <c r="T160" s="430"/>
      <c r="U160" s="430"/>
      <c r="V160" s="430"/>
      <c r="W160" s="430"/>
      <c r="X160" s="430"/>
      <c r="Y160" s="430"/>
      <c r="Z160" s="430"/>
      <c r="AA160" s="430"/>
    </row>
    <row r="161">
      <c r="A161" s="433"/>
      <c r="B161" s="430"/>
      <c r="C161" s="430"/>
      <c r="D161" s="430"/>
      <c r="E161" s="432"/>
      <c r="F161" s="430"/>
      <c r="G161" s="430"/>
      <c r="H161" s="430"/>
      <c r="I161" s="430"/>
      <c r="J161" s="430"/>
      <c r="K161" s="430"/>
      <c r="L161" s="430"/>
      <c r="M161" s="430"/>
      <c r="N161" s="430"/>
      <c r="O161" s="430"/>
      <c r="P161" s="430"/>
      <c r="Q161" s="430"/>
      <c r="R161" s="430"/>
      <c r="S161" s="430"/>
      <c r="T161" s="430"/>
      <c r="U161" s="430"/>
      <c r="V161" s="430"/>
      <c r="W161" s="430"/>
      <c r="X161" s="430"/>
      <c r="Y161" s="430"/>
      <c r="Z161" s="430"/>
      <c r="AA161" s="430"/>
    </row>
    <row r="162">
      <c r="A162" s="433"/>
      <c r="B162" s="430"/>
      <c r="C162" s="430"/>
      <c r="D162" s="430"/>
      <c r="E162" s="432"/>
      <c r="F162" s="430"/>
      <c r="G162" s="430"/>
      <c r="H162" s="430"/>
      <c r="I162" s="430"/>
      <c r="J162" s="430"/>
      <c r="K162" s="430"/>
      <c r="L162" s="430"/>
      <c r="M162" s="430"/>
      <c r="N162" s="430"/>
      <c r="O162" s="430"/>
      <c r="P162" s="430"/>
      <c r="Q162" s="430"/>
      <c r="R162" s="430"/>
      <c r="S162" s="430"/>
      <c r="T162" s="430"/>
      <c r="U162" s="430"/>
      <c r="V162" s="430"/>
      <c r="W162" s="430"/>
      <c r="X162" s="430"/>
      <c r="Y162" s="430"/>
      <c r="Z162" s="430"/>
      <c r="AA162" s="430"/>
    </row>
    <row r="163">
      <c r="A163" s="433"/>
      <c r="B163" s="430"/>
      <c r="C163" s="430"/>
      <c r="D163" s="430"/>
      <c r="E163" s="432"/>
      <c r="F163" s="430"/>
      <c r="G163" s="430"/>
      <c r="H163" s="430"/>
      <c r="I163" s="430"/>
      <c r="J163" s="430"/>
      <c r="K163" s="430"/>
      <c r="L163" s="430"/>
      <c r="M163" s="430"/>
      <c r="N163" s="430"/>
      <c r="O163" s="430"/>
      <c r="P163" s="430"/>
      <c r="Q163" s="430"/>
      <c r="R163" s="430"/>
      <c r="S163" s="430"/>
      <c r="T163" s="430"/>
      <c r="U163" s="430"/>
      <c r="V163" s="430"/>
      <c r="W163" s="430"/>
      <c r="X163" s="430"/>
      <c r="Y163" s="430"/>
      <c r="Z163" s="430"/>
      <c r="AA163" s="430"/>
    </row>
    <row r="164">
      <c r="A164" s="433"/>
      <c r="B164" s="430"/>
      <c r="C164" s="430"/>
      <c r="D164" s="430"/>
      <c r="E164" s="432"/>
      <c r="F164" s="430"/>
      <c r="G164" s="430"/>
      <c r="H164" s="430"/>
      <c r="I164" s="430"/>
      <c r="J164" s="430"/>
      <c r="K164" s="430"/>
      <c r="L164" s="430"/>
      <c r="M164" s="430"/>
      <c r="N164" s="430"/>
      <c r="O164" s="430"/>
      <c r="P164" s="430"/>
      <c r="Q164" s="430"/>
      <c r="R164" s="430"/>
      <c r="S164" s="430"/>
      <c r="T164" s="430"/>
      <c r="U164" s="430"/>
      <c r="V164" s="430"/>
      <c r="W164" s="430"/>
      <c r="X164" s="430"/>
      <c r="Y164" s="430"/>
      <c r="Z164" s="430"/>
      <c r="AA164" s="430"/>
    </row>
    <row r="165">
      <c r="A165" s="433"/>
      <c r="B165" s="430"/>
      <c r="C165" s="430"/>
      <c r="D165" s="430"/>
      <c r="E165" s="432"/>
      <c r="F165" s="430"/>
      <c r="G165" s="430"/>
      <c r="H165" s="430"/>
      <c r="I165" s="430"/>
      <c r="J165" s="430"/>
      <c r="K165" s="430"/>
      <c r="L165" s="430"/>
      <c r="M165" s="430"/>
      <c r="N165" s="430"/>
      <c r="O165" s="430"/>
      <c r="P165" s="430"/>
      <c r="Q165" s="430"/>
      <c r="R165" s="430"/>
      <c r="S165" s="430"/>
      <c r="T165" s="430"/>
      <c r="U165" s="430"/>
      <c r="V165" s="430"/>
      <c r="W165" s="430"/>
      <c r="X165" s="430"/>
      <c r="Y165" s="430"/>
      <c r="Z165" s="430"/>
      <c r="AA165" s="430"/>
    </row>
    <row r="166">
      <c r="A166" s="433"/>
      <c r="B166" s="430"/>
      <c r="C166" s="430"/>
      <c r="D166" s="430"/>
      <c r="E166" s="432"/>
      <c r="F166" s="430"/>
      <c r="G166" s="430"/>
      <c r="H166" s="430"/>
      <c r="I166" s="430"/>
      <c r="J166" s="430"/>
      <c r="K166" s="430"/>
      <c r="L166" s="430"/>
      <c r="M166" s="430"/>
      <c r="N166" s="430"/>
      <c r="O166" s="430"/>
      <c r="P166" s="430"/>
      <c r="Q166" s="430"/>
      <c r="R166" s="430"/>
      <c r="S166" s="430"/>
      <c r="T166" s="430"/>
      <c r="U166" s="430"/>
      <c r="V166" s="430"/>
      <c r="W166" s="430"/>
      <c r="X166" s="430"/>
      <c r="Y166" s="430"/>
      <c r="Z166" s="430"/>
      <c r="AA166" s="430"/>
    </row>
    <row r="167">
      <c r="A167" s="433"/>
      <c r="B167" s="430"/>
      <c r="C167" s="430"/>
      <c r="D167" s="430"/>
      <c r="E167" s="432"/>
      <c r="F167" s="430"/>
      <c r="G167" s="430"/>
      <c r="H167" s="430"/>
      <c r="I167" s="430"/>
      <c r="J167" s="430"/>
      <c r="K167" s="430"/>
      <c r="L167" s="430"/>
      <c r="M167" s="430"/>
      <c r="N167" s="430"/>
      <c r="O167" s="430"/>
      <c r="P167" s="430"/>
      <c r="Q167" s="430"/>
      <c r="R167" s="430"/>
      <c r="S167" s="430"/>
      <c r="T167" s="430"/>
      <c r="U167" s="430"/>
      <c r="V167" s="430"/>
      <c r="W167" s="430"/>
      <c r="X167" s="430"/>
      <c r="Y167" s="430"/>
      <c r="Z167" s="430"/>
      <c r="AA167" s="430"/>
    </row>
    <row r="168">
      <c r="A168" s="433"/>
      <c r="B168" s="430"/>
      <c r="C168" s="430"/>
      <c r="D168" s="430"/>
      <c r="E168" s="432"/>
      <c r="F168" s="430"/>
      <c r="G168" s="430"/>
      <c r="H168" s="430"/>
      <c r="I168" s="430"/>
      <c r="J168" s="430"/>
      <c r="K168" s="430"/>
      <c r="L168" s="430"/>
      <c r="M168" s="430"/>
      <c r="N168" s="430"/>
      <c r="O168" s="430"/>
      <c r="P168" s="430"/>
      <c r="Q168" s="430"/>
      <c r="R168" s="430"/>
      <c r="S168" s="430"/>
      <c r="T168" s="430"/>
      <c r="U168" s="430"/>
      <c r="V168" s="430"/>
      <c r="W168" s="430"/>
      <c r="X168" s="430"/>
      <c r="Y168" s="430"/>
      <c r="Z168" s="430"/>
      <c r="AA168" s="430"/>
    </row>
    <row r="169">
      <c r="A169" s="433"/>
      <c r="B169" s="430"/>
      <c r="C169" s="430"/>
      <c r="D169" s="430"/>
      <c r="E169" s="432"/>
      <c r="F169" s="430"/>
      <c r="G169" s="430"/>
      <c r="H169" s="430"/>
      <c r="I169" s="430"/>
      <c r="J169" s="430"/>
      <c r="K169" s="430"/>
      <c r="L169" s="430"/>
      <c r="M169" s="430"/>
      <c r="N169" s="430"/>
      <c r="O169" s="430"/>
      <c r="P169" s="430"/>
      <c r="Q169" s="430"/>
      <c r="R169" s="430"/>
      <c r="S169" s="430"/>
      <c r="T169" s="430"/>
      <c r="U169" s="430"/>
      <c r="V169" s="430"/>
      <c r="W169" s="430"/>
      <c r="X169" s="430"/>
      <c r="Y169" s="430"/>
      <c r="Z169" s="430"/>
      <c r="AA169" s="430"/>
    </row>
    <row r="170">
      <c r="A170" s="433"/>
      <c r="B170" s="430"/>
      <c r="C170" s="430"/>
      <c r="D170" s="430"/>
      <c r="E170" s="432"/>
      <c r="F170" s="430"/>
      <c r="G170" s="430"/>
      <c r="H170" s="430"/>
      <c r="I170" s="430"/>
      <c r="J170" s="430"/>
      <c r="K170" s="430"/>
      <c r="L170" s="430"/>
      <c r="M170" s="430"/>
      <c r="N170" s="430"/>
      <c r="O170" s="430"/>
      <c r="P170" s="430"/>
      <c r="Q170" s="430"/>
      <c r="R170" s="430"/>
      <c r="S170" s="430"/>
      <c r="T170" s="430"/>
      <c r="U170" s="430"/>
      <c r="V170" s="430"/>
      <c r="W170" s="430"/>
      <c r="X170" s="430"/>
      <c r="Y170" s="430"/>
      <c r="Z170" s="430"/>
      <c r="AA170" s="430"/>
    </row>
    <row r="171">
      <c r="A171" s="433"/>
      <c r="B171" s="430"/>
      <c r="C171" s="430"/>
      <c r="D171" s="430"/>
      <c r="E171" s="432"/>
      <c r="F171" s="430"/>
      <c r="G171" s="430"/>
      <c r="H171" s="430"/>
      <c r="I171" s="430"/>
      <c r="J171" s="430"/>
      <c r="K171" s="430"/>
      <c r="L171" s="430"/>
      <c r="M171" s="430"/>
      <c r="N171" s="430"/>
      <c r="O171" s="430"/>
      <c r="P171" s="430"/>
      <c r="Q171" s="430"/>
      <c r="R171" s="430"/>
      <c r="S171" s="430"/>
      <c r="T171" s="430"/>
      <c r="U171" s="430"/>
      <c r="V171" s="430"/>
      <c r="W171" s="430"/>
      <c r="X171" s="430"/>
      <c r="Y171" s="430"/>
      <c r="Z171" s="430"/>
      <c r="AA171" s="430"/>
    </row>
    <row r="172">
      <c r="A172" s="433"/>
      <c r="B172" s="430"/>
      <c r="C172" s="430"/>
      <c r="D172" s="430"/>
      <c r="E172" s="432"/>
      <c r="F172" s="430"/>
      <c r="G172" s="430"/>
      <c r="H172" s="430"/>
      <c r="I172" s="430"/>
      <c r="J172" s="430"/>
      <c r="K172" s="430"/>
      <c r="L172" s="430"/>
      <c r="M172" s="430"/>
      <c r="N172" s="430"/>
      <c r="O172" s="430"/>
      <c r="P172" s="430"/>
      <c r="Q172" s="430"/>
      <c r="R172" s="430"/>
      <c r="S172" s="430"/>
      <c r="T172" s="430"/>
      <c r="U172" s="430"/>
      <c r="V172" s="430"/>
      <c r="W172" s="430"/>
      <c r="X172" s="430"/>
      <c r="Y172" s="430"/>
      <c r="Z172" s="430"/>
      <c r="AA172" s="430"/>
    </row>
    <row r="173">
      <c r="A173" s="433"/>
      <c r="B173" s="430"/>
      <c r="C173" s="430"/>
      <c r="D173" s="430"/>
      <c r="E173" s="432"/>
      <c r="F173" s="430"/>
      <c r="G173" s="430"/>
      <c r="H173" s="430"/>
      <c r="I173" s="430"/>
      <c r="J173" s="430"/>
      <c r="K173" s="430"/>
      <c r="L173" s="430"/>
      <c r="M173" s="430"/>
      <c r="N173" s="430"/>
      <c r="O173" s="430"/>
      <c r="P173" s="430"/>
      <c r="Q173" s="430"/>
      <c r="R173" s="430"/>
      <c r="S173" s="430"/>
      <c r="T173" s="430"/>
      <c r="U173" s="430"/>
      <c r="V173" s="430"/>
      <c r="W173" s="430"/>
      <c r="X173" s="430"/>
      <c r="Y173" s="430"/>
      <c r="Z173" s="430"/>
      <c r="AA173" s="430"/>
    </row>
    <row r="174">
      <c r="A174" s="433"/>
      <c r="B174" s="430"/>
      <c r="C174" s="430"/>
      <c r="D174" s="430"/>
      <c r="E174" s="432"/>
      <c r="F174" s="430"/>
      <c r="G174" s="430"/>
      <c r="H174" s="430"/>
      <c r="I174" s="430"/>
      <c r="J174" s="430"/>
      <c r="K174" s="430"/>
      <c r="L174" s="430"/>
      <c r="M174" s="430"/>
      <c r="N174" s="430"/>
      <c r="O174" s="430"/>
      <c r="P174" s="430"/>
      <c r="Q174" s="430"/>
      <c r="R174" s="430"/>
      <c r="S174" s="430"/>
      <c r="T174" s="430"/>
      <c r="U174" s="430"/>
      <c r="V174" s="430"/>
      <c r="W174" s="430"/>
      <c r="X174" s="430"/>
      <c r="Y174" s="430"/>
      <c r="Z174" s="430"/>
      <c r="AA174" s="430"/>
    </row>
    <row r="175">
      <c r="A175" s="433"/>
      <c r="B175" s="430"/>
      <c r="C175" s="430"/>
      <c r="D175" s="430"/>
      <c r="E175" s="432"/>
      <c r="F175" s="430"/>
      <c r="G175" s="430"/>
      <c r="H175" s="430"/>
      <c r="I175" s="430"/>
      <c r="J175" s="430"/>
      <c r="K175" s="430"/>
      <c r="L175" s="430"/>
      <c r="M175" s="430"/>
      <c r="N175" s="430"/>
      <c r="O175" s="430"/>
      <c r="P175" s="430"/>
      <c r="Q175" s="430"/>
      <c r="R175" s="430"/>
      <c r="S175" s="430"/>
      <c r="T175" s="430"/>
      <c r="U175" s="430"/>
      <c r="V175" s="430"/>
      <c r="W175" s="430"/>
      <c r="X175" s="430"/>
      <c r="Y175" s="430"/>
      <c r="Z175" s="430"/>
      <c r="AA175" s="430"/>
    </row>
    <row r="176">
      <c r="A176" s="433"/>
      <c r="B176" s="430"/>
      <c r="C176" s="430"/>
      <c r="D176" s="430"/>
      <c r="E176" s="432"/>
      <c r="F176" s="430"/>
      <c r="G176" s="430"/>
      <c r="H176" s="430"/>
      <c r="I176" s="430"/>
      <c r="J176" s="430"/>
      <c r="K176" s="430"/>
      <c r="L176" s="430"/>
      <c r="M176" s="430"/>
      <c r="N176" s="430"/>
      <c r="O176" s="430"/>
      <c r="P176" s="430"/>
      <c r="Q176" s="430"/>
      <c r="R176" s="430"/>
      <c r="S176" s="430"/>
      <c r="T176" s="430"/>
      <c r="U176" s="430"/>
      <c r="V176" s="430"/>
      <c r="W176" s="430"/>
      <c r="X176" s="430"/>
      <c r="Y176" s="430"/>
      <c r="Z176" s="430"/>
      <c r="AA176" s="430"/>
    </row>
    <row r="177">
      <c r="A177" s="433"/>
      <c r="B177" s="430"/>
      <c r="C177" s="430"/>
      <c r="D177" s="430"/>
      <c r="E177" s="432"/>
      <c r="F177" s="430"/>
      <c r="G177" s="430"/>
      <c r="H177" s="430"/>
      <c r="I177" s="430"/>
      <c r="J177" s="430"/>
      <c r="K177" s="430"/>
      <c r="L177" s="430"/>
      <c r="M177" s="430"/>
      <c r="N177" s="430"/>
      <c r="O177" s="430"/>
      <c r="P177" s="430"/>
      <c r="Q177" s="430"/>
      <c r="R177" s="430"/>
      <c r="S177" s="430"/>
      <c r="T177" s="430"/>
      <c r="U177" s="430"/>
      <c r="V177" s="430"/>
      <c r="W177" s="430"/>
      <c r="X177" s="430"/>
      <c r="Y177" s="430"/>
      <c r="Z177" s="430"/>
      <c r="AA177" s="430"/>
    </row>
    <row r="178">
      <c r="A178" s="433"/>
      <c r="B178" s="430"/>
      <c r="C178" s="430"/>
      <c r="D178" s="430"/>
      <c r="E178" s="432"/>
      <c r="F178" s="430"/>
      <c r="G178" s="430"/>
      <c r="H178" s="430"/>
      <c r="I178" s="430"/>
      <c r="J178" s="430"/>
      <c r="K178" s="430"/>
      <c r="L178" s="430"/>
      <c r="M178" s="430"/>
      <c r="N178" s="430"/>
      <c r="O178" s="430"/>
      <c r="P178" s="430"/>
      <c r="Q178" s="430"/>
      <c r="R178" s="430"/>
      <c r="S178" s="430"/>
      <c r="T178" s="430"/>
      <c r="U178" s="430"/>
      <c r="V178" s="430"/>
      <c r="W178" s="430"/>
      <c r="X178" s="430"/>
      <c r="Y178" s="430"/>
      <c r="Z178" s="430"/>
      <c r="AA178" s="430"/>
    </row>
    <row r="179">
      <c r="A179" s="433"/>
      <c r="B179" s="430"/>
      <c r="C179" s="430"/>
      <c r="D179" s="430"/>
      <c r="E179" s="432"/>
      <c r="F179" s="430"/>
      <c r="G179" s="430"/>
      <c r="H179" s="430"/>
      <c r="I179" s="430"/>
      <c r="J179" s="430"/>
      <c r="K179" s="430"/>
      <c r="L179" s="430"/>
      <c r="M179" s="430"/>
      <c r="N179" s="430"/>
      <c r="O179" s="430"/>
      <c r="P179" s="430"/>
      <c r="Q179" s="430"/>
      <c r="R179" s="430"/>
      <c r="S179" s="430"/>
      <c r="T179" s="430"/>
      <c r="U179" s="430"/>
      <c r="V179" s="430"/>
      <c r="W179" s="430"/>
      <c r="X179" s="430"/>
      <c r="Y179" s="430"/>
      <c r="Z179" s="430"/>
      <c r="AA179" s="430"/>
    </row>
    <row r="180">
      <c r="A180" s="433"/>
      <c r="B180" s="430"/>
      <c r="C180" s="430"/>
      <c r="D180" s="430"/>
      <c r="E180" s="432"/>
      <c r="F180" s="430"/>
      <c r="G180" s="430"/>
      <c r="H180" s="430"/>
      <c r="I180" s="430"/>
      <c r="J180" s="430"/>
      <c r="K180" s="430"/>
      <c r="L180" s="430"/>
      <c r="M180" s="430"/>
      <c r="N180" s="430"/>
      <c r="O180" s="430"/>
      <c r="P180" s="430"/>
      <c r="Q180" s="430"/>
      <c r="R180" s="430"/>
      <c r="S180" s="430"/>
      <c r="T180" s="430"/>
      <c r="U180" s="430"/>
      <c r="V180" s="430"/>
      <c r="W180" s="430"/>
      <c r="X180" s="430"/>
      <c r="Y180" s="430"/>
      <c r="Z180" s="430"/>
      <c r="AA180" s="430"/>
    </row>
    <row r="181">
      <c r="A181" s="433"/>
      <c r="B181" s="430"/>
      <c r="C181" s="430"/>
      <c r="D181" s="430"/>
      <c r="E181" s="432"/>
      <c r="F181" s="430"/>
      <c r="G181" s="430"/>
      <c r="H181" s="430"/>
      <c r="I181" s="430"/>
      <c r="J181" s="430"/>
      <c r="K181" s="430"/>
      <c r="L181" s="430"/>
      <c r="M181" s="430"/>
      <c r="N181" s="430"/>
      <c r="O181" s="430"/>
      <c r="P181" s="430"/>
      <c r="Q181" s="430"/>
      <c r="R181" s="430"/>
      <c r="S181" s="430"/>
      <c r="T181" s="430"/>
      <c r="U181" s="430"/>
      <c r="V181" s="430"/>
      <c r="W181" s="430"/>
      <c r="X181" s="430"/>
      <c r="Y181" s="430"/>
      <c r="Z181" s="430"/>
      <c r="AA181" s="430"/>
    </row>
    <row r="182">
      <c r="A182" s="433"/>
      <c r="B182" s="430"/>
      <c r="C182" s="430"/>
      <c r="D182" s="430"/>
      <c r="E182" s="432"/>
      <c r="F182" s="430"/>
      <c r="G182" s="430"/>
      <c r="H182" s="430"/>
      <c r="I182" s="430"/>
      <c r="J182" s="430"/>
      <c r="K182" s="430"/>
      <c r="L182" s="430"/>
      <c r="M182" s="430"/>
      <c r="N182" s="430"/>
      <c r="O182" s="430"/>
      <c r="P182" s="430"/>
      <c r="Q182" s="430"/>
      <c r="R182" s="430"/>
      <c r="S182" s="430"/>
      <c r="T182" s="430"/>
      <c r="U182" s="430"/>
      <c r="V182" s="430"/>
      <c r="W182" s="430"/>
      <c r="X182" s="430"/>
      <c r="Y182" s="430"/>
      <c r="Z182" s="430"/>
      <c r="AA182" s="430"/>
    </row>
    <row r="183">
      <c r="A183" s="433"/>
      <c r="B183" s="430"/>
      <c r="C183" s="430"/>
      <c r="D183" s="430"/>
      <c r="E183" s="432"/>
      <c r="F183" s="430"/>
      <c r="G183" s="430"/>
      <c r="H183" s="430"/>
      <c r="I183" s="430"/>
      <c r="J183" s="430"/>
      <c r="K183" s="430"/>
      <c r="L183" s="430"/>
      <c r="M183" s="430"/>
      <c r="N183" s="430"/>
      <c r="O183" s="430"/>
      <c r="P183" s="430"/>
      <c r="Q183" s="430"/>
      <c r="R183" s="430"/>
      <c r="S183" s="430"/>
      <c r="T183" s="430"/>
      <c r="U183" s="430"/>
      <c r="V183" s="430"/>
      <c r="W183" s="430"/>
      <c r="X183" s="430"/>
      <c r="Y183" s="430"/>
      <c r="Z183" s="430"/>
      <c r="AA183" s="430"/>
    </row>
    <row r="184">
      <c r="A184" s="433"/>
      <c r="B184" s="430"/>
      <c r="C184" s="430"/>
      <c r="D184" s="430"/>
      <c r="E184" s="432"/>
      <c r="F184" s="430"/>
      <c r="G184" s="430"/>
      <c r="H184" s="430"/>
      <c r="I184" s="430"/>
      <c r="J184" s="430"/>
      <c r="K184" s="430"/>
      <c r="L184" s="430"/>
      <c r="M184" s="430"/>
      <c r="N184" s="430"/>
      <c r="O184" s="430"/>
      <c r="P184" s="430"/>
      <c r="Q184" s="430"/>
      <c r="R184" s="430"/>
      <c r="S184" s="430"/>
      <c r="T184" s="430"/>
      <c r="U184" s="430"/>
      <c r="V184" s="430"/>
      <c r="W184" s="430"/>
      <c r="X184" s="430"/>
      <c r="Y184" s="430"/>
      <c r="Z184" s="430"/>
      <c r="AA184" s="430"/>
    </row>
    <row r="185">
      <c r="A185" s="433"/>
      <c r="B185" s="430"/>
      <c r="C185" s="430"/>
      <c r="D185" s="430"/>
      <c r="E185" s="432"/>
      <c r="F185" s="430"/>
      <c r="G185" s="430"/>
      <c r="H185" s="430"/>
      <c r="I185" s="430"/>
      <c r="J185" s="430"/>
      <c r="K185" s="430"/>
      <c r="L185" s="430"/>
      <c r="M185" s="430"/>
      <c r="N185" s="430"/>
      <c r="O185" s="430"/>
      <c r="P185" s="430"/>
      <c r="Q185" s="430"/>
      <c r="R185" s="430"/>
      <c r="S185" s="430"/>
      <c r="T185" s="430"/>
      <c r="U185" s="430"/>
      <c r="V185" s="430"/>
      <c r="W185" s="430"/>
      <c r="X185" s="430"/>
      <c r="Y185" s="430"/>
      <c r="Z185" s="430"/>
      <c r="AA185" s="430"/>
    </row>
    <row r="186">
      <c r="A186" s="433"/>
      <c r="B186" s="430"/>
      <c r="C186" s="430"/>
      <c r="D186" s="430"/>
      <c r="E186" s="432"/>
      <c r="F186" s="430"/>
      <c r="G186" s="430"/>
      <c r="H186" s="430"/>
      <c r="I186" s="430"/>
      <c r="J186" s="430"/>
      <c r="K186" s="430"/>
      <c r="L186" s="430"/>
      <c r="M186" s="430"/>
      <c r="N186" s="430"/>
      <c r="O186" s="430"/>
      <c r="P186" s="430"/>
      <c r="Q186" s="430"/>
      <c r="R186" s="430"/>
      <c r="S186" s="430"/>
      <c r="T186" s="430"/>
      <c r="U186" s="430"/>
      <c r="V186" s="430"/>
      <c r="W186" s="430"/>
      <c r="X186" s="430"/>
      <c r="Y186" s="430"/>
      <c r="Z186" s="430"/>
      <c r="AA186" s="430"/>
    </row>
    <row r="187">
      <c r="A187" s="433"/>
      <c r="B187" s="430"/>
      <c r="C187" s="430"/>
      <c r="D187" s="430"/>
      <c r="E187" s="432"/>
      <c r="F187" s="430"/>
      <c r="G187" s="430"/>
      <c r="H187" s="430"/>
      <c r="I187" s="430"/>
      <c r="J187" s="430"/>
      <c r="K187" s="430"/>
      <c r="L187" s="430"/>
      <c r="M187" s="430"/>
      <c r="N187" s="430"/>
      <c r="O187" s="430"/>
      <c r="P187" s="430"/>
      <c r="Q187" s="430"/>
      <c r="R187" s="430"/>
      <c r="S187" s="430"/>
      <c r="T187" s="430"/>
      <c r="U187" s="430"/>
      <c r="V187" s="430"/>
      <c r="W187" s="430"/>
      <c r="X187" s="430"/>
      <c r="Y187" s="430"/>
      <c r="Z187" s="430"/>
      <c r="AA187" s="430"/>
    </row>
    <row r="188">
      <c r="A188" s="433"/>
      <c r="B188" s="430"/>
      <c r="C188" s="430"/>
      <c r="D188" s="430"/>
      <c r="E188" s="432"/>
      <c r="F188" s="430"/>
      <c r="G188" s="430"/>
      <c r="H188" s="430"/>
      <c r="I188" s="430"/>
      <c r="J188" s="430"/>
      <c r="K188" s="430"/>
      <c r="L188" s="430"/>
      <c r="M188" s="430"/>
      <c r="N188" s="430"/>
      <c r="O188" s="430"/>
      <c r="P188" s="430"/>
      <c r="Q188" s="430"/>
      <c r="R188" s="430"/>
      <c r="S188" s="430"/>
      <c r="T188" s="430"/>
      <c r="U188" s="430"/>
      <c r="V188" s="430"/>
      <c r="W188" s="430"/>
      <c r="X188" s="430"/>
      <c r="Y188" s="430"/>
      <c r="Z188" s="430"/>
      <c r="AA188" s="430"/>
    </row>
    <row r="189">
      <c r="A189" s="433"/>
      <c r="B189" s="430"/>
      <c r="C189" s="430"/>
      <c r="D189" s="430"/>
      <c r="E189" s="432"/>
      <c r="F189" s="430"/>
      <c r="G189" s="430"/>
      <c r="H189" s="430"/>
      <c r="I189" s="430"/>
      <c r="J189" s="430"/>
      <c r="K189" s="430"/>
      <c r="L189" s="430"/>
      <c r="M189" s="430"/>
      <c r="N189" s="430"/>
      <c r="O189" s="430"/>
      <c r="P189" s="430"/>
      <c r="Q189" s="430"/>
      <c r="R189" s="430"/>
      <c r="S189" s="430"/>
      <c r="T189" s="430"/>
      <c r="U189" s="430"/>
      <c r="V189" s="430"/>
      <c r="W189" s="430"/>
      <c r="X189" s="430"/>
      <c r="Y189" s="430"/>
      <c r="Z189" s="430"/>
      <c r="AA189" s="430"/>
    </row>
    <row r="190">
      <c r="A190" s="433"/>
      <c r="B190" s="430"/>
      <c r="C190" s="430"/>
      <c r="D190" s="430"/>
      <c r="E190" s="432"/>
      <c r="F190" s="430"/>
      <c r="G190" s="430"/>
      <c r="H190" s="430"/>
      <c r="I190" s="430"/>
      <c r="J190" s="430"/>
      <c r="K190" s="430"/>
      <c r="L190" s="430"/>
      <c r="M190" s="430"/>
      <c r="N190" s="430"/>
      <c r="O190" s="430"/>
      <c r="P190" s="430"/>
      <c r="Q190" s="430"/>
      <c r="R190" s="430"/>
      <c r="S190" s="430"/>
      <c r="T190" s="430"/>
      <c r="U190" s="430"/>
      <c r="V190" s="430"/>
      <c r="W190" s="430"/>
      <c r="X190" s="430"/>
      <c r="Y190" s="430"/>
      <c r="Z190" s="430"/>
      <c r="AA190" s="430"/>
    </row>
    <row r="191">
      <c r="A191" s="433"/>
      <c r="B191" s="430"/>
      <c r="C191" s="430"/>
      <c r="D191" s="430"/>
      <c r="E191" s="432"/>
      <c r="F191" s="430"/>
      <c r="G191" s="430"/>
      <c r="H191" s="430"/>
      <c r="I191" s="430"/>
      <c r="J191" s="430"/>
      <c r="K191" s="430"/>
      <c r="L191" s="430"/>
      <c r="M191" s="430"/>
      <c r="N191" s="430"/>
      <c r="O191" s="430"/>
      <c r="P191" s="430"/>
      <c r="Q191" s="430"/>
      <c r="R191" s="430"/>
      <c r="S191" s="430"/>
      <c r="T191" s="430"/>
      <c r="U191" s="430"/>
      <c r="V191" s="430"/>
      <c r="W191" s="430"/>
      <c r="X191" s="430"/>
      <c r="Y191" s="430"/>
      <c r="Z191" s="430"/>
      <c r="AA191" s="430"/>
    </row>
    <row r="192">
      <c r="A192" s="433"/>
      <c r="B192" s="430"/>
      <c r="C192" s="430"/>
      <c r="D192" s="430"/>
      <c r="E192" s="432"/>
      <c r="F192" s="430"/>
      <c r="G192" s="430"/>
      <c r="H192" s="430"/>
      <c r="I192" s="430"/>
      <c r="J192" s="430"/>
      <c r="K192" s="430"/>
      <c r="L192" s="430"/>
      <c r="M192" s="430"/>
      <c r="N192" s="430"/>
      <c r="O192" s="430"/>
      <c r="P192" s="430"/>
      <c r="Q192" s="430"/>
      <c r="R192" s="430"/>
      <c r="S192" s="430"/>
      <c r="T192" s="430"/>
      <c r="U192" s="430"/>
      <c r="V192" s="430"/>
      <c r="W192" s="430"/>
      <c r="X192" s="430"/>
      <c r="Y192" s="430"/>
      <c r="Z192" s="430"/>
      <c r="AA192" s="430"/>
    </row>
    <row r="193">
      <c r="A193" s="433"/>
      <c r="B193" s="430"/>
      <c r="C193" s="430"/>
      <c r="D193" s="430"/>
      <c r="E193" s="432"/>
      <c r="F193" s="430"/>
      <c r="G193" s="430"/>
      <c r="H193" s="430"/>
      <c r="I193" s="430"/>
      <c r="J193" s="430"/>
      <c r="K193" s="430"/>
      <c r="L193" s="430"/>
      <c r="M193" s="430"/>
      <c r="N193" s="430"/>
      <c r="O193" s="430"/>
      <c r="P193" s="430"/>
      <c r="Q193" s="430"/>
      <c r="R193" s="430"/>
      <c r="S193" s="430"/>
      <c r="T193" s="430"/>
      <c r="U193" s="430"/>
      <c r="V193" s="430"/>
      <c r="W193" s="430"/>
      <c r="X193" s="430"/>
      <c r="Y193" s="430"/>
      <c r="Z193" s="430"/>
      <c r="AA193" s="430"/>
    </row>
    <row r="194">
      <c r="A194" s="433"/>
      <c r="B194" s="430"/>
      <c r="C194" s="430"/>
      <c r="D194" s="430"/>
      <c r="E194" s="432"/>
      <c r="F194" s="430"/>
      <c r="G194" s="430"/>
      <c r="H194" s="430"/>
      <c r="I194" s="430"/>
      <c r="J194" s="430"/>
      <c r="K194" s="430"/>
      <c r="L194" s="430"/>
      <c r="M194" s="430"/>
      <c r="N194" s="430"/>
      <c r="O194" s="430"/>
      <c r="P194" s="430"/>
      <c r="Q194" s="430"/>
      <c r="R194" s="430"/>
      <c r="S194" s="430"/>
      <c r="T194" s="430"/>
      <c r="U194" s="430"/>
      <c r="V194" s="430"/>
      <c r="W194" s="430"/>
      <c r="X194" s="430"/>
      <c r="Y194" s="430"/>
      <c r="Z194" s="430"/>
      <c r="AA194" s="430"/>
    </row>
    <row r="195">
      <c r="A195" s="433"/>
      <c r="B195" s="430"/>
      <c r="C195" s="430"/>
      <c r="D195" s="430"/>
      <c r="E195" s="432"/>
      <c r="F195" s="430"/>
      <c r="G195" s="430"/>
      <c r="H195" s="430"/>
      <c r="I195" s="430"/>
      <c r="J195" s="430"/>
      <c r="K195" s="430"/>
      <c r="L195" s="430"/>
      <c r="M195" s="430"/>
      <c r="N195" s="430"/>
      <c r="O195" s="430"/>
      <c r="P195" s="430"/>
      <c r="Q195" s="430"/>
      <c r="R195" s="430"/>
      <c r="S195" s="430"/>
      <c r="T195" s="430"/>
      <c r="U195" s="430"/>
      <c r="V195" s="430"/>
      <c r="W195" s="430"/>
      <c r="X195" s="430"/>
      <c r="Y195" s="430"/>
      <c r="Z195" s="430"/>
      <c r="AA195" s="430"/>
    </row>
    <row r="196">
      <c r="A196" s="433"/>
      <c r="B196" s="430"/>
      <c r="C196" s="430"/>
      <c r="D196" s="430"/>
      <c r="E196" s="432"/>
      <c r="F196" s="430"/>
      <c r="G196" s="430"/>
      <c r="H196" s="430"/>
      <c r="I196" s="430"/>
      <c r="J196" s="430"/>
      <c r="K196" s="430"/>
      <c r="L196" s="430"/>
      <c r="M196" s="430"/>
      <c r="N196" s="430"/>
      <c r="O196" s="430"/>
      <c r="P196" s="430"/>
      <c r="Q196" s="430"/>
      <c r="R196" s="430"/>
      <c r="S196" s="430"/>
      <c r="T196" s="430"/>
      <c r="U196" s="430"/>
      <c r="V196" s="430"/>
      <c r="W196" s="430"/>
      <c r="X196" s="430"/>
      <c r="Y196" s="430"/>
      <c r="Z196" s="430"/>
      <c r="AA196" s="430"/>
    </row>
    <row r="197">
      <c r="A197" s="433"/>
      <c r="B197" s="430"/>
      <c r="C197" s="430"/>
      <c r="D197" s="430"/>
      <c r="E197" s="432"/>
      <c r="F197" s="430"/>
      <c r="G197" s="430"/>
      <c r="H197" s="430"/>
      <c r="I197" s="430"/>
      <c r="J197" s="430"/>
      <c r="K197" s="430"/>
      <c r="L197" s="430"/>
      <c r="M197" s="430"/>
      <c r="N197" s="430"/>
      <c r="O197" s="430"/>
      <c r="P197" s="430"/>
      <c r="Q197" s="430"/>
      <c r="R197" s="430"/>
      <c r="S197" s="430"/>
      <c r="T197" s="430"/>
      <c r="U197" s="430"/>
      <c r="V197" s="430"/>
      <c r="W197" s="430"/>
      <c r="X197" s="430"/>
      <c r="Y197" s="430"/>
      <c r="Z197" s="430"/>
      <c r="AA197" s="430"/>
    </row>
    <row r="198">
      <c r="A198" s="433"/>
      <c r="B198" s="430"/>
      <c r="C198" s="430"/>
      <c r="D198" s="430"/>
      <c r="E198" s="432"/>
      <c r="F198" s="430"/>
      <c r="G198" s="430"/>
      <c r="H198" s="430"/>
      <c r="I198" s="430"/>
      <c r="J198" s="430"/>
      <c r="K198" s="430"/>
      <c r="L198" s="430"/>
      <c r="M198" s="430"/>
      <c r="N198" s="430"/>
      <c r="O198" s="430"/>
      <c r="P198" s="430"/>
      <c r="Q198" s="430"/>
      <c r="R198" s="430"/>
      <c r="S198" s="430"/>
      <c r="T198" s="430"/>
      <c r="U198" s="430"/>
      <c r="V198" s="430"/>
      <c r="W198" s="430"/>
      <c r="X198" s="430"/>
      <c r="Y198" s="430"/>
      <c r="Z198" s="430"/>
      <c r="AA198" s="430"/>
    </row>
    <row r="199">
      <c r="A199" s="433"/>
      <c r="B199" s="430"/>
      <c r="C199" s="430"/>
      <c r="D199" s="430"/>
      <c r="E199" s="432"/>
      <c r="F199" s="430"/>
      <c r="G199" s="430"/>
      <c r="H199" s="430"/>
      <c r="I199" s="430"/>
      <c r="J199" s="430"/>
      <c r="K199" s="430"/>
      <c r="L199" s="430"/>
      <c r="M199" s="430"/>
      <c r="N199" s="430"/>
      <c r="O199" s="430"/>
      <c r="P199" s="430"/>
      <c r="Q199" s="430"/>
      <c r="R199" s="430"/>
      <c r="S199" s="430"/>
      <c r="T199" s="430"/>
      <c r="U199" s="430"/>
      <c r="V199" s="430"/>
      <c r="W199" s="430"/>
      <c r="X199" s="430"/>
      <c r="Y199" s="430"/>
      <c r="Z199" s="430"/>
      <c r="AA199" s="430"/>
    </row>
    <row r="200">
      <c r="A200" s="433"/>
      <c r="B200" s="430"/>
      <c r="C200" s="430"/>
      <c r="D200" s="430"/>
      <c r="E200" s="432"/>
      <c r="F200" s="430"/>
      <c r="G200" s="430"/>
      <c r="H200" s="430"/>
      <c r="I200" s="430"/>
      <c r="J200" s="430"/>
      <c r="K200" s="430"/>
      <c r="L200" s="430"/>
      <c r="M200" s="430"/>
      <c r="N200" s="430"/>
      <c r="O200" s="430"/>
      <c r="P200" s="430"/>
      <c r="Q200" s="430"/>
      <c r="R200" s="430"/>
      <c r="S200" s="430"/>
      <c r="T200" s="430"/>
      <c r="U200" s="430"/>
      <c r="V200" s="430"/>
      <c r="W200" s="430"/>
      <c r="X200" s="430"/>
      <c r="Y200" s="430"/>
      <c r="Z200" s="430"/>
      <c r="AA200" s="430"/>
    </row>
    <row r="201">
      <c r="A201" s="433"/>
      <c r="B201" s="430"/>
      <c r="C201" s="430"/>
      <c r="D201" s="430"/>
      <c r="E201" s="432"/>
      <c r="F201" s="430"/>
      <c r="G201" s="430"/>
      <c r="H201" s="430"/>
      <c r="I201" s="430"/>
      <c r="J201" s="430"/>
      <c r="K201" s="430"/>
      <c r="L201" s="430"/>
      <c r="M201" s="430"/>
      <c r="N201" s="430"/>
      <c r="O201" s="430"/>
      <c r="P201" s="430"/>
      <c r="Q201" s="430"/>
      <c r="R201" s="430"/>
      <c r="S201" s="430"/>
      <c r="T201" s="430"/>
      <c r="U201" s="430"/>
      <c r="V201" s="430"/>
      <c r="W201" s="430"/>
      <c r="X201" s="430"/>
      <c r="Y201" s="430"/>
      <c r="Z201" s="430"/>
      <c r="AA201" s="430"/>
    </row>
    <row r="202">
      <c r="A202" s="433"/>
      <c r="B202" s="430"/>
      <c r="C202" s="430"/>
      <c r="D202" s="430"/>
      <c r="E202" s="432"/>
      <c r="F202" s="430"/>
      <c r="G202" s="430"/>
      <c r="H202" s="430"/>
      <c r="I202" s="430"/>
      <c r="J202" s="430"/>
      <c r="K202" s="430"/>
      <c r="L202" s="430"/>
      <c r="M202" s="430"/>
      <c r="N202" s="430"/>
      <c r="O202" s="430"/>
      <c r="P202" s="430"/>
      <c r="Q202" s="430"/>
      <c r="R202" s="430"/>
      <c r="S202" s="430"/>
      <c r="T202" s="430"/>
      <c r="U202" s="430"/>
      <c r="V202" s="430"/>
      <c r="W202" s="430"/>
      <c r="X202" s="430"/>
      <c r="Y202" s="430"/>
      <c r="Z202" s="430"/>
      <c r="AA202" s="430"/>
    </row>
    <row r="203">
      <c r="A203" s="433"/>
      <c r="B203" s="430"/>
      <c r="C203" s="430"/>
      <c r="D203" s="430"/>
      <c r="E203" s="432"/>
      <c r="F203" s="430"/>
      <c r="G203" s="430"/>
      <c r="H203" s="430"/>
      <c r="I203" s="430"/>
      <c r="J203" s="430"/>
      <c r="K203" s="430"/>
      <c r="L203" s="430"/>
      <c r="M203" s="430"/>
      <c r="N203" s="430"/>
      <c r="O203" s="430"/>
      <c r="P203" s="430"/>
      <c r="Q203" s="430"/>
      <c r="R203" s="430"/>
      <c r="S203" s="430"/>
      <c r="T203" s="430"/>
      <c r="U203" s="430"/>
      <c r="V203" s="430"/>
      <c r="W203" s="430"/>
      <c r="X203" s="430"/>
      <c r="Y203" s="430"/>
      <c r="Z203" s="430"/>
      <c r="AA203" s="430"/>
    </row>
    <row r="204">
      <c r="A204" s="433"/>
      <c r="B204" s="430"/>
      <c r="C204" s="430"/>
      <c r="D204" s="430"/>
      <c r="E204" s="432"/>
      <c r="F204" s="430"/>
      <c r="G204" s="430"/>
      <c r="H204" s="430"/>
      <c r="I204" s="430"/>
      <c r="J204" s="430"/>
      <c r="K204" s="430"/>
      <c r="L204" s="430"/>
      <c r="M204" s="430"/>
      <c r="N204" s="430"/>
      <c r="O204" s="430"/>
      <c r="P204" s="430"/>
      <c r="Q204" s="430"/>
      <c r="R204" s="430"/>
      <c r="S204" s="430"/>
      <c r="T204" s="430"/>
      <c r="U204" s="430"/>
      <c r="V204" s="430"/>
      <c r="W204" s="430"/>
      <c r="X204" s="430"/>
      <c r="Y204" s="430"/>
      <c r="Z204" s="430"/>
      <c r="AA204" s="430"/>
    </row>
    <row r="205">
      <c r="A205" s="433"/>
      <c r="B205" s="430"/>
      <c r="C205" s="430"/>
      <c r="D205" s="430"/>
      <c r="E205" s="432"/>
      <c r="F205" s="430"/>
      <c r="G205" s="430"/>
      <c r="H205" s="430"/>
      <c r="I205" s="430"/>
      <c r="J205" s="430"/>
      <c r="K205" s="430"/>
      <c r="L205" s="430"/>
      <c r="M205" s="430"/>
      <c r="N205" s="430"/>
      <c r="O205" s="430"/>
      <c r="P205" s="430"/>
      <c r="Q205" s="430"/>
      <c r="R205" s="430"/>
      <c r="S205" s="430"/>
      <c r="T205" s="430"/>
      <c r="U205" s="430"/>
      <c r="V205" s="430"/>
      <c r="W205" s="430"/>
      <c r="X205" s="430"/>
      <c r="Y205" s="430"/>
      <c r="Z205" s="430"/>
      <c r="AA205" s="430"/>
    </row>
    <row r="206">
      <c r="A206" s="433"/>
      <c r="B206" s="430"/>
      <c r="C206" s="430"/>
      <c r="D206" s="430"/>
      <c r="E206" s="432"/>
      <c r="F206" s="430"/>
      <c r="G206" s="430"/>
      <c r="H206" s="430"/>
      <c r="I206" s="430"/>
      <c r="J206" s="430"/>
      <c r="K206" s="430"/>
      <c r="L206" s="430"/>
      <c r="M206" s="430"/>
      <c r="N206" s="430"/>
      <c r="O206" s="430"/>
      <c r="P206" s="430"/>
      <c r="Q206" s="430"/>
      <c r="R206" s="430"/>
      <c r="S206" s="430"/>
      <c r="T206" s="430"/>
      <c r="U206" s="430"/>
      <c r="V206" s="430"/>
      <c r="W206" s="430"/>
      <c r="X206" s="430"/>
      <c r="Y206" s="430"/>
      <c r="Z206" s="430"/>
      <c r="AA206" s="430"/>
    </row>
    <row r="207">
      <c r="A207" s="433"/>
      <c r="B207" s="430"/>
      <c r="C207" s="430"/>
      <c r="D207" s="430"/>
      <c r="E207" s="432"/>
      <c r="F207" s="430"/>
      <c r="G207" s="430"/>
      <c r="H207" s="430"/>
      <c r="I207" s="430"/>
      <c r="J207" s="430"/>
      <c r="K207" s="430"/>
      <c r="L207" s="430"/>
      <c r="M207" s="430"/>
      <c r="N207" s="430"/>
      <c r="O207" s="430"/>
      <c r="P207" s="430"/>
      <c r="Q207" s="430"/>
      <c r="R207" s="430"/>
      <c r="S207" s="430"/>
      <c r="T207" s="430"/>
      <c r="U207" s="430"/>
      <c r="V207" s="430"/>
      <c r="W207" s="430"/>
      <c r="X207" s="430"/>
      <c r="Y207" s="430"/>
      <c r="Z207" s="430"/>
      <c r="AA207" s="430"/>
    </row>
    <row r="208">
      <c r="A208" s="433"/>
      <c r="B208" s="430"/>
      <c r="C208" s="430"/>
      <c r="D208" s="430"/>
      <c r="E208" s="432"/>
      <c r="F208" s="430"/>
      <c r="G208" s="430"/>
      <c r="H208" s="430"/>
      <c r="I208" s="430"/>
      <c r="J208" s="430"/>
      <c r="K208" s="430"/>
      <c r="L208" s="430"/>
      <c r="M208" s="430"/>
      <c r="N208" s="430"/>
      <c r="O208" s="430"/>
      <c r="P208" s="430"/>
      <c r="Q208" s="430"/>
      <c r="R208" s="430"/>
      <c r="S208" s="430"/>
      <c r="T208" s="430"/>
      <c r="U208" s="430"/>
      <c r="V208" s="430"/>
      <c r="W208" s="430"/>
      <c r="X208" s="430"/>
      <c r="Y208" s="430"/>
      <c r="Z208" s="430"/>
      <c r="AA208" s="430"/>
    </row>
    <row r="209">
      <c r="A209" s="433"/>
      <c r="B209" s="430"/>
      <c r="C209" s="430"/>
      <c r="D209" s="430"/>
      <c r="E209" s="432"/>
      <c r="F209" s="430"/>
      <c r="G209" s="430"/>
      <c r="H209" s="430"/>
      <c r="I209" s="430"/>
      <c r="J209" s="430"/>
      <c r="K209" s="430"/>
      <c r="L209" s="430"/>
      <c r="M209" s="430"/>
      <c r="N209" s="430"/>
      <c r="O209" s="430"/>
      <c r="P209" s="430"/>
      <c r="Q209" s="430"/>
      <c r="R209" s="430"/>
      <c r="S209" s="430"/>
      <c r="T209" s="430"/>
      <c r="U209" s="430"/>
      <c r="V209" s="430"/>
      <c r="W209" s="430"/>
      <c r="X209" s="430"/>
      <c r="Y209" s="430"/>
      <c r="Z209" s="430"/>
      <c r="AA209" s="430"/>
    </row>
    <row r="210">
      <c r="A210" s="433"/>
      <c r="B210" s="430"/>
      <c r="C210" s="430"/>
      <c r="D210" s="430"/>
      <c r="E210" s="432"/>
      <c r="F210" s="430"/>
      <c r="G210" s="430"/>
      <c r="H210" s="430"/>
      <c r="I210" s="430"/>
      <c r="J210" s="430"/>
      <c r="K210" s="430"/>
      <c r="L210" s="430"/>
      <c r="M210" s="430"/>
      <c r="N210" s="430"/>
      <c r="O210" s="430"/>
      <c r="P210" s="430"/>
      <c r="Q210" s="430"/>
      <c r="R210" s="430"/>
      <c r="S210" s="430"/>
      <c r="T210" s="430"/>
      <c r="U210" s="430"/>
      <c r="V210" s="430"/>
      <c r="W210" s="430"/>
      <c r="X210" s="430"/>
      <c r="Y210" s="430"/>
      <c r="Z210" s="430"/>
      <c r="AA210" s="430"/>
    </row>
    <row r="211">
      <c r="A211" s="433"/>
      <c r="B211" s="430"/>
      <c r="C211" s="430"/>
      <c r="D211" s="430"/>
      <c r="E211" s="432"/>
      <c r="F211" s="430"/>
      <c r="G211" s="430"/>
      <c r="H211" s="430"/>
      <c r="I211" s="430"/>
      <c r="J211" s="430"/>
      <c r="K211" s="430"/>
      <c r="L211" s="430"/>
      <c r="M211" s="430"/>
      <c r="N211" s="430"/>
      <c r="O211" s="430"/>
      <c r="P211" s="430"/>
      <c r="Q211" s="430"/>
      <c r="R211" s="430"/>
      <c r="S211" s="430"/>
      <c r="T211" s="430"/>
      <c r="U211" s="430"/>
      <c r="V211" s="430"/>
      <c r="W211" s="430"/>
      <c r="X211" s="430"/>
      <c r="Y211" s="430"/>
      <c r="Z211" s="430"/>
      <c r="AA211" s="430"/>
    </row>
    <row r="212">
      <c r="A212" s="433"/>
      <c r="B212" s="430"/>
      <c r="C212" s="430"/>
      <c r="D212" s="430"/>
      <c r="E212" s="432"/>
      <c r="F212" s="430"/>
      <c r="G212" s="430"/>
      <c r="H212" s="430"/>
      <c r="I212" s="430"/>
      <c r="J212" s="430"/>
      <c r="K212" s="430"/>
      <c r="L212" s="430"/>
      <c r="M212" s="430"/>
      <c r="N212" s="430"/>
      <c r="O212" s="430"/>
      <c r="P212" s="430"/>
      <c r="Q212" s="430"/>
      <c r="R212" s="430"/>
      <c r="S212" s="430"/>
      <c r="T212" s="430"/>
      <c r="U212" s="430"/>
      <c r="V212" s="430"/>
      <c r="W212" s="430"/>
      <c r="X212" s="430"/>
      <c r="Y212" s="430"/>
      <c r="Z212" s="430"/>
      <c r="AA212" s="430"/>
    </row>
    <row r="213">
      <c r="A213" s="433"/>
      <c r="B213" s="430"/>
      <c r="C213" s="430"/>
      <c r="D213" s="430"/>
      <c r="E213" s="432"/>
      <c r="F213" s="430"/>
      <c r="G213" s="430"/>
      <c r="H213" s="430"/>
      <c r="I213" s="430"/>
      <c r="J213" s="430"/>
      <c r="K213" s="430"/>
      <c r="L213" s="430"/>
      <c r="M213" s="430"/>
      <c r="N213" s="430"/>
      <c r="O213" s="430"/>
      <c r="P213" s="430"/>
      <c r="Q213" s="430"/>
      <c r="R213" s="430"/>
      <c r="S213" s="430"/>
      <c r="T213" s="430"/>
      <c r="U213" s="430"/>
      <c r="V213" s="430"/>
      <c r="W213" s="430"/>
      <c r="X213" s="430"/>
      <c r="Y213" s="430"/>
      <c r="Z213" s="430"/>
      <c r="AA213" s="430"/>
    </row>
    <row r="214">
      <c r="A214" s="433"/>
      <c r="B214" s="430"/>
      <c r="C214" s="430"/>
      <c r="D214" s="430"/>
      <c r="E214" s="432"/>
      <c r="F214" s="430"/>
      <c r="G214" s="430"/>
      <c r="H214" s="430"/>
      <c r="I214" s="430"/>
      <c r="J214" s="430"/>
      <c r="K214" s="430"/>
      <c r="L214" s="430"/>
      <c r="M214" s="430"/>
      <c r="N214" s="430"/>
      <c r="O214" s="430"/>
      <c r="P214" s="430"/>
      <c r="Q214" s="430"/>
      <c r="R214" s="430"/>
      <c r="S214" s="430"/>
      <c r="T214" s="430"/>
      <c r="U214" s="430"/>
      <c r="V214" s="430"/>
      <c r="W214" s="430"/>
      <c r="X214" s="430"/>
      <c r="Y214" s="430"/>
      <c r="Z214" s="430"/>
      <c r="AA214" s="430"/>
    </row>
    <row r="215">
      <c r="A215" s="433"/>
      <c r="B215" s="430"/>
      <c r="C215" s="430"/>
      <c r="D215" s="430"/>
      <c r="E215" s="432"/>
      <c r="F215" s="430"/>
      <c r="G215" s="430"/>
      <c r="H215" s="430"/>
      <c r="I215" s="430"/>
      <c r="J215" s="430"/>
      <c r="K215" s="430"/>
      <c r="L215" s="430"/>
      <c r="M215" s="430"/>
      <c r="N215" s="430"/>
      <c r="O215" s="430"/>
      <c r="P215" s="430"/>
      <c r="Q215" s="430"/>
      <c r="R215" s="430"/>
      <c r="S215" s="430"/>
      <c r="T215" s="430"/>
      <c r="U215" s="430"/>
      <c r="V215" s="430"/>
      <c r="W215" s="430"/>
      <c r="X215" s="430"/>
      <c r="Y215" s="430"/>
      <c r="Z215" s="430"/>
      <c r="AA215" s="430"/>
    </row>
    <row r="216">
      <c r="A216" s="433"/>
      <c r="B216" s="430"/>
      <c r="C216" s="430"/>
      <c r="D216" s="430"/>
      <c r="E216" s="432"/>
      <c r="F216" s="430"/>
      <c r="G216" s="430"/>
      <c r="H216" s="430"/>
      <c r="I216" s="430"/>
      <c r="J216" s="430"/>
      <c r="K216" s="430"/>
      <c r="L216" s="430"/>
      <c r="M216" s="430"/>
      <c r="N216" s="430"/>
      <c r="O216" s="430"/>
      <c r="P216" s="430"/>
      <c r="Q216" s="430"/>
      <c r="R216" s="430"/>
      <c r="S216" s="430"/>
      <c r="T216" s="430"/>
      <c r="U216" s="430"/>
      <c r="V216" s="430"/>
      <c r="W216" s="430"/>
      <c r="X216" s="430"/>
      <c r="Y216" s="430"/>
      <c r="Z216" s="430"/>
      <c r="AA216" s="430"/>
    </row>
    <row r="217">
      <c r="A217" s="433"/>
      <c r="B217" s="430"/>
      <c r="C217" s="430"/>
      <c r="D217" s="430"/>
      <c r="E217" s="432"/>
      <c r="F217" s="430"/>
      <c r="G217" s="430"/>
      <c r="H217" s="430"/>
      <c r="I217" s="430"/>
      <c r="J217" s="430"/>
      <c r="K217" s="430"/>
      <c r="L217" s="430"/>
      <c r="M217" s="430"/>
      <c r="N217" s="430"/>
      <c r="O217" s="430"/>
      <c r="P217" s="430"/>
      <c r="Q217" s="430"/>
      <c r="R217" s="430"/>
      <c r="S217" s="430"/>
      <c r="T217" s="430"/>
      <c r="U217" s="430"/>
      <c r="V217" s="430"/>
      <c r="W217" s="430"/>
      <c r="X217" s="430"/>
      <c r="Y217" s="430"/>
      <c r="Z217" s="430"/>
      <c r="AA217" s="430"/>
    </row>
    <row r="218">
      <c r="A218" s="433"/>
      <c r="B218" s="430"/>
      <c r="C218" s="430"/>
      <c r="D218" s="430"/>
      <c r="E218" s="432"/>
      <c r="F218" s="430"/>
      <c r="G218" s="430"/>
      <c r="H218" s="430"/>
      <c r="I218" s="430"/>
      <c r="J218" s="430"/>
      <c r="K218" s="430"/>
      <c r="L218" s="430"/>
      <c r="M218" s="430"/>
      <c r="N218" s="430"/>
      <c r="O218" s="430"/>
      <c r="P218" s="430"/>
      <c r="Q218" s="430"/>
      <c r="R218" s="430"/>
      <c r="S218" s="430"/>
      <c r="T218" s="430"/>
      <c r="U218" s="430"/>
      <c r="V218" s="430"/>
      <c r="W218" s="430"/>
      <c r="X218" s="430"/>
      <c r="Y218" s="430"/>
      <c r="Z218" s="430"/>
      <c r="AA218" s="430"/>
    </row>
    <row r="219">
      <c r="A219" s="433"/>
      <c r="B219" s="430"/>
      <c r="C219" s="430"/>
      <c r="D219" s="430"/>
      <c r="E219" s="432"/>
      <c r="F219" s="430"/>
      <c r="G219" s="430"/>
      <c r="H219" s="430"/>
      <c r="I219" s="430"/>
      <c r="J219" s="430"/>
      <c r="K219" s="430"/>
      <c r="L219" s="430"/>
      <c r="M219" s="430"/>
      <c r="N219" s="430"/>
      <c r="O219" s="430"/>
      <c r="P219" s="430"/>
      <c r="Q219" s="430"/>
      <c r="R219" s="430"/>
      <c r="S219" s="430"/>
      <c r="T219" s="430"/>
      <c r="U219" s="430"/>
      <c r="V219" s="430"/>
      <c r="W219" s="430"/>
      <c r="X219" s="430"/>
      <c r="Y219" s="430"/>
      <c r="Z219" s="430"/>
      <c r="AA219" s="430"/>
    </row>
    <row r="220">
      <c r="A220" s="433"/>
      <c r="B220" s="430"/>
      <c r="C220" s="430"/>
      <c r="D220" s="430"/>
      <c r="E220" s="432"/>
      <c r="F220" s="430"/>
      <c r="G220" s="430"/>
      <c r="H220" s="430"/>
      <c r="I220" s="430"/>
      <c r="J220" s="430"/>
      <c r="K220" s="430"/>
      <c r="L220" s="430"/>
      <c r="M220" s="430"/>
      <c r="N220" s="430"/>
      <c r="O220" s="430"/>
      <c r="P220" s="430"/>
      <c r="Q220" s="430"/>
      <c r="R220" s="430"/>
      <c r="S220" s="430"/>
      <c r="T220" s="430"/>
      <c r="U220" s="430"/>
      <c r="V220" s="430"/>
      <c r="W220" s="430"/>
      <c r="X220" s="430"/>
      <c r="Y220" s="430"/>
      <c r="Z220" s="430"/>
      <c r="AA220" s="430"/>
    </row>
    <row r="221">
      <c r="A221" s="433"/>
      <c r="B221" s="430"/>
      <c r="C221" s="430"/>
      <c r="D221" s="430"/>
      <c r="E221" s="432"/>
      <c r="F221" s="430"/>
      <c r="G221" s="430"/>
      <c r="H221" s="430"/>
      <c r="I221" s="430"/>
      <c r="J221" s="430"/>
      <c r="K221" s="430"/>
      <c r="L221" s="430"/>
      <c r="M221" s="430"/>
      <c r="N221" s="430"/>
      <c r="O221" s="430"/>
      <c r="P221" s="430"/>
      <c r="Q221" s="430"/>
      <c r="R221" s="430"/>
      <c r="S221" s="430"/>
      <c r="T221" s="430"/>
      <c r="U221" s="430"/>
      <c r="V221" s="430"/>
      <c r="W221" s="430"/>
      <c r="X221" s="430"/>
      <c r="Y221" s="430"/>
      <c r="Z221" s="430"/>
      <c r="AA221" s="430"/>
    </row>
    <row r="222">
      <c r="A222" s="433"/>
      <c r="B222" s="430"/>
      <c r="C222" s="430"/>
      <c r="D222" s="430"/>
      <c r="E222" s="432"/>
      <c r="F222" s="430"/>
      <c r="G222" s="430"/>
      <c r="H222" s="430"/>
      <c r="I222" s="430"/>
      <c r="J222" s="430"/>
      <c r="K222" s="430"/>
      <c r="L222" s="430"/>
      <c r="M222" s="430"/>
      <c r="N222" s="430"/>
      <c r="O222" s="430"/>
      <c r="P222" s="430"/>
      <c r="Q222" s="430"/>
      <c r="R222" s="430"/>
      <c r="S222" s="430"/>
      <c r="T222" s="430"/>
      <c r="U222" s="430"/>
      <c r="V222" s="430"/>
      <c r="W222" s="430"/>
      <c r="X222" s="430"/>
      <c r="Y222" s="430"/>
      <c r="Z222" s="430"/>
      <c r="AA222" s="430"/>
    </row>
    <row r="223">
      <c r="A223" s="433"/>
      <c r="B223" s="430"/>
      <c r="C223" s="430"/>
      <c r="D223" s="430"/>
      <c r="E223" s="432"/>
      <c r="F223" s="430"/>
      <c r="G223" s="430"/>
      <c r="H223" s="430"/>
      <c r="I223" s="430"/>
      <c r="J223" s="430"/>
      <c r="K223" s="430"/>
      <c r="L223" s="430"/>
      <c r="M223" s="430"/>
      <c r="N223" s="430"/>
      <c r="O223" s="430"/>
      <c r="P223" s="430"/>
      <c r="Q223" s="430"/>
      <c r="R223" s="430"/>
      <c r="S223" s="430"/>
      <c r="T223" s="430"/>
      <c r="U223" s="430"/>
      <c r="V223" s="430"/>
      <c r="W223" s="430"/>
      <c r="X223" s="430"/>
      <c r="Y223" s="430"/>
      <c r="Z223" s="430"/>
      <c r="AA223" s="430"/>
    </row>
    <row r="224">
      <c r="A224" s="433"/>
      <c r="B224" s="430"/>
      <c r="C224" s="430"/>
      <c r="D224" s="430"/>
      <c r="E224" s="432"/>
      <c r="F224" s="430"/>
      <c r="G224" s="430"/>
      <c r="H224" s="430"/>
      <c r="I224" s="430"/>
      <c r="J224" s="430"/>
      <c r="K224" s="430"/>
      <c r="L224" s="430"/>
      <c r="M224" s="430"/>
      <c r="N224" s="430"/>
      <c r="O224" s="430"/>
      <c r="P224" s="430"/>
      <c r="Q224" s="430"/>
      <c r="R224" s="430"/>
      <c r="S224" s="430"/>
      <c r="T224" s="430"/>
      <c r="U224" s="430"/>
      <c r="V224" s="430"/>
      <c r="W224" s="430"/>
      <c r="X224" s="430"/>
      <c r="Y224" s="430"/>
      <c r="Z224" s="430"/>
      <c r="AA224" s="430"/>
    </row>
    <row r="225">
      <c r="A225" s="433"/>
      <c r="B225" s="430"/>
      <c r="C225" s="430"/>
      <c r="D225" s="430"/>
      <c r="E225" s="432"/>
      <c r="F225" s="430"/>
      <c r="G225" s="430"/>
      <c r="H225" s="430"/>
      <c r="I225" s="430"/>
      <c r="J225" s="430"/>
      <c r="K225" s="430"/>
      <c r="L225" s="430"/>
      <c r="M225" s="430"/>
      <c r="N225" s="430"/>
      <c r="O225" s="430"/>
      <c r="P225" s="430"/>
      <c r="Q225" s="430"/>
      <c r="R225" s="430"/>
      <c r="S225" s="430"/>
      <c r="T225" s="430"/>
      <c r="U225" s="430"/>
      <c r="V225" s="430"/>
      <c r="W225" s="430"/>
      <c r="X225" s="430"/>
      <c r="Y225" s="430"/>
      <c r="Z225" s="430"/>
      <c r="AA225" s="430"/>
    </row>
    <row r="226">
      <c r="A226" s="433"/>
      <c r="B226" s="430"/>
      <c r="C226" s="430"/>
      <c r="D226" s="430"/>
      <c r="E226" s="432"/>
      <c r="F226" s="430"/>
      <c r="G226" s="430"/>
      <c r="H226" s="430"/>
      <c r="I226" s="430"/>
      <c r="J226" s="430"/>
      <c r="K226" s="430"/>
      <c r="L226" s="430"/>
      <c r="M226" s="430"/>
      <c r="N226" s="430"/>
      <c r="O226" s="430"/>
      <c r="P226" s="430"/>
      <c r="Q226" s="430"/>
      <c r="R226" s="430"/>
      <c r="S226" s="430"/>
      <c r="T226" s="430"/>
      <c r="U226" s="430"/>
      <c r="V226" s="430"/>
      <c r="W226" s="430"/>
      <c r="X226" s="430"/>
      <c r="Y226" s="430"/>
      <c r="Z226" s="430"/>
      <c r="AA226" s="430"/>
    </row>
    <row r="227">
      <c r="A227" s="433"/>
      <c r="B227" s="430"/>
      <c r="C227" s="430"/>
      <c r="D227" s="430"/>
      <c r="E227" s="432"/>
      <c r="F227" s="430"/>
      <c r="G227" s="430"/>
      <c r="H227" s="430"/>
      <c r="I227" s="430"/>
      <c r="J227" s="430"/>
      <c r="K227" s="430"/>
      <c r="L227" s="430"/>
      <c r="M227" s="430"/>
      <c r="N227" s="430"/>
      <c r="O227" s="430"/>
      <c r="P227" s="430"/>
      <c r="Q227" s="430"/>
      <c r="R227" s="430"/>
      <c r="S227" s="430"/>
      <c r="T227" s="430"/>
      <c r="U227" s="430"/>
      <c r="V227" s="430"/>
      <c r="W227" s="430"/>
      <c r="X227" s="430"/>
      <c r="Y227" s="430"/>
      <c r="Z227" s="430"/>
      <c r="AA227" s="430"/>
    </row>
    <row r="228">
      <c r="A228" s="433"/>
      <c r="B228" s="430"/>
      <c r="C228" s="430"/>
      <c r="D228" s="430"/>
      <c r="E228" s="432"/>
      <c r="F228" s="430"/>
      <c r="G228" s="430"/>
      <c r="H228" s="430"/>
      <c r="I228" s="430"/>
      <c r="J228" s="430"/>
      <c r="K228" s="430"/>
      <c r="L228" s="430"/>
      <c r="M228" s="430"/>
      <c r="N228" s="430"/>
      <c r="O228" s="430"/>
      <c r="P228" s="430"/>
      <c r="Q228" s="430"/>
      <c r="R228" s="430"/>
      <c r="S228" s="430"/>
      <c r="T228" s="430"/>
      <c r="U228" s="430"/>
      <c r="V228" s="430"/>
      <c r="W228" s="430"/>
      <c r="X228" s="430"/>
      <c r="Y228" s="430"/>
      <c r="Z228" s="430"/>
      <c r="AA228" s="430"/>
    </row>
    <row r="229">
      <c r="A229" s="433"/>
      <c r="B229" s="430"/>
      <c r="C229" s="430"/>
      <c r="D229" s="430"/>
      <c r="E229" s="432"/>
      <c r="F229" s="430"/>
      <c r="G229" s="430"/>
      <c r="H229" s="430"/>
      <c r="I229" s="430"/>
      <c r="J229" s="430"/>
      <c r="K229" s="430"/>
      <c r="L229" s="430"/>
      <c r="M229" s="430"/>
      <c r="N229" s="430"/>
      <c r="O229" s="430"/>
      <c r="P229" s="430"/>
      <c r="Q229" s="430"/>
      <c r="R229" s="430"/>
      <c r="S229" s="430"/>
      <c r="T229" s="430"/>
      <c r="U229" s="430"/>
      <c r="V229" s="430"/>
      <c r="W229" s="430"/>
      <c r="X229" s="430"/>
      <c r="Y229" s="430"/>
      <c r="Z229" s="430"/>
      <c r="AA229" s="430"/>
    </row>
    <row r="230">
      <c r="A230" s="433"/>
      <c r="B230" s="430"/>
      <c r="C230" s="430"/>
      <c r="D230" s="430"/>
      <c r="E230" s="432"/>
      <c r="F230" s="430"/>
      <c r="G230" s="430"/>
      <c r="H230" s="430"/>
      <c r="I230" s="430"/>
      <c r="J230" s="430"/>
      <c r="K230" s="430"/>
      <c r="L230" s="430"/>
      <c r="M230" s="430"/>
      <c r="N230" s="430"/>
      <c r="O230" s="430"/>
      <c r="P230" s="430"/>
      <c r="Q230" s="430"/>
      <c r="R230" s="430"/>
      <c r="S230" s="430"/>
      <c r="T230" s="430"/>
      <c r="U230" s="430"/>
      <c r="V230" s="430"/>
      <c r="W230" s="430"/>
      <c r="X230" s="430"/>
      <c r="Y230" s="430"/>
      <c r="Z230" s="430"/>
      <c r="AA230" s="430"/>
    </row>
    <row r="231">
      <c r="A231" s="433"/>
      <c r="B231" s="430"/>
      <c r="C231" s="430"/>
      <c r="D231" s="430"/>
      <c r="E231" s="432"/>
      <c r="F231" s="430"/>
      <c r="G231" s="430"/>
      <c r="H231" s="430"/>
      <c r="I231" s="430"/>
      <c r="J231" s="430"/>
      <c r="K231" s="430"/>
      <c r="L231" s="430"/>
      <c r="M231" s="430"/>
      <c r="N231" s="430"/>
      <c r="O231" s="430"/>
      <c r="P231" s="430"/>
      <c r="Q231" s="430"/>
      <c r="R231" s="430"/>
      <c r="S231" s="430"/>
      <c r="T231" s="430"/>
      <c r="U231" s="430"/>
      <c r="V231" s="430"/>
      <c r="W231" s="430"/>
      <c r="X231" s="430"/>
      <c r="Y231" s="430"/>
      <c r="Z231" s="430"/>
      <c r="AA231" s="430"/>
    </row>
    <row r="232">
      <c r="A232" s="433"/>
      <c r="B232" s="430"/>
      <c r="C232" s="430"/>
      <c r="D232" s="430"/>
      <c r="E232" s="432"/>
      <c r="F232" s="430"/>
      <c r="G232" s="430"/>
      <c r="H232" s="430"/>
      <c r="I232" s="430"/>
      <c r="J232" s="430"/>
      <c r="K232" s="430"/>
      <c r="L232" s="430"/>
      <c r="M232" s="430"/>
      <c r="N232" s="430"/>
      <c r="O232" s="430"/>
      <c r="P232" s="430"/>
      <c r="Q232" s="430"/>
      <c r="R232" s="430"/>
      <c r="S232" s="430"/>
      <c r="T232" s="430"/>
      <c r="U232" s="430"/>
      <c r="V232" s="430"/>
      <c r="W232" s="430"/>
      <c r="X232" s="430"/>
      <c r="Y232" s="430"/>
      <c r="Z232" s="430"/>
      <c r="AA232" s="430"/>
    </row>
    <row r="233">
      <c r="A233" s="433"/>
      <c r="B233" s="430"/>
      <c r="C233" s="430"/>
      <c r="D233" s="430"/>
      <c r="E233" s="432"/>
      <c r="F233" s="430"/>
      <c r="G233" s="430"/>
      <c r="H233" s="430"/>
      <c r="I233" s="430"/>
      <c r="J233" s="430"/>
      <c r="K233" s="430"/>
      <c r="L233" s="430"/>
      <c r="M233" s="430"/>
      <c r="N233" s="430"/>
      <c r="O233" s="430"/>
      <c r="P233" s="430"/>
      <c r="Q233" s="430"/>
      <c r="R233" s="430"/>
      <c r="S233" s="430"/>
      <c r="T233" s="430"/>
      <c r="U233" s="430"/>
      <c r="V233" s="430"/>
      <c r="W233" s="430"/>
      <c r="X233" s="430"/>
      <c r="Y233" s="430"/>
      <c r="Z233" s="430"/>
      <c r="AA233" s="430"/>
    </row>
    <row r="234">
      <c r="A234" s="433"/>
      <c r="B234" s="430"/>
      <c r="C234" s="430"/>
      <c r="D234" s="430"/>
      <c r="E234" s="432"/>
      <c r="F234" s="430"/>
      <c r="G234" s="430"/>
      <c r="H234" s="430"/>
      <c r="I234" s="430"/>
      <c r="J234" s="430"/>
      <c r="K234" s="430"/>
      <c r="L234" s="430"/>
      <c r="M234" s="430"/>
      <c r="N234" s="430"/>
      <c r="O234" s="430"/>
      <c r="P234" s="430"/>
      <c r="Q234" s="430"/>
      <c r="R234" s="430"/>
      <c r="S234" s="430"/>
      <c r="T234" s="430"/>
      <c r="U234" s="430"/>
      <c r="V234" s="430"/>
      <c r="W234" s="430"/>
      <c r="X234" s="430"/>
      <c r="Y234" s="430"/>
      <c r="Z234" s="430"/>
      <c r="AA234" s="430"/>
    </row>
    <row r="235">
      <c r="A235" s="433"/>
      <c r="B235" s="430"/>
      <c r="C235" s="430"/>
      <c r="D235" s="430"/>
      <c r="E235" s="432"/>
      <c r="F235" s="430"/>
      <c r="G235" s="430"/>
      <c r="H235" s="430"/>
      <c r="I235" s="430"/>
      <c r="J235" s="430"/>
      <c r="K235" s="430"/>
      <c r="L235" s="430"/>
      <c r="M235" s="430"/>
      <c r="N235" s="430"/>
      <c r="O235" s="430"/>
      <c r="P235" s="430"/>
      <c r="Q235" s="430"/>
      <c r="R235" s="430"/>
      <c r="S235" s="430"/>
      <c r="T235" s="430"/>
      <c r="U235" s="430"/>
      <c r="V235" s="430"/>
      <c r="W235" s="430"/>
      <c r="X235" s="430"/>
      <c r="Y235" s="430"/>
      <c r="Z235" s="430"/>
      <c r="AA235" s="430"/>
    </row>
    <row r="236">
      <c r="A236" s="433"/>
      <c r="B236" s="430"/>
      <c r="C236" s="430"/>
      <c r="D236" s="430"/>
      <c r="E236" s="432"/>
      <c r="F236" s="430"/>
      <c r="G236" s="430"/>
      <c r="H236" s="430"/>
      <c r="I236" s="430"/>
      <c r="J236" s="430"/>
      <c r="K236" s="430"/>
      <c r="L236" s="430"/>
      <c r="M236" s="430"/>
      <c r="N236" s="430"/>
      <c r="O236" s="430"/>
      <c r="P236" s="430"/>
      <c r="Q236" s="430"/>
      <c r="R236" s="430"/>
      <c r="S236" s="430"/>
      <c r="T236" s="430"/>
      <c r="U236" s="430"/>
      <c r="V236" s="430"/>
      <c r="W236" s="430"/>
      <c r="X236" s="430"/>
      <c r="Y236" s="430"/>
      <c r="Z236" s="430"/>
      <c r="AA236" s="430"/>
    </row>
    <row r="237">
      <c r="A237" s="433"/>
      <c r="B237" s="430"/>
      <c r="C237" s="430"/>
      <c r="D237" s="430"/>
      <c r="E237" s="432"/>
      <c r="F237" s="430"/>
      <c r="G237" s="430"/>
      <c r="H237" s="430"/>
      <c r="I237" s="430"/>
      <c r="J237" s="430"/>
      <c r="K237" s="430"/>
      <c r="L237" s="430"/>
      <c r="M237" s="430"/>
      <c r="N237" s="430"/>
      <c r="O237" s="430"/>
      <c r="P237" s="430"/>
      <c r="Q237" s="430"/>
      <c r="R237" s="430"/>
      <c r="S237" s="430"/>
      <c r="T237" s="430"/>
      <c r="U237" s="430"/>
      <c r="V237" s="430"/>
      <c r="W237" s="430"/>
      <c r="X237" s="430"/>
      <c r="Y237" s="430"/>
      <c r="Z237" s="430"/>
      <c r="AA237" s="430"/>
    </row>
    <row r="238">
      <c r="A238" s="433"/>
      <c r="B238" s="430"/>
      <c r="C238" s="430"/>
      <c r="D238" s="430"/>
      <c r="E238" s="432"/>
      <c r="F238" s="430"/>
      <c r="G238" s="430"/>
      <c r="H238" s="430"/>
      <c r="I238" s="430"/>
      <c r="J238" s="430"/>
      <c r="K238" s="430"/>
      <c r="L238" s="430"/>
      <c r="M238" s="430"/>
      <c r="N238" s="430"/>
      <c r="O238" s="430"/>
      <c r="P238" s="430"/>
      <c r="Q238" s="430"/>
      <c r="R238" s="430"/>
      <c r="S238" s="430"/>
      <c r="T238" s="430"/>
      <c r="U238" s="430"/>
      <c r="V238" s="430"/>
      <c r="W238" s="430"/>
      <c r="X238" s="430"/>
      <c r="Y238" s="430"/>
      <c r="Z238" s="430"/>
      <c r="AA238" s="430"/>
    </row>
    <row r="239">
      <c r="A239" s="433"/>
      <c r="B239" s="430"/>
      <c r="C239" s="430"/>
      <c r="D239" s="430"/>
      <c r="E239" s="432"/>
      <c r="F239" s="430"/>
      <c r="G239" s="430"/>
      <c r="H239" s="430"/>
      <c r="I239" s="430"/>
      <c r="J239" s="430"/>
      <c r="K239" s="430"/>
      <c r="L239" s="430"/>
      <c r="M239" s="430"/>
      <c r="N239" s="430"/>
      <c r="O239" s="430"/>
      <c r="P239" s="430"/>
      <c r="Q239" s="430"/>
      <c r="R239" s="430"/>
      <c r="S239" s="430"/>
      <c r="T239" s="430"/>
      <c r="U239" s="430"/>
      <c r="V239" s="430"/>
      <c r="W239" s="430"/>
      <c r="X239" s="430"/>
      <c r="Y239" s="430"/>
      <c r="Z239" s="430"/>
      <c r="AA239" s="430"/>
    </row>
    <row r="240">
      <c r="A240" s="433"/>
      <c r="B240" s="430"/>
      <c r="C240" s="430"/>
      <c r="D240" s="430"/>
      <c r="E240" s="432"/>
      <c r="F240" s="430"/>
      <c r="G240" s="430"/>
      <c r="H240" s="430"/>
      <c r="I240" s="430"/>
      <c r="J240" s="430"/>
      <c r="K240" s="430"/>
      <c r="L240" s="430"/>
      <c r="M240" s="430"/>
      <c r="N240" s="430"/>
      <c r="O240" s="430"/>
      <c r="P240" s="430"/>
      <c r="Q240" s="430"/>
      <c r="R240" s="430"/>
      <c r="S240" s="430"/>
      <c r="T240" s="430"/>
      <c r="U240" s="430"/>
      <c r="V240" s="430"/>
      <c r="W240" s="430"/>
      <c r="X240" s="430"/>
      <c r="Y240" s="430"/>
      <c r="Z240" s="430"/>
      <c r="AA240" s="430"/>
    </row>
    <row r="241">
      <c r="A241" s="433"/>
      <c r="B241" s="430"/>
      <c r="C241" s="430"/>
      <c r="D241" s="430"/>
      <c r="E241" s="432"/>
      <c r="F241" s="430"/>
      <c r="G241" s="430"/>
      <c r="H241" s="430"/>
      <c r="I241" s="430"/>
      <c r="J241" s="430"/>
      <c r="K241" s="430"/>
      <c r="L241" s="430"/>
      <c r="M241" s="430"/>
      <c r="N241" s="430"/>
      <c r="O241" s="430"/>
      <c r="P241" s="430"/>
      <c r="Q241" s="430"/>
      <c r="R241" s="430"/>
      <c r="S241" s="430"/>
      <c r="T241" s="430"/>
      <c r="U241" s="430"/>
      <c r="V241" s="430"/>
      <c r="W241" s="430"/>
      <c r="X241" s="430"/>
      <c r="Y241" s="430"/>
      <c r="Z241" s="430"/>
      <c r="AA241" s="430"/>
    </row>
    <row r="242">
      <c r="A242" s="433"/>
      <c r="B242" s="430"/>
      <c r="C242" s="430"/>
      <c r="D242" s="430"/>
      <c r="E242" s="432"/>
      <c r="F242" s="430"/>
      <c r="G242" s="430"/>
      <c r="H242" s="430"/>
      <c r="I242" s="430"/>
      <c r="J242" s="430"/>
      <c r="K242" s="430"/>
      <c r="L242" s="430"/>
      <c r="M242" s="430"/>
      <c r="N242" s="430"/>
      <c r="O242" s="430"/>
      <c r="P242" s="430"/>
      <c r="Q242" s="430"/>
      <c r="R242" s="430"/>
      <c r="S242" s="430"/>
      <c r="T242" s="430"/>
      <c r="U242" s="430"/>
      <c r="V242" s="430"/>
      <c r="W242" s="430"/>
      <c r="X242" s="430"/>
      <c r="Y242" s="430"/>
      <c r="Z242" s="430"/>
      <c r="AA242" s="430"/>
    </row>
    <row r="243">
      <c r="A243" s="433"/>
      <c r="B243" s="430"/>
      <c r="C243" s="430"/>
      <c r="D243" s="430"/>
      <c r="E243" s="432"/>
      <c r="F243" s="430"/>
      <c r="G243" s="430"/>
      <c r="H243" s="430"/>
      <c r="I243" s="430"/>
      <c r="J243" s="430"/>
      <c r="K243" s="430"/>
      <c r="L243" s="430"/>
      <c r="M243" s="430"/>
      <c r="N243" s="430"/>
      <c r="O243" s="430"/>
      <c r="P243" s="430"/>
      <c r="Q243" s="430"/>
      <c r="R243" s="430"/>
      <c r="S243" s="430"/>
      <c r="T243" s="430"/>
      <c r="U243" s="430"/>
      <c r="V243" s="430"/>
      <c r="W243" s="430"/>
      <c r="X243" s="430"/>
      <c r="Y243" s="430"/>
      <c r="Z243" s="430"/>
      <c r="AA243" s="430"/>
    </row>
    <row r="244">
      <c r="A244" s="433"/>
      <c r="B244" s="430"/>
      <c r="C244" s="430"/>
      <c r="D244" s="430"/>
      <c r="E244" s="432"/>
      <c r="F244" s="430"/>
      <c r="G244" s="430"/>
      <c r="H244" s="430"/>
      <c r="I244" s="430"/>
      <c r="J244" s="430"/>
      <c r="K244" s="430"/>
      <c r="L244" s="430"/>
      <c r="M244" s="430"/>
      <c r="N244" s="430"/>
      <c r="O244" s="430"/>
      <c r="P244" s="430"/>
      <c r="Q244" s="430"/>
      <c r="R244" s="430"/>
      <c r="S244" s="430"/>
      <c r="T244" s="430"/>
      <c r="U244" s="430"/>
      <c r="V244" s="430"/>
      <c r="W244" s="430"/>
      <c r="X244" s="430"/>
      <c r="Y244" s="430"/>
      <c r="Z244" s="430"/>
      <c r="AA244" s="430"/>
    </row>
    <row r="245">
      <c r="A245" s="433"/>
      <c r="B245" s="430"/>
      <c r="C245" s="430"/>
      <c r="D245" s="430"/>
      <c r="E245" s="432"/>
      <c r="F245" s="430"/>
      <c r="G245" s="430"/>
      <c r="H245" s="430"/>
      <c r="I245" s="430"/>
      <c r="J245" s="430"/>
      <c r="K245" s="430"/>
      <c r="L245" s="430"/>
      <c r="M245" s="430"/>
      <c r="N245" s="430"/>
      <c r="O245" s="430"/>
      <c r="P245" s="430"/>
      <c r="Q245" s="430"/>
      <c r="R245" s="430"/>
      <c r="S245" s="430"/>
      <c r="T245" s="430"/>
      <c r="U245" s="430"/>
      <c r="V245" s="430"/>
      <c r="W245" s="430"/>
      <c r="X245" s="430"/>
      <c r="Y245" s="430"/>
      <c r="Z245" s="430"/>
      <c r="AA245" s="430"/>
    </row>
    <row r="246">
      <c r="A246" s="433"/>
      <c r="B246" s="430"/>
      <c r="C246" s="430"/>
      <c r="D246" s="430"/>
      <c r="E246" s="432"/>
      <c r="F246" s="430"/>
      <c r="G246" s="430"/>
      <c r="H246" s="430"/>
      <c r="I246" s="430"/>
      <c r="J246" s="430"/>
      <c r="K246" s="430"/>
      <c r="L246" s="430"/>
      <c r="M246" s="430"/>
      <c r="N246" s="430"/>
      <c r="O246" s="430"/>
      <c r="P246" s="430"/>
      <c r="Q246" s="430"/>
      <c r="R246" s="430"/>
      <c r="S246" s="430"/>
      <c r="T246" s="430"/>
      <c r="U246" s="430"/>
      <c r="V246" s="430"/>
      <c r="W246" s="430"/>
      <c r="X246" s="430"/>
      <c r="Y246" s="430"/>
      <c r="Z246" s="430"/>
      <c r="AA246" s="430"/>
    </row>
    <row r="247">
      <c r="A247" s="433"/>
      <c r="B247" s="430"/>
      <c r="C247" s="430"/>
      <c r="D247" s="430"/>
      <c r="E247" s="432"/>
      <c r="F247" s="430"/>
      <c r="G247" s="430"/>
      <c r="H247" s="430"/>
      <c r="I247" s="430"/>
      <c r="J247" s="430"/>
      <c r="K247" s="430"/>
      <c r="L247" s="430"/>
      <c r="M247" s="430"/>
      <c r="N247" s="430"/>
      <c r="O247" s="430"/>
      <c r="P247" s="430"/>
      <c r="Q247" s="430"/>
      <c r="R247" s="430"/>
      <c r="S247" s="430"/>
      <c r="T247" s="430"/>
      <c r="U247" s="430"/>
      <c r="V247" s="430"/>
      <c r="W247" s="430"/>
      <c r="X247" s="430"/>
      <c r="Y247" s="430"/>
      <c r="Z247" s="430"/>
      <c r="AA247" s="430"/>
    </row>
    <row r="248">
      <c r="A248" s="433"/>
      <c r="B248" s="430"/>
      <c r="C248" s="430"/>
      <c r="D248" s="430"/>
      <c r="E248" s="432"/>
      <c r="F248" s="430"/>
      <c r="G248" s="430"/>
      <c r="H248" s="430"/>
      <c r="I248" s="430"/>
      <c r="J248" s="430"/>
      <c r="K248" s="430"/>
      <c r="L248" s="430"/>
      <c r="M248" s="430"/>
      <c r="N248" s="430"/>
      <c r="O248" s="430"/>
      <c r="P248" s="430"/>
      <c r="Q248" s="430"/>
      <c r="R248" s="430"/>
      <c r="S248" s="430"/>
      <c r="T248" s="430"/>
      <c r="U248" s="430"/>
      <c r="V248" s="430"/>
      <c r="W248" s="430"/>
      <c r="X248" s="430"/>
      <c r="Y248" s="430"/>
      <c r="Z248" s="430"/>
      <c r="AA248" s="430"/>
    </row>
    <row r="249">
      <c r="A249" s="433"/>
      <c r="B249" s="430"/>
      <c r="C249" s="430"/>
      <c r="D249" s="430"/>
      <c r="E249" s="432"/>
      <c r="F249" s="430"/>
      <c r="G249" s="430"/>
      <c r="H249" s="430"/>
      <c r="I249" s="430"/>
      <c r="J249" s="430"/>
      <c r="K249" s="430"/>
      <c r="L249" s="430"/>
      <c r="M249" s="430"/>
      <c r="N249" s="430"/>
      <c r="O249" s="430"/>
      <c r="P249" s="430"/>
      <c r="Q249" s="430"/>
      <c r="R249" s="430"/>
      <c r="S249" s="430"/>
      <c r="T249" s="430"/>
      <c r="U249" s="430"/>
      <c r="V249" s="430"/>
      <c r="W249" s="430"/>
      <c r="X249" s="430"/>
      <c r="Y249" s="430"/>
      <c r="Z249" s="430"/>
      <c r="AA249" s="430"/>
    </row>
    <row r="250">
      <c r="A250" s="433"/>
      <c r="B250" s="430"/>
      <c r="C250" s="430"/>
      <c r="D250" s="430"/>
      <c r="E250" s="432"/>
      <c r="F250" s="430"/>
      <c r="G250" s="430"/>
      <c r="H250" s="430"/>
      <c r="I250" s="430"/>
      <c r="J250" s="430"/>
      <c r="K250" s="430"/>
      <c r="L250" s="430"/>
      <c r="M250" s="430"/>
      <c r="N250" s="430"/>
      <c r="O250" s="430"/>
      <c r="P250" s="430"/>
      <c r="Q250" s="430"/>
      <c r="R250" s="430"/>
      <c r="S250" s="430"/>
      <c r="T250" s="430"/>
      <c r="U250" s="430"/>
      <c r="V250" s="430"/>
      <c r="W250" s="430"/>
      <c r="X250" s="430"/>
      <c r="Y250" s="430"/>
      <c r="Z250" s="430"/>
      <c r="AA250" s="430"/>
    </row>
    <row r="251">
      <c r="A251" s="433"/>
      <c r="B251" s="430"/>
      <c r="C251" s="430"/>
      <c r="D251" s="430"/>
      <c r="E251" s="432"/>
      <c r="F251" s="430"/>
      <c r="G251" s="430"/>
      <c r="H251" s="430"/>
      <c r="I251" s="430"/>
      <c r="J251" s="430"/>
      <c r="K251" s="430"/>
      <c r="L251" s="430"/>
      <c r="M251" s="430"/>
      <c r="N251" s="430"/>
      <c r="O251" s="430"/>
      <c r="P251" s="430"/>
      <c r="Q251" s="430"/>
      <c r="R251" s="430"/>
      <c r="S251" s="430"/>
      <c r="T251" s="430"/>
      <c r="U251" s="430"/>
      <c r="V251" s="430"/>
      <c r="W251" s="430"/>
      <c r="X251" s="430"/>
      <c r="Y251" s="430"/>
      <c r="Z251" s="430"/>
      <c r="AA251" s="430"/>
    </row>
    <row r="252">
      <c r="A252" s="433"/>
      <c r="B252" s="430"/>
      <c r="C252" s="430"/>
      <c r="D252" s="430"/>
      <c r="E252" s="432"/>
      <c r="F252" s="430"/>
      <c r="G252" s="430"/>
      <c r="H252" s="430"/>
      <c r="I252" s="430"/>
      <c r="J252" s="430"/>
      <c r="K252" s="430"/>
      <c r="L252" s="430"/>
      <c r="M252" s="430"/>
      <c r="N252" s="430"/>
      <c r="O252" s="430"/>
      <c r="P252" s="430"/>
      <c r="Q252" s="430"/>
      <c r="R252" s="430"/>
      <c r="S252" s="430"/>
      <c r="T252" s="430"/>
      <c r="U252" s="430"/>
      <c r="V252" s="430"/>
      <c r="W252" s="430"/>
      <c r="X252" s="430"/>
      <c r="Y252" s="430"/>
      <c r="Z252" s="430"/>
      <c r="AA252" s="430"/>
    </row>
    <row r="253">
      <c r="A253" s="433"/>
      <c r="B253" s="430"/>
      <c r="C253" s="430"/>
      <c r="D253" s="430"/>
      <c r="E253" s="432"/>
      <c r="F253" s="430"/>
      <c r="G253" s="430"/>
      <c r="H253" s="430"/>
      <c r="I253" s="430"/>
      <c r="J253" s="430"/>
      <c r="K253" s="430"/>
      <c r="L253" s="430"/>
      <c r="M253" s="430"/>
      <c r="N253" s="430"/>
      <c r="O253" s="430"/>
      <c r="P253" s="430"/>
      <c r="Q253" s="430"/>
      <c r="R253" s="430"/>
      <c r="S253" s="430"/>
      <c r="T253" s="430"/>
      <c r="U253" s="430"/>
      <c r="V253" s="430"/>
      <c r="W253" s="430"/>
      <c r="X253" s="430"/>
      <c r="Y253" s="430"/>
      <c r="Z253" s="430"/>
      <c r="AA253" s="430"/>
    </row>
    <row r="254">
      <c r="A254" s="433"/>
      <c r="B254" s="430"/>
      <c r="C254" s="430"/>
      <c r="D254" s="430"/>
      <c r="E254" s="432"/>
      <c r="F254" s="430"/>
      <c r="G254" s="430"/>
      <c r="H254" s="430"/>
      <c r="I254" s="430"/>
      <c r="J254" s="430"/>
      <c r="K254" s="430"/>
      <c r="L254" s="430"/>
      <c r="M254" s="430"/>
      <c r="N254" s="430"/>
      <c r="O254" s="430"/>
      <c r="P254" s="430"/>
      <c r="Q254" s="430"/>
      <c r="R254" s="430"/>
      <c r="S254" s="430"/>
      <c r="T254" s="430"/>
      <c r="U254" s="430"/>
      <c r="V254" s="430"/>
      <c r="W254" s="430"/>
      <c r="X254" s="430"/>
      <c r="Y254" s="430"/>
      <c r="Z254" s="430"/>
      <c r="AA254" s="430"/>
    </row>
    <row r="255">
      <c r="A255" s="433"/>
      <c r="B255" s="430"/>
      <c r="C255" s="430"/>
      <c r="D255" s="430"/>
      <c r="E255" s="432"/>
      <c r="F255" s="430"/>
      <c r="G255" s="430"/>
      <c r="H255" s="430"/>
      <c r="I255" s="430"/>
      <c r="J255" s="430"/>
      <c r="K255" s="430"/>
      <c r="L255" s="430"/>
      <c r="M255" s="430"/>
      <c r="N255" s="430"/>
      <c r="O255" s="430"/>
      <c r="P255" s="430"/>
      <c r="Q255" s="430"/>
      <c r="R255" s="430"/>
      <c r="S255" s="430"/>
      <c r="T255" s="430"/>
      <c r="U255" s="430"/>
      <c r="V255" s="430"/>
      <c r="W255" s="430"/>
      <c r="X255" s="430"/>
      <c r="Y255" s="430"/>
      <c r="Z255" s="430"/>
      <c r="AA255" s="430"/>
    </row>
    <row r="256">
      <c r="A256" s="433"/>
      <c r="B256" s="430"/>
      <c r="C256" s="430"/>
      <c r="D256" s="430"/>
      <c r="E256" s="432"/>
      <c r="F256" s="430"/>
      <c r="G256" s="430"/>
      <c r="H256" s="430"/>
      <c r="I256" s="430"/>
      <c r="J256" s="430"/>
      <c r="K256" s="430"/>
      <c r="L256" s="430"/>
      <c r="M256" s="430"/>
      <c r="N256" s="430"/>
      <c r="O256" s="430"/>
      <c r="P256" s="430"/>
      <c r="Q256" s="430"/>
      <c r="R256" s="430"/>
      <c r="S256" s="430"/>
      <c r="T256" s="430"/>
      <c r="U256" s="430"/>
      <c r="V256" s="430"/>
      <c r="W256" s="430"/>
      <c r="X256" s="430"/>
      <c r="Y256" s="430"/>
      <c r="Z256" s="430"/>
      <c r="AA256" s="430"/>
    </row>
    <row r="257">
      <c r="A257" s="433"/>
      <c r="B257" s="430"/>
      <c r="C257" s="430"/>
      <c r="D257" s="430"/>
      <c r="E257" s="432"/>
      <c r="F257" s="430"/>
      <c r="G257" s="430"/>
      <c r="H257" s="430"/>
      <c r="I257" s="430"/>
      <c r="J257" s="430"/>
      <c r="K257" s="430"/>
      <c r="L257" s="430"/>
      <c r="M257" s="430"/>
      <c r="N257" s="430"/>
      <c r="O257" s="430"/>
      <c r="P257" s="430"/>
      <c r="Q257" s="430"/>
      <c r="R257" s="430"/>
      <c r="S257" s="430"/>
      <c r="T257" s="430"/>
      <c r="U257" s="430"/>
      <c r="V257" s="430"/>
      <c r="W257" s="430"/>
      <c r="X257" s="430"/>
      <c r="Y257" s="430"/>
      <c r="Z257" s="430"/>
      <c r="AA257" s="430"/>
    </row>
    <row r="258">
      <c r="A258" s="433"/>
      <c r="B258" s="430"/>
      <c r="C258" s="430"/>
      <c r="D258" s="430"/>
      <c r="E258" s="432"/>
      <c r="F258" s="430"/>
      <c r="G258" s="430"/>
      <c r="H258" s="430"/>
      <c r="I258" s="430"/>
      <c r="J258" s="430"/>
      <c r="K258" s="430"/>
      <c r="L258" s="430"/>
      <c r="M258" s="430"/>
      <c r="N258" s="430"/>
      <c r="O258" s="430"/>
      <c r="P258" s="430"/>
      <c r="Q258" s="430"/>
      <c r="R258" s="430"/>
      <c r="S258" s="430"/>
      <c r="T258" s="430"/>
      <c r="U258" s="430"/>
      <c r="V258" s="430"/>
      <c r="W258" s="430"/>
      <c r="X258" s="430"/>
      <c r="Y258" s="430"/>
      <c r="Z258" s="430"/>
      <c r="AA258" s="430"/>
    </row>
    <row r="259">
      <c r="A259" s="433"/>
      <c r="B259" s="430"/>
      <c r="C259" s="430"/>
      <c r="D259" s="430"/>
      <c r="E259" s="432"/>
      <c r="F259" s="430"/>
      <c r="G259" s="430"/>
      <c r="H259" s="430"/>
      <c r="I259" s="430"/>
      <c r="J259" s="430"/>
      <c r="K259" s="430"/>
      <c r="L259" s="430"/>
      <c r="M259" s="430"/>
      <c r="N259" s="430"/>
      <c r="O259" s="430"/>
      <c r="P259" s="430"/>
      <c r="Q259" s="430"/>
      <c r="R259" s="430"/>
      <c r="S259" s="430"/>
      <c r="T259" s="430"/>
      <c r="U259" s="430"/>
      <c r="V259" s="430"/>
      <c r="W259" s="430"/>
      <c r="X259" s="430"/>
      <c r="Y259" s="430"/>
      <c r="Z259" s="430"/>
      <c r="AA259" s="430"/>
    </row>
    <row r="260">
      <c r="A260" s="433"/>
      <c r="B260" s="430"/>
      <c r="C260" s="430"/>
      <c r="D260" s="430"/>
      <c r="E260" s="432"/>
      <c r="F260" s="430"/>
      <c r="G260" s="430"/>
      <c r="H260" s="430"/>
      <c r="I260" s="430"/>
      <c r="J260" s="430"/>
      <c r="K260" s="430"/>
      <c r="L260" s="430"/>
      <c r="M260" s="430"/>
      <c r="N260" s="430"/>
      <c r="O260" s="430"/>
      <c r="P260" s="430"/>
      <c r="Q260" s="430"/>
      <c r="R260" s="430"/>
      <c r="S260" s="430"/>
      <c r="T260" s="430"/>
      <c r="U260" s="430"/>
      <c r="V260" s="430"/>
      <c r="W260" s="430"/>
      <c r="X260" s="430"/>
      <c r="Y260" s="430"/>
      <c r="Z260" s="430"/>
      <c r="AA260" s="430"/>
    </row>
    <row r="261">
      <c r="A261" s="433"/>
      <c r="B261" s="430"/>
      <c r="C261" s="430"/>
      <c r="D261" s="430"/>
      <c r="E261" s="432"/>
      <c r="F261" s="430"/>
      <c r="G261" s="430"/>
      <c r="H261" s="430"/>
      <c r="I261" s="430"/>
      <c r="J261" s="430"/>
      <c r="K261" s="430"/>
      <c r="L261" s="430"/>
      <c r="M261" s="430"/>
      <c r="N261" s="430"/>
      <c r="O261" s="430"/>
      <c r="P261" s="430"/>
      <c r="Q261" s="430"/>
      <c r="R261" s="430"/>
      <c r="S261" s="430"/>
      <c r="T261" s="430"/>
      <c r="U261" s="430"/>
      <c r="V261" s="430"/>
      <c r="W261" s="430"/>
      <c r="X261" s="430"/>
      <c r="Y261" s="430"/>
      <c r="Z261" s="430"/>
      <c r="AA261" s="430"/>
    </row>
    <row r="262">
      <c r="A262" s="433"/>
      <c r="B262" s="430"/>
      <c r="C262" s="430"/>
      <c r="D262" s="430"/>
      <c r="E262" s="432"/>
      <c r="F262" s="430"/>
      <c r="G262" s="430"/>
      <c r="H262" s="430"/>
      <c r="I262" s="430"/>
      <c r="J262" s="430"/>
      <c r="K262" s="430"/>
      <c r="L262" s="430"/>
      <c r="M262" s="430"/>
      <c r="N262" s="430"/>
      <c r="O262" s="430"/>
      <c r="P262" s="430"/>
      <c r="Q262" s="430"/>
      <c r="R262" s="430"/>
      <c r="S262" s="430"/>
      <c r="T262" s="430"/>
      <c r="U262" s="430"/>
      <c r="V262" s="430"/>
      <c r="W262" s="430"/>
      <c r="X262" s="430"/>
      <c r="Y262" s="430"/>
      <c r="Z262" s="430"/>
      <c r="AA262" s="430"/>
    </row>
    <row r="263">
      <c r="A263" s="433"/>
      <c r="B263" s="430"/>
      <c r="C263" s="430"/>
      <c r="D263" s="430"/>
      <c r="E263" s="432"/>
      <c r="F263" s="430"/>
      <c r="G263" s="430"/>
      <c r="H263" s="430"/>
      <c r="I263" s="430"/>
      <c r="J263" s="430"/>
      <c r="K263" s="430"/>
      <c r="L263" s="430"/>
      <c r="M263" s="430"/>
      <c r="N263" s="430"/>
      <c r="O263" s="430"/>
      <c r="P263" s="430"/>
      <c r="Q263" s="430"/>
      <c r="R263" s="430"/>
      <c r="S263" s="430"/>
      <c r="T263" s="430"/>
      <c r="U263" s="430"/>
      <c r="V263" s="430"/>
      <c r="W263" s="430"/>
      <c r="X263" s="430"/>
      <c r="Y263" s="430"/>
      <c r="Z263" s="430"/>
      <c r="AA263" s="430"/>
    </row>
    <row r="264">
      <c r="A264" s="433"/>
      <c r="B264" s="430"/>
      <c r="C264" s="430"/>
      <c r="D264" s="430"/>
      <c r="E264" s="432"/>
      <c r="F264" s="430"/>
      <c r="G264" s="430"/>
      <c r="H264" s="430"/>
      <c r="I264" s="430"/>
      <c r="J264" s="430"/>
      <c r="K264" s="430"/>
      <c r="L264" s="430"/>
      <c r="M264" s="430"/>
      <c r="N264" s="430"/>
      <c r="O264" s="430"/>
      <c r="P264" s="430"/>
      <c r="Q264" s="430"/>
      <c r="R264" s="430"/>
      <c r="S264" s="430"/>
      <c r="T264" s="430"/>
      <c r="U264" s="430"/>
      <c r="V264" s="430"/>
      <c r="W264" s="430"/>
      <c r="X264" s="430"/>
      <c r="Y264" s="430"/>
      <c r="Z264" s="430"/>
      <c r="AA264" s="430"/>
    </row>
    <row r="265">
      <c r="A265" s="433"/>
      <c r="B265" s="430"/>
      <c r="C265" s="430"/>
      <c r="D265" s="430"/>
      <c r="E265" s="432"/>
      <c r="F265" s="430"/>
      <c r="G265" s="430"/>
      <c r="H265" s="430"/>
      <c r="I265" s="430"/>
      <c r="J265" s="430"/>
      <c r="K265" s="430"/>
      <c r="L265" s="430"/>
      <c r="M265" s="430"/>
      <c r="N265" s="430"/>
      <c r="O265" s="430"/>
      <c r="P265" s="430"/>
      <c r="Q265" s="430"/>
      <c r="R265" s="430"/>
      <c r="S265" s="430"/>
      <c r="T265" s="430"/>
      <c r="U265" s="430"/>
      <c r="V265" s="430"/>
      <c r="W265" s="430"/>
      <c r="X265" s="430"/>
      <c r="Y265" s="430"/>
      <c r="Z265" s="430"/>
      <c r="AA265" s="430"/>
    </row>
    <row r="266">
      <c r="A266" s="433"/>
      <c r="B266" s="430"/>
      <c r="C266" s="430"/>
      <c r="D266" s="430"/>
      <c r="E266" s="432"/>
      <c r="F266" s="430"/>
      <c r="G266" s="430"/>
      <c r="H266" s="430"/>
      <c r="I266" s="430"/>
      <c r="J266" s="430"/>
      <c r="K266" s="430"/>
      <c r="L266" s="430"/>
      <c r="M266" s="430"/>
      <c r="N266" s="430"/>
      <c r="O266" s="430"/>
      <c r="P266" s="430"/>
      <c r="Q266" s="430"/>
      <c r="R266" s="430"/>
      <c r="S266" s="430"/>
      <c r="T266" s="430"/>
      <c r="U266" s="430"/>
      <c r="V266" s="430"/>
      <c r="W266" s="430"/>
      <c r="X266" s="430"/>
      <c r="Y266" s="430"/>
      <c r="Z266" s="430"/>
      <c r="AA266" s="430"/>
    </row>
    <row r="267">
      <c r="A267" s="433"/>
      <c r="B267" s="430"/>
      <c r="C267" s="430"/>
      <c r="D267" s="430"/>
      <c r="E267" s="432"/>
      <c r="F267" s="430"/>
      <c r="G267" s="430"/>
      <c r="H267" s="430"/>
      <c r="I267" s="430"/>
      <c r="J267" s="430"/>
      <c r="K267" s="430"/>
      <c r="L267" s="430"/>
      <c r="M267" s="430"/>
      <c r="N267" s="430"/>
      <c r="O267" s="430"/>
      <c r="P267" s="430"/>
      <c r="Q267" s="430"/>
      <c r="R267" s="430"/>
      <c r="S267" s="430"/>
      <c r="T267" s="430"/>
      <c r="U267" s="430"/>
      <c r="V267" s="430"/>
      <c r="W267" s="430"/>
      <c r="X267" s="430"/>
      <c r="Y267" s="430"/>
      <c r="Z267" s="430"/>
      <c r="AA267" s="430"/>
    </row>
    <row r="268">
      <c r="A268" s="433"/>
      <c r="B268" s="430"/>
      <c r="C268" s="430"/>
      <c r="D268" s="430"/>
      <c r="E268" s="432"/>
      <c r="F268" s="430"/>
      <c r="G268" s="430"/>
      <c r="H268" s="430"/>
      <c r="I268" s="430"/>
      <c r="J268" s="430"/>
      <c r="K268" s="430"/>
      <c r="L268" s="430"/>
      <c r="M268" s="430"/>
      <c r="N268" s="430"/>
      <c r="O268" s="430"/>
      <c r="P268" s="430"/>
      <c r="Q268" s="430"/>
      <c r="R268" s="430"/>
      <c r="S268" s="430"/>
      <c r="T268" s="430"/>
      <c r="U268" s="430"/>
      <c r="V268" s="430"/>
      <c r="W268" s="430"/>
      <c r="X268" s="430"/>
      <c r="Y268" s="430"/>
      <c r="Z268" s="430"/>
      <c r="AA268" s="430"/>
    </row>
    <row r="269">
      <c r="A269" s="433"/>
      <c r="B269" s="430"/>
      <c r="C269" s="430"/>
      <c r="D269" s="430"/>
      <c r="E269" s="432"/>
      <c r="F269" s="430"/>
      <c r="G269" s="430"/>
      <c r="H269" s="430"/>
      <c r="I269" s="430"/>
      <c r="J269" s="430"/>
      <c r="K269" s="430"/>
      <c r="L269" s="430"/>
      <c r="M269" s="430"/>
      <c r="N269" s="430"/>
      <c r="O269" s="430"/>
      <c r="P269" s="430"/>
      <c r="Q269" s="430"/>
      <c r="R269" s="430"/>
      <c r="S269" s="430"/>
      <c r="T269" s="430"/>
      <c r="U269" s="430"/>
      <c r="V269" s="430"/>
      <c r="W269" s="430"/>
      <c r="X269" s="430"/>
      <c r="Y269" s="430"/>
      <c r="Z269" s="430"/>
      <c r="AA269" s="430"/>
    </row>
    <row r="270">
      <c r="A270" s="433"/>
      <c r="B270" s="430"/>
      <c r="C270" s="430"/>
      <c r="D270" s="430"/>
      <c r="E270" s="432"/>
      <c r="F270" s="430"/>
      <c r="G270" s="430"/>
      <c r="H270" s="430"/>
      <c r="I270" s="430"/>
      <c r="J270" s="430"/>
      <c r="K270" s="430"/>
      <c r="L270" s="430"/>
      <c r="M270" s="430"/>
      <c r="N270" s="430"/>
      <c r="O270" s="430"/>
      <c r="P270" s="430"/>
      <c r="Q270" s="430"/>
      <c r="R270" s="430"/>
      <c r="S270" s="430"/>
      <c r="T270" s="430"/>
      <c r="U270" s="430"/>
      <c r="V270" s="430"/>
      <c r="W270" s="430"/>
      <c r="X270" s="430"/>
      <c r="Y270" s="430"/>
      <c r="Z270" s="430"/>
      <c r="AA270" s="430"/>
    </row>
    <row r="271">
      <c r="A271" s="433"/>
      <c r="B271" s="430"/>
      <c r="C271" s="430"/>
      <c r="D271" s="430"/>
      <c r="E271" s="432"/>
      <c r="F271" s="430"/>
      <c r="G271" s="430"/>
      <c r="H271" s="430"/>
      <c r="I271" s="430"/>
      <c r="J271" s="430"/>
      <c r="K271" s="430"/>
      <c r="L271" s="430"/>
      <c r="M271" s="430"/>
      <c r="N271" s="430"/>
      <c r="O271" s="430"/>
      <c r="P271" s="430"/>
      <c r="Q271" s="430"/>
      <c r="R271" s="430"/>
      <c r="S271" s="430"/>
      <c r="T271" s="430"/>
      <c r="U271" s="430"/>
      <c r="V271" s="430"/>
      <c r="W271" s="430"/>
      <c r="X271" s="430"/>
      <c r="Y271" s="430"/>
      <c r="Z271" s="430"/>
      <c r="AA271" s="430"/>
    </row>
    <row r="272">
      <c r="A272" s="433"/>
      <c r="B272" s="430"/>
      <c r="C272" s="430"/>
      <c r="D272" s="430"/>
      <c r="E272" s="432"/>
      <c r="F272" s="430"/>
      <c r="G272" s="430"/>
      <c r="H272" s="430"/>
      <c r="I272" s="430"/>
      <c r="J272" s="430"/>
      <c r="K272" s="430"/>
      <c r="L272" s="430"/>
      <c r="M272" s="430"/>
      <c r="N272" s="430"/>
      <c r="O272" s="430"/>
      <c r="P272" s="430"/>
      <c r="Q272" s="430"/>
      <c r="R272" s="430"/>
      <c r="S272" s="430"/>
      <c r="T272" s="430"/>
      <c r="U272" s="430"/>
      <c r="V272" s="430"/>
      <c r="W272" s="430"/>
      <c r="X272" s="430"/>
      <c r="Y272" s="430"/>
      <c r="Z272" s="430"/>
      <c r="AA272" s="430"/>
    </row>
    <row r="273">
      <c r="A273" s="433"/>
      <c r="B273" s="430"/>
      <c r="C273" s="430"/>
      <c r="D273" s="430"/>
      <c r="E273" s="432"/>
      <c r="F273" s="430"/>
      <c r="G273" s="430"/>
      <c r="H273" s="430"/>
      <c r="I273" s="430"/>
      <c r="J273" s="430"/>
      <c r="K273" s="430"/>
      <c r="L273" s="430"/>
      <c r="M273" s="430"/>
      <c r="N273" s="430"/>
      <c r="O273" s="430"/>
      <c r="P273" s="430"/>
      <c r="Q273" s="430"/>
      <c r="R273" s="430"/>
      <c r="S273" s="430"/>
      <c r="T273" s="430"/>
      <c r="U273" s="430"/>
      <c r="V273" s="430"/>
      <c r="W273" s="430"/>
      <c r="X273" s="430"/>
      <c r="Y273" s="430"/>
      <c r="Z273" s="430"/>
      <c r="AA273" s="430"/>
    </row>
    <row r="274">
      <c r="A274" s="433"/>
      <c r="B274" s="430"/>
      <c r="C274" s="430"/>
      <c r="D274" s="430"/>
      <c r="E274" s="432"/>
      <c r="F274" s="430"/>
      <c r="G274" s="430"/>
      <c r="H274" s="430"/>
      <c r="I274" s="430"/>
      <c r="J274" s="430"/>
      <c r="K274" s="430"/>
      <c r="L274" s="430"/>
      <c r="M274" s="430"/>
      <c r="N274" s="430"/>
      <c r="O274" s="430"/>
      <c r="P274" s="430"/>
      <c r="Q274" s="430"/>
      <c r="R274" s="430"/>
      <c r="S274" s="430"/>
      <c r="T274" s="430"/>
      <c r="U274" s="430"/>
      <c r="V274" s="430"/>
      <c r="W274" s="430"/>
      <c r="X274" s="430"/>
      <c r="Y274" s="430"/>
      <c r="Z274" s="430"/>
      <c r="AA274" s="430"/>
    </row>
    <row r="275">
      <c r="A275" s="433"/>
      <c r="B275" s="430"/>
      <c r="C275" s="430"/>
      <c r="D275" s="430"/>
      <c r="E275" s="432"/>
      <c r="F275" s="430"/>
      <c r="G275" s="430"/>
      <c r="H275" s="430"/>
      <c r="I275" s="430"/>
      <c r="J275" s="430"/>
      <c r="K275" s="430"/>
      <c r="L275" s="430"/>
      <c r="M275" s="430"/>
      <c r="N275" s="430"/>
      <c r="O275" s="430"/>
      <c r="P275" s="430"/>
      <c r="Q275" s="430"/>
      <c r="R275" s="430"/>
      <c r="S275" s="430"/>
      <c r="T275" s="430"/>
      <c r="U275" s="430"/>
      <c r="V275" s="430"/>
      <c r="W275" s="430"/>
      <c r="X275" s="430"/>
      <c r="Y275" s="430"/>
      <c r="Z275" s="430"/>
      <c r="AA275" s="430"/>
    </row>
    <row r="276">
      <c r="A276" s="433"/>
      <c r="B276" s="430"/>
      <c r="C276" s="430"/>
      <c r="D276" s="430"/>
      <c r="E276" s="432"/>
      <c r="F276" s="430"/>
      <c r="G276" s="430"/>
      <c r="H276" s="430"/>
      <c r="I276" s="430"/>
      <c r="J276" s="430"/>
      <c r="K276" s="430"/>
      <c r="L276" s="430"/>
      <c r="M276" s="430"/>
      <c r="N276" s="430"/>
      <c r="O276" s="430"/>
      <c r="P276" s="430"/>
      <c r="Q276" s="430"/>
      <c r="R276" s="430"/>
      <c r="S276" s="430"/>
      <c r="T276" s="430"/>
      <c r="U276" s="430"/>
      <c r="V276" s="430"/>
      <c r="W276" s="430"/>
      <c r="X276" s="430"/>
      <c r="Y276" s="430"/>
      <c r="Z276" s="430"/>
      <c r="AA276" s="430"/>
    </row>
    <row r="277">
      <c r="A277" s="433"/>
      <c r="B277" s="430"/>
      <c r="C277" s="430"/>
      <c r="D277" s="430"/>
      <c r="E277" s="432"/>
      <c r="F277" s="430"/>
      <c r="G277" s="430"/>
      <c r="H277" s="430"/>
      <c r="I277" s="430"/>
      <c r="J277" s="430"/>
      <c r="K277" s="430"/>
      <c r="L277" s="430"/>
      <c r="M277" s="430"/>
      <c r="N277" s="430"/>
      <c r="O277" s="430"/>
      <c r="P277" s="430"/>
      <c r="Q277" s="430"/>
      <c r="R277" s="430"/>
      <c r="S277" s="430"/>
      <c r="T277" s="430"/>
      <c r="U277" s="430"/>
      <c r="V277" s="430"/>
      <c r="W277" s="430"/>
      <c r="X277" s="430"/>
      <c r="Y277" s="430"/>
      <c r="Z277" s="430"/>
      <c r="AA277" s="430"/>
    </row>
    <row r="278">
      <c r="A278" s="433"/>
      <c r="B278" s="430"/>
      <c r="C278" s="430"/>
      <c r="D278" s="430"/>
      <c r="E278" s="432"/>
      <c r="F278" s="430"/>
      <c r="G278" s="430"/>
      <c r="H278" s="430"/>
      <c r="I278" s="430"/>
      <c r="J278" s="430"/>
      <c r="K278" s="430"/>
      <c r="L278" s="430"/>
      <c r="M278" s="430"/>
      <c r="N278" s="430"/>
      <c r="O278" s="430"/>
      <c r="P278" s="430"/>
      <c r="Q278" s="430"/>
      <c r="R278" s="430"/>
      <c r="S278" s="430"/>
      <c r="T278" s="430"/>
      <c r="U278" s="430"/>
      <c r="V278" s="430"/>
      <c r="W278" s="430"/>
      <c r="X278" s="430"/>
      <c r="Y278" s="430"/>
      <c r="Z278" s="430"/>
      <c r="AA278" s="430"/>
    </row>
    <row r="279">
      <c r="A279" s="433"/>
      <c r="B279" s="430"/>
      <c r="C279" s="430"/>
      <c r="D279" s="430"/>
      <c r="E279" s="432"/>
      <c r="F279" s="430"/>
      <c r="G279" s="430"/>
      <c r="H279" s="430"/>
      <c r="I279" s="430"/>
      <c r="J279" s="430"/>
      <c r="K279" s="430"/>
      <c r="L279" s="430"/>
      <c r="M279" s="430"/>
      <c r="N279" s="430"/>
      <c r="O279" s="430"/>
      <c r="P279" s="430"/>
      <c r="Q279" s="430"/>
      <c r="R279" s="430"/>
      <c r="S279" s="430"/>
      <c r="T279" s="430"/>
      <c r="U279" s="430"/>
      <c r="V279" s="430"/>
      <c r="W279" s="430"/>
      <c r="X279" s="430"/>
      <c r="Y279" s="430"/>
      <c r="Z279" s="430"/>
      <c r="AA279" s="430"/>
    </row>
    <row r="280">
      <c r="A280" s="433"/>
      <c r="B280" s="430"/>
      <c r="C280" s="430"/>
      <c r="D280" s="430"/>
      <c r="E280" s="432"/>
      <c r="F280" s="430"/>
      <c r="G280" s="430"/>
      <c r="H280" s="430"/>
      <c r="I280" s="430"/>
      <c r="J280" s="430"/>
      <c r="K280" s="430"/>
      <c r="L280" s="430"/>
      <c r="M280" s="430"/>
      <c r="N280" s="430"/>
      <c r="O280" s="430"/>
      <c r="P280" s="430"/>
      <c r="Q280" s="430"/>
      <c r="R280" s="430"/>
      <c r="S280" s="430"/>
      <c r="T280" s="430"/>
      <c r="U280" s="430"/>
      <c r="V280" s="430"/>
      <c r="W280" s="430"/>
      <c r="X280" s="430"/>
      <c r="Y280" s="430"/>
      <c r="Z280" s="430"/>
      <c r="AA280" s="430"/>
    </row>
    <row r="281">
      <c r="A281" s="433"/>
      <c r="B281" s="430"/>
      <c r="C281" s="430"/>
      <c r="D281" s="430"/>
      <c r="E281" s="432"/>
      <c r="F281" s="430"/>
      <c r="G281" s="430"/>
      <c r="H281" s="430"/>
      <c r="I281" s="430"/>
      <c r="J281" s="430"/>
      <c r="K281" s="430"/>
      <c r="L281" s="430"/>
      <c r="M281" s="430"/>
      <c r="N281" s="430"/>
      <c r="O281" s="430"/>
      <c r="P281" s="430"/>
      <c r="Q281" s="430"/>
      <c r="R281" s="430"/>
      <c r="S281" s="430"/>
      <c r="T281" s="430"/>
      <c r="U281" s="430"/>
      <c r="V281" s="430"/>
      <c r="W281" s="430"/>
      <c r="X281" s="430"/>
      <c r="Y281" s="430"/>
      <c r="Z281" s="430"/>
      <c r="AA281" s="430"/>
    </row>
    <row r="282">
      <c r="A282" s="433"/>
      <c r="B282" s="430"/>
      <c r="C282" s="430"/>
      <c r="D282" s="430"/>
      <c r="E282" s="432"/>
      <c r="F282" s="430"/>
      <c r="G282" s="430"/>
      <c r="H282" s="430"/>
      <c r="I282" s="430"/>
      <c r="J282" s="430"/>
      <c r="K282" s="430"/>
      <c r="L282" s="430"/>
      <c r="M282" s="430"/>
      <c r="N282" s="430"/>
      <c r="O282" s="430"/>
      <c r="P282" s="430"/>
      <c r="Q282" s="430"/>
      <c r="R282" s="430"/>
      <c r="S282" s="430"/>
      <c r="T282" s="430"/>
      <c r="U282" s="430"/>
      <c r="V282" s="430"/>
      <c r="W282" s="430"/>
      <c r="X282" s="430"/>
      <c r="Y282" s="430"/>
      <c r="Z282" s="430"/>
      <c r="AA282" s="430"/>
    </row>
    <row r="283">
      <c r="A283" s="433"/>
      <c r="B283" s="430"/>
      <c r="C283" s="430"/>
      <c r="D283" s="430"/>
      <c r="E283" s="432"/>
      <c r="F283" s="430"/>
      <c r="G283" s="430"/>
      <c r="H283" s="430"/>
      <c r="I283" s="430"/>
      <c r="J283" s="430"/>
      <c r="K283" s="430"/>
      <c r="L283" s="430"/>
      <c r="M283" s="430"/>
      <c r="N283" s="430"/>
      <c r="O283" s="430"/>
      <c r="P283" s="430"/>
      <c r="Q283" s="430"/>
      <c r="R283" s="430"/>
      <c r="S283" s="430"/>
      <c r="T283" s="430"/>
      <c r="U283" s="430"/>
      <c r="V283" s="430"/>
      <c r="W283" s="430"/>
      <c r="X283" s="430"/>
      <c r="Y283" s="430"/>
      <c r="Z283" s="430"/>
      <c r="AA283" s="430"/>
    </row>
    <row r="284">
      <c r="A284" s="433"/>
      <c r="B284" s="430"/>
      <c r="C284" s="430"/>
      <c r="D284" s="430"/>
      <c r="E284" s="432"/>
      <c r="F284" s="430"/>
      <c r="G284" s="430"/>
      <c r="H284" s="430"/>
      <c r="I284" s="430"/>
      <c r="J284" s="430"/>
      <c r="K284" s="430"/>
      <c r="L284" s="430"/>
      <c r="M284" s="430"/>
      <c r="N284" s="430"/>
      <c r="O284" s="430"/>
      <c r="P284" s="430"/>
      <c r="Q284" s="430"/>
      <c r="R284" s="430"/>
      <c r="S284" s="430"/>
      <c r="T284" s="430"/>
      <c r="U284" s="430"/>
      <c r="V284" s="430"/>
      <c r="W284" s="430"/>
      <c r="X284" s="430"/>
      <c r="Y284" s="430"/>
      <c r="Z284" s="430"/>
      <c r="AA284" s="430"/>
    </row>
    <row r="285">
      <c r="A285" s="433"/>
      <c r="B285" s="430"/>
      <c r="C285" s="430"/>
      <c r="D285" s="430"/>
      <c r="E285" s="432"/>
      <c r="F285" s="430"/>
      <c r="G285" s="430"/>
      <c r="H285" s="430"/>
      <c r="I285" s="430"/>
      <c r="J285" s="430"/>
      <c r="K285" s="430"/>
      <c r="L285" s="430"/>
      <c r="M285" s="430"/>
      <c r="N285" s="430"/>
      <c r="O285" s="430"/>
      <c r="P285" s="430"/>
      <c r="Q285" s="430"/>
      <c r="R285" s="430"/>
      <c r="S285" s="430"/>
      <c r="T285" s="430"/>
      <c r="U285" s="430"/>
      <c r="V285" s="430"/>
      <c r="W285" s="430"/>
      <c r="X285" s="430"/>
      <c r="Y285" s="430"/>
      <c r="Z285" s="430"/>
      <c r="AA285" s="430"/>
    </row>
    <row r="286">
      <c r="A286" s="433"/>
      <c r="B286" s="430"/>
      <c r="C286" s="430"/>
      <c r="D286" s="430"/>
      <c r="E286" s="432"/>
      <c r="F286" s="430"/>
      <c r="G286" s="430"/>
      <c r="H286" s="430"/>
      <c r="I286" s="430"/>
      <c r="J286" s="430"/>
      <c r="K286" s="430"/>
      <c r="L286" s="430"/>
      <c r="M286" s="430"/>
      <c r="N286" s="430"/>
      <c r="O286" s="430"/>
      <c r="P286" s="430"/>
      <c r="Q286" s="430"/>
      <c r="R286" s="430"/>
      <c r="S286" s="430"/>
      <c r="T286" s="430"/>
      <c r="U286" s="430"/>
      <c r="V286" s="430"/>
      <c r="W286" s="430"/>
      <c r="X286" s="430"/>
      <c r="Y286" s="430"/>
      <c r="Z286" s="430"/>
      <c r="AA286" s="430"/>
    </row>
    <row r="287">
      <c r="A287" s="433"/>
      <c r="B287" s="430"/>
      <c r="C287" s="430"/>
      <c r="D287" s="430"/>
      <c r="E287" s="432"/>
      <c r="F287" s="430"/>
      <c r="G287" s="430"/>
      <c r="H287" s="430"/>
      <c r="I287" s="430"/>
      <c r="J287" s="430"/>
      <c r="K287" s="430"/>
      <c r="L287" s="430"/>
      <c r="M287" s="430"/>
      <c r="N287" s="430"/>
      <c r="O287" s="430"/>
      <c r="P287" s="430"/>
      <c r="Q287" s="430"/>
      <c r="R287" s="430"/>
      <c r="S287" s="430"/>
      <c r="T287" s="430"/>
      <c r="U287" s="430"/>
      <c r="V287" s="430"/>
      <c r="W287" s="430"/>
      <c r="X287" s="430"/>
      <c r="Y287" s="430"/>
      <c r="Z287" s="430"/>
      <c r="AA287" s="430"/>
    </row>
    <row r="288">
      <c r="A288" s="433"/>
      <c r="B288" s="430"/>
      <c r="C288" s="430"/>
      <c r="D288" s="430"/>
      <c r="E288" s="432"/>
      <c r="F288" s="430"/>
      <c r="G288" s="430"/>
      <c r="H288" s="430"/>
      <c r="I288" s="430"/>
      <c r="J288" s="430"/>
      <c r="K288" s="430"/>
      <c r="L288" s="430"/>
      <c r="M288" s="430"/>
      <c r="N288" s="430"/>
      <c r="O288" s="430"/>
      <c r="P288" s="430"/>
      <c r="Q288" s="430"/>
      <c r="R288" s="430"/>
      <c r="S288" s="430"/>
      <c r="T288" s="430"/>
      <c r="U288" s="430"/>
      <c r="V288" s="430"/>
      <c r="W288" s="430"/>
      <c r="X288" s="430"/>
      <c r="Y288" s="430"/>
      <c r="Z288" s="430"/>
      <c r="AA288" s="430"/>
    </row>
    <row r="289">
      <c r="A289" s="433"/>
      <c r="B289" s="430"/>
      <c r="C289" s="430"/>
      <c r="D289" s="430"/>
      <c r="E289" s="432"/>
      <c r="F289" s="430"/>
      <c r="G289" s="430"/>
      <c r="H289" s="430"/>
      <c r="I289" s="430"/>
      <c r="J289" s="430"/>
      <c r="K289" s="430"/>
      <c r="L289" s="430"/>
      <c r="M289" s="430"/>
      <c r="N289" s="430"/>
      <c r="O289" s="430"/>
      <c r="P289" s="430"/>
      <c r="Q289" s="430"/>
      <c r="R289" s="430"/>
      <c r="S289" s="430"/>
      <c r="T289" s="430"/>
      <c r="U289" s="430"/>
      <c r="V289" s="430"/>
      <c r="W289" s="430"/>
      <c r="X289" s="430"/>
      <c r="Y289" s="430"/>
      <c r="Z289" s="430"/>
      <c r="AA289" s="430"/>
    </row>
    <row r="290">
      <c r="A290" s="433"/>
      <c r="B290" s="430"/>
      <c r="C290" s="430"/>
      <c r="D290" s="430"/>
      <c r="E290" s="432"/>
      <c r="F290" s="430"/>
      <c r="G290" s="430"/>
      <c r="H290" s="430"/>
      <c r="I290" s="430"/>
      <c r="J290" s="430"/>
      <c r="K290" s="430"/>
      <c r="L290" s="430"/>
      <c r="M290" s="430"/>
      <c r="N290" s="430"/>
      <c r="O290" s="430"/>
      <c r="P290" s="430"/>
      <c r="Q290" s="430"/>
      <c r="R290" s="430"/>
      <c r="S290" s="430"/>
      <c r="T290" s="430"/>
      <c r="U290" s="430"/>
      <c r="V290" s="430"/>
      <c r="W290" s="430"/>
      <c r="X290" s="430"/>
      <c r="Y290" s="430"/>
      <c r="Z290" s="430"/>
      <c r="AA290" s="430"/>
    </row>
    <row r="291">
      <c r="A291" s="433"/>
      <c r="B291" s="430"/>
      <c r="C291" s="430"/>
      <c r="D291" s="430"/>
      <c r="E291" s="432"/>
      <c r="F291" s="430"/>
      <c r="G291" s="430"/>
      <c r="H291" s="430"/>
      <c r="I291" s="430"/>
      <c r="J291" s="430"/>
      <c r="K291" s="430"/>
      <c r="L291" s="430"/>
      <c r="M291" s="430"/>
      <c r="N291" s="430"/>
      <c r="O291" s="430"/>
      <c r="P291" s="430"/>
      <c r="Q291" s="430"/>
      <c r="R291" s="430"/>
      <c r="S291" s="430"/>
      <c r="T291" s="430"/>
      <c r="U291" s="430"/>
      <c r="V291" s="430"/>
      <c r="W291" s="430"/>
      <c r="X291" s="430"/>
      <c r="Y291" s="430"/>
      <c r="Z291" s="430"/>
      <c r="AA291" s="430"/>
    </row>
    <row r="292">
      <c r="A292" s="433"/>
      <c r="B292" s="430"/>
      <c r="C292" s="430"/>
      <c r="D292" s="430"/>
      <c r="E292" s="432"/>
      <c r="F292" s="430"/>
      <c r="G292" s="430"/>
      <c r="H292" s="430"/>
      <c r="I292" s="430"/>
      <c r="J292" s="430"/>
      <c r="K292" s="430"/>
      <c r="L292" s="430"/>
      <c r="M292" s="430"/>
      <c r="N292" s="430"/>
      <c r="O292" s="430"/>
      <c r="P292" s="430"/>
      <c r="Q292" s="430"/>
      <c r="R292" s="430"/>
      <c r="S292" s="430"/>
      <c r="T292" s="430"/>
      <c r="U292" s="430"/>
      <c r="V292" s="430"/>
      <c r="W292" s="430"/>
      <c r="X292" s="430"/>
      <c r="Y292" s="430"/>
      <c r="Z292" s="430"/>
      <c r="AA292" s="430"/>
    </row>
    <row r="293">
      <c r="A293" s="433"/>
      <c r="B293" s="430"/>
      <c r="C293" s="430"/>
      <c r="D293" s="430"/>
      <c r="E293" s="432"/>
      <c r="F293" s="430"/>
      <c r="G293" s="430"/>
      <c r="H293" s="430"/>
      <c r="I293" s="430"/>
      <c r="J293" s="430"/>
      <c r="K293" s="430"/>
      <c r="L293" s="430"/>
      <c r="M293" s="430"/>
      <c r="N293" s="430"/>
      <c r="O293" s="430"/>
      <c r="P293" s="430"/>
      <c r="Q293" s="430"/>
      <c r="R293" s="430"/>
      <c r="S293" s="430"/>
      <c r="T293" s="430"/>
      <c r="U293" s="430"/>
      <c r="V293" s="430"/>
      <c r="W293" s="430"/>
      <c r="X293" s="430"/>
      <c r="Y293" s="430"/>
      <c r="Z293" s="430"/>
      <c r="AA293" s="430"/>
    </row>
    <row r="294">
      <c r="A294" s="433"/>
      <c r="B294" s="430"/>
      <c r="C294" s="430"/>
      <c r="D294" s="430"/>
      <c r="E294" s="432"/>
      <c r="F294" s="430"/>
      <c r="G294" s="430"/>
      <c r="H294" s="430"/>
      <c r="I294" s="430"/>
      <c r="J294" s="430"/>
      <c r="K294" s="430"/>
      <c r="L294" s="430"/>
      <c r="M294" s="430"/>
      <c r="N294" s="430"/>
      <c r="O294" s="430"/>
      <c r="P294" s="430"/>
      <c r="Q294" s="430"/>
      <c r="R294" s="430"/>
      <c r="S294" s="430"/>
      <c r="T294" s="430"/>
      <c r="U294" s="430"/>
      <c r="V294" s="430"/>
      <c r="W294" s="430"/>
      <c r="X294" s="430"/>
      <c r="Y294" s="430"/>
      <c r="Z294" s="430"/>
      <c r="AA294" s="430"/>
    </row>
    <row r="295">
      <c r="A295" s="433"/>
      <c r="B295" s="430"/>
      <c r="C295" s="430"/>
      <c r="D295" s="430"/>
      <c r="E295" s="432"/>
      <c r="F295" s="430"/>
      <c r="G295" s="430"/>
      <c r="H295" s="430"/>
      <c r="I295" s="430"/>
      <c r="J295" s="430"/>
      <c r="K295" s="430"/>
      <c r="L295" s="430"/>
      <c r="M295" s="430"/>
      <c r="N295" s="430"/>
      <c r="O295" s="430"/>
      <c r="P295" s="430"/>
      <c r="Q295" s="430"/>
      <c r="R295" s="430"/>
      <c r="S295" s="430"/>
      <c r="T295" s="430"/>
      <c r="U295" s="430"/>
      <c r="V295" s="430"/>
      <c r="W295" s="430"/>
      <c r="X295" s="430"/>
      <c r="Y295" s="430"/>
      <c r="Z295" s="430"/>
      <c r="AA295" s="430"/>
    </row>
    <row r="296">
      <c r="A296" s="433"/>
      <c r="B296" s="430"/>
      <c r="C296" s="430"/>
      <c r="D296" s="430"/>
      <c r="E296" s="432"/>
      <c r="F296" s="430"/>
      <c r="G296" s="430"/>
      <c r="H296" s="430"/>
      <c r="I296" s="430"/>
      <c r="J296" s="430"/>
      <c r="K296" s="430"/>
      <c r="L296" s="430"/>
      <c r="M296" s="430"/>
      <c r="N296" s="430"/>
      <c r="O296" s="430"/>
      <c r="P296" s="430"/>
      <c r="Q296" s="430"/>
      <c r="R296" s="430"/>
      <c r="S296" s="430"/>
      <c r="T296" s="430"/>
      <c r="U296" s="430"/>
      <c r="V296" s="430"/>
      <c r="W296" s="430"/>
      <c r="X296" s="430"/>
      <c r="Y296" s="430"/>
      <c r="Z296" s="430"/>
      <c r="AA296" s="430"/>
    </row>
    <row r="297">
      <c r="A297" s="433"/>
      <c r="B297" s="430"/>
      <c r="C297" s="430"/>
      <c r="D297" s="430"/>
      <c r="E297" s="432"/>
      <c r="F297" s="430"/>
      <c r="G297" s="430"/>
      <c r="H297" s="430"/>
      <c r="I297" s="430"/>
      <c r="J297" s="430"/>
      <c r="K297" s="430"/>
      <c r="L297" s="430"/>
      <c r="M297" s="430"/>
      <c r="N297" s="430"/>
      <c r="O297" s="430"/>
      <c r="P297" s="430"/>
      <c r="Q297" s="430"/>
      <c r="R297" s="430"/>
      <c r="S297" s="430"/>
      <c r="T297" s="430"/>
      <c r="U297" s="430"/>
      <c r="V297" s="430"/>
      <c r="W297" s="430"/>
      <c r="X297" s="430"/>
      <c r="Y297" s="430"/>
      <c r="Z297" s="430"/>
      <c r="AA297" s="430"/>
    </row>
    <row r="298">
      <c r="A298" s="433"/>
      <c r="B298" s="430"/>
      <c r="C298" s="430"/>
      <c r="D298" s="430"/>
      <c r="E298" s="432"/>
      <c r="F298" s="430"/>
      <c r="G298" s="430"/>
      <c r="H298" s="430"/>
      <c r="I298" s="430"/>
      <c r="J298" s="430"/>
      <c r="K298" s="430"/>
      <c r="L298" s="430"/>
      <c r="M298" s="430"/>
      <c r="N298" s="430"/>
      <c r="O298" s="430"/>
      <c r="P298" s="430"/>
      <c r="Q298" s="430"/>
      <c r="R298" s="430"/>
      <c r="S298" s="430"/>
      <c r="T298" s="430"/>
      <c r="U298" s="430"/>
      <c r="V298" s="430"/>
      <c r="W298" s="430"/>
      <c r="X298" s="430"/>
      <c r="Y298" s="430"/>
      <c r="Z298" s="430"/>
      <c r="AA298" s="430"/>
    </row>
    <row r="299">
      <c r="A299" s="433"/>
      <c r="B299" s="430"/>
      <c r="C299" s="430"/>
      <c r="D299" s="430"/>
      <c r="E299" s="432"/>
      <c r="F299" s="430"/>
      <c r="G299" s="430"/>
      <c r="H299" s="430"/>
      <c r="I299" s="430"/>
      <c r="J299" s="430"/>
      <c r="K299" s="430"/>
      <c r="L299" s="430"/>
      <c r="M299" s="430"/>
      <c r="N299" s="430"/>
      <c r="O299" s="430"/>
      <c r="P299" s="430"/>
      <c r="Q299" s="430"/>
      <c r="R299" s="430"/>
      <c r="S299" s="430"/>
      <c r="T299" s="430"/>
      <c r="U299" s="430"/>
      <c r="V299" s="430"/>
      <c r="W299" s="430"/>
      <c r="X299" s="430"/>
      <c r="Y299" s="430"/>
      <c r="Z299" s="430"/>
      <c r="AA299" s="430"/>
    </row>
    <row r="300">
      <c r="A300" s="433"/>
      <c r="B300" s="430"/>
      <c r="C300" s="430"/>
      <c r="D300" s="430"/>
      <c r="E300" s="432"/>
      <c r="F300" s="430"/>
      <c r="G300" s="430"/>
      <c r="H300" s="430"/>
      <c r="I300" s="430"/>
      <c r="J300" s="430"/>
      <c r="K300" s="430"/>
      <c r="L300" s="430"/>
      <c r="M300" s="430"/>
      <c r="N300" s="430"/>
      <c r="O300" s="430"/>
      <c r="P300" s="430"/>
      <c r="Q300" s="430"/>
      <c r="R300" s="430"/>
      <c r="S300" s="430"/>
      <c r="T300" s="430"/>
      <c r="U300" s="430"/>
      <c r="V300" s="430"/>
      <c r="W300" s="430"/>
      <c r="X300" s="430"/>
      <c r="Y300" s="430"/>
      <c r="Z300" s="430"/>
      <c r="AA300" s="430"/>
    </row>
    <row r="301">
      <c r="A301" s="433"/>
      <c r="B301" s="430"/>
      <c r="C301" s="430"/>
      <c r="D301" s="430"/>
      <c r="E301" s="432"/>
      <c r="F301" s="430"/>
      <c r="G301" s="430"/>
      <c r="H301" s="430"/>
      <c r="I301" s="430"/>
      <c r="J301" s="430"/>
      <c r="K301" s="430"/>
      <c r="L301" s="430"/>
      <c r="M301" s="430"/>
      <c r="N301" s="430"/>
      <c r="O301" s="430"/>
      <c r="P301" s="430"/>
      <c r="Q301" s="430"/>
      <c r="R301" s="430"/>
      <c r="S301" s="430"/>
      <c r="T301" s="430"/>
      <c r="U301" s="430"/>
      <c r="V301" s="430"/>
      <c r="W301" s="430"/>
      <c r="X301" s="430"/>
      <c r="Y301" s="430"/>
      <c r="Z301" s="430"/>
      <c r="AA301" s="430"/>
    </row>
    <row r="302">
      <c r="A302" s="433"/>
      <c r="B302" s="430"/>
      <c r="C302" s="430"/>
      <c r="D302" s="430"/>
      <c r="E302" s="432"/>
      <c r="F302" s="430"/>
      <c r="G302" s="430"/>
      <c r="H302" s="430"/>
      <c r="I302" s="430"/>
      <c r="J302" s="430"/>
      <c r="K302" s="430"/>
      <c r="L302" s="430"/>
      <c r="M302" s="430"/>
      <c r="N302" s="430"/>
      <c r="O302" s="430"/>
      <c r="P302" s="430"/>
      <c r="Q302" s="430"/>
      <c r="R302" s="430"/>
      <c r="S302" s="430"/>
      <c r="T302" s="430"/>
      <c r="U302" s="430"/>
      <c r="V302" s="430"/>
      <c r="W302" s="430"/>
      <c r="X302" s="430"/>
      <c r="Y302" s="430"/>
      <c r="Z302" s="430"/>
      <c r="AA302" s="430"/>
    </row>
    <row r="303">
      <c r="A303" s="433"/>
      <c r="B303" s="430"/>
      <c r="C303" s="430"/>
      <c r="D303" s="430"/>
      <c r="E303" s="432"/>
      <c r="F303" s="430"/>
      <c r="G303" s="430"/>
      <c r="H303" s="430"/>
      <c r="I303" s="430"/>
      <c r="J303" s="430"/>
      <c r="K303" s="430"/>
      <c r="L303" s="430"/>
      <c r="M303" s="430"/>
      <c r="N303" s="430"/>
      <c r="O303" s="430"/>
      <c r="P303" s="430"/>
      <c r="Q303" s="430"/>
      <c r="R303" s="430"/>
      <c r="S303" s="430"/>
      <c r="T303" s="430"/>
      <c r="U303" s="430"/>
      <c r="V303" s="430"/>
      <c r="W303" s="430"/>
      <c r="X303" s="430"/>
      <c r="Y303" s="430"/>
      <c r="Z303" s="430"/>
      <c r="AA303" s="430"/>
    </row>
    <row r="304">
      <c r="A304" s="433"/>
      <c r="B304" s="430"/>
      <c r="C304" s="430"/>
      <c r="D304" s="430"/>
      <c r="E304" s="432"/>
      <c r="F304" s="430"/>
      <c r="G304" s="430"/>
      <c r="H304" s="430"/>
      <c r="I304" s="430"/>
      <c r="J304" s="430"/>
      <c r="K304" s="430"/>
      <c r="L304" s="430"/>
      <c r="M304" s="430"/>
      <c r="N304" s="430"/>
      <c r="O304" s="430"/>
      <c r="P304" s="430"/>
      <c r="Q304" s="430"/>
      <c r="R304" s="430"/>
      <c r="S304" s="430"/>
      <c r="T304" s="430"/>
      <c r="U304" s="430"/>
      <c r="V304" s="430"/>
      <c r="W304" s="430"/>
      <c r="X304" s="430"/>
      <c r="Y304" s="430"/>
      <c r="Z304" s="430"/>
      <c r="AA304" s="430"/>
    </row>
    <row r="305">
      <c r="A305" s="433"/>
      <c r="B305" s="430"/>
      <c r="C305" s="430"/>
      <c r="D305" s="430"/>
      <c r="E305" s="432"/>
      <c r="F305" s="430"/>
      <c r="G305" s="430"/>
      <c r="H305" s="430"/>
      <c r="I305" s="430"/>
      <c r="J305" s="430"/>
      <c r="K305" s="430"/>
      <c r="L305" s="430"/>
      <c r="M305" s="430"/>
      <c r="N305" s="430"/>
      <c r="O305" s="430"/>
      <c r="P305" s="430"/>
      <c r="Q305" s="430"/>
      <c r="R305" s="430"/>
      <c r="S305" s="430"/>
      <c r="T305" s="430"/>
      <c r="U305" s="430"/>
      <c r="V305" s="430"/>
      <c r="W305" s="430"/>
      <c r="X305" s="430"/>
      <c r="Y305" s="430"/>
      <c r="Z305" s="430"/>
      <c r="AA305" s="430"/>
    </row>
    <row r="306">
      <c r="A306" s="433"/>
      <c r="B306" s="430"/>
      <c r="C306" s="430"/>
      <c r="D306" s="430"/>
      <c r="E306" s="432"/>
      <c r="F306" s="430"/>
      <c r="G306" s="430"/>
      <c r="H306" s="430"/>
      <c r="I306" s="430"/>
      <c r="J306" s="430"/>
      <c r="K306" s="430"/>
      <c r="L306" s="430"/>
      <c r="M306" s="430"/>
      <c r="N306" s="430"/>
      <c r="O306" s="430"/>
      <c r="P306" s="430"/>
      <c r="Q306" s="430"/>
      <c r="R306" s="430"/>
      <c r="S306" s="430"/>
      <c r="T306" s="430"/>
      <c r="U306" s="430"/>
      <c r="V306" s="430"/>
      <c r="W306" s="430"/>
      <c r="X306" s="430"/>
      <c r="Y306" s="430"/>
      <c r="Z306" s="430"/>
      <c r="AA306" s="430"/>
    </row>
    <row r="307">
      <c r="A307" s="433"/>
      <c r="B307" s="430"/>
      <c r="C307" s="430"/>
      <c r="D307" s="430"/>
      <c r="E307" s="432"/>
      <c r="F307" s="430"/>
      <c r="G307" s="430"/>
      <c r="H307" s="430"/>
      <c r="I307" s="430"/>
      <c r="J307" s="430"/>
      <c r="K307" s="430"/>
      <c r="L307" s="430"/>
      <c r="M307" s="430"/>
      <c r="N307" s="430"/>
      <c r="O307" s="430"/>
      <c r="P307" s="430"/>
      <c r="Q307" s="430"/>
      <c r="R307" s="430"/>
      <c r="S307" s="430"/>
      <c r="T307" s="430"/>
      <c r="U307" s="430"/>
      <c r="V307" s="430"/>
      <c r="W307" s="430"/>
      <c r="X307" s="430"/>
      <c r="Y307" s="430"/>
      <c r="Z307" s="430"/>
      <c r="AA307" s="430"/>
    </row>
    <row r="308">
      <c r="A308" s="433"/>
      <c r="B308" s="430"/>
      <c r="C308" s="430"/>
      <c r="D308" s="430"/>
      <c r="E308" s="432"/>
      <c r="F308" s="430"/>
      <c r="G308" s="430"/>
      <c r="H308" s="430"/>
      <c r="I308" s="430"/>
      <c r="J308" s="430"/>
      <c r="K308" s="430"/>
      <c r="L308" s="430"/>
      <c r="M308" s="430"/>
      <c r="N308" s="430"/>
      <c r="O308" s="430"/>
      <c r="P308" s="430"/>
      <c r="Q308" s="430"/>
      <c r="R308" s="430"/>
      <c r="S308" s="430"/>
      <c r="T308" s="430"/>
      <c r="U308" s="430"/>
      <c r="V308" s="430"/>
      <c r="W308" s="430"/>
      <c r="X308" s="430"/>
      <c r="Y308" s="430"/>
      <c r="Z308" s="430"/>
      <c r="AA308" s="430"/>
    </row>
    <row r="309">
      <c r="A309" s="433"/>
      <c r="B309" s="430"/>
      <c r="C309" s="430"/>
      <c r="D309" s="430"/>
      <c r="E309" s="432"/>
      <c r="F309" s="430"/>
      <c r="G309" s="430"/>
      <c r="H309" s="430"/>
      <c r="I309" s="430"/>
      <c r="J309" s="430"/>
      <c r="K309" s="430"/>
      <c r="L309" s="430"/>
      <c r="M309" s="430"/>
      <c r="N309" s="430"/>
      <c r="O309" s="430"/>
      <c r="P309" s="430"/>
      <c r="Q309" s="430"/>
      <c r="R309" s="430"/>
      <c r="S309" s="430"/>
      <c r="T309" s="430"/>
      <c r="U309" s="430"/>
      <c r="V309" s="430"/>
      <c r="W309" s="430"/>
      <c r="X309" s="430"/>
      <c r="Y309" s="430"/>
      <c r="Z309" s="430"/>
      <c r="AA309" s="430"/>
    </row>
    <row r="310">
      <c r="A310" s="433"/>
      <c r="B310" s="430"/>
      <c r="C310" s="430"/>
      <c r="D310" s="430"/>
      <c r="E310" s="432"/>
      <c r="F310" s="430"/>
      <c r="G310" s="430"/>
      <c r="H310" s="430"/>
      <c r="I310" s="430"/>
      <c r="J310" s="430"/>
      <c r="K310" s="430"/>
      <c r="L310" s="430"/>
      <c r="M310" s="430"/>
      <c r="N310" s="430"/>
      <c r="O310" s="430"/>
      <c r="P310" s="430"/>
      <c r="Q310" s="430"/>
      <c r="R310" s="430"/>
      <c r="S310" s="430"/>
      <c r="T310" s="430"/>
      <c r="U310" s="430"/>
      <c r="V310" s="430"/>
      <c r="W310" s="430"/>
      <c r="X310" s="430"/>
      <c r="Y310" s="430"/>
      <c r="Z310" s="430"/>
      <c r="AA310" s="430"/>
    </row>
    <row r="311">
      <c r="A311" s="433"/>
      <c r="B311" s="430"/>
      <c r="C311" s="430"/>
      <c r="D311" s="430"/>
      <c r="E311" s="432"/>
      <c r="F311" s="430"/>
      <c r="G311" s="430"/>
      <c r="H311" s="430"/>
      <c r="I311" s="430"/>
      <c r="J311" s="430"/>
      <c r="K311" s="430"/>
      <c r="L311" s="430"/>
      <c r="M311" s="430"/>
      <c r="N311" s="430"/>
      <c r="O311" s="430"/>
      <c r="P311" s="430"/>
      <c r="Q311" s="430"/>
      <c r="R311" s="430"/>
      <c r="S311" s="430"/>
      <c r="T311" s="430"/>
      <c r="U311" s="430"/>
      <c r="V311" s="430"/>
      <c r="W311" s="430"/>
      <c r="X311" s="430"/>
      <c r="Y311" s="430"/>
      <c r="Z311" s="430"/>
      <c r="AA311" s="430"/>
    </row>
    <row r="312">
      <c r="A312" s="433"/>
      <c r="B312" s="430"/>
      <c r="C312" s="430"/>
      <c r="D312" s="430"/>
      <c r="E312" s="432"/>
      <c r="F312" s="430"/>
      <c r="G312" s="430"/>
      <c r="H312" s="430"/>
      <c r="I312" s="430"/>
      <c r="J312" s="430"/>
      <c r="K312" s="430"/>
      <c r="L312" s="430"/>
      <c r="M312" s="430"/>
      <c r="N312" s="430"/>
      <c r="O312" s="430"/>
      <c r="P312" s="430"/>
      <c r="Q312" s="430"/>
      <c r="R312" s="430"/>
      <c r="S312" s="430"/>
      <c r="T312" s="430"/>
      <c r="U312" s="430"/>
      <c r="V312" s="430"/>
      <c r="W312" s="430"/>
      <c r="X312" s="430"/>
      <c r="Y312" s="430"/>
      <c r="Z312" s="430"/>
      <c r="AA312" s="430"/>
    </row>
    <row r="313">
      <c r="A313" s="433"/>
      <c r="B313" s="430"/>
      <c r="C313" s="430"/>
      <c r="D313" s="430"/>
      <c r="E313" s="432"/>
      <c r="F313" s="430"/>
      <c r="G313" s="430"/>
      <c r="H313" s="430"/>
      <c r="I313" s="430"/>
      <c r="J313" s="430"/>
      <c r="K313" s="430"/>
      <c r="L313" s="430"/>
      <c r="M313" s="430"/>
      <c r="N313" s="430"/>
      <c r="O313" s="430"/>
      <c r="P313" s="430"/>
      <c r="Q313" s="430"/>
      <c r="R313" s="430"/>
      <c r="S313" s="430"/>
      <c r="T313" s="430"/>
      <c r="U313" s="430"/>
      <c r="V313" s="430"/>
      <c r="W313" s="430"/>
      <c r="X313" s="430"/>
      <c r="Y313" s="430"/>
      <c r="Z313" s="430"/>
      <c r="AA313" s="430"/>
    </row>
    <row r="314">
      <c r="A314" s="433"/>
      <c r="B314" s="430"/>
      <c r="C314" s="430"/>
      <c r="D314" s="430"/>
      <c r="E314" s="432"/>
      <c r="F314" s="430"/>
      <c r="G314" s="430"/>
      <c r="H314" s="430"/>
      <c r="I314" s="430"/>
      <c r="J314" s="430"/>
      <c r="K314" s="430"/>
      <c r="L314" s="430"/>
      <c r="M314" s="430"/>
      <c r="N314" s="430"/>
      <c r="O314" s="430"/>
      <c r="P314" s="430"/>
      <c r="Q314" s="430"/>
      <c r="R314" s="430"/>
      <c r="S314" s="430"/>
      <c r="T314" s="430"/>
      <c r="U314" s="430"/>
      <c r="V314" s="430"/>
      <c r="W314" s="430"/>
      <c r="X314" s="430"/>
      <c r="Y314" s="430"/>
      <c r="Z314" s="430"/>
      <c r="AA314" s="430"/>
    </row>
    <row r="315">
      <c r="A315" s="433"/>
      <c r="B315" s="430"/>
      <c r="C315" s="430"/>
      <c r="D315" s="430"/>
      <c r="E315" s="432"/>
      <c r="F315" s="430"/>
      <c r="G315" s="430"/>
      <c r="H315" s="430"/>
      <c r="I315" s="430"/>
      <c r="J315" s="430"/>
      <c r="K315" s="430"/>
      <c r="L315" s="430"/>
      <c r="M315" s="430"/>
      <c r="N315" s="430"/>
      <c r="O315" s="430"/>
      <c r="P315" s="430"/>
      <c r="Q315" s="430"/>
      <c r="R315" s="430"/>
      <c r="S315" s="430"/>
      <c r="T315" s="430"/>
      <c r="U315" s="430"/>
      <c r="V315" s="430"/>
      <c r="W315" s="430"/>
      <c r="X315" s="430"/>
      <c r="Y315" s="430"/>
      <c r="Z315" s="430"/>
      <c r="AA315" s="430"/>
    </row>
    <row r="316">
      <c r="A316" s="433"/>
      <c r="B316" s="430"/>
      <c r="C316" s="430"/>
      <c r="D316" s="430"/>
      <c r="E316" s="432"/>
      <c r="F316" s="430"/>
      <c r="G316" s="430"/>
      <c r="H316" s="430"/>
      <c r="I316" s="430"/>
      <c r="J316" s="430"/>
      <c r="K316" s="430"/>
      <c r="L316" s="430"/>
      <c r="M316" s="430"/>
      <c r="N316" s="430"/>
      <c r="O316" s="430"/>
      <c r="P316" s="430"/>
      <c r="Q316" s="430"/>
      <c r="R316" s="430"/>
      <c r="S316" s="430"/>
      <c r="T316" s="430"/>
      <c r="U316" s="430"/>
      <c r="V316" s="430"/>
      <c r="W316" s="430"/>
      <c r="X316" s="430"/>
      <c r="Y316" s="430"/>
      <c r="Z316" s="430"/>
      <c r="AA316" s="430"/>
    </row>
    <row r="317">
      <c r="A317" s="433"/>
      <c r="B317" s="430"/>
      <c r="C317" s="430"/>
      <c r="D317" s="430"/>
      <c r="E317" s="432"/>
      <c r="F317" s="430"/>
      <c r="G317" s="430"/>
      <c r="H317" s="430"/>
      <c r="I317" s="430"/>
      <c r="J317" s="430"/>
      <c r="K317" s="430"/>
      <c r="L317" s="430"/>
      <c r="M317" s="430"/>
      <c r="N317" s="430"/>
      <c r="O317" s="430"/>
      <c r="P317" s="430"/>
      <c r="Q317" s="430"/>
      <c r="R317" s="430"/>
      <c r="S317" s="430"/>
      <c r="T317" s="430"/>
      <c r="U317" s="430"/>
      <c r="V317" s="430"/>
      <c r="W317" s="430"/>
      <c r="X317" s="430"/>
      <c r="Y317" s="430"/>
      <c r="Z317" s="430"/>
      <c r="AA317" s="430"/>
    </row>
    <row r="318">
      <c r="A318" s="433"/>
      <c r="B318" s="430"/>
      <c r="C318" s="430"/>
      <c r="D318" s="430"/>
      <c r="E318" s="432"/>
      <c r="F318" s="430"/>
      <c r="G318" s="430"/>
      <c r="H318" s="430"/>
      <c r="I318" s="430"/>
      <c r="J318" s="430"/>
      <c r="K318" s="430"/>
      <c r="L318" s="430"/>
      <c r="M318" s="430"/>
      <c r="N318" s="430"/>
      <c r="O318" s="430"/>
      <c r="P318" s="430"/>
      <c r="Q318" s="430"/>
      <c r="R318" s="430"/>
      <c r="S318" s="430"/>
      <c r="T318" s="430"/>
      <c r="U318" s="430"/>
      <c r="V318" s="430"/>
      <c r="W318" s="430"/>
      <c r="X318" s="430"/>
      <c r="Y318" s="430"/>
      <c r="Z318" s="430"/>
      <c r="AA318" s="430"/>
    </row>
    <row r="319">
      <c r="A319" s="433"/>
      <c r="B319" s="430"/>
      <c r="C319" s="430"/>
      <c r="D319" s="430"/>
      <c r="E319" s="432"/>
      <c r="F319" s="430"/>
      <c r="G319" s="430"/>
      <c r="H319" s="430"/>
      <c r="I319" s="430"/>
      <c r="J319" s="430"/>
      <c r="K319" s="430"/>
      <c r="L319" s="430"/>
      <c r="M319" s="430"/>
      <c r="N319" s="430"/>
      <c r="O319" s="430"/>
      <c r="P319" s="430"/>
      <c r="Q319" s="430"/>
      <c r="R319" s="430"/>
      <c r="S319" s="430"/>
      <c r="T319" s="430"/>
      <c r="U319" s="430"/>
      <c r="V319" s="430"/>
      <c r="W319" s="430"/>
      <c r="X319" s="430"/>
      <c r="Y319" s="430"/>
      <c r="Z319" s="430"/>
      <c r="AA319" s="430"/>
    </row>
    <row r="320">
      <c r="A320" s="433"/>
      <c r="B320" s="430"/>
      <c r="C320" s="430"/>
      <c r="D320" s="430"/>
      <c r="E320" s="432"/>
      <c r="F320" s="430"/>
      <c r="G320" s="430"/>
      <c r="H320" s="430"/>
      <c r="I320" s="430"/>
      <c r="J320" s="430"/>
      <c r="K320" s="430"/>
      <c r="L320" s="430"/>
      <c r="M320" s="430"/>
      <c r="N320" s="430"/>
      <c r="O320" s="430"/>
      <c r="P320" s="430"/>
      <c r="Q320" s="430"/>
      <c r="R320" s="430"/>
      <c r="S320" s="430"/>
      <c r="T320" s="430"/>
      <c r="U320" s="430"/>
      <c r="V320" s="430"/>
      <c r="W320" s="430"/>
      <c r="X320" s="430"/>
      <c r="Y320" s="430"/>
      <c r="Z320" s="430"/>
      <c r="AA320" s="430"/>
    </row>
    <row r="321">
      <c r="A321" s="433"/>
      <c r="B321" s="430"/>
      <c r="C321" s="430"/>
      <c r="D321" s="430"/>
      <c r="E321" s="432"/>
      <c r="F321" s="430"/>
      <c r="G321" s="430"/>
      <c r="H321" s="430"/>
      <c r="I321" s="430"/>
      <c r="J321" s="430"/>
      <c r="K321" s="430"/>
      <c r="L321" s="430"/>
      <c r="M321" s="430"/>
      <c r="N321" s="430"/>
      <c r="O321" s="430"/>
      <c r="P321" s="430"/>
      <c r="Q321" s="430"/>
      <c r="R321" s="430"/>
      <c r="S321" s="430"/>
      <c r="T321" s="430"/>
      <c r="U321" s="430"/>
      <c r="V321" s="430"/>
      <c r="W321" s="430"/>
      <c r="X321" s="430"/>
      <c r="Y321" s="430"/>
      <c r="Z321" s="430"/>
      <c r="AA321" s="430"/>
    </row>
    <row r="322">
      <c r="A322" s="433"/>
      <c r="B322" s="430"/>
      <c r="C322" s="430"/>
      <c r="D322" s="430"/>
      <c r="E322" s="432"/>
      <c r="F322" s="430"/>
      <c r="G322" s="430"/>
      <c r="H322" s="430"/>
      <c r="I322" s="430"/>
      <c r="J322" s="430"/>
      <c r="K322" s="430"/>
      <c r="L322" s="430"/>
      <c r="M322" s="430"/>
      <c r="N322" s="430"/>
      <c r="O322" s="430"/>
      <c r="P322" s="430"/>
      <c r="Q322" s="430"/>
      <c r="R322" s="430"/>
      <c r="S322" s="430"/>
      <c r="T322" s="430"/>
      <c r="U322" s="430"/>
      <c r="V322" s="430"/>
      <c r="W322" s="430"/>
      <c r="X322" s="430"/>
      <c r="Y322" s="430"/>
      <c r="Z322" s="430"/>
      <c r="AA322" s="430"/>
    </row>
    <row r="323">
      <c r="A323" s="433"/>
      <c r="B323" s="430"/>
      <c r="C323" s="430"/>
      <c r="D323" s="430"/>
      <c r="E323" s="432"/>
      <c r="F323" s="430"/>
      <c r="G323" s="430"/>
      <c r="H323" s="430"/>
      <c r="I323" s="430"/>
      <c r="J323" s="430"/>
      <c r="K323" s="430"/>
      <c r="L323" s="430"/>
      <c r="M323" s="430"/>
      <c r="N323" s="430"/>
      <c r="O323" s="430"/>
      <c r="P323" s="430"/>
      <c r="Q323" s="430"/>
      <c r="R323" s="430"/>
      <c r="S323" s="430"/>
      <c r="T323" s="430"/>
      <c r="U323" s="430"/>
      <c r="V323" s="430"/>
      <c r="W323" s="430"/>
      <c r="X323" s="430"/>
      <c r="Y323" s="430"/>
      <c r="Z323" s="430"/>
      <c r="AA323" s="430"/>
    </row>
    <row r="324">
      <c r="A324" s="433"/>
      <c r="B324" s="430"/>
      <c r="C324" s="430"/>
      <c r="D324" s="430"/>
      <c r="E324" s="432"/>
      <c r="F324" s="430"/>
      <c r="G324" s="430"/>
      <c r="H324" s="430"/>
      <c r="I324" s="430"/>
      <c r="J324" s="430"/>
      <c r="K324" s="430"/>
      <c r="L324" s="430"/>
      <c r="M324" s="430"/>
      <c r="N324" s="430"/>
      <c r="O324" s="430"/>
      <c r="P324" s="430"/>
      <c r="Q324" s="430"/>
      <c r="R324" s="430"/>
      <c r="S324" s="430"/>
      <c r="T324" s="430"/>
      <c r="U324" s="430"/>
      <c r="V324" s="430"/>
      <c r="W324" s="430"/>
      <c r="X324" s="430"/>
      <c r="Y324" s="430"/>
      <c r="Z324" s="430"/>
      <c r="AA324" s="430"/>
    </row>
    <row r="325">
      <c r="A325" s="433"/>
      <c r="B325" s="430"/>
      <c r="C325" s="430"/>
      <c r="D325" s="430"/>
      <c r="E325" s="432"/>
      <c r="F325" s="430"/>
      <c r="G325" s="430"/>
      <c r="H325" s="430"/>
      <c r="I325" s="430"/>
      <c r="J325" s="430"/>
      <c r="K325" s="430"/>
      <c r="L325" s="430"/>
      <c r="M325" s="430"/>
      <c r="N325" s="430"/>
      <c r="O325" s="430"/>
      <c r="P325" s="430"/>
      <c r="Q325" s="430"/>
      <c r="R325" s="430"/>
      <c r="S325" s="430"/>
      <c r="T325" s="430"/>
      <c r="U325" s="430"/>
      <c r="V325" s="430"/>
      <c r="W325" s="430"/>
      <c r="X325" s="430"/>
      <c r="Y325" s="430"/>
      <c r="Z325" s="430"/>
      <c r="AA325" s="430"/>
    </row>
    <row r="326">
      <c r="A326" s="433"/>
      <c r="B326" s="430"/>
      <c r="C326" s="430"/>
      <c r="D326" s="430"/>
      <c r="E326" s="432"/>
      <c r="F326" s="430"/>
      <c r="G326" s="430"/>
      <c r="H326" s="430"/>
      <c r="I326" s="430"/>
      <c r="J326" s="430"/>
      <c r="K326" s="430"/>
      <c r="L326" s="430"/>
      <c r="M326" s="430"/>
      <c r="N326" s="430"/>
      <c r="O326" s="430"/>
      <c r="P326" s="430"/>
      <c r="Q326" s="430"/>
      <c r="R326" s="430"/>
      <c r="S326" s="430"/>
      <c r="T326" s="430"/>
      <c r="U326" s="430"/>
      <c r="V326" s="430"/>
      <c r="W326" s="430"/>
      <c r="X326" s="430"/>
      <c r="Y326" s="430"/>
      <c r="Z326" s="430"/>
      <c r="AA326" s="430"/>
    </row>
    <row r="327">
      <c r="A327" s="433"/>
      <c r="B327" s="430"/>
      <c r="C327" s="430"/>
      <c r="D327" s="430"/>
      <c r="E327" s="432"/>
      <c r="F327" s="430"/>
      <c r="G327" s="430"/>
      <c r="H327" s="430"/>
      <c r="I327" s="430"/>
      <c r="J327" s="430"/>
      <c r="K327" s="430"/>
      <c r="L327" s="430"/>
      <c r="M327" s="430"/>
      <c r="N327" s="430"/>
      <c r="O327" s="430"/>
      <c r="P327" s="430"/>
      <c r="Q327" s="430"/>
      <c r="R327" s="430"/>
      <c r="S327" s="430"/>
      <c r="T327" s="430"/>
      <c r="U327" s="430"/>
      <c r="V327" s="430"/>
      <c r="W327" s="430"/>
      <c r="X327" s="430"/>
      <c r="Y327" s="430"/>
      <c r="Z327" s="430"/>
      <c r="AA327" s="430"/>
    </row>
    <row r="328">
      <c r="A328" s="433"/>
      <c r="B328" s="430"/>
      <c r="C328" s="430"/>
      <c r="D328" s="430"/>
      <c r="E328" s="432"/>
      <c r="F328" s="430"/>
      <c r="G328" s="430"/>
      <c r="H328" s="430"/>
      <c r="I328" s="430"/>
      <c r="J328" s="430"/>
      <c r="K328" s="430"/>
      <c r="L328" s="430"/>
      <c r="M328" s="430"/>
      <c r="N328" s="430"/>
      <c r="O328" s="430"/>
      <c r="P328" s="430"/>
      <c r="Q328" s="430"/>
      <c r="R328" s="430"/>
      <c r="S328" s="430"/>
      <c r="T328" s="430"/>
      <c r="U328" s="430"/>
      <c r="V328" s="430"/>
      <c r="W328" s="430"/>
      <c r="X328" s="430"/>
      <c r="Y328" s="430"/>
      <c r="Z328" s="430"/>
      <c r="AA328" s="430"/>
    </row>
    <row r="329">
      <c r="A329" s="433"/>
      <c r="B329" s="430"/>
      <c r="C329" s="430"/>
      <c r="D329" s="430"/>
      <c r="E329" s="432"/>
      <c r="F329" s="430"/>
      <c r="G329" s="430"/>
      <c r="H329" s="430"/>
      <c r="I329" s="430"/>
      <c r="J329" s="430"/>
      <c r="K329" s="430"/>
      <c r="L329" s="430"/>
      <c r="M329" s="430"/>
      <c r="N329" s="430"/>
      <c r="O329" s="430"/>
      <c r="P329" s="430"/>
      <c r="Q329" s="430"/>
      <c r="R329" s="430"/>
      <c r="S329" s="430"/>
      <c r="T329" s="430"/>
      <c r="U329" s="430"/>
      <c r="V329" s="430"/>
      <c r="W329" s="430"/>
      <c r="X329" s="430"/>
      <c r="Y329" s="430"/>
      <c r="Z329" s="430"/>
      <c r="AA329" s="430"/>
    </row>
    <row r="330">
      <c r="A330" s="433"/>
      <c r="B330" s="430"/>
      <c r="C330" s="430"/>
      <c r="D330" s="430"/>
      <c r="E330" s="432"/>
      <c r="F330" s="430"/>
      <c r="G330" s="430"/>
      <c r="H330" s="430"/>
      <c r="I330" s="430"/>
      <c r="J330" s="430"/>
      <c r="K330" s="430"/>
      <c r="L330" s="430"/>
      <c r="M330" s="430"/>
      <c r="N330" s="430"/>
      <c r="O330" s="430"/>
      <c r="P330" s="430"/>
      <c r="Q330" s="430"/>
      <c r="R330" s="430"/>
      <c r="S330" s="430"/>
      <c r="T330" s="430"/>
      <c r="U330" s="430"/>
      <c r="V330" s="430"/>
      <c r="W330" s="430"/>
      <c r="X330" s="430"/>
      <c r="Y330" s="430"/>
      <c r="Z330" s="430"/>
      <c r="AA330" s="430"/>
    </row>
    <row r="331">
      <c r="A331" s="433"/>
      <c r="B331" s="430"/>
      <c r="C331" s="430"/>
      <c r="D331" s="430"/>
      <c r="E331" s="432"/>
      <c r="F331" s="430"/>
      <c r="G331" s="430"/>
      <c r="H331" s="430"/>
      <c r="I331" s="430"/>
      <c r="J331" s="430"/>
      <c r="K331" s="430"/>
      <c r="L331" s="430"/>
      <c r="M331" s="430"/>
      <c r="N331" s="430"/>
      <c r="O331" s="430"/>
      <c r="P331" s="430"/>
      <c r="Q331" s="430"/>
      <c r="R331" s="430"/>
      <c r="S331" s="430"/>
      <c r="T331" s="430"/>
      <c r="U331" s="430"/>
      <c r="V331" s="430"/>
      <c r="W331" s="430"/>
      <c r="X331" s="430"/>
      <c r="Y331" s="430"/>
      <c r="Z331" s="430"/>
      <c r="AA331" s="430"/>
    </row>
    <row r="332">
      <c r="A332" s="433"/>
      <c r="B332" s="430"/>
      <c r="C332" s="430"/>
      <c r="D332" s="430"/>
      <c r="E332" s="432"/>
      <c r="F332" s="430"/>
      <c r="G332" s="430"/>
      <c r="H332" s="430"/>
      <c r="I332" s="430"/>
      <c r="J332" s="430"/>
      <c r="K332" s="430"/>
      <c r="L332" s="430"/>
      <c r="M332" s="430"/>
      <c r="N332" s="430"/>
      <c r="O332" s="430"/>
      <c r="P332" s="430"/>
      <c r="Q332" s="430"/>
      <c r="R332" s="430"/>
      <c r="S332" s="430"/>
      <c r="T332" s="430"/>
      <c r="U332" s="430"/>
      <c r="V332" s="430"/>
      <c r="W332" s="430"/>
      <c r="X332" s="430"/>
      <c r="Y332" s="430"/>
      <c r="Z332" s="430"/>
      <c r="AA332" s="430"/>
    </row>
    <row r="333">
      <c r="A333" s="433"/>
      <c r="B333" s="430"/>
      <c r="C333" s="430"/>
      <c r="D333" s="430"/>
      <c r="E333" s="432"/>
      <c r="F333" s="430"/>
      <c r="G333" s="430"/>
      <c r="H333" s="430"/>
      <c r="I333" s="430"/>
      <c r="J333" s="430"/>
      <c r="K333" s="430"/>
      <c r="L333" s="430"/>
      <c r="M333" s="430"/>
      <c r="N333" s="430"/>
      <c r="O333" s="430"/>
      <c r="P333" s="430"/>
      <c r="Q333" s="430"/>
      <c r="R333" s="430"/>
      <c r="S333" s="430"/>
      <c r="T333" s="430"/>
      <c r="U333" s="430"/>
      <c r="V333" s="430"/>
      <c r="W333" s="430"/>
      <c r="X333" s="430"/>
      <c r="Y333" s="430"/>
      <c r="Z333" s="430"/>
      <c r="AA333" s="430"/>
    </row>
    <row r="334">
      <c r="A334" s="433"/>
      <c r="B334" s="430"/>
      <c r="C334" s="430"/>
      <c r="D334" s="430"/>
      <c r="E334" s="432"/>
      <c r="F334" s="430"/>
      <c r="G334" s="430"/>
      <c r="H334" s="430"/>
      <c r="I334" s="430"/>
      <c r="J334" s="430"/>
      <c r="K334" s="430"/>
      <c r="L334" s="430"/>
      <c r="M334" s="430"/>
      <c r="N334" s="430"/>
      <c r="O334" s="430"/>
      <c r="P334" s="430"/>
      <c r="Q334" s="430"/>
      <c r="R334" s="430"/>
      <c r="S334" s="430"/>
      <c r="T334" s="430"/>
      <c r="U334" s="430"/>
      <c r="V334" s="430"/>
      <c r="W334" s="430"/>
      <c r="X334" s="430"/>
      <c r="Y334" s="430"/>
      <c r="Z334" s="430"/>
      <c r="AA334" s="430"/>
    </row>
    <row r="335">
      <c r="A335" s="433"/>
      <c r="B335" s="430"/>
      <c r="C335" s="430"/>
      <c r="D335" s="430"/>
      <c r="E335" s="432"/>
      <c r="F335" s="430"/>
      <c r="G335" s="430"/>
      <c r="H335" s="430"/>
      <c r="I335" s="430"/>
      <c r="J335" s="430"/>
      <c r="K335" s="430"/>
      <c r="L335" s="430"/>
      <c r="M335" s="430"/>
      <c r="N335" s="430"/>
      <c r="O335" s="430"/>
      <c r="P335" s="430"/>
      <c r="Q335" s="430"/>
      <c r="R335" s="430"/>
      <c r="S335" s="430"/>
      <c r="T335" s="430"/>
      <c r="U335" s="430"/>
      <c r="V335" s="430"/>
      <c r="W335" s="430"/>
      <c r="X335" s="430"/>
      <c r="Y335" s="430"/>
      <c r="Z335" s="430"/>
      <c r="AA335" s="430"/>
    </row>
    <row r="336">
      <c r="A336" s="433"/>
      <c r="B336" s="430"/>
      <c r="C336" s="430"/>
      <c r="D336" s="430"/>
      <c r="E336" s="432"/>
      <c r="F336" s="430"/>
      <c r="G336" s="430"/>
      <c r="H336" s="430"/>
      <c r="I336" s="430"/>
      <c r="J336" s="430"/>
      <c r="K336" s="430"/>
      <c r="L336" s="430"/>
      <c r="M336" s="430"/>
      <c r="N336" s="430"/>
      <c r="O336" s="430"/>
      <c r="P336" s="430"/>
      <c r="Q336" s="430"/>
      <c r="R336" s="430"/>
      <c r="S336" s="430"/>
      <c r="T336" s="430"/>
      <c r="U336" s="430"/>
      <c r="V336" s="430"/>
      <c r="W336" s="430"/>
      <c r="X336" s="430"/>
      <c r="Y336" s="430"/>
      <c r="Z336" s="430"/>
      <c r="AA336" s="430"/>
    </row>
    <row r="337">
      <c r="A337" s="433"/>
      <c r="B337" s="430"/>
      <c r="C337" s="430"/>
      <c r="D337" s="430"/>
      <c r="E337" s="432"/>
      <c r="F337" s="430"/>
      <c r="G337" s="430"/>
      <c r="H337" s="430"/>
      <c r="I337" s="430"/>
      <c r="J337" s="430"/>
      <c r="K337" s="430"/>
      <c r="L337" s="430"/>
      <c r="M337" s="430"/>
      <c r="N337" s="430"/>
      <c r="O337" s="430"/>
      <c r="P337" s="430"/>
      <c r="Q337" s="430"/>
      <c r="R337" s="430"/>
      <c r="S337" s="430"/>
      <c r="T337" s="430"/>
      <c r="U337" s="430"/>
      <c r="V337" s="430"/>
      <c r="W337" s="430"/>
      <c r="X337" s="430"/>
      <c r="Y337" s="430"/>
      <c r="Z337" s="430"/>
      <c r="AA337" s="430"/>
    </row>
    <row r="338">
      <c r="A338" s="433"/>
      <c r="B338" s="430"/>
      <c r="C338" s="430"/>
      <c r="D338" s="430"/>
      <c r="E338" s="432"/>
      <c r="F338" s="430"/>
      <c r="G338" s="430"/>
      <c r="H338" s="430"/>
      <c r="I338" s="430"/>
      <c r="J338" s="430"/>
      <c r="K338" s="430"/>
      <c r="L338" s="430"/>
      <c r="M338" s="430"/>
      <c r="N338" s="430"/>
      <c r="O338" s="430"/>
      <c r="P338" s="430"/>
      <c r="Q338" s="430"/>
      <c r="R338" s="430"/>
      <c r="S338" s="430"/>
      <c r="T338" s="430"/>
      <c r="U338" s="430"/>
      <c r="V338" s="430"/>
      <c r="W338" s="430"/>
      <c r="X338" s="430"/>
      <c r="Y338" s="430"/>
      <c r="Z338" s="430"/>
      <c r="AA338" s="430"/>
    </row>
    <row r="339">
      <c r="A339" s="433"/>
      <c r="B339" s="430"/>
      <c r="C339" s="430"/>
      <c r="D339" s="430"/>
      <c r="E339" s="432"/>
      <c r="F339" s="430"/>
      <c r="G339" s="430"/>
      <c r="H339" s="430"/>
      <c r="I339" s="430"/>
      <c r="J339" s="430"/>
      <c r="K339" s="430"/>
      <c r="L339" s="430"/>
      <c r="M339" s="430"/>
      <c r="N339" s="430"/>
      <c r="O339" s="430"/>
      <c r="P339" s="430"/>
      <c r="Q339" s="430"/>
      <c r="R339" s="430"/>
      <c r="S339" s="430"/>
      <c r="T339" s="430"/>
      <c r="U339" s="430"/>
      <c r="V339" s="430"/>
      <c r="W339" s="430"/>
      <c r="X339" s="430"/>
      <c r="Y339" s="430"/>
      <c r="Z339" s="430"/>
      <c r="AA339" s="430"/>
    </row>
    <row r="340">
      <c r="A340" s="433"/>
      <c r="B340" s="430"/>
      <c r="C340" s="430"/>
      <c r="D340" s="430"/>
      <c r="E340" s="432"/>
      <c r="F340" s="430"/>
      <c r="G340" s="430"/>
      <c r="H340" s="430"/>
      <c r="I340" s="430"/>
      <c r="J340" s="430"/>
      <c r="K340" s="430"/>
      <c r="L340" s="430"/>
      <c r="M340" s="430"/>
      <c r="N340" s="430"/>
      <c r="O340" s="430"/>
      <c r="P340" s="430"/>
      <c r="Q340" s="430"/>
      <c r="R340" s="430"/>
      <c r="S340" s="430"/>
      <c r="T340" s="430"/>
      <c r="U340" s="430"/>
      <c r="V340" s="430"/>
      <c r="W340" s="430"/>
      <c r="X340" s="430"/>
      <c r="Y340" s="430"/>
      <c r="Z340" s="430"/>
      <c r="AA340" s="430"/>
    </row>
    <row r="341">
      <c r="A341" s="433"/>
      <c r="B341" s="430"/>
      <c r="C341" s="430"/>
      <c r="D341" s="430"/>
      <c r="E341" s="432"/>
      <c r="F341" s="430"/>
      <c r="G341" s="430"/>
      <c r="H341" s="430"/>
      <c r="I341" s="430"/>
      <c r="J341" s="430"/>
      <c r="K341" s="430"/>
      <c r="L341" s="430"/>
      <c r="M341" s="430"/>
      <c r="N341" s="430"/>
      <c r="O341" s="430"/>
      <c r="P341" s="430"/>
      <c r="Q341" s="430"/>
      <c r="R341" s="430"/>
      <c r="S341" s="430"/>
      <c r="T341" s="430"/>
      <c r="U341" s="430"/>
      <c r="V341" s="430"/>
      <c r="W341" s="430"/>
      <c r="X341" s="430"/>
      <c r="Y341" s="430"/>
      <c r="Z341" s="430"/>
      <c r="AA341" s="430"/>
    </row>
    <row r="342">
      <c r="A342" s="433"/>
      <c r="B342" s="430"/>
      <c r="C342" s="430"/>
      <c r="D342" s="430"/>
      <c r="E342" s="432"/>
      <c r="F342" s="430"/>
      <c r="G342" s="430"/>
      <c r="H342" s="430"/>
      <c r="I342" s="430"/>
      <c r="J342" s="430"/>
      <c r="K342" s="430"/>
      <c r="L342" s="430"/>
      <c r="M342" s="430"/>
      <c r="N342" s="430"/>
      <c r="O342" s="430"/>
      <c r="P342" s="430"/>
      <c r="Q342" s="430"/>
      <c r="R342" s="430"/>
      <c r="S342" s="430"/>
      <c r="T342" s="430"/>
      <c r="U342" s="430"/>
      <c r="V342" s="430"/>
      <c r="W342" s="430"/>
      <c r="X342" s="430"/>
      <c r="Y342" s="430"/>
      <c r="Z342" s="430"/>
      <c r="AA342" s="430"/>
    </row>
    <row r="343">
      <c r="A343" s="433"/>
      <c r="B343" s="430"/>
      <c r="C343" s="430"/>
      <c r="D343" s="430"/>
      <c r="E343" s="432"/>
      <c r="F343" s="430"/>
      <c r="G343" s="430"/>
      <c r="H343" s="430"/>
      <c r="I343" s="430"/>
      <c r="J343" s="430"/>
      <c r="K343" s="430"/>
      <c r="L343" s="430"/>
      <c r="M343" s="430"/>
      <c r="N343" s="430"/>
      <c r="O343" s="430"/>
      <c r="P343" s="430"/>
      <c r="Q343" s="430"/>
      <c r="R343" s="430"/>
      <c r="S343" s="430"/>
      <c r="T343" s="430"/>
      <c r="U343" s="430"/>
      <c r="V343" s="430"/>
      <c r="W343" s="430"/>
      <c r="X343" s="430"/>
      <c r="Y343" s="430"/>
      <c r="Z343" s="430"/>
      <c r="AA343" s="430"/>
    </row>
    <row r="344">
      <c r="A344" s="433"/>
      <c r="B344" s="430"/>
      <c r="C344" s="430"/>
      <c r="D344" s="430"/>
      <c r="E344" s="432"/>
      <c r="F344" s="430"/>
      <c r="G344" s="430"/>
      <c r="H344" s="430"/>
      <c r="I344" s="430"/>
      <c r="J344" s="430"/>
      <c r="K344" s="430"/>
      <c r="L344" s="430"/>
      <c r="M344" s="430"/>
      <c r="N344" s="430"/>
      <c r="O344" s="430"/>
      <c r="P344" s="430"/>
      <c r="Q344" s="430"/>
      <c r="R344" s="430"/>
      <c r="S344" s="430"/>
      <c r="T344" s="430"/>
      <c r="U344" s="430"/>
      <c r="V344" s="430"/>
      <c r="W344" s="430"/>
      <c r="X344" s="430"/>
      <c r="Y344" s="430"/>
      <c r="Z344" s="430"/>
      <c r="AA344" s="430"/>
    </row>
    <row r="345">
      <c r="A345" s="433"/>
      <c r="B345" s="430"/>
      <c r="C345" s="430"/>
      <c r="D345" s="430"/>
      <c r="E345" s="432"/>
      <c r="F345" s="430"/>
      <c r="G345" s="430"/>
      <c r="H345" s="430"/>
      <c r="I345" s="430"/>
      <c r="J345" s="430"/>
      <c r="K345" s="430"/>
      <c r="L345" s="430"/>
      <c r="M345" s="430"/>
      <c r="N345" s="430"/>
      <c r="O345" s="430"/>
      <c r="P345" s="430"/>
      <c r="Q345" s="430"/>
      <c r="R345" s="430"/>
      <c r="S345" s="430"/>
      <c r="T345" s="430"/>
      <c r="U345" s="430"/>
      <c r="V345" s="430"/>
      <c r="W345" s="430"/>
      <c r="X345" s="430"/>
      <c r="Y345" s="430"/>
      <c r="Z345" s="430"/>
      <c r="AA345" s="430"/>
    </row>
    <row r="346">
      <c r="A346" s="433"/>
      <c r="B346" s="430"/>
      <c r="C346" s="430"/>
      <c r="D346" s="430"/>
      <c r="E346" s="432"/>
      <c r="F346" s="430"/>
      <c r="G346" s="430"/>
      <c r="H346" s="430"/>
      <c r="I346" s="430"/>
      <c r="J346" s="430"/>
      <c r="K346" s="430"/>
      <c r="L346" s="430"/>
      <c r="M346" s="430"/>
      <c r="N346" s="430"/>
      <c r="O346" s="430"/>
      <c r="P346" s="430"/>
      <c r="Q346" s="430"/>
      <c r="R346" s="430"/>
      <c r="S346" s="430"/>
      <c r="T346" s="430"/>
      <c r="U346" s="430"/>
      <c r="V346" s="430"/>
      <c r="W346" s="430"/>
      <c r="X346" s="430"/>
      <c r="Y346" s="430"/>
      <c r="Z346" s="430"/>
      <c r="AA346" s="430"/>
    </row>
    <row r="347">
      <c r="A347" s="433"/>
      <c r="B347" s="430"/>
      <c r="C347" s="430"/>
      <c r="D347" s="430"/>
      <c r="E347" s="432"/>
      <c r="F347" s="430"/>
      <c r="G347" s="430"/>
      <c r="H347" s="430"/>
      <c r="I347" s="430"/>
      <c r="J347" s="430"/>
      <c r="K347" s="430"/>
      <c r="L347" s="430"/>
      <c r="M347" s="430"/>
      <c r="N347" s="430"/>
      <c r="O347" s="430"/>
      <c r="P347" s="430"/>
      <c r="Q347" s="430"/>
      <c r="R347" s="430"/>
      <c r="S347" s="430"/>
      <c r="T347" s="430"/>
      <c r="U347" s="430"/>
      <c r="V347" s="430"/>
      <c r="W347" s="430"/>
      <c r="X347" s="430"/>
      <c r="Y347" s="430"/>
      <c r="Z347" s="430"/>
      <c r="AA347" s="430"/>
    </row>
    <row r="348">
      <c r="A348" s="433"/>
      <c r="B348" s="430"/>
      <c r="C348" s="430"/>
      <c r="D348" s="430"/>
      <c r="E348" s="432"/>
      <c r="F348" s="430"/>
      <c r="G348" s="430"/>
      <c r="H348" s="430"/>
      <c r="I348" s="430"/>
      <c r="J348" s="430"/>
      <c r="K348" s="430"/>
      <c r="L348" s="430"/>
      <c r="M348" s="430"/>
      <c r="N348" s="430"/>
      <c r="O348" s="430"/>
      <c r="P348" s="430"/>
      <c r="Q348" s="430"/>
      <c r="R348" s="430"/>
      <c r="S348" s="430"/>
      <c r="T348" s="430"/>
      <c r="U348" s="430"/>
      <c r="V348" s="430"/>
      <c r="W348" s="430"/>
      <c r="X348" s="430"/>
      <c r="Y348" s="430"/>
      <c r="Z348" s="430"/>
      <c r="AA348" s="430"/>
    </row>
    <row r="349">
      <c r="A349" s="433"/>
      <c r="B349" s="430"/>
      <c r="C349" s="430"/>
      <c r="D349" s="430"/>
      <c r="E349" s="432"/>
      <c r="F349" s="430"/>
      <c r="G349" s="430"/>
      <c r="H349" s="430"/>
      <c r="I349" s="430"/>
      <c r="J349" s="430"/>
      <c r="K349" s="430"/>
      <c r="L349" s="430"/>
      <c r="M349" s="430"/>
      <c r="N349" s="430"/>
      <c r="O349" s="430"/>
      <c r="P349" s="430"/>
      <c r="Q349" s="430"/>
      <c r="R349" s="430"/>
      <c r="S349" s="430"/>
      <c r="T349" s="430"/>
      <c r="U349" s="430"/>
      <c r="V349" s="430"/>
      <c r="W349" s="430"/>
      <c r="X349" s="430"/>
      <c r="Y349" s="430"/>
      <c r="Z349" s="430"/>
      <c r="AA349" s="430"/>
    </row>
    <row r="350">
      <c r="A350" s="433"/>
      <c r="B350" s="430"/>
      <c r="C350" s="430"/>
      <c r="D350" s="430"/>
      <c r="E350" s="432"/>
      <c r="F350" s="430"/>
      <c r="G350" s="430"/>
      <c r="H350" s="430"/>
      <c r="I350" s="430"/>
      <c r="J350" s="430"/>
      <c r="K350" s="430"/>
      <c r="L350" s="430"/>
      <c r="M350" s="430"/>
      <c r="N350" s="430"/>
      <c r="O350" s="430"/>
      <c r="P350" s="430"/>
      <c r="Q350" s="430"/>
      <c r="R350" s="430"/>
      <c r="S350" s="430"/>
      <c r="T350" s="430"/>
      <c r="U350" s="430"/>
      <c r="V350" s="430"/>
      <c r="W350" s="430"/>
      <c r="X350" s="430"/>
      <c r="Y350" s="430"/>
      <c r="Z350" s="430"/>
      <c r="AA350" s="430"/>
    </row>
    <row r="351">
      <c r="A351" s="433"/>
      <c r="B351" s="430"/>
      <c r="C351" s="430"/>
      <c r="D351" s="430"/>
      <c r="E351" s="432"/>
      <c r="F351" s="430"/>
      <c r="G351" s="430"/>
      <c r="H351" s="430"/>
      <c r="I351" s="430"/>
      <c r="J351" s="430"/>
      <c r="K351" s="430"/>
      <c r="L351" s="430"/>
      <c r="M351" s="430"/>
      <c r="N351" s="430"/>
      <c r="O351" s="430"/>
      <c r="P351" s="430"/>
      <c r="Q351" s="430"/>
      <c r="R351" s="430"/>
      <c r="S351" s="430"/>
      <c r="T351" s="430"/>
      <c r="U351" s="430"/>
      <c r="V351" s="430"/>
      <c r="W351" s="430"/>
      <c r="X351" s="430"/>
      <c r="Y351" s="430"/>
      <c r="Z351" s="430"/>
      <c r="AA351" s="430"/>
    </row>
    <row r="352">
      <c r="A352" s="433"/>
      <c r="B352" s="430"/>
      <c r="C352" s="430"/>
      <c r="D352" s="430"/>
      <c r="E352" s="432"/>
      <c r="F352" s="430"/>
      <c r="G352" s="430"/>
      <c r="H352" s="430"/>
      <c r="I352" s="430"/>
      <c r="J352" s="430"/>
      <c r="K352" s="430"/>
      <c r="L352" s="430"/>
      <c r="M352" s="430"/>
      <c r="N352" s="430"/>
      <c r="O352" s="430"/>
      <c r="P352" s="430"/>
      <c r="Q352" s="430"/>
      <c r="R352" s="430"/>
      <c r="S352" s="430"/>
      <c r="T352" s="430"/>
      <c r="U352" s="430"/>
      <c r="V352" s="430"/>
      <c r="W352" s="430"/>
      <c r="X352" s="430"/>
      <c r="Y352" s="430"/>
      <c r="Z352" s="430"/>
      <c r="AA352" s="430"/>
    </row>
    <row r="353">
      <c r="A353" s="433"/>
      <c r="B353" s="430"/>
      <c r="C353" s="430"/>
      <c r="D353" s="430"/>
      <c r="E353" s="432"/>
      <c r="F353" s="430"/>
      <c r="G353" s="430"/>
      <c r="H353" s="430"/>
      <c r="I353" s="430"/>
      <c r="J353" s="430"/>
      <c r="K353" s="430"/>
      <c r="L353" s="430"/>
      <c r="M353" s="430"/>
      <c r="N353" s="430"/>
      <c r="O353" s="430"/>
      <c r="P353" s="430"/>
      <c r="Q353" s="430"/>
      <c r="R353" s="430"/>
      <c r="S353" s="430"/>
      <c r="T353" s="430"/>
      <c r="U353" s="430"/>
      <c r="V353" s="430"/>
      <c r="W353" s="430"/>
      <c r="X353" s="430"/>
      <c r="Y353" s="430"/>
      <c r="Z353" s="430"/>
      <c r="AA353" s="430"/>
    </row>
    <row r="354">
      <c r="A354" s="433"/>
      <c r="B354" s="430"/>
      <c r="C354" s="430"/>
      <c r="D354" s="430"/>
      <c r="E354" s="432"/>
      <c r="F354" s="430"/>
      <c r="G354" s="430"/>
      <c r="H354" s="430"/>
      <c r="I354" s="430"/>
      <c r="J354" s="430"/>
      <c r="K354" s="430"/>
      <c r="L354" s="430"/>
      <c r="M354" s="430"/>
      <c r="N354" s="430"/>
      <c r="O354" s="430"/>
      <c r="P354" s="430"/>
      <c r="Q354" s="430"/>
      <c r="R354" s="430"/>
      <c r="S354" s="430"/>
      <c r="T354" s="430"/>
      <c r="U354" s="430"/>
      <c r="V354" s="430"/>
      <c r="W354" s="430"/>
      <c r="X354" s="430"/>
      <c r="Y354" s="430"/>
      <c r="Z354" s="430"/>
      <c r="AA354" s="430"/>
    </row>
    <row r="355">
      <c r="A355" s="433"/>
      <c r="B355" s="430"/>
      <c r="C355" s="430"/>
      <c r="D355" s="430"/>
      <c r="E355" s="432"/>
      <c r="F355" s="430"/>
      <c r="G355" s="430"/>
      <c r="H355" s="430"/>
      <c r="I355" s="430"/>
      <c r="J355" s="430"/>
      <c r="K355" s="430"/>
      <c r="L355" s="430"/>
      <c r="M355" s="430"/>
      <c r="N355" s="430"/>
      <c r="O355" s="430"/>
      <c r="P355" s="430"/>
      <c r="Q355" s="430"/>
      <c r="R355" s="430"/>
      <c r="S355" s="430"/>
      <c r="T355" s="430"/>
      <c r="U355" s="430"/>
      <c r="V355" s="430"/>
      <c r="W355" s="430"/>
      <c r="X355" s="430"/>
      <c r="Y355" s="430"/>
      <c r="Z355" s="430"/>
      <c r="AA355" s="430"/>
    </row>
    <row r="356">
      <c r="A356" s="433"/>
      <c r="B356" s="430"/>
      <c r="C356" s="430"/>
      <c r="D356" s="430"/>
      <c r="E356" s="432"/>
      <c r="F356" s="430"/>
      <c r="G356" s="430"/>
      <c r="H356" s="430"/>
      <c r="I356" s="430"/>
      <c r="J356" s="430"/>
      <c r="K356" s="430"/>
      <c r="L356" s="430"/>
      <c r="M356" s="430"/>
      <c r="N356" s="430"/>
      <c r="O356" s="430"/>
      <c r="P356" s="430"/>
      <c r="Q356" s="430"/>
      <c r="R356" s="430"/>
      <c r="S356" s="430"/>
      <c r="T356" s="430"/>
      <c r="U356" s="430"/>
      <c r="V356" s="430"/>
      <c r="W356" s="430"/>
      <c r="X356" s="430"/>
      <c r="Y356" s="430"/>
      <c r="Z356" s="430"/>
      <c r="AA356" s="430"/>
    </row>
    <row r="357">
      <c r="A357" s="433"/>
      <c r="B357" s="430"/>
      <c r="C357" s="430"/>
      <c r="D357" s="430"/>
      <c r="E357" s="432"/>
      <c r="F357" s="430"/>
      <c r="G357" s="430"/>
      <c r="H357" s="430"/>
      <c r="I357" s="430"/>
      <c r="J357" s="430"/>
      <c r="K357" s="430"/>
      <c r="L357" s="430"/>
      <c r="M357" s="430"/>
      <c r="N357" s="430"/>
      <c r="O357" s="430"/>
      <c r="P357" s="430"/>
      <c r="Q357" s="430"/>
      <c r="R357" s="430"/>
      <c r="S357" s="430"/>
      <c r="T357" s="430"/>
      <c r="U357" s="430"/>
      <c r="V357" s="430"/>
      <c r="W357" s="430"/>
      <c r="X357" s="430"/>
      <c r="Y357" s="430"/>
      <c r="Z357" s="430"/>
      <c r="AA357" s="430"/>
    </row>
    <row r="358">
      <c r="A358" s="433"/>
      <c r="B358" s="430"/>
      <c r="C358" s="430"/>
      <c r="D358" s="430"/>
      <c r="E358" s="432"/>
      <c r="F358" s="430"/>
      <c r="G358" s="430"/>
      <c r="H358" s="430"/>
      <c r="I358" s="430"/>
      <c r="J358" s="430"/>
      <c r="K358" s="430"/>
      <c r="L358" s="430"/>
      <c r="M358" s="430"/>
      <c r="N358" s="430"/>
      <c r="O358" s="430"/>
      <c r="P358" s="430"/>
      <c r="Q358" s="430"/>
      <c r="R358" s="430"/>
      <c r="S358" s="430"/>
      <c r="T358" s="430"/>
      <c r="U358" s="430"/>
      <c r="V358" s="430"/>
      <c r="W358" s="430"/>
      <c r="X358" s="430"/>
      <c r="Y358" s="430"/>
      <c r="Z358" s="430"/>
      <c r="AA358" s="430"/>
    </row>
    <row r="359">
      <c r="A359" s="433"/>
      <c r="B359" s="430"/>
      <c r="C359" s="430"/>
      <c r="D359" s="430"/>
      <c r="E359" s="432"/>
      <c r="F359" s="430"/>
      <c r="G359" s="430"/>
      <c r="H359" s="430"/>
      <c r="I359" s="430"/>
      <c r="J359" s="430"/>
      <c r="K359" s="430"/>
      <c r="L359" s="430"/>
      <c r="M359" s="430"/>
      <c r="N359" s="430"/>
      <c r="O359" s="430"/>
      <c r="P359" s="430"/>
      <c r="Q359" s="430"/>
      <c r="R359" s="430"/>
      <c r="S359" s="430"/>
      <c r="T359" s="430"/>
      <c r="U359" s="430"/>
      <c r="V359" s="430"/>
      <c r="W359" s="430"/>
      <c r="X359" s="430"/>
      <c r="Y359" s="430"/>
      <c r="Z359" s="430"/>
      <c r="AA359" s="430"/>
    </row>
    <row r="360">
      <c r="A360" s="433"/>
      <c r="B360" s="430"/>
      <c r="C360" s="430"/>
      <c r="D360" s="430"/>
      <c r="E360" s="432"/>
      <c r="F360" s="430"/>
      <c r="G360" s="430"/>
      <c r="H360" s="430"/>
      <c r="I360" s="430"/>
      <c r="J360" s="430"/>
      <c r="K360" s="430"/>
      <c r="L360" s="430"/>
      <c r="M360" s="430"/>
      <c r="N360" s="430"/>
      <c r="O360" s="430"/>
      <c r="P360" s="430"/>
      <c r="Q360" s="430"/>
      <c r="R360" s="430"/>
      <c r="S360" s="430"/>
      <c r="T360" s="430"/>
      <c r="U360" s="430"/>
      <c r="V360" s="430"/>
      <c r="W360" s="430"/>
      <c r="X360" s="430"/>
      <c r="Y360" s="430"/>
      <c r="Z360" s="430"/>
      <c r="AA360" s="430"/>
    </row>
    <row r="361">
      <c r="A361" s="433"/>
      <c r="B361" s="430"/>
      <c r="C361" s="430"/>
      <c r="D361" s="430"/>
      <c r="E361" s="432"/>
      <c r="F361" s="430"/>
      <c r="G361" s="430"/>
      <c r="H361" s="430"/>
      <c r="I361" s="430"/>
      <c r="J361" s="430"/>
      <c r="K361" s="430"/>
      <c r="L361" s="430"/>
      <c r="M361" s="430"/>
      <c r="N361" s="430"/>
      <c r="O361" s="430"/>
      <c r="P361" s="430"/>
      <c r="Q361" s="430"/>
      <c r="R361" s="430"/>
      <c r="S361" s="430"/>
      <c r="T361" s="430"/>
      <c r="U361" s="430"/>
      <c r="V361" s="430"/>
      <c r="W361" s="430"/>
      <c r="X361" s="430"/>
      <c r="Y361" s="430"/>
      <c r="Z361" s="430"/>
      <c r="AA361" s="430"/>
    </row>
    <row r="362">
      <c r="A362" s="433"/>
      <c r="B362" s="430"/>
      <c r="C362" s="430"/>
      <c r="D362" s="430"/>
      <c r="E362" s="432"/>
      <c r="F362" s="430"/>
      <c r="G362" s="430"/>
      <c r="H362" s="430"/>
      <c r="I362" s="430"/>
      <c r="J362" s="430"/>
      <c r="K362" s="430"/>
      <c r="L362" s="430"/>
      <c r="M362" s="430"/>
      <c r="N362" s="430"/>
      <c r="O362" s="430"/>
      <c r="P362" s="430"/>
      <c r="Q362" s="430"/>
      <c r="R362" s="430"/>
      <c r="S362" s="430"/>
      <c r="T362" s="430"/>
      <c r="U362" s="430"/>
      <c r="V362" s="430"/>
      <c r="W362" s="430"/>
      <c r="X362" s="430"/>
      <c r="Y362" s="430"/>
      <c r="Z362" s="430"/>
      <c r="AA362" s="430"/>
    </row>
    <row r="363">
      <c r="A363" s="433"/>
      <c r="B363" s="430"/>
      <c r="C363" s="430"/>
      <c r="D363" s="430"/>
      <c r="E363" s="432"/>
      <c r="F363" s="430"/>
      <c r="G363" s="430"/>
      <c r="H363" s="430"/>
      <c r="I363" s="430"/>
      <c r="J363" s="430"/>
      <c r="K363" s="430"/>
      <c r="L363" s="430"/>
      <c r="M363" s="430"/>
      <c r="N363" s="430"/>
      <c r="O363" s="430"/>
      <c r="P363" s="430"/>
      <c r="Q363" s="430"/>
      <c r="R363" s="430"/>
      <c r="S363" s="430"/>
      <c r="T363" s="430"/>
      <c r="U363" s="430"/>
      <c r="V363" s="430"/>
      <c r="W363" s="430"/>
      <c r="X363" s="430"/>
      <c r="Y363" s="430"/>
      <c r="Z363" s="430"/>
      <c r="AA363" s="430"/>
    </row>
    <row r="364">
      <c r="A364" s="433"/>
      <c r="B364" s="430"/>
      <c r="C364" s="430"/>
      <c r="D364" s="430"/>
      <c r="E364" s="432"/>
      <c r="F364" s="430"/>
      <c r="G364" s="430"/>
      <c r="H364" s="430"/>
      <c r="I364" s="430"/>
      <c r="J364" s="430"/>
      <c r="K364" s="430"/>
      <c r="L364" s="430"/>
      <c r="M364" s="430"/>
      <c r="N364" s="430"/>
      <c r="O364" s="430"/>
      <c r="P364" s="430"/>
      <c r="Q364" s="430"/>
      <c r="R364" s="430"/>
      <c r="S364" s="430"/>
      <c r="T364" s="430"/>
      <c r="U364" s="430"/>
      <c r="V364" s="430"/>
      <c r="W364" s="430"/>
      <c r="X364" s="430"/>
      <c r="Y364" s="430"/>
      <c r="Z364" s="430"/>
      <c r="AA364" s="430"/>
    </row>
    <row r="365">
      <c r="A365" s="433"/>
      <c r="B365" s="430"/>
      <c r="C365" s="430"/>
      <c r="D365" s="430"/>
      <c r="E365" s="432"/>
      <c r="F365" s="430"/>
      <c r="G365" s="430"/>
      <c r="H365" s="430"/>
      <c r="I365" s="430"/>
      <c r="J365" s="430"/>
      <c r="K365" s="430"/>
      <c r="L365" s="430"/>
      <c r="M365" s="430"/>
      <c r="N365" s="430"/>
      <c r="O365" s="430"/>
      <c r="P365" s="430"/>
      <c r="Q365" s="430"/>
      <c r="R365" s="430"/>
      <c r="S365" s="430"/>
      <c r="T365" s="430"/>
      <c r="U365" s="430"/>
      <c r="V365" s="430"/>
      <c r="W365" s="430"/>
      <c r="X365" s="430"/>
      <c r="Y365" s="430"/>
      <c r="Z365" s="430"/>
      <c r="AA365" s="430"/>
    </row>
    <row r="366">
      <c r="A366" s="433"/>
      <c r="B366" s="430"/>
      <c r="C366" s="430"/>
      <c r="D366" s="430"/>
      <c r="E366" s="432"/>
      <c r="F366" s="430"/>
      <c r="G366" s="430"/>
      <c r="H366" s="430"/>
      <c r="I366" s="430"/>
      <c r="J366" s="430"/>
      <c r="K366" s="430"/>
      <c r="L366" s="430"/>
      <c r="M366" s="430"/>
      <c r="N366" s="430"/>
      <c r="O366" s="430"/>
      <c r="P366" s="430"/>
      <c r="Q366" s="430"/>
      <c r="R366" s="430"/>
      <c r="S366" s="430"/>
      <c r="T366" s="430"/>
      <c r="U366" s="430"/>
      <c r="V366" s="430"/>
      <c r="W366" s="430"/>
      <c r="X366" s="430"/>
      <c r="Y366" s="430"/>
      <c r="Z366" s="430"/>
      <c r="AA366" s="430"/>
    </row>
    <row r="367">
      <c r="A367" s="433"/>
      <c r="B367" s="430"/>
      <c r="C367" s="430"/>
      <c r="D367" s="430"/>
      <c r="E367" s="432"/>
      <c r="F367" s="430"/>
      <c r="G367" s="430"/>
      <c r="H367" s="430"/>
      <c r="I367" s="430"/>
      <c r="J367" s="430"/>
      <c r="K367" s="430"/>
      <c r="L367" s="430"/>
      <c r="M367" s="430"/>
      <c r="N367" s="430"/>
      <c r="O367" s="430"/>
      <c r="P367" s="430"/>
      <c r="Q367" s="430"/>
      <c r="R367" s="430"/>
      <c r="S367" s="430"/>
      <c r="T367" s="430"/>
      <c r="U367" s="430"/>
      <c r="V367" s="430"/>
      <c r="W367" s="430"/>
      <c r="X367" s="430"/>
      <c r="Y367" s="430"/>
      <c r="Z367" s="430"/>
      <c r="AA367" s="430"/>
    </row>
    <row r="368">
      <c r="A368" s="433"/>
      <c r="B368" s="430"/>
      <c r="C368" s="430"/>
      <c r="D368" s="430"/>
      <c r="E368" s="432"/>
      <c r="F368" s="430"/>
      <c r="G368" s="430"/>
      <c r="H368" s="430"/>
      <c r="I368" s="430"/>
      <c r="J368" s="430"/>
      <c r="K368" s="430"/>
      <c r="L368" s="430"/>
      <c r="M368" s="430"/>
      <c r="N368" s="430"/>
      <c r="O368" s="430"/>
      <c r="P368" s="430"/>
      <c r="Q368" s="430"/>
      <c r="R368" s="430"/>
      <c r="S368" s="430"/>
      <c r="T368" s="430"/>
      <c r="U368" s="430"/>
      <c r="V368" s="430"/>
      <c r="W368" s="430"/>
      <c r="X368" s="430"/>
      <c r="Y368" s="430"/>
      <c r="Z368" s="430"/>
      <c r="AA368" s="430"/>
    </row>
    <row r="369">
      <c r="A369" s="433"/>
      <c r="B369" s="430"/>
      <c r="C369" s="430"/>
      <c r="D369" s="430"/>
      <c r="E369" s="432"/>
      <c r="F369" s="430"/>
      <c r="G369" s="430"/>
      <c r="H369" s="430"/>
      <c r="I369" s="430"/>
      <c r="J369" s="430"/>
      <c r="K369" s="430"/>
      <c r="L369" s="430"/>
      <c r="M369" s="430"/>
      <c r="N369" s="430"/>
      <c r="O369" s="430"/>
      <c r="P369" s="430"/>
      <c r="Q369" s="430"/>
      <c r="R369" s="430"/>
      <c r="S369" s="430"/>
      <c r="T369" s="430"/>
      <c r="U369" s="430"/>
      <c r="V369" s="430"/>
      <c r="W369" s="430"/>
      <c r="X369" s="430"/>
      <c r="Y369" s="430"/>
      <c r="Z369" s="430"/>
      <c r="AA369" s="430"/>
    </row>
    <row r="370">
      <c r="A370" s="433"/>
      <c r="B370" s="430"/>
      <c r="C370" s="430"/>
      <c r="D370" s="430"/>
      <c r="E370" s="432"/>
      <c r="F370" s="430"/>
      <c r="G370" s="430"/>
      <c r="H370" s="430"/>
      <c r="I370" s="430"/>
      <c r="J370" s="430"/>
      <c r="K370" s="430"/>
      <c r="L370" s="430"/>
      <c r="M370" s="430"/>
      <c r="N370" s="430"/>
      <c r="O370" s="430"/>
      <c r="P370" s="430"/>
      <c r="Q370" s="430"/>
      <c r="R370" s="430"/>
      <c r="S370" s="430"/>
      <c r="T370" s="430"/>
      <c r="U370" s="430"/>
      <c r="V370" s="430"/>
      <c r="W370" s="430"/>
      <c r="X370" s="430"/>
      <c r="Y370" s="430"/>
      <c r="Z370" s="430"/>
      <c r="AA370" s="430"/>
    </row>
    <row r="371">
      <c r="A371" s="433"/>
      <c r="B371" s="430"/>
      <c r="C371" s="430"/>
      <c r="D371" s="430"/>
      <c r="E371" s="432"/>
      <c r="F371" s="430"/>
      <c r="G371" s="430"/>
      <c r="H371" s="430"/>
      <c r="I371" s="430"/>
      <c r="J371" s="430"/>
      <c r="K371" s="430"/>
      <c r="L371" s="430"/>
      <c r="M371" s="430"/>
      <c r="N371" s="430"/>
      <c r="O371" s="430"/>
      <c r="P371" s="430"/>
      <c r="Q371" s="430"/>
      <c r="R371" s="430"/>
      <c r="S371" s="430"/>
      <c r="T371" s="430"/>
      <c r="U371" s="430"/>
      <c r="V371" s="430"/>
      <c r="W371" s="430"/>
      <c r="X371" s="430"/>
      <c r="Y371" s="430"/>
      <c r="Z371" s="430"/>
      <c r="AA371" s="430"/>
    </row>
    <row r="372">
      <c r="A372" s="433"/>
      <c r="B372" s="430"/>
      <c r="C372" s="430"/>
      <c r="D372" s="430"/>
      <c r="E372" s="432"/>
      <c r="F372" s="430"/>
      <c r="G372" s="430"/>
      <c r="H372" s="430"/>
      <c r="I372" s="430"/>
      <c r="J372" s="430"/>
      <c r="K372" s="430"/>
      <c r="L372" s="430"/>
      <c r="M372" s="430"/>
      <c r="N372" s="430"/>
      <c r="O372" s="430"/>
      <c r="P372" s="430"/>
      <c r="Q372" s="430"/>
      <c r="R372" s="430"/>
      <c r="S372" s="430"/>
      <c r="T372" s="430"/>
      <c r="U372" s="430"/>
      <c r="V372" s="430"/>
      <c r="W372" s="430"/>
      <c r="X372" s="430"/>
      <c r="Y372" s="430"/>
      <c r="Z372" s="430"/>
      <c r="AA372" s="430"/>
    </row>
    <row r="373">
      <c r="A373" s="433"/>
      <c r="B373" s="430"/>
      <c r="C373" s="430"/>
      <c r="D373" s="430"/>
      <c r="E373" s="432"/>
      <c r="F373" s="430"/>
      <c r="G373" s="430"/>
      <c r="H373" s="430"/>
      <c r="I373" s="430"/>
      <c r="J373" s="430"/>
      <c r="K373" s="430"/>
      <c r="L373" s="430"/>
      <c r="M373" s="430"/>
      <c r="N373" s="430"/>
      <c r="O373" s="430"/>
      <c r="P373" s="430"/>
      <c r="Q373" s="430"/>
      <c r="R373" s="430"/>
      <c r="S373" s="430"/>
      <c r="T373" s="430"/>
      <c r="U373" s="430"/>
      <c r="V373" s="430"/>
      <c r="W373" s="430"/>
      <c r="X373" s="430"/>
      <c r="Y373" s="430"/>
      <c r="Z373" s="430"/>
      <c r="AA373" s="430"/>
    </row>
    <row r="374">
      <c r="A374" s="433"/>
      <c r="B374" s="430"/>
      <c r="C374" s="430"/>
      <c r="D374" s="430"/>
      <c r="E374" s="432"/>
      <c r="F374" s="430"/>
      <c r="G374" s="430"/>
      <c r="H374" s="430"/>
      <c r="I374" s="430"/>
      <c r="J374" s="430"/>
      <c r="K374" s="430"/>
      <c r="L374" s="430"/>
      <c r="M374" s="430"/>
      <c r="N374" s="430"/>
      <c r="O374" s="430"/>
      <c r="P374" s="430"/>
      <c r="Q374" s="430"/>
      <c r="R374" s="430"/>
      <c r="S374" s="430"/>
      <c r="T374" s="430"/>
      <c r="U374" s="430"/>
      <c r="V374" s="430"/>
      <c r="W374" s="430"/>
      <c r="X374" s="430"/>
      <c r="Y374" s="430"/>
      <c r="Z374" s="430"/>
      <c r="AA374" s="430"/>
    </row>
    <row r="375">
      <c r="A375" s="433"/>
      <c r="B375" s="430"/>
      <c r="C375" s="430"/>
      <c r="D375" s="430"/>
      <c r="E375" s="432"/>
      <c r="F375" s="430"/>
      <c r="G375" s="430"/>
      <c r="H375" s="430"/>
      <c r="I375" s="430"/>
      <c r="J375" s="430"/>
      <c r="K375" s="430"/>
      <c r="L375" s="430"/>
      <c r="M375" s="430"/>
      <c r="N375" s="430"/>
      <c r="O375" s="430"/>
      <c r="P375" s="430"/>
      <c r="Q375" s="430"/>
      <c r="R375" s="430"/>
      <c r="S375" s="430"/>
      <c r="T375" s="430"/>
      <c r="U375" s="430"/>
      <c r="V375" s="430"/>
      <c r="W375" s="430"/>
      <c r="X375" s="430"/>
      <c r="Y375" s="430"/>
      <c r="Z375" s="430"/>
      <c r="AA375" s="430"/>
    </row>
    <row r="376">
      <c r="A376" s="433"/>
      <c r="B376" s="430"/>
      <c r="C376" s="430"/>
      <c r="D376" s="430"/>
      <c r="E376" s="432"/>
      <c r="F376" s="430"/>
      <c r="G376" s="430"/>
      <c r="H376" s="430"/>
      <c r="I376" s="430"/>
      <c r="J376" s="430"/>
      <c r="K376" s="430"/>
      <c r="L376" s="430"/>
      <c r="M376" s="430"/>
      <c r="N376" s="430"/>
      <c r="O376" s="430"/>
      <c r="P376" s="430"/>
      <c r="Q376" s="430"/>
      <c r="R376" s="430"/>
      <c r="S376" s="430"/>
      <c r="T376" s="430"/>
      <c r="U376" s="430"/>
      <c r="V376" s="430"/>
      <c r="W376" s="430"/>
      <c r="X376" s="430"/>
      <c r="Y376" s="430"/>
      <c r="Z376" s="430"/>
      <c r="AA376" s="430"/>
    </row>
    <row r="377">
      <c r="A377" s="433"/>
      <c r="B377" s="430"/>
      <c r="C377" s="430"/>
      <c r="D377" s="430"/>
      <c r="E377" s="432"/>
      <c r="F377" s="430"/>
      <c r="G377" s="430"/>
      <c r="H377" s="430"/>
      <c r="I377" s="430"/>
      <c r="J377" s="430"/>
      <c r="K377" s="430"/>
      <c r="L377" s="430"/>
      <c r="M377" s="430"/>
      <c r="N377" s="430"/>
      <c r="O377" s="430"/>
      <c r="P377" s="430"/>
      <c r="Q377" s="430"/>
      <c r="R377" s="430"/>
      <c r="S377" s="430"/>
      <c r="T377" s="430"/>
      <c r="U377" s="430"/>
      <c r="V377" s="430"/>
      <c r="W377" s="430"/>
      <c r="X377" s="430"/>
      <c r="Y377" s="430"/>
      <c r="Z377" s="430"/>
      <c r="AA377" s="430"/>
    </row>
    <row r="378">
      <c r="A378" s="433"/>
      <c r="B378" s="430"/>
      <c r="C378" s="430"/>
      <c r="D378" s="430"/>
      <c r="E378" s="432"/>
      <c r="F378" s="430"/>
      <c r="G378" s="430"/>
      <c r="H378" s="430"/>
      <c r="I378" s="430"/>
      <c r="J378" s="430"/>
      <c r="K378" s="430"/>
      <c r="L378" s="430"/>
      <c r="M378" s="430"/>
      <c r="N378" s="430"/>
      <c r="O378" s="430"/>
      <c r="P378" s="430"/>
      <c r="Q378" s="430"/>
      <c r="R378" s="430"/>
      <c r="S378" s="430"/>
      <c r="T378" s="430"/>
      <c r="U378" s="430"/>
      <c r="V378" s="430"/>
      <c r="W378" s="430"/>
      <c r="X378" s="430"/>
      <c r="Y378" s="430"/>
      <c r="Z378" s="430"/>
      <c r="AA378" s="430"/>
    </row>
    <row r="379">
      <c r="A379" s="433"/>
      <c r="B379" s="430"/>
      <c r="C379" s="430"/>
      <c r="D379" s="430"/>
      <c r="E379" s="432"/>
      <c r="F379" s="430"/>
      <c r="G379" s="430"/>
      <c r="H379" s="430"/>
      <c r="I379" s="430"/>
      <c r="J379" s="430"/>
      <c r="K379" s="430"/>
      <c r="L379" s="430"/>
      <c r="M379" s="430"/>
      <c r="N379" s="430"/>
      <c r="O379" s="430"/>
      <c r="P379" s="430"/>
      <c r="Q379" s="430"/>
      <c r="R379" s="430"/>
      <c r="S379" s="430"/>
      <c r="T379" s="430"/>
      <c r="U379" s="430"/>
      <c r="V379" s="430"/>
      <c r="W379" s="430"/>
      <c r="X379" s="430"/>
      <c r="Y379" s="430"/>
      <c r="Z379" s="430"/>
      <c r="AA379" s="430"/>
    </row>
    <row r="380">
      <c r="A380" s="433"/>
      <c r="B380" s="430"/>
      <c r="C380" s="430"/>
      <c r="D380" s="430"/>
      <c r="E380" s="432"/>
      <c r="F380" s="430"/>
      <c r="G380" s="430"/>
      <c r="H380" s="430"/>
      <c r="I380" s="430"/>
      <c r="J380" s="430"/>
      <c r="K380" s="430"/>
      <c r="L380" s="430"/>
      <c r="M380" s="430"/>
      <c r="N380" s="430"/>
      <c r="O380" s="430"/>
      <c r="P380" s="430"/>
      <c r="Q380" s="430"/>
      <c r="R380" s="430"/>
      <c r="S380" s="430"/>
      <c r="T380" s="430"/>
      <c r="U380" s="430"/>
      <c r="V380" s="430"/>
      <c r="W380" s="430"/>
      <c r="X380" s="430"/>
      <c r="Y380" s="430"/>
      <c r="Z380" s="430"/>
      <c r="AA380" s="430"/>
    </row>
    <row r="381">
      <c r="A381" s="433"/>
      <c r="B381" s="430"/>
      <c r="C381" s="430"/>
      <c r="D381" s="430"/>
      <c r="E381" s="432"/>
      <c r="F381" s="430"/>
      <c r="G381" s="430"/>
      <c r="H381" s="430"/>
      <c r="I381" s="430"/>
      <c r="J381" s="430"/>
      <c r="K381" s="430"/>
      <c r="L381" s="430"/>
      <c r="M381" s="430"/>
      <c r="N381" s="430"/>
      <c r="O381" s="430"/>
      <c r="P381" s="430"/>
      <c r="Q381" s="430"/>
      <c r="R381" s="430"/>
      <c r="S381" s="430"/>
      <c r="T381" s="430"/>
      <c r="U381" s="430"/>
      <c r="V381" s="430"/>
      <c r="W381" s="430"/>
      <c r="X381" s="430"/>
      <c r="Y381" s="430"/>
      <c r="Z381" s="430"/>
      <c r="AA381" s="430"/>
    </row>
    <row r="382">
      <c r="A382" s="433"/>
      <c r="B382" s="430"/>
      <c r="C382" s="430"/>
      <c r="D382" s="430"/>
      <c r="E382" s="432"/>
      <c r="F382" s="430"/>
      <c r="G382" s="430"/>
      <c r="H382" s="430"/>
      <c r="I382" s="430"/>
      <c r="J382" s="430"/>
      <c r="K382" s="430"/>
      <c r="L382" s="430"/>
      <c r="M382" s="430"/>
      <c r="N382" s="430"/>
      <c r="O382" s="430"/>
      <c r="P382" s="430"/>
      <c r="Q382" s="430"/>
      <c r="R382" s="430"/>
      <c r="S382" s="430"/>
      <c r="T382" s="430"/>
      <c r="U382" s="430"/>
      <c r="V382" s="430"/>
      <c r="W382" s="430"/>
      <c r="X382" s="430"/>
      <c r="Y382" s="430"/>
      <c r="Z382" s="430"/>
      <c r="AA382" s="430"/>
    </row>
    <row r="383">
      <c r="A383" s="433"/>
      <c r="B383" s="430"/>
      <c r="C383" s="430"/>
      <c r="D383" s="430"/>
      <c r="E383" s="432"/>
      <c r="F383" s="430"/>
      <c r="G383" s="430"/>
      <c r="H383" s="430"/>
      <c r="I383" s="430"/>
      <c r="J383" s="430"/>
      <c r="K383" s="430"/>
      <c r="L383" s="430"/>
      <c r="M383" s="430"/>
      <c r="N383" s="430"/>
      <c r="O383" s="430"/>
      <c r="P383" s="430"/>
      <c r="Q383" s="430"/>
      <c r="R383" s="430"/>
      <c r="S383" s="430"/>
      <c r="T383" s="430"/>
      <c r="U383" s="430"/>
      <c r="V383" s="430"/>
      <c r="W383" s="430"/>
      <c r="X383" s="430"/>
      <c r="Y383" s="430"/>
      <c r="Z383" s="430"/>
      <c r="AA383" s="430"/>
    </row>
    <row r="384">
      <c r="A384" s="433"/>
      <c r="B384" s="430"/>
      <c r="C384" s="430"/>
      <c r="D384" s="430"/>
      <c r="E384" s="432"/>
      <c r="F384" s="430"/>
      <c r="G384" s="430"/>
      <c r="H384" s="430"/>
      <c r="I384" s="430"/>
      <c r="J384" s="430"/>
      <c r="K384" s="430"/>
      <c r="L384" s="430"/>
      <c r="M384" s="430"/>
      <c r="N384" s="430"/>
      <c r="O384" s="430"/>
      <c r="P384" s="430"/>
      <c r="Q384" s="430"/>
      <c r="R384" s="430"/>
      <c r="S384" s="430"/>
      <c r="T384" s="430"/>
      <c r="U384" s="430"/>
      <c r="V384" s="430"/>
      <c r="W384" s="430"/>
      <c r="X384" s="430"/>
      <c r="Y384" s="430"/>
      <c r="Z384" s="430"/>
      <c r="AA384" s="430"/>
    </row>
    <row r="385">
      <c r="A385" s="433"/>
      <c r="B385" s="430"/>
      <c r="C385" s="430"/>
      <c r="D385" s="430"/>
      <c r="E385" s="432"/>
      <c r="F385" s="430"/>
      <c r="G385" s="430"/>
      <c r="H385" s="430"/>
      <c r="I385" s="430"/>
      <c r="J385" s="430"/>
      <c r="K385" s="430"/>
      <c r="L385" s="430"/>
      <c r="M385" s="430"/>
      <c r="N385" s="430"/>
      <c r="O385" s="430"/>
      <c r="P385" s="430"/>
      <c r="Q385" s="430"/>
      <c r="R385" s="430"/>
      <c r="S385" s="430"/>
      <c r="T385" s="430"/>
      <c r="U385" s="430"/>
      <c r="V385" s="430"/>
      <c r="W385" s="430"/>
      <c r="X385" s="430"/>
      <c r="Y385" s="430"/>
      <c r="Z385" s="430"/>
      <c r="AA385" s="430"/>
    </row>
    <row r="386">
      <c r="A386" s="433"/>
      <c r="B386" s="430"/>
      <c r="C386" s="430"/>
      <c r="D386" s="430"/>
      <c r="E386" s="432"/>
      <c r="F386" s="430"/>
      <c r="G386" s="430"/>
      <c r="H386" s="430"/>
      <c r="I386" s="430"/>
      <c r="J386" s="430"/>
      <c r="K386" s="430"/>
      <c r="L386" s="430"/>
      <c r="M386" s="430"/>
      <c r="N386" s="430"/>
      <c r="O386" s="430"/>
      <c r="P386" s="430"/>
      <c r="Q386" s="430"/>
      <c r="R386" s="430"/>
      <c r="S386" s="430"/>
      <c r="T386" s="430"/>
      <c r="U386" s="430"/>
      <c r="V386" s="430"/>
      <c r="W386" s="430"/>
      <c r="X386" s="430"/>
      <c r="Y386" s="430"/>
      <c r="Z386" s="430"/>
      <c r="AA386" s="430"/>
    </row>
    <row r="387">
      <c r="A387" s="433"/>
      <c r="B387" s="430"/>
      <c r="C387" s="430"/>
      <c r="D387" s="430"/>
      <c r="E387" s="432"/>
      <c r="F387" s="430"/>
      <c r="G387" s="430"/>
      <c r="H387" s="430"/>
      <c r="I387" s="430"/>
      <c r="J387" s="430"/>
      <c r="K387" s="430"/>
      <c r="L387" s="430"/>
      <c r="M387" s="430"/>
      <c r="N387" s="430"/>
      <c r="O387" s="430"/>
      <c r="P387" s="430"/>
      <c r="Q387" s="430"/>
      <c r="R387" s="430"/>
      <c r="S387" s="430"/>
      <c r="T387" s="430"/>
      <c r="U387" s="430"/>
      <c r="V387" s="430"/>
      <c r="W387" s="430"/>
      <c r="X387" s="430"/>
      <c r="Y387" s="430"/>
      <c r="Z387" s="430"/>
      <c r="AA387" s="430"/>
    </row>
    <row r="388">
      <c r="A388" s="433"/>
      <c r="B388" s="430"/>
      <c r="C388" s="430"/>
      <c r="D388" s="430"/>
      <c r="E388" s="432"/>
      <c r="F388" s="430"/>
      <c r="G388" s="430"/>
      <c r="H388" s="430"/>
      <c r="I388" s="430"/>
      <c r="J388" s="430"/>
      <c r="K388" s="430"/>
      <c r="L388" s="430"/>
      <c r="M388" s="430"/>
      <c r="N388" s="430"/>
      <c r="O388" s="430"/>
      <c r="P388" s="430"/>
      <c r="Q388" s="430"/>
      <c r="R388" s="430"/>
      <c r="S388" s="430"/>
      <c r="T388" s="430"/>
      <c r="U388" s="430"/>
      <c r="V388" s="430"/>
      <c r="W388" s="430"/>
      <c r="X388" s="430"/>
      <c r="Y388" s="430"/>
      <c r="Z388" s="430"/>
      <c r="AA388" s="430"/>
    </row>
    <row r="389">
      <c r="A389" s="433"/>
      <c r="B389" s="430"/>
      <c r="C389" s="430"/>
      <c r="D389" s="430"/>
      <c r="E389" s="432"/>
      <c r="F389" s="430"/>
      <c r="G389" s="430"/>
      <c r="H389" s="430"/>
      <c r="I389" s="430"/>
      <c r="J389" s="430"/>
      <c r="K389" s="430"/>
      <c r="L389" s="430"/>
      <c r="M389" s="430"/>
      <c r="N389" s="430"/>
      <c r="O389" s="430"/>
      <c r="P389" s="430"/>
      <c r="Q389" s="430"/>
      <c r="R389" s="430"/>
      <c r="S389" s="430"/>
      <c r="T389" s="430"/>
      <c r="U389" s="430"/>
      <c r="V389" s="430"/>
      <c r="W389" s="430"/>
      <c r="X389" s="430"/>
      <c r="Y389" s="430"/>
      <c r="Z389" s="430"/>
      <c r="AA389" s="430"/>
    </row>
    <row r="390">
      <c r="A390" s="433"/>
      <c r="B390" s="430"/>
      <c r="C390" s="430"/>
      <c r="D390" s="430"/>
      <c r="E390" s="432"/>
      <c r="F390" s="430"/>
      <c r="G390" s="430"/>
      <c r="H390" s="430"/>
      <c r="I390" s="430"/>
      <c r="J390" s="430"/>
      <c r="K390" s="430"/>
      <c r="L390" s="430"/>
      <c r="M390" s="430"/>
      <c r="N390" s="430"/>
      <c r="O390" s="430"/>
      <c r="P390" s="430"/>
      <c r="Q390" s="430"/>
      <c r="R390" s="430"/>
      <c r="S390" s="430"/>
      <c r="T390" s="430"/>
      <c r="U390" s="430"/>
      <c r="V390" s="430"/>
      <c r="W390" s="430"/>
      <c r="X390" s="430"/>
      <c r="Y390" s="430"/>
      <c r="Z390" s="430"/>
      <c r="AA390" s="430"/>
    </row>
    <row r="391">
      <c r="A391" s="433"/>
      <c r="B391" s="430"/>
      <c r="C391" s="430"/>
      <c r="D391" s="430"/>
      <c r="E391" s="432"/>
      <c r="F391" s="430"/>
      <c r="G391" s="430"/>
      <c r="H391" s="430"/>
      <c r="I391" s="430"/>
      <c r="J391" s="430"/>
      <c r="K391" s="430"/>
      <c r="L391" s="430"/>
      <c r="M391" s="430"/>
      <c r="N391" s="430"/>
      <c r="O391" s="430"/>
      <c r="P391" s="430"/>
      <c r="Q391" s="430"/>
      <c r="R391" s="430"/>
      <c r="S391" s="430"/>
      <c r="T391" s="430"/>
      <c r="U391" s="430"/>
      <c r="V391" s="430"/>
      <c r="W391" s="430"/>
      <c r="X391" s="430"/>
      <c r="Y391" s="430"/>
      <c r="Z391" s="430"/>
      <c r="AA391" s="430"/>
    </row>
    <row r="392">
      <c r="A392" s="433"/>
      <c r="B392" s="430"/>
      <c r="C392" s="430"/>
      <c r="D392" s="430"/>
      <c r="E392" s="432"/>
      <c r="F392" s="430"/>
      <c r="G392" s="430"/>
      <c r="H392" s="430"/>
      <c r="I392" s="430"/>
      <c r="J392" s="430"/>
      <c r="K392" s="430"/>
      <c r="L392" s="430"/>
      <c r="M392" s="430"/>
      <c r="N392" s="430"/>
      <c r="O392" s="430"/>
      <c r="P392" s="430"/>
      <c r="Q392" s="430"/>
      <c r="R392" s="430"/>
      <c r="S392" s="430"/>
      <c r="T392" s="430"/>
      <c r="U392" s="430"/>
      <c r="V392" s="430"/>
      <c r="W392" s="430"/>
      <c r="X392" s="430"/>
      <c r="Y392" s="430"/>
      <c r="Z392" s="430"/>
      <c r="AA392" s="430"/>
    </row>
    <row r="393">
      <c r="A393" s="433"/>
      <c r="B393" s="430"/>
      <c r="C393" s="430"/>
      <c r="D393" s="430"/>
      <c r="E393" s="432"/>
      <c r="F393" s="430"/>
      <c r="G393" s="430"/>
      <c r="H393" s="430"/>
      <c r="I393" s="430"/>
      <c r="J393" s="430"/>
      <c r="K393" s="430"/>
      <c r="L393" s="430"/>
      <c r="M393" s="430"/>
      <c r="N393" s="430"/>
      <c r="O393" s="430"/>
      <c r="P393" s="430"/>
      <c r="Q393" s="430"/>
      <c r="R393" s="430"/>
      <c r="S393" s="430"/>
      <c r="T393" s="430"/>
      <c r="U393" s="430"/>
      <c r="V393" s="430"/>
      <c r="W393" s="430"/>
      <c r="X393" s="430"/>
      <c r="Y393" s="430"/>
      <c r="Z393" s="430"/>
      <c r="AA393" s="430"/>
    </row>
    <row r="394">
      <c r="A394" s="433"/>
      <c r="B394" s="430"/>
      <c r="C394" s="430"/>
      <c r="D394" s="430"/>
      <c r="E394" s="432"/>
      <c r="F394" s="430"/>
      <c r="G394" s="430"/>
      <c r="H394" s="430"/>
      <c r="I394" s="430"/>
      <c r="J394" s="430"/>
      <c r="K394" s="430"/>
      <c r="L394" s="430"/>
      <c r="M394" s="430"/>
      <c r="N394" s="430"/>
      <c r="O394" s="430"/>
      <c r="P394" s="430"/>
      <c r="Q394" s="430"/>
      <c r="R394" s="430"/>
      <c r="S394" s="430"/>
      <c r="T394" s="430"/>
      <c r="U394" s="430"/>
      <c r="V394" s="430"/>
      <c r="W394" s="430"/>
      <c r="X394" s="430"/>
      <c r="Y394" s="430"/>
      <c r="Z394" s="430"/>
      <c r="AA394" s="430"/>
    </row>
    <row r="395">
      <c r="A395" s="433"/>
      <c r="B395" s="430"/>
      <c r="C395" s="430"/>
      <c r="D395" s="430"/>
      <c r="E395" s="432"/>
      <c r="F395" s="430"/>
      <c r="G395" s="430"/>
      <c r="H395" s="430"/>
      <c r="I395" s="430"/>
      <c r="J395" s="430"/>
      <c r="K395" s="430"/>
      <c r="L395" s="430"/>
      <c r="M395" s="430"/>
      <c r="N395" s="430"/>
      <c r="O395" s="430"/>
      <c r="P395" s="430"/>
      <c r="Q395" s="430"/>
      <c r="R395" s="430"/>
      <c r="S395" s="430"/>
      <c r="T395" s="430"/>
      <c r="U395" s="430"/>
      <c r="V395" s="430"/>
      <c r="W395" s="430"/>
      <c r="X395" s="430"/>
      <c r="Y395" s="430"/>
      <c r="Z395" s="430"/>
      <c r="AA395" s="430"/>
    </row>
    <row r="396">
      <c r="A396" s="433"/>
      <c r="B396" s="430"/>
      <c r="C396" s="430"/>
      <c r="D396" s="430"/>
      <c r="E396" s="432"/>
      <c r="F396" s="430"/>
      <c r="G396" s="430"/>
      <c r="H396" s="430"/>
      <c r="I396" s="430"/>
      <c r="J396" s="430"/>
      <c r="K396" s="430"/>
      <c r="L396" s="430"/>
      <c r="M396" s="430"/>
      <c r="N396" s="430"/>
      <c r="O396" s="430"/>
      <c r="P396" s="430"/>
      <c r="Q396" s="430"/>
      <c r="R396" s="430"/>
      <c r="S396" s="430"/>
      <c r="T396" s="430"/>
      <c r="U396" s="430"/>
      <c r="V396" s="430"/>
      <c r="W396" s="430"/>
      <c r="X396" s="430"/>
      <c r="Y396" s="430"/>
      <c r="Z396" s="430"/>
      <c r="AA396" s="430"/>
    </row>
    <row r="397">
      <c r="A397" s="433"/>
      <c r="B397" s="430"/>
      <c r="C397" s="430"/>
      <c r="D397" s="430"/>
      <c r="E397" s="432"/>
      <c r="F397" s="430"/>
      <c r="G397" s="430"/>
      <c r="H397" s="430"/>
      <c r="I397" s="430"/>
      <c r="J397" s="430"/>
      <c r="K397" s="430"/>
      <c r="L397" s="430"/>
      <c r="M397" s="430"/>
      <c r="N397" s="430"/>
      <c r="O397" s="430"/>
      <c r="P397" s="430"/>
      <c r="Q397" s="430"/>
      <c r="R397" s="430"/>
      <c r="S397" s="430"/>
      <c r="T397" s="430"/>
      <c r="U397" s="430"/>
      <c r="V397" s="430"/>
      <c r="W397" s="430"/>
      <c r="X397" s="430"/>
      <c r="Y397" s="430"/>
      <c r="Z397" s="430"/>
      <c r="AA397" s="430"/>
    </row>
    <row r="398">
      <c r="A398" s="433"/>
      <c r="B398" s="430"/>
      <c r="C398" s="430"/>
      <c r="D398" s="430"/>
      <c r="E398" s="432"/>
      <c r="F398" s="430"/>
      <c r="G398" s="430"/>
      <c r="H398" s="430"/>
      <c r="I398" s="430"/>
      <c r="J398" s="430"/>
      <c r="K398" s="430"/>
      <c r="L398" s="430"/>
      <c r="M398" s="430"/>
      <c r="N398" s="430"/>
      <c r="O398" s="430"/>
      <c r="P398" s="430"/>
      <c r="Q398" s="430"/>
      <c r="R398" s="430"/>
      <c r="S398" s="430"/>
      <c r="T398" s="430"/>
      <c r="U398" s="430"/>
      <c r="V398" s="430"/>
      <c r="W398" s="430"/>
      <c r="X398" s="430"/>
      <c r="Y398" s="430"/>
      <c r="Z398" s="430"/>
      <c r="AA398" s="430"/>
    </row>
    <row r="399">
      <c r="A399" s="433"/>
      <c r="B399" s="430"/>
      <c r="C399" s="430"/>
      <c r="D399" s="430"/>
      <c r="E399" s="432"/>
      <c r="F399" s="430"/>
      <c r="G399" s="430"/>
      <c r="H399" s="430"/>
      <c r="I399" s="430"/>
      <c r="J399" s="430"/>
      <c r="K399" s="430"/>
      <c r="L399" s="430"/>
      <c r="M399" s="430"/>
      <c r="N399" s="430"/>
      <c r="O399" s="430"/>
      <c r="P399" s="430"/>
      <c r="Q399" s="430"/>
      <c r="R399" s="430"/>
      <c r="S399" s="430"/>
      <c r="T399" s="430"/>
      <c r="U399" s="430"/>
      <c r="V399" s="430"/>
      <c r="W399" s="430"/>
      <c r="X399" s="430"/>
      <c r="Y399" s="430"/>
      <c r="Z399" s="430"/>
      <c r="AA399" s="430"/>
    </row>
    <row r="400">
      <c r="A400" s="433"/>
      <c r="B400" s="430"/>
      <c r="C400" s="430"/>
      <c r="D400" s="430"/>
      <c r="E400" s="432"/>
      <c r="F400" s="430"/>
      <c r="G400" s="430"/>
      <c r="H400" s="430"/>
      <c r="I400" s="430"/>
      <c r="J400" s="430"/>
      <c r="K400" s="430"/>
      <c r="L400" s="430"/>
      <c r="M400" s="430"/>
      <c r="N400" s="430"/>
      <c r="O400" s="430"/>
      <c r="P400" s="430"/>
      <c r="Q400" s="430"/>
      <c r="R400" s="430"/>
      <c r="S400" s="430"/>
      <c r="T400" s="430"/>
      <c r="U400" s="430"/>
      <c r="V400" s="430"/>
      <c r="W400" s="430"/>
      <c r="X400" s="430"/>
      <c r="Y400" s="430"/>
      <c r="Z400" s="430"/>
      <c r="AA400" s="430"/>
    </row>
    <row r="401">
      <c r="A401" s="433"/>
      <c r="B401" s="430"/>
      <c r="C401" s="430"/>
      <c r="D401" s="430"/>
      <c r="E401" s="432"/>
      <c r="F401" s="430"/>
      <c r="G401" s="430"/>
      <c r="H401" s="430"/>
      <c r="I401" s="430"/>
      <c r="J401" s="430"/>
      <c r="K401" s="430"/>
      <c r="L401" s="430"/>
      <c r="M401" s="430"/>
      <c r="N401" s="430"/>
      <c r="O401" s="430"/>
      <c r="P401" s="430"/>
      <c r="Q401" s="430"/>
      <c r="R401" s="430"/>
      <c r="S401" s="430"/>
      <c r="T401" s="430"/>
      <c r="U401" s="430"/>
      <c r="V401" s="430"/>
      <c r="W401" s="430"/>
      <c r="X401" s="430"/>
      <c r="Y401" s="430"/>
      <c r="Z401" s="430"/>
      <c r="AA401" s="430"/>
    </row>
    <row r="402">
      <c r="A402" s="433"/>
      <c r="B402" s="430"/>
      <c r="C402" s="430"/>
      <c r="D402" s="430"/>
      <c r="E402" s="432"/>
      <c r="F402" s="430"/>
      <c r="G402" s="430"/>
      <c r="H402" s="430"/>
      <c r="I402" s="430"/>
      <c r="J402" s="430"/>
      <c r="K402" s="430"/>
      <c r="L402" s="430"/>
      <c r="M402" s="430"/>
      <c r="N402" s="430"/>
      <c r="O402" s="430"/>
      <c r="P402" s="430"/>
      <c r="Q402" s="430"/>
      <c r="R402" s="430"/>
      <c r="S402" s="430"/>
      <c r="T402" s="430"/>
      <c r="U402" s="430"/>
      <c r="V402" s="430"/>
      <c r="W402" s="430"/>
      <c r="X402" s="430"/>
      <c r="Y402" s="430"/>
      <c r="Z402" s="430"/>
      <c r="AA402" s="430"/>
    </row>
    <row r="403">
      <c r="A403" s="433"/>
      <c r="B403" s="430"/>
      <c r="C403" s="430"/>
      <c r="D403" s="430"/>
      <c r="E403" s="432"/>
      <c r="F403" s="430"/>
      <c r="G403" s="430"/>
      <c r="H403" s="430"/>
      <c r="I403" s="430"/>
      <c r="J403" s="430"/>
      <c r="K403" s="430"/>
      <c r="L403" s="430"/>
      <c r="M403" s="430"/>
      <c r="N403" s="430"/>
      <c r="O403" s="430"/>
      <c r="P403" s="430"/>
      <c r="Q403" s="430"/>
      <c r="R403" s="430"/>
      <c r="S403" s="430"/>
      <c r="T403" s="430"/>
      <c r="U403" s="430"/>
      <c r="V403" s="430"/>
      <c r="W403" s="430"/>
      <c r="X403" s="430"/>
      <c r="Y403" s="430"/>
      <c r="Z403" s="430"/>
      <c r="AA403" s="430"/>
    </row>
    <row r="404">
      <c r="A404" s="433"/>
      <c r="B404" s="430"/>
      <c r="C404" s="430"/>
      <c r="D404" s="430"/>
      <c r="E404" s="432"/>
      <c r="F404" s="430"/>
      <c r="G404" s="430"/>
      <c r="H404" s="430"/>
      <c r="I404" s="430"/>
      <c r="J404" s="430"/>
      <c r="K404" s="430"/>
      <c r="L404" s="430"/>
      <c r="M404" s="430"/>
      <c r="N404" s="430"/>
      <c r="O404" s="430"/>
      <c r="P404" s="430"/>
      <c r="Q404" s="430"/>
      <c r="R404" s="430"/>
      <c r="S404" s="430"/>
      <c r="T404" s="430"/>
      <c r="U404" s="430"/>
      <c r="V404" s="430"/>
      <c r="W404" s="430"/>
      <c r="X404" s="430"/>
      <c r="Y404" s="430"/>
      <c r="Z404" s="430"/>
      <c r="AA404" s="430"/>
    </row>
    <row r="405">
      <c r="A405" s="433"/>
      <c r="B405" s="430"/>
      <c r="C405" s="430"/>
      <c r="D405" s="430"/>
      <c r="E405" s="432"/>
      <c r="F405" s="430"/>
      <c r="G405" s="430"/>
      <c r="H405" s="430"/>
      <c r="I405" s="430"/>
      <c r="J405" s="430"/>
      <c r="K405" s="430"/>
      <c r="L405" s="430"/>
      <c r="M405" s="430"/>
      <c r="N405" s="430"/>
      <c r="O405" s="430"/>
      <c r="P405" s="430"/>
      <c r="Q405" s="430"/>
      <c r="R405" s="430"/>
      <c r="S405" s="430"/>
      <c r="T405" s="430"/>
      <c r="U405" s="430"/>
      <c r="V405" s="430"/>
      <c r="W405" s="430"/>
      <c r="X405" s="430"/>
      <c r="Y405" s="430"/>
      <c r="Z405" s="430"/>
      <c r="AA405" s="430"/>
    </row>
    <row r="406">
      <c r="A406" s="433"/>
      <c r="B406" s="430"/>
      <c r="C406" s="430"/>
      <c r="D406" s="430"/>
      <c r="E406" s="432"/>
      <c r="F406" s="430"/>
      <c r="G406" s="430"/>
      <c r="H406" s="430"/>
      <c r="I406" s="430"/>
      <c r="J406" s="430"/>
      <c r="K406" s="430"/>
      <c r="L406" s="430"/>
      <c r="M406" s="430"/>
      <c r="N406" s="430"/>
      <c r="O406" s="430"/>
      <c r="P406" s="430"/>
      <c r="Q406" s="430"/>
      <c r="R406" s="430"/>
      <c r="S406" s="430"/>
      <c r="T406" s="430"/>
      <c r="U406" s="430"/>
      <c r="V406" s="430"/>
      <c r="W406" s="430"/>
      <c r="X406" s="430"/>
      <c r="Y406" s="430"/>
      <c r="Z406" s="430"/>
      <c r="AA406" s="430"/>
    </row>
    <row r="407">
      <c r="A407" s="433"/>
      <c r="B407" s="430"/>
      <c r="C407" s="430"/>
      <c r="D407" s="430"/>
      <c r="E407" s="432"/>
      <c r="F407" s="430"/>
      <c r="G407" s="430"/>
      <c r="H407" s="430"/>
      <c r="I407" s="430"/>
      <c r="J407" s="430"/>
      <c r="K407" s="430"/>
      <c r="L407" s="430"/>
      <c r="M407" s="430"/>
      <c r="N407" s="430"/>
      <c r="O407" s="430"/>
      <c r="P407" s="430"/>
      <c r="Q407" s="430"/>
      <c r="R407" s="430"/>
      <c r="S407" s="430"/>
      <c r="T407" s="430"/>
      <c r="U407" s="430"/>
      <c r="V407" s="430"/>
      <c r="W407" s="430"/>
      <c r="X407" s="430"/>
      <c r="Y407" s="430"/>
      <c r="Z407" s="430"/>
      <c r="AA407" s="430"/>
    </row>
    <row r="408">
      <c r="A408" s="433"/>
      <c r="B408" s="430"/>
      <c r="C408" s="430"/>
      <c r="D408" s="430"/>
      <c r="E408" s="432"/>
      <c r="F408" s="430"/>
      <c r="G408" s="430"/>
      <c r="H408" s="430"/>
      <c r="I408" s="430"/>
      <c r="J408" s="430"/>
      <c r="K408" s="430"/>
      <c r="L408" s="430"/>
      <c r="M408" s="430"/>
      <c r="N408" s="430"/>
      <c r="O408" s="430"/>
      <c r="P408" s="430"/>
      <c r="Q408" s="430"/>
      <c r="R408" s="430"/>
      <c r="S408" s="430"/>
      <c r="T408" s="430"/>
      <c r="U408" s="430"/>
      <c r="V408" s="430"/>
      <c r="W408" s="430"/>
      <c r="X408" s="430"/>
      <c r="Y408" s="430"/>
      <c r="Z408" s="430"/>
      <c r="AA408" s="430"/>
    </row>
    <row r="409">
      <c r="A409" s="433"/>
      <c r="B409" s="430"/>
      <c r="C409" s="430"/>
      <c r="D409" s="430"/>
      <c r="E409" s="432"/>
      <c r="F409" s="430"/>
      <c r="G409" s="430"/>
      <c r="H409" s="430"/>
      <c r="I409" s="430"/>
      <c r="J409" s="430"/>
      <c r="K409" s="430"/>
      <c r="L409" s="430"/>
      <c r="M409" s="430"/>
      <c r="N409" s="430"/>
      <c r="O409" s="430"/>
      <c r="P409" s="430"/>
      <c r="Q409" s="430"/>
      <c r="R409" s="430"/>
      <c r="S409" s="430"/>
      <c r="T409" s="430"/>
      <c r="U409" s="430"/>
      <c r="V409" s="430"/>
      <c r="W409" s="430"/>
      <c r="X409" s="430"/>
      <c r="Y409" s="430"/>
      <c r="Z409" s="430"/>
      <c r="AA409" s="430"/>
    </row>
    <row r="410">
      <c r="A410" s="433"/>
      <c r="B410" s="430"/>
      <c r="C410" s="430"/>
      <c r="D410" s="430"/>
      <c r="E410" s="432"/>
      <c r="F410" s="430"/>
      <c r="G410" s="430"/>
      <c r="H410" s="430"/>
      <c r="I410" s="430"/>
      <c r="J410" s="430"/>
      <c r="K410" s="430"/>
      <c r="L410" s="430"/>
      <c r="M410" s="430"/>
      <c r="N410" s="430"/>
      <c r="O410" s="430"/>
      <c r="P410" s="430"/>
      <c r="Q410" s="430"/>
      <c r="R410" s="430"/>
      <c r="S410" s="430"/>
      <c r="T410" s="430"/>
      <c r="U410" s="430"/>
      <c r="V410" s="430"/>
      <c r="W410" s="430"/>
      <c r="X410" s="430"/>
      <c r="Y410" s="430"/>
      <c r="Z410" s="430"/>
      <c r="AA410" s="430"/>
    </row>
    <row r="411">
      <c r="A411" s="433"/>
      <c r="B411" s="430"/>
      <c r="C411" s="430"/>
      <c r="D411" s="430"/>
      <c r="E411" s="432"/>
      <c r="F411" s="430"/>
      <c r="G411" s="430"/>
      <c r="H411" s="430"/>
      <c r="I411" s="430"/>
      <c r="J411" s="430"/>
      <c r="K411" s="430"/>
      <c r="L411" s="430"/>
      <c r="M411" s="430"/>
      <c r="N411" s="430"/>
      <c r="O411" s="430"/>
      <c r="P411" s="430"/>
      <c r="Q411" s="430"/>
      <c r="R411" s="430"/>
      <c r="S411" s="430"/>
      <c r="T411" s="430"/>
      <c r="U411" s="430"/>
      <c r="V411" s="430"/>
      <c r="W411" s="430"/>
      <c r="X411" s="430"/>
      <c r="Y411" s="430"/>
      <c r="Z411" s="430"/>
      <c r="AA411" s="430"/>
    </row>
    <row r="412">
      <c r="A412" s="433"/>
      <c r="B412" s="430"/>
      <c r="C412" s="430"/>
      <c r="D412" s="430"/>
      <c r="E412" s="432"/>
      <c r="F412" s="430"/>
      <c r="G412" s="430"/>
      <c r="H412" s="430"/>
      <c r="I412" s="430"/>
      <c r="J412" s="430"/>
      <c r="K412" s="430"/>
      <c r="L412" s="430"/>
      <c r="M412" s="430"/>
      <c r="N412" s="430"/>
      <c r="O412" s="430"/>
      <c r="P412" s="430"/>
      <c r="Q412" s="430"/>
      <c r="R412" s="430"/>
      <c r="S412" s="430"/>
      <c r="T412" s="430"/>
      <c r="U412" s="430"/>
      <c r="V412" s="430"/>
      <c r="W412" s="430"/>
      <c r="X412" s="430"/>
      <c r="Y412" s="430"/>
      <c r="Z412" s="430"/>
      <c r="AA412" s="430"/>
    </row>
    <row r="413">
      <c r="A413" s="433"/>
      <c r="B413" s="430"/>
      <c r="C413" s="430"/>
      <c r="D413" s="430"/>
      <c r="E413" s="432"/>
      <c r="F413" s="430"/>
      <c r="G413" s="430"/>
      <c r="H413" s="430"/>
      <c r="I413" s="430"/>
      <c r="J413" s="430"/>
      <c r="K413" s="430"/>
      <c r="L413" s="430"/>
      <c r="M413" s="430"/>
      <c r="N413" s="430"/>
      <c r="O413" s="430"/>
      <c r="P413" s="430"/>
      <c r="Q413" s="430"/>
      <c r="R413" s="430"/>
      <c r="S413" s="430"/>
      <c r="T413" s="430"/>
      <c r="U413" s="430"/>
      <c r="V413" s="430"/>
      <c r="W413" s="430"/>
      <c r="X413" s="430"/>
      <c r="Y413" s="430"/>
      <c r="Z413" s="430"/>
      <c r="AA413" s="430"/>
    </row>
    <row r="414">
      <c r="A414" s="433"/>
      <c r="B414" s="430"/>
      <c r="C414" s="430"/>
      <c r="D414" s="430"/>
      <c r="E414" s="432"/>
      <c r="F414" s="430"/>
      <c r="G414" s="430"/>
      <c r="H414" s="430"/>
      <c r="I414" s="430"/>
      <c r="J414" s="430"/>
      <c r="K414" s="430"/>
      <c r="L414" s="430"/>
      <c r="M414" s="430"/>
      <c r="N414" s="430"/>
      <c r="O414" s="430"/>
      <c r="P414" s="430"/>
      <c r="Q414" s="430"/>
      <c r="R414" s="430"/>
      <c r="S414" s="430"/>
      <c r="T414" s="430"/>
      <c r="U414" s="430"/>
      <c r="V414" s="430"/>
      <c r="W414" s="430"/>
      <c r="X414" s="430"/>
      <c r="Y414" s="430"/>
      <c r="Z414" s="430"/>
      <c r="AA414" s="430"/>
    </row>
    <row r="415">
      <c r="A415" s="433"/>
      <c r="B415" s="430"/>
      <c r="C415" s="430"/>
      <c r="D415" s="430"/>
      <c r="E415" s="432"/>
      <c r="F415" s="430"/>
      <c r="G415" s="430"/>
      <c r="H415" s="430"/>
      <c r="I415" s="430"/>
      <c r="J415" s="430"/>
      <c r="K415" s="430"/>
      <c r="L415" s="430"/>
      <c r="M415" s="430"/>
      <c r="N415" s="430"/>
      <c r="O415" s="430"/>
      <c r="P415" s="430"/>
      <c r="Q415" s="430"/>
      <c r="R415" s="430"/>
      <c r="S415" s="430"/>
      <c r="T415" s="430"/>
      <c r="U415" s="430"/>
      <c r="V415" s="430"/>
      <c r="W415" s="430"/>
      <c r="X415" s="430"/>
      <c r="Y415" s="430"/>
      <c r="Z415" s="430"/>
      <c r="AA415" s="430"/>
    </row>
    <row r="416">
      <c r="A416" s="433"/>
      <c r="B416" s="430"/>
      <c r="C416" s="430"/>
      <c r="D416" s="430"/>
      <c r="E416" s="432"/>
      <c r="F416" s="430"/>
      <c r="G416" s="430"/>
      <c r="H416" s="430"/>
      <c r="I416" s="430"/>
      <c r="J416" s="430"/>
      <c r="K416" s="430"/>
      <c r="L416" s="430"/>
      <c r="M416" s="430"/>
      <c r="N416" s="430"/>
      <c r="O416" s="430"/>
      <c r="P416" s="430"/>
      <c r="Q416" s="430"/>
      <c r="R416" s="430"/>
      <c r="S416" s="430"/>
      <c r="T416" s="430"/>
      <c r="U416" s="430"/>
      <c r="V416" s="430"/>
      <c r="W416" s="430"/>
      <c r="X416" s="430"/>
      <c r="Y416" s="430"/>
      <c r="Z416" s="430"/>
      <c r="AA416" s="430"/>
    </row>
    <row r="417">
      <c r="A417" s="433"/>
      <c r="B417" s="430"/>
      <c r="C417" s="430"/>
      <c r="D417" s="430"/>
      <c r="E417" s="432"/>
      <c r="F417" s="430"/>
      <c r="G417" s="430"/>
      <c r="H417" s="430"/>
      <c r="I417" s="430"/>
      <c r="J417" s="430"/>
      <c r="K417" s="430"/>
      <c r="L417" s="430"/>
      <c r="M417" s="430"/>
      <c r="N417" s="430"/>
      <c r="O417" s="430"/>
      <c r="P417" s="430"/>
      <c r="Q417" s="430"/>
      <c r="R417" s="430"/>
      <c r="S417" s="430"/>
      <c r="T417" s="430"/>
      <c r="U417" s="430"/>
      <c r="V417" s="430"/>
      <c r="W417" s="430"/>
      <c r="X417" s="430"/>
      <c r="Y417" s="430"/>
      <c r="Z417" s="430"/>
      <c r="AA417" s="430"/>
    </row>
    <row r="418">
      <c r="A418" s="433"/>
      <c r="B418" s="430"/>
      <c r="C418" s="430"/>
      <c r="D418" s="430"/>
      <c r="E418" s="432"/>
      <c r="F418" s="430"/>
      <c r="G418" s="430"/>
      <c r="H418" s="430"/>
      <c r="I418" s="430"/>
      <c r="J418" s="430"/>
      <c r="K418" s="430"/>
      <c r="L418" s="430"/>
      <c r="M418" s="430"/>
      <c r="N418" s="430"/>
      <c r="O418" s="430"/>
      <c r="P418" s="430"/>
      <c r="Q418" s="430"/>
      <c r="R418" s="430"/>
      <c r="S418" s="430"/>
      <c r="T418" s="430"/>
      <c r="U418" s="430"/>
      <c r="V418" s="430"/>
      <c r="W418" s="430"/>
      <c r="X418" s="430"/>
      <c r="Y418" s="430"/>
      <c r="Z418" s="430"/>
      <c r="AA418" s="430"/>
    </row>
    <row r="419">
      <c r="A419" s="433"/>
      <c r="B419" s="430"/>
      <c r="C419" s="430"/>
      <c r="D419" s="430"/>
      <c r="E419" s="432"/>
      <c r="F419" s="430"/>
      <c r="G419" s="430"/>
      <c r="H419" s="430"/>
      <c r="I419" s="430"/>
      <c r="J419" s="430"/>
      <c r="K419" s="430"/>
      <c r="L419" s="430"/>
      <c r="M419" s="430"/>
      <c r="N419" s="430"/>
      <c r="O419" s="430"/>
      <c r="P419" s="430"/>
      <c r="Q419" s="430"/>
      <c r="R419" s="430"/>
      <c r="S419" s="430"/>
      <c r="T419" s="430"/>
      <c r="U419" s="430"/>
      <c r="V419" s="430"/>
      <c r="W419" s="430"/>
      <c r="X419" s="430"/>
      <c r="Y419" s="430"/>
      <c r="Z419" s="430"/>
      <c r="AA419" s="430"/>
    </row>
    <row r="420">
      <c r="A420" s="433"/>
      <c r="B420" s="430"/>
      <c r="C420" s="430"/>
      <c r="D420" s="430"/>
      <c r="E420" s="432"/>
      <c r="F420" s="430"/>
      <c r="G420" s="430"/>
      <c r="H420" s="430"/>
      <c r="I420" s="430"/>
      <c r="J420" s="430"/>
      <c r="K420" s="430"/>
      <c r="L420" s="430"/>
      <c r="M420" s="430"/>
      <c r="N420" s="430"/>
      <c r="O420" s="430"/>
      <c r="P420" s="430"/>
      <c r="Q420" s="430"/>
      <c r="R420" s="430"/>
      <c r="S420" s="430"/>
      <c r="T420" s="430"/>
      <c r="U420" s="430"/>
      <c r="V420" s="430"/>
      <c r="W420" s="430"/>
      <c r="X420" s="430"/>
      <c r="Y420" s="430"/>
      <c r="Z420" s="430"/>
      <c r="AA420" s="430"/>
    </row>
    <row r="421">
      <c r="A421" s="433"/>
      <c r="B421" s="430"/>
      <c r="C421" s="430"/>
      <c r="D421" s="430"/>
      <c r="E421" s="432"/>
      <c r="F421" s="430"/>
      <c r="G421" s="430"/>
      <c r="H421" s="430"/>
      <c r="I421" s="430"/>
      <c r="J421" s="430"/>
      <c r="K421" s="430"/>
      <c r="L421" s="430"/>
      <c r="M421" s="430"/>
      <c r="N421" s="430"/>
      <c r="O421" s="430"/>
      <c r="P421" s="430"/>
      <c r="Q421" s="430"/>
      <c r="R421" s="430"/>
      <c r="S421" s="430"/>
      <c r="T421" s="430"/>
      <c r="U421" s="430"/>
      <c r="V421" s="430"/>
      <c r="W421" s="430"/>
      <c r="X421" s="430"/>
      <c r="Y421" s="430"/>
      <c r="Z421" s="430"/>
      <c r="AA421" s="430"/>
    </row>
    <row r="422">
      <c r="A422" s="433"/>
      <c r="B422" s="430"/>
      <c r="C422" s="430"/>
      <c r="D422" s="430"/>
      <c r="E422" s="432"/>
      <c r="F422" s="430"/>
      <c r="G422" s="430"/>
      <c r="H422" s="430"/>
      <c r="I422" s="430"/>
      <c r="J422" s="430"/>
      <c r="K422" s="430"/>
      <c r="L422" s="430"/>
      <c r="M422" s="430"/>
      <c r="N422" s="430"/>
      <c r="O422" s="430"/>
      <c r="P422" s="430"/>
      <c r="Q422" s="430"/>
      <c r="R422" s="430"/>
      <c r="S422" s="430"/>
      <c r="T422" s="430"/>
      <c r="U422" s="430"/>
      <c r="V422" s="430"/>
      <c r="W422" s="430"/>
      <c r="X422" s="430"/>
      <c r="Y422" s="430"/>
      <c r="Z422" s="430"/>
      <c r="AA422" s="430"/>
    </row>
    <row r="423">
      <c r="A423" s="433"/>
      <c r="B423" s="430"/>
      <c r="C423" s="430"/>
      <c r="D423" s="430"/>
      <c r="E423" s="432"/>
      <c r="F423" s="430"/>
      <c r="G423" s="430"/>
      <c r="H423" s="430"/>
      <c r="I423" s="430"/>
      <c r="J423" s="430"/>
      <c r="K423" s="430"/>
      <c r="L423" s="430"/>
      <c r="M423" s="430"/>
      <c r="N423" s="430"/>
      <c r="O423" s="430"/>
      <c r="P423" s="430"/>
      <c r="Q423" s="430"/>
      <c r="R423" s="430"/>
      <c r="S423" s="430"/>
      <c r="T423" s="430"/>
      <c r="U423" s="430"/>
      <c r="V423" s="430"/>
      <c r="W423" s="430"/>
      <c r="X423" s="430"/>
      <c r="Y423" s="430"/>
      <c r="Z423" s="430"/>
      <c r="AA423" s="430"/>
    </row>
    <row r="424">
      <c r="A424" s="433"/>
      <c r="B424" s="430"/>
      <c r="C424" s="430"/>
      <c r="D424" s="430"/>
      <c r="E424" s="432"/>
      <c r="F424" s="430"/>
      <c r="G424" s="430"/>
      <c r="H424" s="430"/>
      <c r="I424" s="430"/>
      <c r="J424" s="430"/>
      <c r="K424" s="430"/>
      <c r="L424" s="430"/>
      <c r="M424" s="430"/>
      <c r="N424" s="430"/>
      <c r="O424" s="430"/>
      <c r="P424" s="430"/>
      <c r="Q424" s="430"/>
      <c r="R424" s="430"/>
      <c r="S424" s="430"/>
      <c r="T424" s="430"/>
      <c r="U424" s="430"/>
      <c r="V424" s="430"/>
      <c r="W424" s="430"/>
      <c r="X424" s="430"/>
      <c r="Y424" s="430"/>
      <c r="Z424" s="430"/>
      <c r="AA424" s="430"/>
    </row>
    <row r="425">
      <c r="A425" s="433"/>
      <c r="B425" s="430"/>
      <c r="C425" s="430"/>
      <c r="D425" s="430"/>
      <c r="E425" s="432"/>
      <c r="F425" s="430"/>
      <c r="G425" s="430"/>
      <c r="H425" s="430"/>
      <c r="I425" s="430"/>
      <c r="J425" s="430"/>
      <c r="K425" s="430"/>
      <c r="L425" s="430"/>
      <c r="M425" s="430"/>
      <c r="N425" s="430"/>
      <c r="O425" s="430"/>
      <c r="P425" s="430"/>
      <c r="Q425" s="430"/>
      <c r="R425" s="430"/>
      <c r="S425" s="430"/>
      <c r="T425" s="430"/>
      <c r="U425" s="430"/>
      <c r="V425" s="430"/>
      <c r="W425" s="430"/>
      <c r="X425" s="430"/>
      <c r="Y425" s="430"/>
      <c r="Z425" s="430"/>
      <c r="AA425" s="430"/>
    </row>
    <row r="426">
      <c r="A426" s="433"/>
      <c r="B426" s="430"/>
      <c r="C426" s="430"/>
      <c r="D426" s="430"/>
      <c r="E426" s="432"/>
      <c r="F426" s="430"/>
      <c r="G426" s="430"/>
      <c r="H426" s="430"/>
      <c r="I426" s="430"/>
      <c r="J426" s="430"/>
      <c r="K426" s="430"/>
      <c r="L426" s="430"/>
      <c r="M426" s="430"/>
      <c r="N426" s="430"/>
      <c r="O426" s="430"/>
      <c r="P426" s="430"/>
      <c r="Q426" s="430"/>
      <c r="R426" s="430"/>
      <c r="S426" s="430"/>
      <c r="T426" s="430"/>
      <c r="U426" s="430"/>
      <c r="V426" s="430"/>
      <c r="W426" s="430"/>
      <c r="X426" s="430"/>
      <c r="Y426" s="430"/>
      <c r="Z426" s="430"/>
      <c r="AA426" s="430"/>
    </row>
    <row r="427">
      <c r="A427" s="433"/>
      <c r="B427" s="430"/>
      <c r="C427" s="430"/>
      <c r="D427" s="430"/>
      <c r="E427" s="432"/>
      <c r="F427" s="430"/>
      <c r="G427" s="430"/>
      <c r="H427" s="430"/>
      <c r="I427" s="430"/>
      <c r="J427" s="430"/>
      <c r="K427" s="430"/>
      <c r="L427" s="430"/>
      <c r="M427" s="430"/>
      <c r="N427" s="430"/>
      <c r="O427" s="430"/>
      <c r="P427" s="430"/>
      <c r="Q427" s="430"/>
      <c r="R427" s="430"/>
      <c r="S427" s="430"/>
      <c r="T427" s="430"/>
      <c r="U427" s="430"/>
      <c r="V427" s="430"/>
      <c r="W427" s="430"/>
      <c r="X427" s="430"/>
      <c r="Y427" s="430"/>
      <c r="Z427" s="430"/>
      <c r="AA427" s="430"/>
    </row>
    <row r="428">
      <c r="A428" s="433"/>
      <c r="B428" s="430"/>
      <c r="C428" s="430"/>
      <c r="D428" s="430"/>
      <c r="E428" s="432"/>
      <c r="F428" s="430"/>
      <c r="G428" s="430"/>
      <c r="H428" s="430"/>
      <c r="I428" s="430"/>
      <c r="J428" s="430"/>
      <c r="K428" s="430"/>
      <c r="L428" s="430"/>
      <c r="M428" s="430"/>
      <c r="N428" s="430"/>
      <c r="O428" s="430"/>
      <c r="P428" s="430"/>
      <c r="Q428" s="430"/>
      <c r="R428" s="430"/>
      <c r="S428" s="430"/>
      <c r="T428" s="430"/>
      <c r="U428" s="430"/>
      <c r="V428" s="430"/>
      <c r="W428" s="430"/>
      <c r="X428" s="430"/>
      <c r="Y428" s="430"/>
      <c r="Z428" s="430"/>
      <c r="AA428" s="430"/>
    </row>
    <row r="429">
      <c r="A429" s="433"/>
      <c r="B429" s="430"/>
      <c r="C429" s="430"/>
      <c r="D429" s="430"/>
      <c r="E429" s="432"/>
      <c r="F429" s="430"/>
      <c r="G429" s="430"/>
      <c r="H429" s="430"/>
      <c r="I429" s="430"/>
      <c r="J429" s="430"/>
      <c r="K429" s="430"/>
      <c r="L429" s="430"/>
      <c r="M429" s="430"/>
      <c r="N429" s="430"/>
      <c r="O429" s="430"/>
      <c r="P429" s="430"/>
      <c r="Q429" s="430"/>
      <c r="R429" s="430"/>
      <c r="S429" s="430"/>
      <c r="T429" s="430"/>
      <c r="U429" s="430"/>
      <c r="V429" s="430"/>
      <c r="W429" s="430"/>
      <c r="X429" s="430"/>
      <c r="Y429" s="430"/>
      <c r="Z429" s="430"/>
      <c r="AA429" s="430"/>
    </row>
    <row r="430">
      <c r="A430" s="433"/>
      <c r="B430" s="430"/>
      <c r="C430" s="430"/>
      <c r="D430" s="430"/>
      <c r="E430" s="432"/>
      <c r="F430" s="430"/>
      <c r="G430" s="430"/>
      <c r="H430" s="430"/>
      <c r="I430" s="430"/>
      <c r="J430" s="430"/>
      <c r="K430" s="430"/>
      <c r="L430" s="430"/>
      <c r="M430" s="430"/>
      <c r="N430" s="430"/>
      <c r="O430" s="430"/>
      <c r="P430" s="430"/>
      <c r="Q430" s="430"/>
      <c r="R430" s="430"/>
      <c r="S430" s="430"/>
      <c r="T430" s="430"/>
      <c r="U430" s="430"/>
      <c r="V430" s="430"/>
      <c r="W430" s="430"/>
      <c r="X430" s="430"/>
      <c r="Y430" s="430"/>
      <c r="Z430" s="430"/>
      <c r="AA430" s="430"/>
    </row>
    <row r="431">
      <c r="A431" s="433"/>
      <c r="B431" s="430"/>
      <c r="C431" s="430"/>
      <c r="D431" s="430"/>
      <c r="E431" s="432"/>
      <c r="F431" s="430"/>
      <c r="G431" s="430"/>
      <c r="H431" s="430"/>
      <c r="I431" s="430"/>
      <c r="J431" s="430"/>
      <c r="K431" s="430"/>
      <c r="L431" s="430"/>
      <c r="M431" s="430"/>
      <c r="N431" s="430"/>
      <c r="O431" s="430"/>
      <c r="P431" s="430"/>
      <c r="Q431" s="430"/>
      <c r="R431" s="430"/>
      <c r="S431" s="430"/>
      <c r="T431" s="430"/>
      <c r="U431" s="430"/>
      <c r="V431" s="430"/>
      <c r="W431" s="430"/>
      <c r="X431" s="430"/>
      <c r="Y431" s="430"/>
      <c r="Z431" s="430"/>
      <c r="AA431" s="430"/>
    </row>
    <row r="432">
      <c r="A432" s="433"/>
      <c r="B432" s="430"/>
      <c r="C432" s="430"/>
      <c r="D432" s="430"/>
      <c r="E432" s="432"/>
      <c r="F432" s="430"/>
      <c r="G432" s="430"/>
      <c r="H432" s="430"/>
      <c r="I432" s="430"/>
      <c r="J432" s="430"/>
      <c r="K432" s="430"/>
      <c r="L432" s="430"/>
      <c r="M432" s="430"/>
      <c r="N432" s="430"/>
      <c r="O432" s="430"/>
      <c r="P432" s="430"/>
      <c r="Q432" s="430"/>
      <c r="R432" s="430"/>
      <c r="S432" s="430"/>
      <c r="T432" s="430"/>
      <c r="U432" s="430"/>
      <c r="V432" s="430"/>
      <c r="W432" s="430"/>
      <c r="X432" s="430"/>
      <c r="Y432" s="430"/>
      <c r="Z432" s="430"/>
      <c r="AA432" s="430"/>
    </row>
    <row r="433">
      <c r="A433" s="433"/>
      <c r="B433" s="430"/>
      <c r="C433" s="430"/>
      <c r="D433" s="430"/>
      <c r="E433" s="432"/>
      <c r="F433" s="430"/>
      <c r="G433" s="430"/>
      <c r="H433" s="430"/>
      <c r="I433" s="430"/>
      <c r="J433" s="430"/>
      <c r="K433" s="430"/>
      <c r="L433" s="430"/>
      <c r="M433" s="430"/>
      <c r="N433" s="430"/>
      <c r="O433" s="430"/>
      <c r="P433" s="430"/>
      <c r="Q433" s="430"/>
      <c r="R433" s="430"/>
      <c r="S433" s="430"/>
      <c r="T433" s="430"/>
      <c r="U433" s="430"/>
      <c r="V433" s="430"/>
      <c r="W433" s="430"/>
      <c r="X433" s="430"/>
      <c r="Y433" s="430"/>
      <c r="Z433" s="430"/>
      <c r="AA433" s="430"/>
    </row>
    <row r="434">
      <c r="A434" s="433"/>
      <c r="B434" s="430"/>
      <c r="C434" s="430"/>
      <c r="D434" s="430"/>
      <c r="E434" s="432"/>
      <c r="F434" s="430"/>
      <c r="G434" s="430"/>
      <c r="H434" s="430"/>
      <c r="I434" s="430"/>
      <c r="J434" s="430"/>
      <c r="K434" s="430"/>
      <c r="L434" s="430"/>
      <c r="M434" s="430"/>
      <c r="N434" s="430"/>
      <c r="O434" s="430"/>
      <c r="P434" s="430"/>
      <c r="Q434" s="430"/>
      <c r="R434" s="430"/>
      <c r="S434" s="430"/>
      <c r="T434" s="430"/>
      <c r="U434" s="430"/>
      <c r="V434" s="430"/>
      <c r="W434" s="430"/>
      <c r="X434" s="430"/>
      <c r="Y434" s="430"/>
      <c r="Z434" s="430"/>
      <c r="AA434" s="430"/>
    </row>
    <row r="435">
      <c r="A435" s="433"/>
      <c r="B435" s="430"/>
      <c r="C435" s="430"/>
      <c r="D435" s="430"/>
      <c r="E435" s="432"/>
      <c r="F435" s="430"/>
      <c r="G435" s="430"/>
      <c r="H435" s="430"/>
      <c r="I435" s="430"/>
      <c r="J435" s="430"/>
      <c r="K435" s="430"/>
      <c r="L435" s="430"/>
      <c r="M435" s="430"/>
      <c r="N435" s="430"/>
      <c r="O435" s="430"/>
      <c r="P435" s="430"/>
      <c r="Q435" s="430"/>
      <c r="R435" s="430"/>
      <c r="S435" s="430"/>
      <c r="T435" s="430"/>
      <c r="U435" s="430"/>
      <c r="V435" s="430"/>
      <c r="W435" s="430"/>
      <c r="X435" s="430"/>
      <c r="Y435" s="430"/>
      <c r="Z435" s="430"/>
      <c r="AA435" s="430"/>
    </row>
    <row r="436">
      <c r="A436" s="433"/>
      <c r="B436" s="430"/>
      <c r="C436" s="430"/>
      <c r="D436" s="430"/>
      <c r="E436" s="432"/>
      <c r="F436" s="430"/>
      <c r="G436" s="430"/>
      <c r="H436" s="430"/>
      <c r="I436" s="430"/>
      <c r="J436" s="430"/>
      <c r="K436" s="430"/>
      <c r="L436" s="430"/>
      <c r="M436" s="430"/>
      <c r="N436" s="430"/>
      <c r="O436" s="430"/>
      <c r="P436" s="430"/>
      <c r="Q436" s="430"/>
      <c r="R436" s="430"/>
      <c r="S436" s="430"/>
      <c r="T436" s="430"/>
      <c r="U436" s="430"/>
      <c r="V436" s="430"/>
      <c r="W436" s="430"/>
      <c r="X436" s="430"/>
      <c r="Y436" s="430"/>
      <c r="Z436" s="430"/>
      <c r="AA436" s="430"/>
    </row>
    <row r="437">
      <c r="A437" s="433"/>
      <c r="B437" s="430"/>
      <c r="C437" s="430"/>
      <c r="D437" s="430"/>
      <c r="E437" s="432"/>
      <c r="F437" s="430"/>
      <c r="G437" s="430"/>
      <c r="H437" s="430"/>
      <c r="I437" s="430"/>
      <c r="J437" s="430"/>
      <c r="K437" s="430"/>
      <c r="L437" s="430"/>
      <c r="M437" s="430"/>
      <c r="N437" s="430"/>
      <c r="O437" s="430"/>
      <c r="P437" s="430"/>
      <c r="Q437" s="430"/>
      <c r="R437" s="430"/>
      <c r="S437" s="430"/>
      <c r="T437" s="430"/>
      <c r="U437" s="430"/>
      <c r="V437" s="430"/>
      <c r="W437" s="430"/>
      <c r="X437" s="430"/>
      <c r="Y437" s="430"/>
      <c r="Z437" s="430"/>
      <c r="AA437" s="430"/>
    </row>
    <row r="438">
      <c r="A438" s="433"/>
      <c r="B438" s="430"/>
      <c r="C438" s="430"/>
      <c r="D438" s="430"/>
      <c r="E438" s="432"/>
      <c r="F438" s="430"/>
      <c r="G438" s="430"/>
      <c r="H438" s="430"/>
      <c r="I438" s="430"/>
      <c r="J438" s="430"/>
      <c r="K438" s="430"/>
      <c r="L438" s="430"/>
      <c r="M438" s="430"/>
      <c r="N438" s="430"/>
      <c r="O438" s="430"/>
      <c r="P438" s="430"/>
      <c r="Q438" s="430"/>
      <c r="R438" s="430"/>
      <c r="S438" s="430"/>
      <c r="T438" s="430"/>
      <c r="U438" s="430"/>
      <c r="V438" s="430"/>
      <c r="W438" s="430"/>
      <c r="X438" s="430"/>
      <c r="Y438" s="430"/>
      <c r="Z438" s="430"/>
      <c r="AA438" s="430"/>
    </row>
    <row r="439">
      <c r="A439" s="433"/>
      <c r="B439" s="430"/>
      <c r="C439" s="430"/>
      <c r="D439" s="430"/>
      <c r="E439" s="432"/>
      <c r="F439" s="430"/>
      <c r="G439" s="430"/>
      <c r="H439" s="430"/>
      <c r="I439" s="430"/>
      <c r="J439" s="430"/>
      <c r="K439" s="430"/>
      <c r="L439" s="430"/>
      <c r="M439" s="430"/>
      <c r="N439" s="430"/>
      <c r="O439" s="430"/>
      <c r="P439" s="430"/>
      <c r="Q439" s="430"/>
      <c r="R439" s="430"/>
      <c r="S439" s="430"/>
      <c r="T439" s="430"/>
      <c r="U439" s="430"/>
      <c r="V439" s="430"/>
      <c r="W439" s="430"/>
      <c r="X439" s="430"/>
      <c r="Y439" s="430"/>
      <c r="Z439" s="430"/>
      <c r="AA439" s="430"/>
    </row>
    <row r="440">
      <c r="A440" s="433"/>
      <c r="B440" s="430"/>
      <c r="C440" s="430"/>
      <c r="D440" s="430"/>
      <c r="E440" s="432"/>
      <c r="F440" s="430"/>
      <c r="G440" s="430"/>
      <c r="H440" s="430"/>
      <c r="I440" s="430"/>
      <c r="J440" s="430"/>
      <c r="K440" s="430"/>
      <c r="L440" s="430"/>
      <c r="M440" s="430"/>
      <c r="N440" s="430"/>
      <c r="O440" s="430"/>
      <c r="P440" s="430"/>
      <c r="Q440" s="430"/>
      <c r="R440" s="430"/>
      <c r="S440" s="430"/>
      <c r="T440" s="430"/>
      <c r="U440" s="430"/>
      <c r="V440" s="430"/>
      <c r="W440" s="430"/>
      <c r="X440" s="430"/>
      <c r="Y440" s="430"/>
      <c r="Z440" s="430"/>
      <c r="AA440" s="430"/>
    </row>
    <row r="441">
      <c r="A441" s="433"/>
      <c r="B441" s="430"/>
      <c r="C441" s="430"/>
      <c r="D441" s="430"/>
      <c r="E441" s="432"/>
      <c r="F441" s="430"/>
      <c r="G441" s="430"/>
      <c r="H441" s="430"/>
      <c r="I441" s="430"/>
      <c r="J441" s="430"/>
      <c r="K441" s="430"/>
      <c r="L441" s="430"/>
      <c r="M441" s="430"/>
      <c r="N441" s="430"/>
      <c r="O441" s="430"/>
      <c r="P441" s="430"/>
      <c r="Q441" s="430"/>
      <c r="R441" s="430"/>
      <c r="S441" s="430"/>
      <c r="T441" s="430"/>
      <c r="U441" s="430"/>
      <c r="V441" s="430"/>
      <c r="W441" s="430"/>
      <c r="X441" s="430"/>
      <c r="Y441" s="430"/>
      <c r="Z441" s="430"/>
      <c r="AA441" s="430"/>
    </row>
    <row r="442">
      <c r="A442" s="433"/>
      <c r="B442" s="430"/>
      <c r="C442" s="430"/>
      <c r="D442" s="430"/>
      <c r="E442" s="432"/>
      <c r="F442" s="430"/>
      <c r="G442" s="430"/>
      <c r="H442" s="430"/>
      <c r="I442" s="430"/>
      <c r="J442" s="430"/>
      <c r="K442" s="430"/>
      <c r="L442" s="430"/>
      <c r="M442" s="430"/>
      <c r="N442" s="430"/>
      <c r="O442" s="430"/>
      <c r="P442" s="430"/>
      <c r="Q442" s="430"/>
      <c r="R442" s="430"/>
      <c r="S442" s="430"/>
      <c r="T442" s="430"/>
      <c r="U442" s="430"/>
      <c r="V442" s="430"/>
      <c r="W442" s="430"/>
      <c r="X442" s="430"/>
      <c r="Y442" s="430"/>
      <c r="Z442" s="430"/>
      <c r="AA442" s="430"/>
    </row>
    <row r="443">
      <c r="A443" s="433"/>
      <c r="B443" s="430"/>
      <c r="C443" s="430"/>
      <c r="D443" s="430"/>
      <c r="E443" s="432"/>
      <c r="F443" s="430"/>
      <c r="G443" s="430"/>
      <c r="H443" s="430"/>
      <c r="I443" s="430"/>
      <c r="J443" s="430"/>
      <c r="K443" s="430"/>
      <c r="L443" s="430"/>
      <c r="M443" s="430"/>
      <c r="N443" s="430"/>
      <c r="O443" s="430"/>
      <c r="P443" s="430"/>
      <c r="Q443" s="430"/>
      <c r="R443" s="430"/>
      <c r="S443" s="430"/>
      <c r="T443" s="430"/>
      <c r="U443" s="430"/>
      <c r="V443" s="430"/>
      <c r="W443" s="430"/>
      <c r="X443" s="430"/>
      <c r="Y443" s="430"/>
      <c r="Z443" s="430"/>
      <c r="AA443" s="430"/>
    </row>
    <row r="444">
      <c r="A444" s="433"/>
      <c r="B444" s="430"/>
      <c r="C444" s="430"/>
      <c r="D444" s="430"/>
      <c r="E444" s="432"/>
      <c r="F444" s="430"/>
      <c r="G444" s="430"/>
      <c r="H444" s="430"/>
      <c r="I444" s="430"/>
      <c r="J444" s="430"/>
      <c r="K444" s="430"/>
      <c r="L444" s="430"/>
      <c r="M444" s="430"/>
      <c r="N444" s="430"/>
      <c r="O444" s="430"/>
      <c r="P444" s="430"/>
      <c r="Q444" s="430"/>
      <c r="R444" s="430"/>
      <c r="S444" s="430"/>
      <c r="T444" s="430"/>
      <c r="U444" s="430"/>
      <c r="V444" s="430"/>
      <c r="W444" s="430"/>
      <c r="X444" s="430"/>
      <c r="Y444" s="430"/>
      <c r="Z444" s="430"/>
      <c r="AA444" s="430"/>
    </row>
    <row r="445">
      <c r="A445" s="433"/>
      <c r="B445" s="430"/>
      <c r="C445" s="430"/>
      <c r="D445" s="430"/>
      <c r="E445" s="432"/>
      <c r="F445" s="430"/>
      <c r="G445" s="430"/>
      <c r="H445" s="430"/>
      <c r="I445" s="430"/>
      <c r="J445" s="430"/>
      <c r="K445" s="430"/>
      <c r="L445" s="430"/>
      <c r="M445" s="430"/>
      <c r="N445" s="430"/>
      <c r="O445" s="430"/>
      <c r="P445" s="430"/>
      <c r="Q445" s="430"/>
      <c r="R445" s="430"/>
      <c r="S445" s="430"/>
      <c r="T445" s="430"/>
      <c r="U445" s="430"/>
      <c r="V445" s="430"/>
      <c r="W445" s="430"/>
      <c r="X445" s="430"/>
      <c r="Y445" s="430"/>
      <c r="Z445" s="430"/>
      <c r="AA445" s="430"/>
    </row>
    <row r="446">
      <c r="A446" s="433"/>
      <c r="B446" s="430"/>
      <c r="C446" s="430"/>
      <c r="D446" s="430"/>
      <c r="E446" s="432"/>
      <c r="F446" s="430"/>
      <c r="G446" s="430"/>
      <c r="H446" s="430"/>
      <c r="I446" s="430"/>
      <c r="J446" s="430"/>
      <c r="K446" s="430"/>
      <c r="L446" s="430"/>
      <c r="M446" s="430"/>
      <c r="N446" s="430"/>
      <c r="O446" s="430"/>
      <c r="P446" s="430"/>
      <c r="Q446" s="430"/>
      <c r="R446" s="430"/>
      <c r="S446" s="430"/>
      <c r="T446" s="430"/>
      <c r="U446" s="430"/>
      <c r="V446" s="430"/>
      <c r="W446" s="430"/>
      <c r="X446" s="430"/>
      <c r="Y446" s="430"/>
      <c r="Z446" s="430"/>
      <c r="AA446" s="430"/>
    </row>
    <row r="447">
      <c r="A447" s="433"/>
      <c r="B447" s="430"/>
      <c r="C447" s="430"/>
      <c r="D447" s="430"/>
      <c r="E447" s="432"/>
      <c r="F447" s="430"/>
      <c r="G447" s="430"/>
      <c r="H447" s="430"/>
      <c r="I447" s="430"/>
      <c r="J447" s="430"/>
      <c r="K447" s="430"/>
      <c r="L447" s="430"/>
      <c r="M447" s="430"/>
      <c r="N447" s="430"/>
      <c r="O447" s="430"/>
      <c r="P447" s="430"/>
      <c r="Q447" s="430"/>
      <c r="R447" s="430"/>
      <c r="S447" s="430"/>
      <c r="T447" s="430"/>
      <c r="U447" s="430"/>
      <c r="V447" s="430"/>
      <c r="W447" s="430"/>
      <c r="X447" s="430"/>
      <c r="Y447" s="430"/>
      <c r="Z447" s="430"/>
      <c r="AA447" s="430"/>
    </row>
    <row r="448">
      <c r="A448" s="433"/>
      <c r="B448" s="430"/>
      <c r="C448" s="430"/>
      <c r="D448" s="430"/>
      <c r="E448" s="432"/>
      <c r="F448" s="430"/>
      <c r="G448" s="430"/>
      <c r="H448" s="430"/>
      <c r="I448" s="430"/>
      <c r="J448" s="430"/>
      <c r="K448" s="430"/>
      <c r="L448" s="430"/>
      <c r="M448" s="430"/>
      <c r="N448" s="430"/>
      <c r="O448" s="430"/>
      <c r="P448" s="430"/>
      <c r="Q448" s="430"/>
      <c r="R448" s="430"/>
      <c r="S448" s="430"/>
      <c r="T448" s="430"/>
      <c r="U448" s="430"/>
      <c r="V448" s="430"/>
      <c r="W448" s="430"/>
      <c r="X448" s="430"/>
      <c r="Y448" s="430"/>
      <c r="Z448" s="430"/>
      <c r="AA448" s="430"/>
    </row>
    <row r="449">
      <c r="A449" s="433"/>
      <c r="B449" s="430"/>
      <c r="C449" s="430"/>
      <c r="D449" s="430"/>
      <c r="E449" s="432"/>
      <c r="F449" s="430"/>
      <c r="G449" s="430"/>
      <c r="H449" s="430"/>
      <c r="I449" s="430"/>
      <c r="J449" s="430"/>
      <c r="K449" s="430"/>
      <c r="L449" s="430"/>
      <c r="M449" s="430"/>
      <c r="N449" s="430"/>
      <c r="O449" s="430"/>
      <c r="P449" s="430"/>
      <c r="Q449" s="430"/>
      <c r="R449" s="430"/>
      <c r="S449" s="430"/>
      <c r="T449" s="430"/>
      <c r="U449" s="430"/>
      <c r="V449" s="430"/>
      <c r="W449" s="430"/>
      <c r="X449" s="430"/>
      <c r="Y449" s="430"/>
      <c r="Z449" s="430"/>
      <c r="AA449" s="430"/>
    </row>
    <row r="450">
      <c r="A450" s="433"/>
      <c r="B450" s="430"/>
      <c r="C450" s="430"/>
      <c r="D450" s="430"/>
      <c r="E450" s="432"/>
      <c r="F450" s="430"/>
      <c r="G450" s="430"/>
      <c r="H450" s="430"/>
      <c r="I450" s="430"/>
      <c r="J450" s="430"/>
      <c r="K450" s="430"/>
      <c r="L450" s="430"/>
      <c r="M450" s="430"/>
      <c r="N450" s="430"/>
      <c r="O450" s="430"/>
      <c r="P450" s="430"/>
      <c r="Q450" s="430"/>
      <c r="R450" s="430"/>
      <c r="S450" s="430"/>
      <c r="T450" s="430"/>
      <c r="U450" s="430"/>
      <c r="V450" s="430"/>
      <c r="W450" s="430"/>
      <c r="X450" s="430"/>
      <c r="Y450" s="430"/>
      <c r="Z450" s="430"/>
      <c r="AA450" s="430"/>
    </row>
    <row r="451">
      <c r="A451" s="433"/>
      <c r="B451" s="430"/>
      <c r="C451" s="430"/>
      <c r="D451" s="430"/>
      <c r="E451" s="432"/>
      <c r="F451" s="430"/>
      <c r="G451" s="430"/>
      <c r="H451" s="430"/>
      <c r="I451" s="430"/>
      <c r="J451" s="430"/>
      <c r="K451" s="430"/>
      <c r="L451" s="430"/>
      <c r="M451" s="430"/>
      <c r="N451" s="430"/>
      <c r="O451" s="430"/>
      <c r="P451" s="430"/>
      <c r="Q451" s="430"/>
      <c r="R451" s="430"/>
      <c r="S451" s="430"/>
      <c r="T451" s="430"/>
      <c r="U451" s="430"/>
      <c r="V451" s="430"/>
      <c r="W451" s="430"/>
      <c r="X451" s="430"/>
      <c r="Y451" s="430"/>
      <c r="Z451" s="430"/>
      <c r="AA451" s="430"/>
    </row>
    <row r="452">
      <c r="A452" s="433"/>
      <c r="B452" s="430"/>
      <c r="C452" s="430"/>
      <c r="D452" s="430"/>
      <c r="E452" s="432"/>
      <c r="F452" s="430"/>
      <c r="G452" s="430"/>
      <c r="H452" s="430"/>
      <c r="I452" s="430"/>
      <c r="J452" s="430"/>
      <c r="K452" s="430"/>
      <c r="L452" s="430"/>
      <c r="M452" s="430"/>
      <c r="N452" s="430"/>
      <c r="O452" s="430"/>
      <c r="P452" s="430"/>
      <c r="Q452" s="430"/>
      <c r="R452" s="430"/>
      <c r="S452" s="430"/>
      <c r="T452" s="430"/>
      <c r="U452" s="430"/>
      <c r="V452" s="430"/>
      <c r="W452" s="430"/>
      <c r="X452" s="430"/>
      <c r="Y452" s="430"/>
      <c r="Z452" s="430"/>
      <c r="AA452" s="430"/>
    </row>
    <row r="453">
      <c r="A453" s="433"/>
      <c r="B453" s="430"/>
      <c r="C453" s="430"/>
      <c r="D453" s="430"/>
      <c r="E453" s="432"/>
      <c r="F453" s="430"/>
      <c r="G453" s="430"/>
      <c r="H453" s="430"/>
      <c r="I453" s="430"/>
      <c r="J453" s="430"/>
      <c r="K453" s="430"/>
      <c r="L453" s="430"/>
      <c r="M453" s="430"/>
      <c r="N453" s="430"/>
      <c r="O453" s="430"/>
      <c r="P453" s="430"/>
      <c r="Q453" s="430"/>
      <c r="R453" s="430"/>
      <c r="S453" s="430"/>
      <c r="T453" s="430"/>
      <c r="U453" s="430"/>
      <c r="V453" s="430"/>
      <c r="W453" s="430"/>
      <c r="X453" s="430"/>
      <c r="Y453" s="430"/>
      <c r="Z453" s="430"/>
      <c r="AA453" s="430"/>
    </row>
    <row r="454">
      <c r="A454" s="433"/>
      <c r="B454" s="430"/>
      <c r="C454" s="430"/>
      <c r="D454" s="430"/>
      <c r="E454" s="432"/>
      <c r="F454" s="430"/>
      <c r="G454" s="430"/>
      <c r="H454" s="430"/>
      <c r="I454" s="430"/>
      <c r="J454" s="430"/>
      <c r="K454" s="430"/>
      <c r="L454" s="430"/>
      <c r="M454" s="430"/>
      <c r="N454" s="430"/>
      <c r="O454" s="430"/>
      <c r="P454" s="430"/>
      <c r="Q454" s="430"/>
      <c r="R454" s="430"/>
      <c r="S454" s="430"/>
      <c r="T454" s="430"/>
      <c r="U454" s="430"/>
      <c r="V454" s="430"/>
      <c r="W454" s="430"/>
      <c r="X454" s="430"/>
      <c r="Y454" s="430"/>
      <c r="Z454" s="430"/>
      <c r="AA454" s="430"/>
    </row>
    <row r="455">
      <c r="A455" s="433"/>
      <c r="B455" s="430"/>
      <c r="C455" s="430"/>
      <c r="D455" s="430"/>
      <c r="E455" s="432"/>
      <c r="F455" s="430"/>
      <c r="G455" s="430"/>
      <c r="H455" s="430"/>
      <c r="I455" s="430"/>
      <c r="J455" s="430"/>
      <c r="K455" s="430"/>
      <c r="L455" s="430"/>
      <c r="M455" s="430"/>
      <c r="N455" s="430"/>
      <c r="O455" s="430"/>
      <c r="P455" s="430"/>
      <c r="Q455" s="430"/>
      <c r="R455" s="430"/>
      <c r="S455" s="430"/>
      <c r="T455" s="430"/>
      <c r="U455" s="430"/>
      <c r="V455" s="430"/>
      <c r="W455" s="430"/>
      <c r="X455" s="430"/>
      <c r="Y455" s="430"/>
      <c r="Z455" s="430"/>
      <c r="AA455" s="430"/>
    </row>
    <row r="456">
      <c r="A456" s="433"/>
      <c r="B456" s="430"/>
      <c r="C456" s="430"/>
      <c r="D456" s="430"/>
      <c r="E456" s="432"/>
      <c r="F456" s="430"/>
      <c r="G456" s="430"/>
      <c r="H456" s="430"/>
      <c r="I456" s="430"/>
      <c r="J456" s="430"/>
      <c r="K456" s="430"/>
      <c r="L456" s="430"/>
      <c r="M456" s="430"/>
      <c r="N456" s="430"/>
      <c r="O456" s="430"/>
      <c r="P456" s="430"/>
      <c r="Q456" s="430"/>
      <c r="R456" s="430"/>
      <c r="S456" s="430"/>
      <c r="T456" s="430"/>
      <c r="U456" s="430"/>
      <c r="V456" s="430"/>
      <c r="W456" s="430"/>
      <c r="X456" s="430"/>
      <c r="Y456" s="430"/>
      <c r="Z456" s="430"/>
      <c r="AA456" s="430"/>
    </row>
    <row r="457">
      <c r="A457" s="433"/>
      <c r="B457" s="430"/>
      <c r="C457" s="430"/>
      <c r="D457" s="430"/>
      <c r="E457" s="432"/>
      <c r="F457" s="430"/>
      <c r="G457" s="430"/>
      <c r="H457" s="430"/>
      <c r="I457" s="430"/>
      <c r="J457" s="430"/>
      <c r="K457" s="430"/>
      <c r="L457" s="430"/>
      <c r="M457" s="430"/>
      <c r="N457" s="430"/>
      <c r="O457" s="430"/>
      <c r="P457" s="430"/>
      <c r="Q457" s="430"/>
      <c r="R457" s="430"/>
      <c r="S457" s="430"/>
      <c r="T457" s="430"/>
      <c r="U457" s="430"/>
      <c r="V457" s="430"/>
      <c r="W457" s="430"/>
      <c r="X457" s="430"/>
      <c r="Y457" s="430"/>
      <c r="Z457" s="430"/>
      <c r="AA457" s="430"/>
    </row>
    <row r="458">
      <c r="A458" s="433"/>
      <c r="B458" s="430"/>
      <c r="C458" s="430"/>
      <c r="D458" s="430"/>
      <c r="E458" s="432"/>
      <c r="F458" s="430"/>
      <c r="G458" s="430"/>
      <c r="H458" s="430"/>
      <c r="I458" s="430"/>
      <c r="J458" s="430"/>
      <c r="K458" s="430"/>
      <c r="L458" s="430"/>
      <c r="M458" s="430"/>
      <c r="N458" s="430"/>
      <c r="O458" s="430"/>
      <c r="P458" s="430"/>
      <c r="Q458" s="430"/>
      <c r="R458" s="430"/>
      <c r="S458" s="430"/>
      <c r="T458" s="430"/>
      <c r="U458" s="430"/>
      <c r="V458" s="430"/>
      <c r="W458" s="430"/>
      <c r="X458" s="430"/>
      <c r="Y458" s="430"/>
      <c r="Z458" s="430"/>
      <c r="AA458" s="430"/>
    </row>
    <row r="459">
      <c r="A459" s="433"/>
      <c r="B459" s="430"/>
      <c r="C459" s="430"/>
      <c r="D459" s="430"/>
      <c r="E459" s="432"/>
      <c r="F459" s="430"/>
      <c r="G459" s="430"/>
      <c r="H459" s="430"/>
      <c r="I459" s="430"/>
      <c r="J459" s="430"/>
      <c r="K459" s="430"/>
      <c r="L459" s="430"/>
      <c r="M459" s="430"/>
      <c r="N459" s="430"/>
      <c r="O459" s="430"/>
      <c r="P459" s="430"/>
      <c r="Q459" s="430"/>
      <c r="R459" s="430"/>
      <c r="S459" s="430"/>
      <c r="T459" s="430"/>
      <c r="U459" s="430"/>
      <c r="V459" s="430"/>
      <c r="W459" s="430"/>
      <c r="X459" s="430"/>
      <c r="Y459" s="430"/>
      <c r="Z459" s="430"/>
      <c r="AA459" s="430"/>
    </row>
    <row r="460">
      <c r="A460" s="433"/>
      <c r="B460" s="430"/>
      <c r="C460" s="430"/>
      <c r="D460" s="430"/>
      <c r="E460" s="432"/>
      <c r="F460" s="430"/>
      <c r="G460" s="430"/>
      <c r="H460" s="430"/>
      <c r="I460" s="430"/>
      <c r="J460" s="430"/>
      <c r="K460" s="430"/>
      <c r="L460" s="430"/>
      <c r="M460" s="430"/>
      <c r="N460" s="430"/>
      <c r="O460" s="430"/>
      <c r="P460" s="430"/>
      <c r="Q460" s="430"/>
      <c r="R460" s="430"/>
      <c r="S460" s="430"/>
      <c r="T460" s="430"/>
      <c r="U460" s="430"/>
      <c r="V460" s="430"/>
      <c r="W460" s="430"/>
      <c r="X460" s="430"/>
      <c r="Y460" s="430"/>
      <c r="Z460" s="430"/>
      <c r="AA460" s="430"/>
    </row>
    <row r="461">
      <c r="A461" s="433"/>
      <c r="B461" s="430"/>
      <c r="C461" s="430"/>
      <c r="D461" s="430"/>
      <c r="E461" s="432"/>
      <c r="F461" s="430"/>
      <c r="G461" s="430"/>
      <c r="H461" s="430"/>
      <c r="I461" s="430"/>
      <c r="J461" s="430"/>
      <c r="K461" s="430"/>
      <c r="L461" s="430"/>
      <c r="M461" s="430"/>
      <c r="N461" s="430"/>
      <c r="O461" s="430"/>
      <c r="P461" s="430"/>
      <c r="Q461" s="430"/>
      <c r="R461" s="430"/>
      <c r="S461" s="430"/>
      <c r="T461" s="430"/>
      <c r="U461" s="430"/>
      <c r="V461" s="430"/>
      <c r="W461" s="430"/>
      <c r="X461" s="430"/>
      <c r="Y461" s="430"/>
      <c r="Z461" s="430"/>
      <c r="AA461" s="430"/>
    </row>
    <row r="462">
      <c r="A462" s="433"/>
      <c r="B462" s="430"/>
      <c r="C462" s="430"/>
      <c r="D462" s="430"/>
      <c r="E462" s="432"/>
      <c r="F462" s="430"/>
      <c r="G462" s="430"/>
      <c r="H462" s="430"/>
      <c r="I462" s="430"/>
      <c r="J462" s="430"/>
      <c r="K462" s="430"/>
      <c r="L462" s="430"/>
      <c r="M462" s="430"/>
      <c r="N462" s="430"/>
      <c r="O462" s="430"/>
      <c r="P462" s="430"/>
      <c r="Q462" s="430"/>
      <c r="R462" s="430"/>
      <c r="S462" s="430"/>
      <c r="T462" s="430"/>
      <c r="U462" s="430"/>
      <c r="V462" s="430"/>
      <c r="W462" s="430"/>
      <c r="X462" s="430"/>
      <c r="Y462" s="430"/>
      <c r="Z462" s="430"/>
      <c r="AA462" s="430"/>
    </row>
    <row r="463">
      <c r="A463" s="433"/>
      <c r="B463" s="430"/>
      <c r="C463" s="430"/>
      <c r="D463" s="430"/>
      <c r="E463" s="432"/>
      <c r="F463" s="430"/>
      <c r="G463" s="430"/>
      <c r="H463" s="430"/>
      <c r="I463" s="430"/>
      <c r="J463" s="430"/>
      <c r="K463" s="430"/>
      <c r="L463" s="430"/>
      <c r="M463" s="430"/>
      <c r="N463" s="430"/>
      <c r="O463" s="430"/>
      <c r="P463" s="430"/>
      <c r="Q463" s="430"/>
      <c r="R463" s="430"/>
      <c r="S463" s="430"/>
      <c r="T463" s="430"/>
      <c r="U463" s="430"/>
      <c r="V463" s="430"/>
      <c r="W463" s="430"/>
      <c r="X463" s="430"/>
      <c r="Y463" s="430"/>
      <c r="Z463" s="430"/>
      <c r="AA463" s="430"/>
    </row>
    <row r="464">
      <c r="A464" s="433"/>
      <c r="B464" s="430"/>
      <c r="C464" s="430"/>
      <c r="D464" s="430"/>
      <c r="E464" s="432"/>
      <c r="F464" s="430"/>
      <c r="G464" s="430"/>
      <c r="H464" s="430"/>
      <c r="I464" s="430"/>
      <c r="J464" s="430"/>
      <c r="K464" s="430"/>
      <c r="L464" s="430"/>
      <c r="M464" s="430"/>
      <c r="N464" s="430"/>
      <c r="O464" s="430"/>
      <c r="P464" s="430"/>
      <c r="Q464" s="430"/>
      <c r="R464" s="430"/>
      <c r="S464" s="430"/>
      <c r="T464" s="430"/>
      <c r="U464" s="430"/>
      <c r="V464" s="430"/>
      <c r="W464" s="430"/>
      <c r="X464" s="430"/>
      <c r="Y464" s="430"/>
      <c r="Z464" s="430"/>
      <c r="AA464" s="430"/>
    </row>
    <row r="465">
      <c r="A465" s="433"/>
      <c r="B465" s="430"/>
      <c r="C465" s="430"/>
      <c r="D465" s="430"/>
      <c r="E465" s="432"/>
      <c r="F465" s="430"/>
      <c r="G465" s="430"/>
      <c r="H465" s="430"/>
      <c r="I465" s="430"/>
      <c r="J465" s="430"/>
      <c r="K465" s="430"/>
      <c r="L465" s="430"/>
      <c r="M465" s="430"/>
      <c r="N465" s="430"/>
      <c r="O465" s="430"/>
      <c r="P465" s="430"/>
      <c r="Q465" s="430"/>
      <c r="R465" s="430"/>
      <c r="S465" s="430"/>
      <c r="T465" s="430"/>
      <c r="U465" s="430"/>
      <c r="V465" s="430"/>
      <c r="W465" s="430"/>
      <c r="X465" s="430"/>
      <c r="Y465" s="430"/>
      <c r="Z465" s="430"/>
      <c r="AA465" s="430"/>
    </row>
    <row r="466">
      <c r="A466" s="433"/>
      <c r="B466" s="430"/>
      <c r="C466" s="430"/>
      <c r="D466" s="430"/>
      <c r="E466" s="432"/>
      <c r="F466" s="430"/>
      <c r="G466" s="430"/>
      <c r="H466" s="430"/>
      <c r="I466" s="430"/>
      <c r="J466" s="430"/>
      <c r="K466" s="430"/>
      <c r="L466" s="430"/>
      <c r="M466" s="430"/>
      <c r="N466" s="430"/>
      <c r="O466" s="430"/>
      <c r="P466" s="430"/>
      <c r="Q466" s="430"/>
      <c r="R466" s="430"/>
      <c r="S466" s="430"/>
      <c r="T466" s="430"/>
      <c r="U466" s="430"/>
      <c r="V466" s="430"/>
      <c r="W466" s="430"/>
      <c r="X466" s="430"/>
      <c r="Y466" s="430"/>
      <c r="Z466" s="430"/>
      <c r="AA466" s="430"/>
    </row>
    <row r="467">
      <c r="A467" s="433"/>
      <c r="B467" s="430"/>
      <c r="C467" s="430"/>
      <c r="D467" s="430"/>
      <c r="E467" s="432"/>
      <c r="F467" s="430"/>
      <c r="G467" s="430"/>
      <c r="H467" s="430"/>
      <c r="I467" s="430"/>
      <c r="J467" s="430"/>
      <c r="K467" s="430"/>
      <c r="L467" s="430"/>
      <c r="M467" s="430"/>
      <c r="N467" s="430"/>
      <c r="O467" s="430"/>
      <c r="P467" s="430"/>
      <c r="Q467" s="430"/>
      <c r="R467" s="430"/>
      <c r="S467" s="430"/>
      <c r="T467" s="430"/>
      <c r="U467" s="430"/>
      <c r="V467" s="430"/>
      <c r="W467" s="430"/>
      <c r="X467" s="430"/>
      <c r="Y467" s="430"/>
      <c r="Z467" s="430"/>
      <c r="AA467" s="430"/>
    </row>
    <row r="468">
      <c r="A468" s="433"/>
      <c r="B468" s="430"/>
      <c r="C468" s="430"/>
      <c r="D468" s="430"/>
      <c r="E468" s="432"/>
      <c r="F468" s="430"/>
      <c r="G468" s="430"/>
      <c r="H468" s="430"/>
      <c r="I468" s="430"/>
      <c r="J468" s="430"/>
      <c r="K468" s="430"/>
      <c r="L468" s="430"/>
      <c r="M468" s="430"/>
      <c r="N468" s="430"/>
      <c r="O468" s="430"/>
      <c r="P468" s="430"/>
      <c r="Q468" s="430"/>
      <c r="R468" s="430"/>
      <c r="S468" s="430"/>
      <c r="T468" s="430"/>
      <c r="U468" s="430"/>
      <c r="V468" s="430"/>
      <c r="W468" s="430"/>
      <c r="X468" s="430"/>
      <c r="Y468" s="430"/>
      <c r="Z468" s="430"/>
      <c r="AA468" s="430"/>
    </row>
    <row r="469">
      <c r="A469" s="433"/>
      <c r="B469" s="430"/>
      <c r="C469" s="430"/>
      <c r="D469" s="430"/>
      <c r="E469" s="432"/>
      <c r="F469" s="430"/>
      <c r="G469" s="430"/>
      <c r="H469" s="430"/>
      <c r="I469" s="430"/>
      <c r="J469" s="430"/>
      <c r="K469" s="430"/>
      <c r="L469" s="430"/>
      <c r="M469" s="430"/>
      <c r="N469" s="430"/>
      <c r="O469" s="430"/>
      <c r="P469" s="430"/>
      <c r="Q469" s="430"/>
      <c r="R469" s="430"/>
      <c r="S469" s="430"/>
      <c r="T469" s="430"/>
      <c r="U469" s="430"/>
      <c r="V469" s="430"/>
      <c r="W469" s="430"/>
      <c r="X469" s="430"/>
      <c r="Y469" s="430"/>
      <c r="Z469" s="430"/>
      <c r="AA469" s="430"/>
    </row>
    <row r="470">
      <c r="A470" s="433"/>
      <c r="B470" s="430"/>
      <c r="C470" s="430"/>
      <c r="D470" s="430"/>
      <c r="E470" s="432"/>
      <c r="F470" s="430"/>
      <c r="G470" s="430"/>
      <c r="H470" s="430"/>
      <c r="I470" s="430"/>
      <c r="J470" s="430"/>
      <c r="K470" s="430"/>
      <c r="L470" s="430"/>
      <c r="M470" s="430"/>
      <c r="N470" s="430"/>
      <c r="O470" s="430"/>
      <c r="P470" s="430"/>
      <c r="Q470" s="430"/>
      <c r="R470" s="430"/>
      <c r="S470" s="430"/>
      <c r="T470" s="430"/>
      <c r="U470" s="430"/>
      <c r="V470" s="430"/>
      <c r="W470" s="430"/>
      <c r="X470" s="430"/>
      <c r="Y470" s="430"/>
      <c r="Z470" s="430"/>
      <c r="AA470" s="430"/>
    </row>
    <row r="471">
      <c r="A471" s="433"/>
      <c r="B471" s="430"/>
      <c r="C471" s="430"/>
      <c r="D471" s="430"/>
      <c r="E471" s="432"/>
      <c r="F471" s="430"/>
      <c r="G471" s="430"/>
      <c r="H471" s="430"/>
      <c r="I471" s="430"/>
      <c r="J471" s="430"/>
      <c r="K471" s="430"/>
      <c r="L471" s="430"/>
      <c r="M471" s="430"/>
      <c r="N471" s="430"/>
      <c r="O471" s="430"/>
      <c r="P471" s="430"/>
      <c r="Q471" s="430"/>
      <c r="R471" s="430"/>
      <c r="S471" s="430"/>
      <c r="T471" s="430"/>
      <c r="U471" s="430"/>
      <c r="V471" s="430"/>
      <c r="W471" s="430"/>
      <c r="X471" s="430"/>
      <c r="Y471" s="430"/>
      <c r="Z471" s="430"/>
      <c r="AA471" s="430"/>
    </row>
    <row r="472">
      <c r="A472" s="433"/>
      <c r="B472" s="430"/>
      <c r="C472" s="430"/>
      <c r="D472" s="430"/>
      <c r="E472" s="432"/>
      <c r="F472" s="430"/>
      <c r="G472" s="430"/>
      <c r="H472" s="430"/>
      <c r="I472" s="430"/>
      <c r="J472" s="430"/>
      <c r="K472" s="430"/>
      <c r="L472" s="430"/>
      <c r="M472" s="430"/>
      <c r="N472" s="430"/>
      <c r="O472" s="430"/>
      <c r="P472" s="430"/>
      <c r="Q472" s="430"/>
      <c r="R472" s="430"/>
      <c r="S472" s="430"/>
      <c r="T472" s="430"/>
      <c r="U472" s="430"/>
      <c r="V472" s="430"/>
      <c r="W472" s="430"/>
      <c r="X472" s="430"/>
      <c r="Y472" s="430"/>
      <c r="Z472" s="430"/>
      <c r="AA472" s="430"/>
    </row>
    <row r="473">
      <c r="A473" s="433"/>
      <c r="B473" s="430"/>
      <c r="C473" s="430"/>
      <c r="D473" s="430"/>
      <c r="E473" s="432"/>
      <c r="F473" s="430"/>
      <c r="G473" s="430"/>
      <c r="H473" s="430"/>
      <c r="I473" s="430"/>
      <c r="J473" s="430"/>
      <c r="K473" s="430"/>
      <c r="L473" s="430"/>
      <c r="M473" s="430"/>
      <c r="N473" s="430"/>
      <c r="O473" s="430"/>
      <c r="P473" s="430"/>
      <c r="Q473" s="430"/>
      <c r="R473" s="430"/>
      <c r="S473" s="430"/>
      <c r="T473" s="430"/>
      <c r="U473" s="430"/>
      <c r="V473" s="430"/>
      <c r="W473" s="430"/>
      <c r="X473" s="430"/>
      <c r="Y473" s="430"/>
      <c r="Z473" s="430"/>
      <c r="AA473" s="430"/>
    </row>
    <row r="474">
      <c r="A474" s="433"/>
      <c r="B474" s="430"/>
      <c r="C474" s="430"/>
      <c r="D474" s="430"/>
      <c r="E474" s="432"/>
      <c r="F474" s="430"/>
      <c r="G474" s="430"/>
      <c r="H474" s="430"/>
      <c r="I474" s="430"/>
      <c r="J474" s="430"/>
      <c r="K474" s="430"/>
      <c r="L474" s="430"/>
      <c r="M474" s="430"/>
      <c r="N474" s="430"/>
      <c r="O474" s="430"/>
      <c r="P474" s="430"/>
      <c r="Q474" s="430"/>
      <c r="R474" s="430"/>
      <c r="S474" s="430"/>
      <c r="T474" s="430"/>
      <c r="U474" s="430"/>
      <c r="V474" s="430"/>
      <c r="W474" s="430"/>
      <c r="X474" s="430"/>
      <c r="Y474" s="430"/>
      <c r="Z474" s="430"/>
      <c r="AA474" s="430"/>
    </row>
    <row r="475">
      <c r="A475" s="433"/>
      <c r="B475" s="430"/>
      <c r="C475" s="430"/>
      <c r="D475" s="430"/>
      <c r="E475" s="432"/>
      <c r="F475" s="430"/>
      <c r="G475" s="430"/>
      <c r="H475" s="430"/>
      <c r="I475" s="430"/>
      <c r="J475" s="430"/>
      <c r="K475" s="430"/>
      <c r="L475" s="430"/>
      <c r="M475" s="430"/>
      <c r="N475" s="430"/>
      <c r="O475" s="430"/>
      <c r="P475" s="430"/>
      <c r="Q475" s="430"/>
      <c r="R475" s="430"/>
      <c r="S475" s="430"/>
      <c r="T475" s="430"/>
      <c r="U475" s="430"/>
      <c r="V475" s="430"/>
      <c r="W475" s="430"/>
      <c r="X475" s="430"/>
      <c r="Y475" s="430"/>
      <c r="Z475" s="430"/>
      <c r="AA475" s="430"/>
    </row>
    <row r="476">
      <c r="A476" s="433"/>
      <c r="B476" s="430"/>
      <c r="C476" s="430"/>
      <c r="D476" s="430"/>
      <c r="E476" s="432"/>
      <c r="F476" s="430"/>
      <c r="G476" s="430"/>
      <c r="H476" s="430"/>
      <c r="I476" s="430"/>
      <c r="J476" s="430"/>
      <c r="K476" s="430"/>
      <c r="L476" s="430"/>
      <c r="M476" s="430"/>
      <c r="N476" s="430"/>
      <c r="O476" s="430"/>
      <c r="P476" s="430"/>
      <c r="Q476" s="430"/>
      <c r="R476" s="430"/>
      <c r="S476" s="430"/>
      <c r="T476" s="430"/>
      <c r="U476" s="430"/>
      <c r="V476" s="430"/>
      <c r="W476" s="430"/>
      <c r="X476" s="430"/>
      <c r="Y476" s="430"/>
      <c r="Z476" s="430"/>
      <c r="AA476" s="430"/>
    </row>
    <row r="477">
      <c r="A477" s="433"/>
      <c r="B477" s="430"/>
      <c r="C477" s="430"/>
      <c r="D477" s="430"/>
      <c r="E477" s="432"/>
      <c r="F477" s="430"/>
      <c r="G477" s="430"/>
      <c r="H477" s="430"/>
      <c r="I477" s="430"/>
      <c r="J477" s="430"/>
      <c r="K477" s="430"/>
      <c r="L477" s="430"/>
      <c r="M477" s="430"/>
      <c r="N477" s="430"/>
      <c r="O477" s="430"/>
      <c r="P477" s="430"/>
      <c r="Q477" s="430"/>
      <c r="R477" s="430"/>
      <c r="S477" s="430"/>
      <c r="T477" s="430"/>
      <c r="U477" s="430"/>
      <c r="V477" s="430"/>
      <c r="W477" s="430"/>
      <c r="X477" s="430"/>
      <c r="Y477" s="430"/>
      <c r="Z477" s="430"/>
      <c r="AA477" s="430"/>
    </row>
    <row r="478">
      <c r="A478" s="433"/>
      <c r="B478" s="430"/>
      <c r="C478" s="430"/>
      <c r="D478" s="430"/>
      <c r="E478" s="432"/>
      <c r="F478" s="430"/>
      <c r="G478" s="430"/>
      <c r="H478" s="430"/>
      <c r="I478" s="430"/>
      <c r="J478" s="430"/>
      <c r="K478" s="430"/>
      <c r="L478" s="430"/>
      <c r="M478" s="430"/>
      <c r="N478" s="430"/>
      <c r="O478" s="430"/>
      <c r="P478" s="430"/>
      <c r="Q478" s="430"/>
      <c r="R478" s="430"/>
      <c r="S478" s="430"/>
      <c r="T478" s="430"/>
      <c r="U478" s="430"/>
      <c r="V478" s="430"/>
      <c r="W478" s="430"/>
      <c r="X478" s="430"/>
      <c r="Y478" s="430"/>
      <c r="Z478" s="430"/>
      <c r="AA478" s="430"/>
    </row>
    <row r="479">
      <c r="A479" s="433"/>
      <c r="B479" s="430"/>
      <c r="C479" s="430"/>
      <c r="D479" s="430"/>
      <c r="E479" s="432"/>
      <c r="F479" s="430"/>
      <c r="G479" s="430"/>
      <c r="H479" s="430"/>
      <c r="I479" s="430"/>
      <c r="J479" s="430"/>
      <c r="K479" s="430"/>
      <c r="L479" s="430"/>
      <c r="M479" s="430"/>
      <c r="N479" s="430"/>
      <c r="O479" s="430"/>
      <c r="P479" s="430"/>
      <c r="Q479" s="430"/>
      <c r="R479" s="430"/>
      <c r="S479" s="430"/>
      <c r="T479" s="430"/>
      <c r="U479" s="430"/>
      <c r="V479" s="430"/>
      <c r="W479" s="430"/>
      <c r="X479" s="430"/>
      <c r="Y479" s="430"/>
      <c r="Z479" s="430"/>
      <c r="AA479" s="430"/>
    </row>
    <row r="480">
      <c r="A480" s="433"/>
      <c r="B480" s="430"/>
      <c r="C480" s="430"/>
      <c r="D480" s="430"/>
      <c r="E480" s="432"/>
      <c r="F480" s="430"/>
      <c r="G480" s="430"/>
      <c r="H480" s="430"/>
      <c r="I480" s="430"/>
      <c r="J480" s="430"/>
      <c r="K480" s="430"/>
      <c r="L480" s="430"/>
      <c r="M480" s="430"/>
      <c r="N480" s="430"/>
      <c r="O480" s="430"/>
      <c r="P480" s="430"/>
      <c r="Q480" s="430"/>
      <c r="R480" s="430"/>
      <c r="S480" s="430"/>
      <c r="T480" s="430"/>
      <c r="U480" s="430"/>
      <c r="V480" s="430"/>
      <c r="W480" s="430"/>
      <c r="X480" s="430"/>
      <c r="Y480" s="430"/>
      <c r="Z480" s="430"/>
      <c r="AA480" s="430"/>
    </row>
    <row r="481">
      <c r="A481" s="433"/>
      <c r="B481" s="430"/>
      <c r="C481" s="430"/>
      <c r="D481" s="430"/>
      <c r="E481" s="432"/>
      <c r="F481" s="430"/>
      <c r="G481" s="430"/>
      <c r="H481" s="430"/>
      <c r="I481" s="430"/>
      <c r="J481" s="430"/>
      <c r="K481" s="430"/>
      <c r="L481" s="430"/>
      <c r="M481" s="430"/>
      <c r="N481" s="430"/>
      <c r="O481" s="430"/>
      <c r="P481" s="430"/>
      <c r="Q481" s="430"/>
      <c r="R481" s="430"/>
      <c r="S481" s="430"/>
      <c r="T481" s="430"/>
      <c r="U481" s="430"/>
      <c r="V481" s="430"/>
      <c r="W481" s="430"/>
      <c r="X481" s="430"/>
      <c r="Y481" s="430"/>
      <c r="Z481" s="430"/>
      <c r="AA481" s="430"/>
    </row>
    <row r="482">
      <c r="A482" s="433"/>
      <c r="B482" s="430"/>
      <c r="C482" s="430"/>
      <c r="D482" s="430"/>
      <c r="E482" s="432"/>
      <c r="F482" s="430"/>
      <c r="G482" s="430"/>
      <c r="H482" s="430"/>
      <c r="I482" s="430"/>
      <c r="J482" s="430"/>
      <c r="K482" s="430"/>
      <c r="L482" s="430"/>
      <c r="M482" s="430"/>
      <c r="N482" s="430"/>
      <c r="O482" s="430"/>
      <c r="P482" s="430"/>
      <c r="Q482" s="430"/>
      <c r="R482" s="430"/>
      <c r="S482" s="430"/>
      <c r="T482" s="430"/>
      <c r="U482" s="430"/>
      <c r="V482" s="430"/>
      <c r="W482" s="430"/>
      <c r="X482" s="430"/>
      <c r="Y482" s="430"/>
      <c r="Z482" s="430"/>
      <c r="AA482" s="430"/>
    </row>
    <row r="483">
      <c r="A483" s="433"/>
      <c r="B483" s="430"/>
      <c r="C483" s="430"/>
      <c r="D483" s="430"/>
      <c r="E483" s="432"/>
      <c r="F483" s="430"/>
      <c r="G483" s="430"/>
      <c r="H483" s="430"/>
      <c r="I483" s="430"/>
      <c r="J483" s="430"/>
      <c r="K483" s="430"/>
      <c r="L483" s="430"/>
      <c r="M483" s="430"/>
      <c r="N483" s="430"/>
      <c r="O483" s="430"/>
      <c r="P483" s="430"/>
      <c r="Q483" s="430"/>
      <c r="R483" s="430"/>
      <c r="S483" s="430"/>
      <c r="T483" s="430"/>
      <c r="U483" s="430"/>
      <c r="V483" s="430"/>
      <c r="W483" s="430"/>
      <c r="X483" s="430"/>
      <c r="Y483" s="430"/>
      <c r="Z483" s="430"/>
      <c r="AA483" s="430"/>
    </row>
    <row r="484">
      <c r="A484" s="433"/>
      <c r="B484" s="430"/>
      <c r="C484" s="430"/>
      <c r="D484" s="430"/>
      <c r="E484" s="432"/>
      <c r="F484" s="430"/>
      <c r="G484" s="430"/>
      <c r="H484" s="430"/>
      <c r="I484" s="430"/>
      <c r="J484" s="430"/>
      <c r="K484" s="430"/>
      <c r="L484" s="430"/>
      <c r="M484" s="430"/>
      <c r="N484" s="430"/>
      <c r="O484" s="430"/>
      <c r="P484" s="430"/>
      <c r="Q484" s="430"/>
      <c r="R484" s="430"/>
      <c r="S484" s="430"/>
      <c r="T484" s="430"/>
      <c r="U484" s="430"/>
      <c r="V484" s="430"/>
      <c r="W484" s="430"/>
      <c r="X484" s="430"/>
      <c r="Y484" s="430"/>
      <c r="Z484" s="430"/>
      <c r="AA484" s="430"/>
    </row>
    <row r="485">
      <c r="A485" s="433"/>
      <c r="B485" s="430"/>
      <c r="C485" s="430"/>
      <c r="D485" s="430"/>
      <c r="E485" s="432"/>
      <c r="F485" s="430"/>
      <c r="G485" s="430"/>
      <c r="H485" s="430"/>
      <c r="I485" s="430"/>
      <c r="J485" s="430"/>
      <c r="K485" s="430"/>
      <c r="L485" s="430"/>
      <c r="M485" s="430"/>
      <c r="N485" s="430"/>
      <c r="O485" s="430"/>
      <c r="P485" s="430"/>
      <c r="Q485" s="430"/>
      <c r="R485" s="430"/>
      <c r="S485" s="430"/>
      <c r="T485" s="430"/>
      <c r="U485" s="430"/>
      <c r="V485" s="430"/>
      <c r="W485" s="430"/>
      <c r="X485" s="430"/>
      <c r="Y485" s="430"/>
      <c r="Z485" s="430"/>
      <c r="AA485" s="430"/>
    </row>
    <row r="486">
      <c r="A486" s="433"/>
      <c r="B486" s="430"/>
      <c r="C486" s="430"/>
      <c r="D486" s="430"/>
      <c r="E486" s="432"/>
      <c r="F486" s="430"/>
      <c r="G486" s="430"/>
      <c r="H486" s="430"/>
      <c r="I486" s="430"/>
      <c r="J486" s="430"/>
      <c r="K486" s="430"/>
      <c r="L486" s="430"/>
      <c r="M486" s="430"/>
      <c r="N486" s="430"/>
      <c r="O486" s="430"/>
      <c r="P486" s="430"/>
      <c r="Q486" s="430"/>
      <c r="R486" s="430"/>
      <c r="S486" s="430"/>
      <c r="T486" s="430"/>
      <c r="U486" s="430"/>
      <c r="V486" s="430"/>
      <c r="W486" s="430"/>
      <c r="X486" s="430"/>
      <c r="Y486" s="430"/>
      <c r="Z486" s="430"/>
      <c r="AA486" s="430"/>
    </row>
    <row r="487">
      <c r="A487" s="433"/>
      <c r="B487" s="430"/>
      <c r="C487" s="430"/>
      <c r="D487" s="430"/>
      <c r="E487" s="432"/>
      <c r="F487" s="430"/>
      <c r="G487" s="430"/>
      <c r="H487" s="430"/>
      <c r="I487" s="430"/>
      <c r="J487" s="430"/>
      <c r="K487" s="430"/>
      <c r="L487" s="430"/>
      <c r="M487" s="430"/>
      <c r="N487" s="430"/>
      <c r="O487" s="430"/>
      <c r="P487" s="430"/>
      <c r="Q487" s="430"/>
      <c r="R487" s="430"/>
      <c r="S487" s="430"/>
      <c r="T487" s="430"/>
      <c r="U487" s="430"/>
      <c r="V487" s="430"/>
      <c r="W487" s="430"/>
      <c r="X487" s="430"/>
      <c r="Y487" s="430"/>
      <c r="Z487" s="430"/>
      <c r="AA487" s="430"/>
    </row>
    <row r="488">
      <c r="A488" s="433"/>
      <c r="B488" s="430"/>
      <c r="C488" s="430"/>
      <c r="D488" s="430"/>
      <c r="E488" s="432"/>
      <c r="F488" s="430"/>
      <c r="G488" s="430"/>
      <c r="H488" s="430"/>
      <c r="I488" s="430"/>
      <c r="J488" s="430"/>
      <c r="K488" s="430"/>
      <c r="L488" s="430"/>
      <c r="M488" s="430"/>
      <c r="N488" s="430"/>
      <c r="O488" s="430"/>
      <c r="P488" s="430"/>
      <c r="Q488" s="430"/>
      <c r="R488" s="430"/>
      <c r="S488" s="430"/>
      <c r="T488" s="430"/>
      <c r="U488" s="430"/>
      <c r="V488" s="430"/>
      <c r="W488" s="430"/>
      <c r="X488" s="430"/>
      <c r="Y488" s="430"/>
      <c r="Z488" s="430"/>
      <c r="AA488" s="430"/>
    </row>
    <row r="489">
      <c r="A489" s="433"/>
      <c r="B489" s="430"/>
      <c r="C489" s="430"/>
      <c r="D489" s="430"/>
      <c r="E489" s="432"/>
      <c r="F489" s="430"/>
      <c r="G489" s="430"/>
      <c r="H489" s="430"/>
      <c r="I489" s="430"/>
      <c r="J489" s="430"/>
      <c r="K489" s="430"/>
      <c r="L489" s="430"/>
      <c r="M489" s="430"/>
      <c r="N489" s="430"/>
      <c r="O489" s="430"/>
      <c r="P489" s="430"/>
      <c r="Q489" s="430"/>
      <c r="R489" s="430"/>
      <c r="S489" s="430"/>
      <c r="T489" s="430"/>
      <c r="U489" s="430"/>
      <c r="V489" s="430"/>
      <c r="W489" s="430"/>
      <c r="X489" s="430"/>
      <c r="Y489" s="430"/>
      <c r="Z489" s="430"/>
      <c r="AA489" s="430"/>
    </row>
    <row r="490">
      <c r="A490" s="433"/>
      <c r="B490" s="430"/>
      <c r="C490" s="430"/>
      <c r="D490" s="430"/>
      <c r="E490" s="432"/>
      <c r="F490" s="430"/>
      <c r="G490" s="430"/>
      <c r="H490" s="430"/>
      <c r="I490" s="430"/>
      <c r="J490" s="430"/>
      <c r="K490" s="430"/>
      <c r="L490" s="430"/>
      <c r="M490" s="430"/>
      <c r="N490" s="430"/>
      <c r="O490" s="430"/>
      <c r="P490" s="430"/>
      <c r="Q490" s="430"/>
      <c r="R490" s="430"/>
      <c r="S490" s="430"/>
      <c r="T490" s="430"/>
      <c r="U490" s="430"/>
      <c r="V490" s="430"/>
      <c r="W490" s="430"/>
      <c r="X490" s="430"/>
      <c r="Y490" s="430"/>
      <c r="Z490" s="430"/>
      <c r="AA490" s="430"/>
    </row>
    <row r="491">
      <c r="A491" s="433"/>
      <c r="B491" s="430"/>
      <c r="C491" s="430"/>
      <c r="D491" s="430"/>
      <c r="E491" s="432"/>
      <c r="F491" s="430"/>
      <c r="G491" s="430"/>
      <c r="H491" s="430"/>
      <c r="I491" s="430"/>
      <c r="J491" s="430"/>
      <c r="K491" s="430"/>
      <c r="L491" s="430"/>
      <c r="M491" s="430"/>
      <c r="N491" s="430"/>
      <c r="O491" s="430"/>
      <c r="P491" s="430"/>
      <c r="Q491" s="430"/>
      <c r="R491" s="430"/>
      <c r="S491" s="430"/>
      <c r="T491" s="430"/>
      <c r="U491" s="430"/>
      <c r="V491" s="430"/>
      <c r="W491" s="430"/>
      <c r="X491" s="430"/>
      <c r="Y491" s="430"/>
      <c r="Z491" s="430"/>
      <c r="AA491" s="430"/>
    </row>
    <row r="492">
      <c r="A492" s="433"/>
      <c r="B492" s="430"/>
      <c r="C492" s="430"/>
      <c r="D492" s="430"/>
      <c r="E492" s="432"/>
      <c r="F492" s="430"/>
      <c r="G492" s="430"/>
      <c r="H492" s="430"/>
      <c r="I492" s="430"/>
      <c r="J492" s="430"/>
      <c r="K492" s="430"/>
      <c r="L492" s="430"/>
      <c r="M492" s="430"/>
      <c r="N492" s="430"/>
      <c r="O492" s="430"/>
      <c r="P492" s="430"/>
      <c r="Q492" s="430"/>
      <c r="R492" s="430"/>
      <c r="S492" s="430"/>
      <c r="T492" s="430"/>
      <c r="U492" s="430"/>
      <c r="V492" s="430"/>
      <c r="W492" s="430"/>
      <c r="X492" s="430"/>
      <c r="Y492" s="430"/>
      <c r="Z492" s="430"/>
      <c r="AA492" s="430"/>
    </row>
    <row r="493">
      <c r="A493" s="433"/>
      <c r="B493" s="430"/>
      <c r="C493" s="430"/>
      <c r="D493" s="430"/>
      <c r="E493" s="432"/>
      <c r="F493" s="430"/>
      <c r="G493" s="430"/>
      <c r="H493" s="430"/>
      <c r="I493" s="430"/>
      <c r="J493" s="430"/>
      <c r="K493" s="430"/>
      <c r="L493" s="430"/>
      <c r="M493" s="430"/>
      <c r="N493" s="430"/>
      <c r="O493" s="430"/>
      <c r="P493" s="430"/>
      <c r="Q493" s="430"/>
      <c r="R493" s="430"/>
      <c r="S493" s="430"/>
      <c r="T493" s="430"/>
      <c r="U493" s="430"/>
      <c r="V493" s="430"/>
      <c r="W493" s="430"/>
      <c r="X493" s="430"/>
      <c r="Y493" s="430"/>
      <c r="Z493" s="430"/>
      <c r="AA493" s="430"/>
    </row>
    <row r="494">
      <c r="A494" s="433"/>
      <c r="B494" s="430"/>
      <c r="C494" s="430"/>
      <c r="D494" s="430"/>
      <c r="E494" s="432"/>
      <c r="F494" s="430"/>
      <c r="G494" s="430"/>
      <c r="H494" s="430"/>
      <c r="I494" s="430"/>
      <c r="J494" s="430"/>
      <c r="K494" s="430"/>
      <c r="L494" s="430"/>
      <c r="M494" s="430"/>
      <c r="N494" s="430"/>
      <c r="O494" s="430"/>
      <c r="P494" s="430"/>
      <c r="Q494" s="430"/>
      <c r="R494" s="430"/>
      <c r="S494" s="430"/>
      <c r="T494" s="430"/>
      <c r="U494" s="430"/>
      <c r="V494" s="430"/>
      <c r="W494" s="430"/>
      <c r="X494" s="430"/>
      <c r="Y494" s="430"/>
      <c r="Z494" s="430"/>
      <c r="AA494" s="430"/>
    </row>
    <row r="495">
      <c r="A495" s="433"/>
      <c r="B495" s="430"/>
      <c r="C495" s="430"/>
      <c r="D495" s="430"/>
      <c r="E495" s="432"/>
      <c r="F495" s="430"/>
      <c r="G495" s="430"/>
      <c r="H495" s="430"/>
      <c r="I495" s="430"/>
      <c r="J495" s="430"/>
      <c r="K495" s="430"/>
      <c r="L495" s="430"/>
      <c r="M495" s="430"/>
      <c r="N495" s="430"/>
      <c r="O495" s="430"/>
      <c r="P495" s="430"/>
      <c r="Q495" s="430"/>
      <c r="R495" s="430"/>
      <c r="S495" s="430"/>
      <c r="T495" s="430"/>
      <c r="U495" s="430"/>
      <c r="V495" s="430"/>
      <c r="W495" s="430"/>
      <c r="X495" s="430"/>
      <c r="Y495" s="430"/>
      <c r="Z495" s="430"/>
      <c r="AA495" s="430"/>
    </row>
    <row r="496">
      <c r="A496" s="433"/>
      <c r="B496" s="430"/>
      <c r="C496" s="430"/>
      <c r="D496" s="430"/>
      <c r="E496" s="432"/>
      <c r="F496" s="430"/>
      <c r="G496" s="430"/>
      <c r="H496" s="430"/>
      <c r="I496" s="430"/>
      <c r="J496" s="430"/>
      <c r="K496" s="430"/>
      <c r="L496" s="430"/>
      <c r="M496" s="430"/>
      <c r="N496" s="430"/>
      <c r="O496" s="430"/>
      <c r="P496" s="430"/>
      <c r="Q496" s="430"/>
      <c r="R496" s="430"/>
      <c r="S496" s="430"/>
      <c r="T496" s="430"/>
      <c r="U496" s="430"/>
      <c r="V496" s="430"/>
      <c r="W496" s="430"/>
      <c r="X496" s="430"/>
      <c r="Y496" s="430"/>
      <c r="Z496" s="430"/>
      <c r="AA496" s="430"/>
    </row>
    <row r="497">
      <c r="A497" s="433"/>
      <c r="B497" s="430"/>
      <c r="C497" s="430"/>
      <c r="D497" s="430"/>
      <c r="E497" s="432"/>
      <c r="F497" s="430"/>
      <c r="G497" s="430"/>
      <c r="H497" s="430"/>
      <c r="I497" s="430"/>
      <c r="J497" s="430"/>
      <c r="K497" s="430"/>
      <c r="L497" s="430"/>
      <c r="M497" s="430"/>
      <c r="N497" s="430"/>
      <c r="O497" s="430"/>
      <c r="P497" s="430"/>
      <c r="Q497" s="430"/>
      <c r="R497" s="430"/>
      <c r="S497" s="430"/>
      <c r="T497" s="430"/>
      <c r="U497" s="430"/>
      <c r="V497" s="430"/>
      <c r="W497" s="430"/>
      <c r="X497" s="430"/>
      <c r="Y497" s="430"/>
      <c r="Z497" s="430"/>
      <c r="AA497" s="430"/>
    </row>
    <row r="498">
      <c r="A498" s="433"/>
      <c r="B498" s="430"/>
      <c r="C498" s="430"/>
      <c r="D498" s="430"/>
      <c r="E498" s="432"/>
      <c r="F498" s="430"/>
      <c r="G498" s="430"/>
      <c r="H498" s="430"/>
      <c r="I498" s="430"/>
      <c r="J498" s="430"/>
      <c r="K498" s="430"/>
      <c r="L498" s="430"/>
      <c r="M498" s="430"/>
      <c r="N498" s="430"/>
      <c r="O498" s="430"/>
      <c r="P498" s="430"/>
      <c r="Q498" s="430"/>
      <c r="R498" s="430"/>
      <c r="S498" s="430"/>
      <c r="T498" s="430"/>
      <c r="U498" s="430"/>
      <c r="V498" s="430"/>
      <c r="W498" s="430"/>
      <c r="X498" s="430"/>
      <c r="Y498" s="430"/>
      <c r="Z498" s="430"/>
      <c r="AA498" s="430"/>
    </row>
    <row r="499">
      <c r="A499" s="433"/>
      <c r="B499" s="430"/>
      <c r="C499" s="430"/>
      <c r="D499" s="430"/>
      <c r="E499" s="432"/>
      <c r="F499" s="430"/>
      <c r="G499" s="430"/>
      <c r="H499" s="430"/>
      <c r="I499" s="430"/>
      <c r="J499" s="430"/>
      <c r="K499" s="430"/>
      <c r="L499" s="430"/>
      <c r="M499" s="430"/>
      <c r="N499" s="430"/>
      <c r="O499" s="430"/>
      <c r="P499" s="430"/>
      <c r="Q499" s="430"/>
      <c r="R499" s="430"/>
      <c r="S499" s="430"/>
      <c r="T499" s="430"/>
      <c r="U499" s="430"/>
      <c r="V499" s="430"/>
      <c r="W499" s="430"/>
      <c r="X499" s="430"/>
      <c r="Y499" s="430"/>
      <c r="Z499" s="430"/>
      <c r="AA499" s="430"/>
    </row>
    <row r="500">
      <c r="A500" s="433"/>
      <c r="B500" s="430"/>
      <c r="C500" s="430"/>
      <c r="D500" s="430"/>
      <c r="E500" s="432"/>
      <c r="F500" s="430"/>
      <c r="G500" s="430"/>
      <c r="H500" s="430"/>
      <c r="I500" s="430"/>
      <c r="J500" s="430"/>
      <c r="K500" s="430"/>
      <c r="L500" s="430"/>
      <c r="M500" s="430"/>
      <c r="N500" s="430"/>
      <c r="O500" s="430"/>
      <c r="P500" s="430"/>
      <c r="Q500" s="430"/>
      <c r="R500" s="430"/>
      <c r="S500" s="430"/>
      <c r="T500" s="430"/>
      <c r="U500" s="430"/>
      <c r="V500" s="430"/>
      <c r="W500" s="430"/>
      <c r="X500" s="430"/>
      <c r="Y500" s="430"/>
      <c r="Z500" s="430"/>
      <c r="AA500" s="430"/>
    </row>
    <row r="501">
      <c r="A501" s="433"/>
      <c r="B501" s="430"/>
      <c r="C501" s="430"/>
      <c r="D501" s="430"/>
      <c r="E501" s="432"/>
      <c r="F501" s="430"/>
      <c r="G501" s="430"/>
      <c r="H501" s="430"/>
      <c r="I501" s="430"/>
      <c r="J501" s="430"/>
      <c r="K501" s="430"/>
      <c r="L501" s="430"/>
      <c r="M501" s="430"/>
      <c r="N501" s="430"/>
      <c r="O501" s="430"/>
      <c r="P501" s="430"/>
      <c r="Q501" s="430"/>
      <c r="R501" s="430"/>
      <c r="S501" s="430"/>
      <c r="T501" s="430"/>
      <c r="U501" s="430"/>
      <c r="V501" s="430"/>
      <c r="W501" s="430"/>
      <c r="X501" s="430"/>
      <c r="Y501" s="430"/>
      <c r="Z501" s="430"/>
      <c r="AA501" s="430"/>
    </row>
    <row r="502">
      <c r="A502" s="433"/>
      <c r="B502" s="430"/>
      <c r="C502" s="430"/>
      <c r="D502" s="430"/>
      <c r="E502" s="432"/>
      <c r="F502" s="430"/>
      <c r="G502" s="430"/>
      <c r="H502" s="430"/>
      <c r="I502" s="430"/>
      <c r="J502" s="430"/>
      <c r="K502" s="430"/>
      <c r="L502" s="430"/>
      <c r="M502" s="430"/>
      <c r="N502" s="430"/>
      <c r="O502" s="430"/>
      <c r="P502" s="430"/>
      <c r="Q502" s="430"/>
      <c r="R502" s="430"/>
      <c r="S502" s="430"/>
      <c r="T502" s="430"/>
      <c r="U502" s="430"/>
      <c r="V502" s="430"/>
      <c r="W502" s="430"/>
      <c r="X502" s="430"/>
      <c r="Y502" s="430"/>
      <c r="Z502" s="430"/>
      <c r="AA502" s="430"/>
    </row>
    <row r="503">
      <c r="A503" s="433"/>
      <c r="B503" s="430"/>
      <c r="C503" s="430"/>
      <c r="D503" s="430"/>
      <c r="E503" s="432"/>
      <c r="F503" s="430"/>
      <c r="G503" s="430"/>
      <c r="H503" s="430"/>
      <c r="I503" s="430"/>
      <c r="J503" s="430"/>
      <c r="K503" s="430"/>
      <c r="L503" s="430"/>
      <c r="M503" s="430"/>
      <c r="N503" s="430"/>
      <c r="O503" s="430"/>
      <c r="P503" s="430"/>
      <c r="Q503" s="430"/>
      <c r="R503" s="430"/>
      <c r="S503" s="430"/>
      <c r="T503" s="430"/>
      <c r="U503" s="430"/>
      <c r="V503" s="430"/>
      <c r="W503" s="430"/>
      <c r="X503" s="430"/>
      <c r="Y503" s="430"/>
      <c r="Z503" s="430"/>
      <c r="AA503" s="430"/>
    </row>
    <row r="504">
      <c r="A504" s="433"/>
      <c r="B504" s="430"/>
      <c r="C504" s="430"/>
      <c r="D504" s="430"/>
      <c r="E504" s="432"/>
      <c r="F504" s="430"/>
      <c r="G504" s="430"/>
      <c r="H504" s="430"/>
      <c r="I504" s="430"/>
      <c r="J504" s="430"/>
      <c r="K504" s="430"/>
      <c r="L504" s="430"/>
      <c r="M504" s="430"/>
      <c r="N504" s="430"/>
      <c r="O504" s="430"/>
      <c r="P504" s="430"/>
      <c r="Q504" s="430"/>
      <c r="R504" s="430"/>
      <c r="S504" s="430"/>
      <c r="T504" s="430"/>
      <c r="U504" s="430"/>
      <c r="V504" s="430"/>
      <c r="W504" s="430"/>
      <c r="X504" s="430"/>
      <c r="Y504" s="430"/>
      <c r="Z504" s="430"/>
      <c r="AA504" s="430"/>
    </row>
    <row r="505">
      <c r="A505" s="433"/>
      <c r="B505" s="430"/>
      <c r="C505" s="430"/>
      <c r="D505" s="430"/>
      <c r="E505" s="432"/>
      <c r="F505" s="430"/>
      <c r="G505" s="430"/>
      <c r="H505" s="430"/>
      <c r="I505" s="430"/>
      <c r="J505" s="430"/>
      <c r="K505" s="430"/>
      <c r="L505" s="430"/>
      <c r="M505" s="430"/>
      <c r="N505" s="430"/>
      <c r="O505" s="430"/>
      <c r="P505" s="430"/>
      <c r="Q505" s="430"/>
      <c r="R505" s="430"/>
      <c r="S505" s="430"/>
      <c r="T505" s="430"/>
      <c r="U505" s="430"/>
      <c r="V505" s="430"/>
      <c r="W505" s="430"/>
      <c r="X505" s="430"/>
      <c r="Y505" s="430"/>
      <c r="Z505" s="430"/>
      <c r="AA505" s="430"/>
    </row>
    <row r="506">
      <c r="A506" s="433"/>
      <c r="B506" s="430"/>
      <c r="C506" s="430"/>
      <c r="D506" s="430"/>
      <c r="E506" s="432"/>
      <c r="F506" s="430"/>
      <c r="G506" s="430"/>
      <c r="H506" s="430"/>
      <c r="I506" s="430"/>
      <c r="J506" s="430"/>
      <c r="K506" s="430"/>
      <c r="L506" s="430"/>
      <c r="M506" s="430"/>
      <c r="N506" s="430"/>
      <c r="O506" s="430"/>
      <c r="P506" s="430"/>
      <c r="Q506" s="430"/>
      <c r="R506" s="430"/>
      <c r="S506" s="430"/>
      <c r="T506" s="430"/>
      <c r="U506" s="430"/>
      <c r="V506" s="430"/>
      <c r="W506" s="430"/>
      <c r="X506" s="430"/>
      <c r="Y506" s="430"/>
      <c r="Z506" s="430"/>
      <c r="AA506" s="430"/>
    </row>
    <row r="507">
      <c r="A507" s="433"/>
      <c r="B507" s="430"/>
      <c r="C507" s="430"/>
      <c r="D507" s="430"/>
      <c r="E507" s="432"/>
      <c r="F507" s="430"/>
      <c r="G507" s="430"/>
      <c r="H507" s="430"/>
      <c r="I507" s="430"/>
      <c r="J507" s="430"/>
      <c r="K507" s="430"/>
      <c r="L507" s="430"/>
      <c r="M507" s="430"/>
      <c r="N507" s="430"/>
      <c r="O507" s="430"/>
      <c r="P507" s="430"/>
      <c r="Q507" s="430"/>
      <c r="R507" s="430"/>
      <c r="S507" s="430"/>
      <c r="T507" s="430"/>
      <c r="U507" s="430"/>
      <c r="V507" s="430"/>
      <c r="W507" s="430"/>
      <c r="X507" s="430"/>
      <c r="Y507" s="430"/>
      <c r="Z507" s="430"/>
      <c r="AA507" s="430"/>
    </row>
    <row r="508">
      <c r="A508" s="433"/>
      <c r="B508" s="430"/>
      <c r="C508" s="430"/>
      <c r="D508" s="430"/>
      <c r="E508" s="432"/>
      <c r="F508" s="430"/>
      <c r="G508" s="430"/>
      <c r="H508" s="430"/>
      <c r="I508" s="430"/>
      <c r="J508" s="430"/>
      <c r="K508" s="430"/>
      <c r="L508" s="430"/>
      <c r="M508" s="430"/>
      <c r="N508" s="430"/>
      <c r="O508" s="430"/>
      <c r="P508" s="430"/>
      <c r="Q508" s="430"/>
      <c r="R508" s="430"/>
      <c r="S508" s="430"/>
      <c r="T508" s="430"/>
      <c r="U508" s="430"/>
      <c r="V508" s="430"/>
      <c r="W508" s="430"/>
      <c r="X508" s="430"/>
      <c r="Y508" s="430"/>
      <c r="Z508" s="430"/>
      <c r="AA508" s="430"/>
    </row>
    <row r="509">
      <c r="A509" s="433"/>
      <c r="B509" s="430"/>
      <c r="C509" s="430"/>
      <c r="D509" s="430"/>
      <c r="E509" s="432"/>
      <c r="F509" s="430"/>
      <c r="G509" s="430"/>
      <c r="H509" s="430"/>
      <c r="I509" s="430"/>
      <c r="J509" s="430"/>
      <c r="K509" s="430"/>
      <c r="L509" s="430"/>
      <c r="M509" s="430"/>
      <c r="N509" s="430"/>
      <c r="O509" s="430"/>
      <c r="P509" s="430"/>
      <c r="Q509" s="430"/>
      <c r="R509" s="430"/>
      <c r="S509" s="430"/>
      <c r="T509" s="430"/>
      <c r="U509" s="430"/>
      <c r="V509" s="430"/>
      <c r="W509" s="430"/>
      <c r="X509" s="430"/>
      <c r="Y509" s="430"/>
      <c r="Z509" s="430"/>
      <c r="AA509" s="430"/>
    </row>
    <row r="510">
      <c r="A510" s="433"/>
      <c r="B510" s="430"/>
      <c r="C510" s="430"/>
      <c r="D510" s="430"/>
      <c r="E510" s="432"/>
      <c r="F510" s="430"/>
      <c r="G510" s="430"/>
      <c r="H510" s="430"/>
      <c r="I510" s="430"/>
      <c r="J510" s="430"/>
      <c r="K510" s="430"/>
      <c r="L510" s="430"/>
      <c r="M510" s="430"/>
      <c r="N510" s="430"/>
      <c r="O510" s="430"/>
      <c r="P510" s="430"/>
      <c r="Q510" s="430"/>
      <c r="R510" s="430"/>
      <c r="S510" s="430"/>
      <c r="T510" s="430"/>
      <c r="U510" s="430"/>
      <c r="V510" s="430"/>
      <c r="W510" s="430"/>
      <c r="X510" s="430"/>
      <c r="Y510" s="430"/>
      <c r="Z510" s="430"/>
      <c r="AA510" s="430"/>
    </row>
    <row r="511">
      <c r="A511" s="433"/>
      <c r="B511" s="430"/>
      <c r="C511" s="430"/>
      <c r="D511" s="430"/>
      <c r="E511" s="432"/>
      <c r="F511" s="430"/>
      <c r="G511" s="430"/>
      <c r="H511" s="430"/>
      <c r="I511" s="430"/>
      <c r="J511" s="430"/>
      <c r="K511" s="430"/>
      <c r="L511" s="430"/>
      <c r="M511" s="430"/>
      <c r="N511" s="430"/>
      <c r="O511" s="430"/>
      <c r="P511" s="430"/>
      <c r="Q511" s="430"/>
      <c r="R511" s="430"/>
      <c r="S511" s="430"/>
      <c r="T511" s="430"/>
      <c r="U511" s="430"/>
      <c r="V511" s="430"/>
      <c r="W511" s="430"/>
      <c r="X511" s="430"/>
      <c r="Y511" s="430"/>
      <c r="Z511" s="430"/>
      <c r="AA511" s="430"/>
    </row>
    <row r="512">
      <c r="A512" s="433"/>
      <c r="B512" s="430"/>
      <c r="C512" s="430"/>
      <c r="D512" s="430"/>
      <c r="E512" s="432"/>
      <c r="F512" s="430"/>
      <c r="G512" s="430"/>
      <c r="H512" s="430"/>
      <c r="I512" s="430"/>
      <c r="J512" s="430"/>
      <c r="K512" s="430"/>
      <c r="L512" s="430"/>
      <c r="M512" s="430"/>
      <c r="N512" s="430"/>
      <c r="O512" s="430"/>
      <c r="P512" s="430"/>
      <c r="Q512" s="430"/>
      <c r="R512" s="430"/>
      <c r="S512" s="430"/>
      <c r="T512" s="430"/>
      <c r="U512" s="430"/>
      <c r="V512" s="430"/>
      <c r="W512" s="430"/>
      <c r="X512" s="430"/>
      <c r="Y512" s="430"/>
      <c r="Z512" s="430"/>
      <c r="AA512" s="430"/>
    </row>
    <row r="513">
      <c r="A513" s="433"/>
      <c r="B513" s="430"/>
      <c r="C513" s="430"/>
      <c r="D513" s="430"/>
      <c r="E513" s="432"/>
      <c r="F513" s="430"/>
      <c r="G513" s="430"/>
      <c r="H513" s="430"/>
      <c r="I513" s="430"/>
      <c r="J513" s="430"/>
      <c r="K513" s="430"/>
      <c r="L513" s="430"/>
      <c r="M513" s="430"/>
      <c r="N513" s="430"/>
      <c r="O513" s="430"/>
      <c r="P513" s="430"/>
      <c r="Q513" s="430"/>
      <c r="R513" s="430"/>
      <c r="S513" s="430"/>
      <c r="T513" s="430"/>
      <c r="U513" s="430"/>
      <c r="V513" s="430"/>
      <c r="W513" s="430"/>
      <c r="X513" s="430"/>
      <c r="Y513" s="430"/>
      <c r="Z513" s="430"/>
      <c r="AA513" s="430"/>
    </row>
    <row r="514">
      <c r="A514" s="433"/>
      <c r="B514" s="430"/>
      <c r="C514" s="430"/>
      <c r="D514" s="430"/>
      <c r="E514" s="432"/>
      <c r="F514" s="430"/>
      <c r="G514" s="430"/>
      <c r="H514" s="430"/>
      <c r="I514" s="430"/>
      <c r="J514" s="430"/>
      <c r="K514" s="430"/>
      <c r="L514" s="430"/>
      <c r="M514" s="430"/>
      <c r="N514" s="430"/>
      <c r="O514" s="430"/>
      <c r="P514" s="430"/>
      <c r="Q514" s="430"/>
      <c r="R514" s="430"/>
      <c r="S514" s="430"/>
      <c r="T514" s="430"/>
      <c r="U514" s="430"/>
      <c r="V514" s="430"/>
      <c r="W514" s="430"/>
      <c r="X514" s="430"/>
      <c r="Y514" s="430"/>
      <c r="Z514" s="430"/>
      <c r="AA514" s="430"/>
    </row>
    <row r="515">
      <c r="A515" s="433"/>
      <c r="B515" s="430"/>
      <c r="C515" s="430"/>
      <c r="D515" s="430"/>
      <c r="E515" s="432"/>
      <c r="F515" s="430"/>
      <c r="G515" s="430"/>
      <c r="H515" s="430"/>
      <c r="I515" s="430"/>
      <c r="J515" s="430"/>
      <c r="K515" s="430"/>
      <c r="L515" s="430"/>
      <c r="M515" s="430"/>
      <c r="N515" s="430"/>
      <c r="O515" s="430"/>
      <c r="P515" s="430"/>
      <c r="Q515" s="430"/>
      <c r="R515" s="430"/>
      <c r="S515" s="430"/>
      <c r="T515" s="430"/>
      <c r="U515" s="430"/>
      <c r="V515" s="430"/>
      <c r="W515" s="430"/>
      <c r="X515" s="430"/>
      <c r="Y515" s="430"/>
      <c r="Z515" s="430"/>
      <c r="AA515" s="430"/>
    </row>
    <row r="516">
      <c r="A516" s="433"/>
      <c r="B516" s="430"/>
      <c r="C516" s="430"/>
      <c r="D516" s="430"/>
      <c r="E516" s="432"/>
      <c r="F516" s="430"/>
      <c r="G516" s="430"/>
      <c r="H516" s="430"/>
      <c r="I516" s="430"/>
      <c r="J516" s="430"/>
      <c r="K516" s="430"/>
      <c r="L516" s="430"/>
      <c r="M516" s="430"/>
      <c r="N516" s="430"/>
      <c r="O516" s="430"/>
      <c r="P516" s="430"/>
      <c r="Q516" s="430"/>
      <c r="R516" s="430"/>
      <c r="S516" s="430"/>
      <c r="T516" s="430"/>
      <c r="U516" s="430"/>
      <c r="V516" s="430"/>
      <c r="W516" s="430"/>
      <c r="X516" s="430"/>
      <c r="Y516" s="430"/>
      <c r="Z516" s="430"/>
      <c r="AA516" s="430"/>
    </row>
    <row r="517">
      <c r="A517" s="433"/>
      <c r="B517" s="430"/>
      <c r="C517" s="430"/>
      <c r="D517" s="430"/>
      <c r="E517" s="432"/>
      <c r="F517" s="430"/>
      <c r="G517" s="430"/>
      <c r="H517" s="430"/>
      <c r="I517" s="430"/>
      <c r="J517" s="430"/>
      <c r="K517" s="430"/>
      <c r="L517" s="430"/>
      <c r="M517" s="430"/>
      <c r="N517" s="430"/>
      <c r="O517" s="430"/>
      <c r="P517" s="430"/>
      <c r="Q517" s="430"/>
      <c r="R517" s="430"/>
      <c r="S517" s="430"/>
      <c r="T517" s="430"/>
      <c r="U517" s="430"/>
      <c r="V517" s="430"/>
      <c r="W517" s="430"/>
      <c r="X517" s="430"/>
      <c r="Y517" s="430"/>
      <c r="Z517" s="430"/>
      <c r="AA517" s="430"/>
    </row>
    <row r="518">
      <c r="A518" s="433"/>
      <c r="B518" s="430"/>
      <c r="C518" s="430"/>
      <c r="D518" s="430"/>
      <c r="E518" s="432"/>
      <c r="F518" s="430"/>
      <c r="G518" s="430"/>
      <c r="H518" s="430"/>
      <c r="I518" s="430"/>
      <c r="J518" s="430"/>
      <c r="K518" s="430"/>
      <c r="L518" s="430"/>
      <c r="M518" s="430"/>
      <c r="N518" s="430"/>
      <c r="O518" s="430"/>
      <c r="P518" s="430"/>
      <c r="Q518" s="430"/>
      <c r="R518" s="430"/>
      <c r="S518" s="430"/>
      <c r="T518" s="430"/>
      <c r="U518" s="430"/>
      <c r="V518" s="430"/>
      <c r="W518" s="430"/>
      <c r="X518" s="430"/>
      <c r="Y518" s="430"/>
      <c r="Z518" s="430"/>
      <c r="AA518" s="430"/>
    </row>
    <row r="519">
      <c r="A519" s="433"/>
      <c r="B519" s="430"/>
      <c r="C519" s="430"/>
      <c r="D519" s="430"/>
      <c r="E519" s="432"/>
      <c r="F519" s="430"/>
      <c r="G519" s="430"/>
      <c r="H519" s="430"/>
      <c r="I519" s="430"/>
      <c r="J519" s="430"/>
      <c r="K519" s="430"/>
      <c r="L519" s="430"/>
      <c r="M519" s="430"/>
      <c r="N519" s="430"/>
      <c r="O519" s="430"/>
      <c r="P519" s="430"/>
      <c r="Q519" s="430"/>
      <c r="R519" s="430"/>
      <c r="S519" s="430"/>
      <c r="T519" s="430"/>
      <c r="U519" s="430"/>
      <c r="V519" s="430"/>
      <c r="W519" s="430"/>
      <c r="X519" s="430"/>
      <c r="Y519" s="430"/>
      <c r="Z519" s="430"/>
      <c r="AA519" s="430"/>
    </row>
    <row r="520">
      <c r="A520" s="433"/>
      <c r="B520" s="430"/>
      <c r="C520" s="430"/>
      <c r="D520" s="430"/>
      <c r="E520" s="432"/>
      <c r="F520" s="430"/>
      <c r="G520" s="430"/>
      <c r="H520" s="430"/>
      <c r="I520" s="430"/>
      <c r="J520" s="430"/>
      <c r="K520" s="430"/>
      <c r="L520" s="430"/>
      <c r="M520" s="430"/>
      <c r="N520" s="430"/>
      <c r="O520" s="430"/>
      <c r="P520" s="430"/>
      <c r="Q520" s="430"/>
      <c r="R520" s="430"/>
      <c r="S520" s="430"/>
      <c r="T520" s="430"/>
      <c r="U520" s="430"/>
      <c r="V520" s="430"/>
      <c r="W520" s="430"/>
      <c r="X520" s="430"/>
      <c r="Y520" s="430"/>
      <c r="Z520" s="430"/>
      <c r="AA520" s="430"/>
    </row>
    <row r="521">
      <c r="A521" s="433"/>
      <c r="B521" s="430"/>
      <c r="C521" s="430"/>
      <c r="D521" s="430"/>
      <c r="E521" s="432"/>
      <c r="F521" s="430"/>
      <c r="G521" s="430"/>
      <c r="H521" s="430"/>
      <c r="I521" s="430"/>
      <c r="J521" s="430"/>
      <c r="K521" s="430"/>
      <c r="L521" s="430"/>
      <c r="M521" s="430"/>
      <c r="N521" s="430"/>
      <c r="O521" s="430"/>
      <c r="P521" s="430"/>
      <c r="Q521" s="430"/>
      <c r="R521" s="430"/>
      <c r="S521" s="430"/>
      <c r="T521" s="430"/>
      <c r="U521" s="430"/>
      <c r="V521" s="430"/>
      <c r="W521" s="430"/>
      <c r="X521" s="430"/>
      <c r="Y521" s="430"/>
      <c r="Z521" s="430"/>
      <c r="AA521" s="430"/>
    </row>
    <row r="522">
      <c r="A522" s="433"/>
      <c r="B522" s="430"/>
      <c r="C522" s="430"/>
      <c r="D522" s="430"/>
      <c r="E522" s="432"/>
      <c r="F522" s="430"/>
      <c r="G522" s="430"/>
      <c r="H522" s="430"/>
      <c r="I522" s="430"/>
      <c r="J522" s="430"/>
      <c r="K522" s="430"/>
      <c r="L522" s="430"/>
      <c r="M522" s="430"/>
      <c r="N522" s="430"/>
      <c r="O522" s="430"/>
      <c r="P522" s="430"/>
      <c r="Q522" s="430"/>
      <c r="R522" s="430"/>
      <c r="S522" s="430"/>
      <c r="T522" s="430"/>
      <c r="U522" s="430"/>
      <c r="V522" s="430"/>
      <c r="W522" s="430"/>
      <c r="X522" s="430"/>
      <c r="Y522" s="430"/>
      <c r="Z522" s="430"/>
      <c r="AA522" s="430"/>
    </row>
    <row r="523">
      <c r="A523" s="433"/>
      <c r="B523" s="430"/>
      <c r="C523" s="430"/>
      <c r="D523" s="430"/>
      <c r="E523" s="432"/>
      <c r="F523" s="430"/>
      <c r="G523" s="430"/>
      <c r="H523" s="430"/>
      <c r="I523" s="430"/>
      <c r="J523" s="430"/>
      <c r="K523" s="430"/>
      <c r="L523" s="430"/>
      <c r="M523" s="430"/>
      <c r="N523" s="430"/>
      <c r="O523" s="430"/>
      <c r="P523" s="430"/>
      <c r="Q523" s="430"/>
      <c r="R523" s="430"/>
      <c r="S523" s="430"/>
      <c r="T523" s="430"/>
      <c r="U523" s="430"/>
      <c r="V523" s="430"/>
      <c r="W523" s="430"/>
      <c r="X523" s="430"/>
      <c r="Y523" s="430"/>
      <c r="Z523" s="430"/>
      <c r="AA523" s="430"/>
    </row>
    <row r="524">
      <c r="A524" s="433"/>
      <c r="B524" s="430"/>
      <c r="C524" s="430"/>
      <c r="D524" s="430"/>
      <c r="E524" s="432"/>
      <c r="F524" s="430"/>
      <c r="G524" s="430"/>
      <c r="H524" s="430"/>
      <c r="I524" s="430"/>
      <c r="J524" s="430"/>
      <c r="K524" s="430"/>
      <c r="L524" s="430"/>
      <c r="M524" s="430"/>
      <c r="N524" s="430"/>
      <c r="O524" s="430"/>
      <c r="P524" s="430"/>
      <c r="Q524" s="430"/>
      <c r="R524" s="430"/>
      <c r="S524" s="430"/>
      <c r="T524" s="430"/>
      <c r="U524" s="430"/>
      <c r="V524" s="430"/>
      <c r="W524" s="430"/>
      <c r="X524" s="430"/>
      <c r="Y524" s="430"/>
      <c r="Z524" s="430"/>
      <c r="AA524" s="430"/>
    </row>
    <row r="525">
      <c r="A525" s="433"/>
      <c r="B525" s="430"/>
      <c r="C525" s="430"/>
      <c r="D525" s="430"/>
      <c r="E525" s="432"/>
      <c r="F525" s="430"/>
      <c r="G525" s="430"/>
      <c r="H525" s="430"/>
      <c r="I525" s="430"/>
      <c r="J525" s="430"/>
      <c r="K525" s="430"/>
      <c r="L525" s="430"/>
      <c r="M525" s="430"/>
      <c r="N525" s="430"/>
      <c r="O525" s="430"/>
      <c r="P525" s="430"/>
      <c r="Q525" s="430"/>
      <c r="R525" s="430"/>
      <c r="S525" s="430"/>
      <c r="T525" s="430"/>
      <c r="U525" s="430"/>
      <c r="V525" s="430"/>
      <c r="W525" s="430"/>
      <c r="X525" s="430"/>
      <c r="Y525" s="430"/>
      <c r="Z525" s="430"/>
      <c r="AA525" s="430"/>
    </row>
    <row r="526">
      <c r="A526" s="433"/>
      <c r="B526" s="430"/>
      <c r="C526" s="430"/>
      <c r="D526" s="430"/>
      <c r="E526" s="432"/>
      <c r="F526" s="430"/>
      <c r="G526" s="430"/>
      <c r="H526" s="430"/>
      <c r="I526" s="430"/>
      <c r="J526" s="430"/>
      <c r="K526" s="430"/>
      <c r="L526" s="430"/>
      <c r="M526" s="430"/>
      <c r="N526" s="430"/>
      <c r="O526" s="430"/>
      <c r="P526" s="430"/>
      <c r="Q526" s="430"/>
      <c r="R526" s="430"/>
      <c r="S526" s="430"/>
      <c r="T526" s="430"/>
      <c r="U526" s="430"/>
      <c r="V526" s="430"/>
      <c r="W526" s="430"/>
      <c r="X526" s="430"/>
      <c r="Y526" s="430"/>
      <c r="Z526" s="430"/>
      <c r="AA526" s="430"/>
    </row>
    <row r="527">
      <c r="A527" s="433"/>
      <c r="B527" s="430"/>
      <c r="C527" s="430"/>
      <c r="D527" s="430"/>
      <c r="E527" s="432"/>
      <c r="F527" s="430"/>
      <c r="G527" s="430"/>
      <c r="H527" s="430"/>
      <c r="I527" s="430"/>
      <c r="J527" s="430"/>
      <c r="K527" s="430"/>
      <c r="L527" s="430"/>
      <c r="M527" s="430"/>
      <c r="N527" s="430"/>
      <c r="O527" s="430"/>
      <c r="P527" s="430"/>
      <c r="Q527" s="430"/>
      <c r="R527" s="430"/>
      <c r="S527" s="430"/>
      <c r="T527" s="430"/>
      <c r="U527" s="430"/>
      <c r="V527" s="430"/>
      <c r="W527" s="430"/>
      <c r="X527" s="430"/>
      <c r="Y527" s="430"/>
      <c r="Z527" s="430"/>
      <c r="AA527" s="430"/>
    </row>
    <row r="528">
      <c r="A528" s="433"/>
      <c r="B528" s="430"/>
      <c r="C528" s="430"/>
      <c r="D528" s="430"/>
      <c r="E528" s="432"/>
      <c r="F528" s="430"/>
      <c r="G528" s="430"/>
      <c r="H528" s="430"/>
      <c r="I528" s="430"/>
      <c r="J528" s="430"/>
      <c r="K528" s="430"/>
      <c r="L528" s="430"/>
      <c r="M528" s="430"/>
      <c r="N528" s="430"/>
      <c r="O528" s="430"/>
      <c r="P528" s="430"/>
      <c r="Q528" s="430"/>
      <c r="R528" s="430"/>
      <c r="S528" s="430"/>
      <c r="T528" s="430"/>
      <c r="U528" s="430"/>
      <c r="V528" s="430"/>
      <c r="W528" s="430"/>
      <c r="X528" s="430"/>
      <c r="Y528" s="430"/>
      <c r="Z528" s="430"/>
      <c r="AA528" s="430"/>
    </row>
    <row r="529">
      <c r="A529" s="433"/>
      <c r="B529" s="430"/>
      <c r="C529" s="430"/>
      <c r="D529" s="430"/>
      <c r="E529" s="432"/>
      <c r="F529" s="430"/>
      <c r="G529" s="430"/>
      <c r="H529" s="430"/>
      <c r="I529" s="430"/>
      <c r="J529" s="430"/>
      <c r="K529" s="430"/>
      <c r="L529" s="430"/>
      <c r="M529" s="430"/>
      <c r="N529" s="430"/>
      <c r="O529" s="430"/>
      <c r="P529" s="430"/>
      <c r="Q529" s="430"/>
      <c r="R529" s="430"/>
      <c r="S529" s="430"/>
      <c r="T529" s="430"/>
      <c r="U529" s="430"/>
      <c r="V529" s="430"/>
      <c r="W529" s="430"/>
      <c r="X529" s="430"/>
      <c r="Y529" s="430"/>
      <c r="Z529" s="430"/>
      <c r="AA529" s="430"/>
    </row>
    <row r="530">
      <c r="A530" s="433"/>
      <c r="B530" s="430"/>
      <c r="C530" s="430"/>
      <c r="D530" s="430"/>
      <c r="E530" s="432"/>
      <c r="F530" s="430"/>
      <c r="G530" s="430"/>
      <c r="H530" s="430"/>
      <c r="I530" s="430"/>
      <c r="J530" s="430"/>
      <c r="K530" s="430"/>
      <c r="L530" s="430"/>
      <c r="M530" s="430"/>
      <c r="N530" s="430"/>
      <c r="O530" s="430"/>
      <c r="P530" s="430"/>
      <c r="Q530" s="430"/>
      <c r="R530" s="430"/>
      <c r="S530" s="430"/>
      <c r="T530" s="430"/>
      <c r="U530" s="430"/>
      <c r="V530" s="430"/>
      <c r="W530" s="430"/>
      <c r="X530" s="430"/>
      <c r="Y530" s="430"/>
      <c r="Z530" s="430"/>
      <c r="AA530" s="430"/>
    </row>
    <row r="531">
      <c r="A531" s="433"/>
      <c r="B531" s="430"/>
      <c r="C531" s="430"/>
      <c r="D531" s="430"/>
      <c r="E531" s="432"/>
      <c r="F531" s="430"/>
      <c r="G531" s="430"/>
      <c r="H531" s="430"/>
      <c r="I531" s="430"/>
      <c r="J531" s="430"/>
      <c r="K531" s="430"/>
      <c r="L531" s="430"/>
      <c r="M531" s="430"/>
      <c r="N531" s="430"/>
      <c r="O531" s="430"/>
      <c r="P531" s="430"/>
      <c r="Q531" s="430"/>
      <c r="R531" s="430"/>
      <c r="S531" s="430"/>
      <c r="T531" s="430"/>
      <c r="U531" s="430"/>
      <c r="V531" s="430"/>
      <c r="W531" s="430"/>
      <c r="X531" s="430"/>
      <c r="Y531" s="430"/>
      <c r="Z531" s="430"/>
      <c r="AA531" s="430"/>
    </row>
    <row r="532">
      <c r="A532" s="433"/>
      <c r="B532" s="430"/>
      <c r="C532" s="430"/>
      <c r="D532" s="430"/>
      <c r="E532" s="432"/>
      <c r="F532" s="430"/>
      <c r="G532" s="430"/>
      <c r="H532" s="430"/>
      <c r="I532" s="430"/>
      <c r="J532" s="430"/>
      <c r="K532" s="430"/>
      <c r="L532" s="430"/>
      <c r="M532" s="430"/>
      <c r="N532" s="430"/>
      <c r="O532" s="430"/>
      <c r="P532" s="430"/>
      <c r="Q532" s="430"/>
      <c r="R532" s="430"/>
      <c r="S532" s="430"/>
      <c r="T532" s="430"/>
      <c r="U532" s="430"/>
      <c r="V532" s="430"/>
      <c r="W532" s="430"/>
      <c r="X532" s="430"/>
      <c r="Y532" s="430"/>
      <c r="Z532" s="430"/>
      <c r="AA532" s="430"/>
    </row>
    <row r="533">
      <c r="A533" s="433"/>
      <c r="B533" s="430"/>
      <c r="C533" s="430"/>
      <c r="D533" s="430"/>
      <c r="E533" s="432"/>
      <c r="F533" s="430"/>
      <c r="G533" s="430"/>
      <c r="H533" s="430"/>
      <c r="I533" s="430"/>
      <c r="J533" s="430"/>
      <c r="K533" s="430"/>
      <c r="L533" s="430"/>
      <c r="M533" s="430"/>
      <c r="N533" s="430"/>
      <c r="O533" s="430"/>
      <c r="P533" s="430"/>
      <c r="Q533" s="430"/>
      <c r="R533" s="430"/>
      <c r="S533" s="430"/>
      <c r="T533" s="430"/>
      <c r="U533" s="430"/>
      <c r="V533" s="430"/>
      <c r="W533" s="430"/>
      <c r="X533" s="430"/>
      <c r="Y533" s="430"/>
      <c r="Z533" s="430"/>
      <c r="AA533" s="430"/>
    </row>
    <row r="534">
      <c r="A534" s="433"/>
      <c r="B534" s="430"/>
      <c r="C534" s="430"/>
      <c r="D534" s="430"/>
      <c r="E534" s="432"/>
      <c r="F534" s="430"/>
      <c r="G534" s="430"/>
      <c r="H534" s="430"/>
      <c r="I534" s="430"/>
      <c r="J534" s="430"/>
      <c r="K534" s="430"/>
      <c r="L534" s="430"/>
      <c r="M534" s="430"/>
      <c r="N534" s="430"/>
      <c r="O534" s="430"/>
      <c r="P534" s="430"/>
      <c r="Q534" s="430"/>
      <c r="R534" s="430"/>
      <c r="S534" s="430"/>
      <c r="T534" s="430"/>
      <c r="U534" s="430"/>
      <c r="V534" s="430"/>
      <c r="W534" s="430"/>
      <c r="X534" s="430"/>
      <c r="Y534" s="430"/>
      <c r="Z534" s="430"/>
      <c r="AA534" s="430"/>
    </row>
    <row r="535">
      <c r="A535" s="433"/>
      <c r="B535" s="430"/>
      <c r="C535" s="430"/>
      <c r="D535" s="430"/>
      <c r="E535" s="432"/>
      <c r="F535" s="430"/>
      <c r="G535" s="430"/>
      <c r="H535" s="430"/>
      <c r="I535" s="430"/>
      <c r="J535" s="430"/>
      <c r="K535" s="430"/>
      <c r="L535" s="430"/>
      <c r="M535" s="430"/>
      <c r="N535" s="430"/>
      <c r="O535" s="430"/>
      <c r="P535" s="430"/>
      <c r="Q535" s="430"/>
      <c r="R535" s="430"/>
      <c r="S535" s="430"/>
      <c r="T535" s="430"/>
      <c r="U535" s="430"/>
      <c r="V535" s="430"/>
      <c r="W535" s="430"/>
      <c r="X535" s="430"/>
      <c r="Y535" s="430"/>
      <c r="Z535" s="430"/>
      <c r="AA535" s="430"/>
    </row>
    <row r="536">
      <c r="A536" s="433"/>
      <c r="B536" s="430"/>
      <c r="C536" s="430"/>
      <c r="D536" s="430"/>
      <c r="E536" s="432"/>
      <c r="F536" s="430"/>
      <c r="G536" s="430"/>
      <c r="H536" s="430"/>
      <c r="I536" s="430"/>
      <c r="J536" s="430"/>
      <c r="K536" s="430"/>
      <c r="L536" s="430"/>
      <c r="M536" s="430"/>
      <c r="N536" s="430"/>
      <c r="O536" s="430"/>
      <c r="P536" s="430"/>
      <c r="Q536" s="430"/>
      <c r="R536" s="430"/>
      <c r="S536" s="430"/>
      <c r="T536" s="430"/>
      <c r="U536" s="430"/>
      <c r="V536" s="430"/>
      <c r="W536" s="430"/>
      <c r="X536" s="430"/>
      <c r="Y536" s="430"/>
      <c r="Z536" s="430"/>
      <c r="AA536" s="430"/>
    </row>
    <row r="537">
      <c r="A537" s="433"/>
      <c r="B537" s="430"/>
      <c r="C537" s="430"/>
      <c r="D537" s="430"/>
      <c r="E537" s="432"/>
      <c r="F537" s="430"/>
      <c r="G537" s="430"/>
      <c r="H537" s="430"/>
      <c r="I537" s="430"/>
      <c r="J537" s="430"/>
      <c r="K537" s="430"/>
      <c r="L537" s="430"/>
      <c r="M537" s="430"/>
      <c r="N537" s="430"/>
      <c r="O537" s="430"/>
      <c r="P537" s="430"/>
      <c r="Q537" s="430"/>
      <c r="R537" s="430"/>
      <c r="S537" s="430"/>
      <c r="T537" s="430"/>
      <c r="U537" s="430"/>
      <c r="V537" s="430"/>
      <c r="W537" s="430"/>
      <c r="X537" s="430"/>
      <c r="Y537" s="430"/>
      <c r="Z537" s="430"/>
      <c r="AA537" s="430"/>
    </row>
    <row r="538">
      <c r="A538" s="433"/>
      <c r="B538" s="430"/>
      <c r="C538" s="430"/>
      <c r="D538" s="430"/>
      <c r="E538" s="432"/>
      <c r="F538" s="430"/>
      <c r="G538" s="430"/>
      <c r="H538" s="430"/>
      <c r="I538" s="430"/>
      <c r="J538" s="430"/>
      <c r="K538" s="430"/>
      <c r="L538" s="430"/>
      <c r="M538" s="430"/>
      <c r="N538" s="430"/>
      <c r="O538" s="430"/>
      <c r="P538" s="430"/>
      <c r="Q538" s="430"/>
      <c r="R538" s="430"/>
      <c r="S538" s="430"/>
      <c r="T538" s="430"/>
      <c r="U538" s="430"/>
      <c r="V538" s="430"/>
      <c r="W538" s="430"/>
      <c r="X538" s="430"/>
      <c r="Y538" s="430"/>
      <c r="Z538" s="430"/>
      <c r="AA538" s="430"/>
    </row>
    <row r="539">
      <c r="A539" s="433"/>
      <c r="B539" s="430"/>
      <c r="C539" s="430"/>
      <c r="D539" s="430"/>
      <c r="E539" s="432"/>
      <c r="F539" s="430"/>
      <c r="G539" s="430"/>
      <c r="H539" s="430"/>
      <c r="I539" s="430"/>
      <c r="J539" s="430"/>
      <c r="K539" s="430"/>
      <c r="L539" s="430"/>
      <c r="M539" s="430"/>
      <c r="N539" s="430"/>
      <c r="O539" s="430"/>
      <c r="P539" s="430"/>
      <c r="Q539" s="430"/>
      <c r="R539" s="430"/>
      <c r="S539" s="430"/>
      <c r="T539" s="430"/>
      <c r="U539" s="430"/>
      <c r="V539" s="430"/>
      <c r="W539" s="430"/>
      <c r="X539" s="430"/>
      <c r="Y539" s="430"/>
      <c r="Z539" s="430"/>
      <c r="AA539" s="430"/>
    </row>
    <row r="540">
      <c r="A540" s="433"/>
      <c r="B540" s="430"/>
      <c r="C540" s="430"/>
      <c r="D540" s="430"/>
      <c r="E540" s="432"/>
      <c r="F540" s="430"/>
      <c r="G540" s="430"/>
      <c r="H540" s="430"/>
      <c r="I540" s="430"/>
      <c r="J540" s="430"/>
      <c r="K540" s="430"/>
      <c r="L540" s="430"/>
      <c r="M540" s="430"/>
      <c r="N540" s="430"/>
      <c r="O540" s="430"/>
      <c r="P540" s="430"/>
      <c r="Q540" s="430"/>
      <c r="R540" s="430"/>
      <c r="S540" s="430"/>
      <c r="T540" s="430"/>
      <c r="U540" s="430"/>
      <c r="V540" s="430"/>
      <c r="W540" s="430"/>
      <c r="X540" s="430"/>
      <c r="Y540" s="430"/>
      <c r="Z540" s="430"/>
      <c r="AA540" s="430"/>
    </row>
    <row r="541">
      <c r="A541" s="433"/>
      <c r="B541" s="430"/>
      <c r="C541" s="430"/>
      <c r="D541" s="430"/>
      <c r="E541" s="432"/>
      <c r="F541" s="430"/>
      <c r="G541" s="430"/>
      <c r="H541" s="430"/>
      <c r="I541" s="430"/>
      <c r="J541" s="430"/>
      <c r="K541" s="430"/>
      <c r="L541" s="430"/>
      <c r="M541" s="430"/>
      <c r="N541" s="430"/>
      <c r="O541" s="430"/>
      <c r="P541" s="430"/>
      <c r="Q541" s="430"/>
      <c r="R541" s="430"/>
      <c r="S541" s="430"/>
      <c r="T541" s="430"/>
      <c r="U541" s="430"/>
      <c r="V541" s="430"/>
      <c r="W541" s="430"/>
      <c r="X541" s="430"/>
      <c r="Y541" s="430"/>
      <c r="Z541" s="430"/>
      <c r="AA541" s="430"/>
    </row>
    <row r="542">
      <c r="A542" s="433"/>
      <c r="B542" s="430"/>
      <c r="C542" s="430"/>
      <c r="D542" s="430"/>
      <c r="E542" s="432"/>
      <c r="F542" s="430"/>
      <c r="G542" s="430"/>
      <c r="H542" s="430"/>
      <c r="I542" s="430"/>
      <c r="J542" s="430"/>
      <c r="K542" s="430"/>
      <c r="L542" s="430"/>
      <c r="M542" s="430"/>
      <c r="N542" s="430"/>
      <c r="O542" s="430"/>
      <c r="P542" s="430"/>
      <c r="Q542" s="430"/>
      <c r="R542" s="430"/>
      <c r="S542" s="430"/>
      <c r="T542" s="430"/>
      <c r="U542" s="430"/>
      <c r="V542" s="430"/>
      <c r="W542" s="430"/>
      <c r="X542" s="430"/>
      <c r="Y542" s="430"/>
      <c r="Z542" s="430"/>
      <c r="AA542" s="430"/>
    </row>
    <row r="543">
      <c r="A543" s="433"/>
      <c r="B543" s="430"/>
      <c r="C543" s="430"/>
      <c r="D543" s="430"/>
      <c r="E543" s="432"/>
      <c r="F543" s="430"/>
      <c r="G543" s="430"/>
      <c r="H543" s="430"/>
      <c r="I543" s="430"/>
      <c r="J543" s="430"/>
      <c r="K543" s="430"/>
      <c r="L543" s="430"/>
      <c r="M543" s="430"/>
      <c r="N543" s="430"/>
      <c r="O543" s="430"/>
      <c r="P543" s="430"/>
      <c r="Q543" s="430"/>
      <c r="R543" s="430"/>
      <c r="S543" s="430"/>
      <c r="T543" s="430"/>
      <c r="U543" s="430"/>
      <c r="V543" s="430"/>
      <c r="W543" s="430"/>
      <c r="X543" s="430"/>
      <c r="Y543" s="430"/>
      <c r="Z543" s="430"/>
      <c r="AA543" s="430"/>
    </row>
    <row r="544">
      <c r="A544" s="433"/>
      <c r="B544" s="430"/>
      <c r="C544" s="430"/>
      <c r="D544" s="430"/>
      <c r="E544" s="432"/>
      <c r="F544" s="430"/>
      <c r="G544" s="430"/>
      <c r="H544" s="430"/>
      <c r="I544" s="430"/>
      <c r="J544" s="430"/>
      <c r="K544" s="430"/>
      <c r="L544" s="430"/>
      <c r="M544" s="430"/>
      <c r="N544" s="430"/>
      <c r="O544" s="430"/>
      <c r="P544" s="430"/>
      <c r="Q544" s="430"/>
      <c r="R544" s="430"/>
      <c r="S544" s="430"/>
      <c r="T544" s="430"/>
      <c r="U544" s="430"/>
      <c r="V544" s="430"/>
      <c r="W544" s="430"/>
      <c r="X544" s="430"/>
      <c r="Y544" s="430"/>
      <c r="Z544" s="430"/>
      <c r="AA544" s="430"/>
    </row>
    <row r="545">
      <c r="A545" s="433"/>
      <c r="B545" s="430"/>
      <c r="C545" s="430"/>
      <c r="D545" s="430"/>
      <c r="E545" s="432"/>
      <c r="F545" s="430"/>
      <c r="G545" s="430"/>
      <c r="H545" s="430"/>
      <c r="I545" s="430"/>
      <c r="J545" s="430"/>
      <c r="K545" s="430"/>
      <c r="L545" s="430"/>
      <c r="M545" s="430"/>
      <c r="N545" s="430"/>
      <c r="O545" s="430"/>
      <c r="P545" s="430"/>
      <c r="Q545" s="430"/>
      <c r="R545" s="430"/>
      <c r="S545" s="430"/>
      <c r="T545" s="430"/>
      <c r="U545" s="430"/>
      <c r="V545" s="430"/>
      <c r="W545" s="430"/>
      <c r="X545" s="430"/>
      <c r="Y545" s="430"/>
      <c r="Z545" s="430"/>
      <c r="AA545" s="430"/>
    </row>
    <row r="546">
      <c r="A546" s="433"/>
      <c r="B546" s="430"/>
      <c r="C546" s="430"/>
      <c r="D546" s="430"/>
      <c r="E546" s="432"/>
      <c r="F546" s="430"/>
      <c r="G546" s="430"/>
      <c r="H546" s="430"/>
      <c r="I546" s="430"/>
      <c r="J546" s="430"/>
      <c r="K546" s="430"/>
      <c r="L546" s="430"/>
      <c r="M546" s="430"/>
      <c r="N546" s="430"/>
      <c r="O546" s="430"/>
      <c r="P546" s="430"/>
      <c r="Q546" s="430"/>
      <c r="R546" s="430"/>
      <c r="S546" s="430"/>
      <c r="T546" s="430"/>
      <c r="U546" s="430"/>
      <c r="V546" s="430"/>
      <c r="W546" s="430"/>
      <c r="X546" s="430"/>
      <c r="Y546" s="430"/>
      <c r="Z546" s="430"/>
      <c r="AA546" s="430"/>
    </row>
    <row r="547">
      <c r="A547" s="433"/>
      <c r="B547" s="430"/>
      <c r="C547" s="430"/>
      <c r="D547" s="430"/>
      <c r="E547" s="432"/>
      <c r="F547" s="430"/>
      <c r="G547" s="430"/>
      <c r="H547" s="430"/>
      <c r="I547" s="430"/>
      <c r="J547" s="430"/>
      <c r="K547" s="430"/>
      <c r="L547" s="430"/>
      <c r="M547" s="430"/>
      <c r="N547" s="430"/>
      <c r="O547" s="430"/>
      <c r="P547" s="430"/>
      <c r="Q547" s="430"/>
      <c r="R547" s="430"/>
      <c r="S547" s="430"/>
      <c r="T547" s="430"/>
      <c r="U547" s="430"/>
      <c r="V547" s="430"/>
      <c r="W547" s="430"/>
      <c r="X547" s="430"/>
      <c r="Y547" s="430"/>
      <c r="Z547" s="430"/>
      <c r="AA547" s="430"/>
    </row>
    <row r="548">
      <c r="A548" s="433"/>
      <c r="B548" s="430"/>
      <c r="C548" s="430"/>
      <c r="D548" s="430"/>
      <c r="E548" s="432"/>
      <c r="F548" s="430"/>
      <c r="G548" s="430"/>
      <c r="H548" s="430"/>
      <c r="I548" s="430"/>
      <c r="J548" s="430"/>
      <c r="K548" s="430"/>
      <c r="L548" s="430"/>
      <c r="M548" s="430"/>
      <c r="N548" s="430"/>
      <c r="O548" s="430"/>
      <c r="P548" s="430"/>
      <c r="Q548" s="430"/>
      <c r="R548" s="430"/>
      <c r="S548" s="430"/>
      <c r="T548" s="430"/>
      <c r="U548" s="430"/>
      <c r="V548" s="430"/>
      <c r="W548" s="430"/>
      <c r="X548" s="430"/>
      <c r="Y548" s="430"/>
      <c r="Z548" s="430"/>
      <c r="AA548" s="430"/>
    </row>
    <row r="549">
      <c r="A549" s="433"/>
      <c r="B549" s="430"/>
      <c r="C549" s="430"/>
      <c r="D549" s="430"/>
      <c r="E549" s="432"/>
      <c r="F549" s="430"/>
      <c r="G549" s="430"/>
      <c r="H549" s="430"/>
      <c r="I549" s="430"/>
      <c r="J549" s="430"/>
      <c r="K549" s="430"/>
      <c r="L549" s="430"/>
      <c r="M549" s="430"/>
      <c r="N549" s="430"/>
      <c r="O549" s="430"/>
      <c r="P549" s="430"/>
      <c r="Q549" s="430"/>
      <c r="R549" s="430"/>
      <c r="S549" s="430"/>
      <c r="T549" s="430"/>
      <c r="U549" s="430"/>
      <c r="V549" s="430"/>
      <c r="W549" s="430"/>
      <c r="X549" s="430"/>
      <c r="Y549" s="430"/>
      <c r="Z549" s="430"/>
      <c r="AA549" s="430"/>
    </row>
    <row r="550">
      <c r="A550" s="433"/>
      <c r="B550" s="430"/>
      <c r="C550" s="430"/>
      <c r="D550" s="430"/>
      <c r="E550" s="432"/>
      <c r="F550" s="430"/>
      <c r="G550" s="430"/>
      <c r="H550" s="430"/>
      <c r="I550" s="430"/>
      <c r="J550" s="430"/>
      <c r="K550" s="430"/>
      <c r="L550" s="430"/>
      <c r="M550" s="430"/>
      <c r="N550" s="430"/>
      <c r="O550" s="430"/>
      <c r="P550" s="430"/>
      <c r="Q550" s="430"/>
      <c r="R550" s="430"/>
      <c r="S550" s="430"/>
      <c r="T550" s="430"/>
      <c r="U550" s="430"/>
      <c r="V550" s="430"/>
      <c r="W550" s="430"/>
      <c r="X550" s="430"/>
      <c r="Y550" s="430"/>
      <c r="Z550" s="430"/>
      <c r="AA550" s="430"/>
    </row>
    <row r="551">
      <c r="A551" s="433"/>
      <c r="B551" s="430"/>
      <c r="C551" s="430"/>
      <c r="D551" s="430"/>
      <c r="E551" s="432"/>
      <c r="F551" s="430"/>
      <c r="G551" s="430"/>
      <c r="H551" s="430"/>
      <c r="I551" s="430"/>
      <c r="J551" s="430"/>
      <c r="K551" s="430"/>
      <c r="L551" s="430"/>
      <c r="M551" s="430"/>
      <c r="N551" s="430"/>
      <c r="O551" s="430"/>
      <c r="P551" s="430"/>
      <c r="Q551" s="430"/>
      <c r="R551" s="430"/>
      <c r="S551" s="430"/>
      <c r="T551" s="430"/>
      <c r="U551" s="430"/>
      <c r="V551" s="430"/>
      <c r="W551" s="430"/>
      <c r="X551" s="430"/>
      <c r="Y551" s="430"/>
      <c r="Z551" s="430"/>
      <c r="AA551" s="430"/>
    </row>
    <row r="552">
      <c r="A552" s="433"/>
      <c r="B552" s="430"/>
      <c r="C552" s="430"/>
      <c r="D552" s="430"/>
      <c r="E552" s="432"/>
      <c r="F552" s="430"/>
      <c r="G552" s="430"/>
      <c r="H552" s="430"/>
      <c r="I552" s="430"/>
      <c r="J552" s="430"/>
      <c r="K552" s="430"/>
      <c r="L552" s="430"/>
      <c r="M552" s="430"/>
      <c r="N552" s="430"/>
      <c r="O552" s="430"/>
      <c r="P552" s="430"/>
      <c r="Q552" s="430"/>
      <c r="R552" s="430"/>
      <c r="S552" s="430"/>
      <c r="T552" s="430"/>
      <c r="U552" s="430"/>
      <c r="V552" s="430"/>
      <c r="W552" s="430"/>
      <c r="X552" s="430"/>
      <c r="Y552" s="430"/>
      <c r="Z552" s="430"/>
      <c r="AA552" s="430"/>
    </row>
    <row r="553">
      <c r="A553" s="433"/>
      <c r="B553" s="430"/>
      <c r="C553" s="430"/>
      <c r="D553" s="430"/>
      <c r="E553" s="432"/>
      <c r="F553" s="430"/>
      <c r="G553" s="430"/>
      <c r="H553" s="430"/>
      <c r="I553" s="430"/>
      <c r="J553" s="430"/>
      <c r="K553" s="430"/>
      <c r="L553" s="430"/>
      <c r="M553" s="430"/>
      <c r="N553" s="430"/>
      <c r="O553" s="430"/>
      <c r="P553" s="430"/>
      <c r="Q553" s="430"/>
      <c r="R553" s="430"/>
      <c r="S553" s="430"/>
      <c r="T553" s="430"/>
      <c r="U553" s="430"/>
      <c r="V553" s="430"/>
      <c r="W553" s="430"/>
      <c r="X553" s="430"/>
      <c r="Y553" s="430"/>
      <c r="Z553" s="430"/>
      <c r="AA553" s="430"/>
    </row>
    <row r="554">
      <c r="A554" s="433"/>
      <c r="B554" s="430"/>
      <c r="C554" s="430"/>
      <c r="D554" s="430"/>
      <c r="E554" s="432"/>
      <c r="F554" s="430"/>
      <c r="G554" s="430"/>
      <c r="H554" s="430"/>
      <c r="I554" s="430"/>
      <c r="J554" s="430"/>
      <c r="K554" s="430"/>
      <c r="L554" s="430"/>
      <c r="M554" s="430"/>
      <c r="N554" s="430"/>
      <c r="O554" s="430"/>
      <c r="P554" s="430"/>
      <c r="Q554" s="430"/>
      <c r="R554" s="430"/>
      <c r="S554" s="430"/>
      <c r="T554" s="430"/>
      <c r="U554" s="430"/>
      <c r="V554" s="430"/>
      <c r="W554" s="430"/>
      <c r="X554" s="430"/>
      <c r="Y554" s="430"/>
      <c r="Z554" s="430"/>
      <c r="AA554" s="430"/>
    </row>
    <row r="555">
      <c r="A555" s="433"/>
      <c r="B555" s="430"/>
      <c r="C555" s="430"/>
      <c r="D555" s="430"/>
      <c r="E555" s="432"/>
      <c r="F555" s="430"/>
      <c r="G555" s="430"/>
      <c r="H555" s="430"/>
      <c r="I555" s="430"/>
      <c r="J555" s="430"/>
      <c r="K555" s="430"/>
      <c r="L555" s="430"/>
      <c r="M555" s="430"/>
      <c r="N555" s="430"/>
      <c r="O555" s="430"/>
      <c r="P555" s="430"/>
      <c r="Q555" s="430"/>
      <c r="R555" s="430"/>
      <c r="S555" s="430"/>
      <c r="T555" s="430"/>
      <c r="U555" s="430"/>
      <c r="V555" s="430"/>
      <c r="W555" s="430"/>
      <c r="X555" s="430"/>
      <c r="Y555" s="430"/>
      <c r="Z555" s="430"/>
      <c r="AA555" s="430"/>
    </row>
    <row r="556">
      <c r="A556" s="433"/>
      <c r="B556" s="430"/>
      <c r="C556" s="430"/>
      <c r="D556" s="430"/>
      <c r="E556" s="432"/>
      <c r="F556" s="430"/>
      <c r="G556" s="430"/>
      <c r="H556" s="430"/>
      <c r="I556" s="430"/>
      <c r="J556" s="430"/>
      <c r="K556" s="430"/>
      <c r="L556" s="430"/>
      <c r="M556" s="430"/>
      <c r="N556" s="430"/>
      <c r="O556" s="430"/>
      <c r="P556" s="430"/>
      <c r="Q556" s="430"/>
      <c r="R556" s="430"/>
      <c r="S556" s="430"/>
      <c r="T556" s="430"/>
      <c r="U556" s="430"/>
      <c r="V556" s="430"/>
      <c r="W556" s="430"/>
      <c r="X556" s="430"/>
      <c r="Y556" s="430"/>
      <c r="Z556" s="430"/>
      <c r="AA556" s="430"/>
    </row>
    <row r="557">
      <c r="A557" s="433"/>
      <c r="B557" s="430"/>
      <c r="C557" s="430"/>
      <c r="D557" s="430"/>
      <c r="E557" s="432"/>
      <c r="F557" s="430"/>
      <c r="G557" s="430"/>
      <c r="H557" s="430"/>
      <c r="I557" s="430"/>
      <c r="J557" s="430"/>
      <c r="K557" s="430"/>
      <c r="L557" s="430"/>
      <c r="M557" s="430"/>
      <c r="N557" s="430"/>
      <c r="O557" s="430"/>
      <c r="P557" s="430"/>
      <c r="Q557" s="430"/>
      <c r="R557" s="430"/>
      <c r="S557" s="430"/>
      <c r="T557" s="430"/>
      <c r="U557" s="430"/>
      <c r="V557" s="430"/>
      <c r="W557" s="430"/>
      <c r="X557" s="430"/>
      <c r="Y557" s="430"/>
      <c r="Z557" s="430"/>
      <c r="AA557" s="430"/>
    </row>
    <row r="558">
      <c r="A558" s="433"/>
      <c r="B558" s="430"/>
      <c r="C558" s="430"/>
      <c r="D558" s="430"/>
      <c r="E558" s="432"/>
      <c r="F558" s="430"/>
      <c r="G558" s="430"/>
      <c r="H558" s="430"/>
      <c r="I558" s="430"/>
      <c r="J558" s="430"/>
      <c r="K558" s="430"/>
      <c r="L558" s="430"/>
      <c r="M558" s="430"/>
      <c r="N558" s="430"/>
      <c r="O558" s="430"/>
      <c r="P558" s="430"/>
      <c r="Q558" s="430"/>
      <c r="R558" s="430"/>
      <c r="S558" s="430"/>
      <c r="T558" s="430"/>
      <c r="U558" s="430"/>
      <c r="V558" s="430"/>
      <c r="W558" s="430"/>
      <c r="X558" s="430"/>
      <c r="Y558" s="430"/>
      <c r="Z558" s="430"/>
      <c r="AA558" s="430"/>
    </row>
    <row r="559">
      <c r="A559" s="433"/>
      <c r="B559" s="430"/>
      <c r="C559" s="430"/>
      <c r="D559" s="430"/>
      <c r="E559" s="432"/>
      <c r="F559" s="430"/>
      <c r="G559" s="430"/>
      <c r="H559" s="430"/>
      <c r="I559" s="430"/>
      <c r="J559" s="430"/>
      <c r="K559" s="430"/>
      <c r="L559" s="430"/>
      <c r="M559" s="430"/>
      <c r="N559" s="430"/>
      <c r="O559" s="430"/>
      <c r="P559" s="430"/>
      <c r="Q559" s="430"/>
      <c r="R559" s="430"/>
      <c r="S559" s="430"/>
      <c r="T559" s="430"/>
      <c r="U559" s="430"/>
      <c r="V559" s="430"/>
      <c r="W559" s="430"/>
      <c r="X559" s="430"/>
      <c r="Y559" s="430"/>
      <c r="Z559" s="430"/>
      <c r="AA559" s="430"/>
    </row>
    <row r="560">
      <c r="A560" s="433"/>
      <c r="B560" s="430"/>
      <c r="C560" s="430"/>
      <c r="D560" s="430"/>
      <c r="E560" s="432"/>
      <c r="F560" s="430"/>
      <c r="G560" s="430"/>
      <c r="H560" s="430"/>
      <c r="I560" s="430"/>
      <c r="J560" s="430"/>
      <c r="K560" s="430"/>
      <c r="L560" s="430"/>
      <c r="M560" s="430"/>
      <c r="N560" s="430"/>
      <c r="O560" s="430"/>
      <c r="P560" s="430"/>
      <c r="Q560" s="430"/>
      <c r="R560" s="430"/>
      <c r="S560" s="430"/>
      <c r="T560" s="430"/>
      <c r="U560" s="430"/>
      <c r="V560" s="430"/>
      <c r="W560" s="430"/>
      <c r="X560" s="430"/>
      <c r="Y560" s="430"/>
      <c r="Z560" s="430"/>
      <c r="AA560" s="430"/>
    </row>
    <row r="561">
      <c r="A561" s="433"/>
      <c r="B561" s="430"/>
      <c r="C561" s="430"/>
      <c r="D561" s="430"/>
      <c r="E561" s="432"/>
      <c r="F561" s="430"/>
      <c r="G561" s="430"/>
      <c r="H561" s="430"/>
      <c r="I561" s="430"/>
      <c r="J561" s="430"/>
      <c r="K561" s="430"/>
      <c r="L561" s="430"/>
      <c r="M561" s="430"/>
      <c r="N561" s="430"/>
      <c r="O561" s="430"/>
      <c r="P561" s="430"/>
      <c r="Q561" s="430"/>
      <c r="R561" s="430"/>
      <c r="S561" s="430"/>
      <c r="T561" s="430"/>
      <c r="U561" s="430"/>
      <c r="V561" s="430"/>
      <c r="W561" s="430"/>
      <c r="X561" s="430"/>
      <c r="Y561" s="430"/>
      <c r="Z561" s="430"/>
      <c r="AA561" s="430"/>
    </row>
    <row r="562">
      <c r="A562" s="433"/>
      <c r="B562" s="430"/>
      <c r="C562" s="430"/>
      <c r="D562" s="430"/>
      <c r="E562" s="432"/>
      <c r="F562" s="430"/>
      <c r="G562" s="430"/>
      <c r="H562" s="430"/>
      <c r="I562" s="430"/>
      <c r="J562" s="430"/>
      <c r="K562" s="430"/>
      <c r="L562" s="430"/>
      <c r="M562" s="430"/>
      <c r="N562" s="430"/>
      <c r="O562" s="430"/>
      <c r="P562" s="430"/>
      <c r="Q562" s="430"/>
      <c r="R562" s="430"/>
      <c r="S562" s="430"/>
      <c r="T562" s="430"/>
      <c r="U562" s="430"/>
      <c r="V562" s="430"/>
      <c r="W562" s="430"/>
      <c r="X562" s="430"/>
      <c r="Y562" s="430"/>
      <c r="Z562" s="430"/>
      <c r="AA562" s="430"/>
    </row>
    <row r="563">
      <c r="A563" s="433"/>
      <c r="B563" s="430"/>
      <c r="C563" s="430"/>
      <c r="D563" s="430"/>
      <c r="E563" s="432"/>
      <c r="F563" s="430"/>
      <c r="G563" s="430"/>
      <c r="H563" s="430"/>
      <c r="I563" s="430"/>
      <c r="J563" s="430"/>
      <c r="K563" s="430"/>
      <c r="L563" s="430"/>
      <c r="M563" s="430"/>
      <c r="N563" s="430"/>
      <c r="O563" s="430"/>
      <c r="P563" s="430"/>
      <c r="Q563" s="430"/>
      <c r="R563" s="430"/>
      <c r="S563" s="430"/>
      <c r="T563" s="430"/>
      <c r="U563" s="430"/>
      <c r="V563" s="430"/>
      <c r="W563" s="430"/>
      <c r="X563" s="430"/>
      <c r="Y563" s="430"/>
      <c r="Z563" s="430"/>
      <c r="AA563" s="430"/>
    </row>
    <row r="564">
      <c r="A564" s="433"/>
      <c r="B564" s="430"/>
      <c r="C564" s="430"/>
      <c r="D564" s="430"/>
      <c r="E564" s="432"/>
      <c r="F564" s="430"/>
      <c r="G564" s="430"/>
      <c r="H564" s="430"/>
      <c r="I564" s="430"/>
      <c r="J564" s="430"/>
      <c r="K564" s="430"/>
      <c r="L564" s="430"/>
      <c r="M564" s="430"/>
      <c r="N564" s="430"/>
      <c r="O564" s="430"/>
      <c r="P564" s="430"/>
      <c r="Q564" s="430"/>
      <c r="R564" s="430"/>
      <c r="S564" s="430"/>
      <c r="T564" s="430"/>
      <c r="U564" s="430"/>
      <c r="V564" s="430"/>
      <c r="W564" s="430"/>
      <c r="X564" s="430"/>
      <c r="Y564" s="430"/>
      <c r="Z564" s="430"/>
      <c r="AA564" s="430"/>
    </row>
    <row r="565">
      <c r="A565" s="433"/>
      <c r="B565" s="430"/>
      <c r="C565" s="430"/>
      <c r="D565" s="430"/>
      <c r="E565" s="432"/>
      <c r="F565" s="430"/>
      <c r="G565" s="430"/>
      <c r="H565" s="430"/>
      <c r="I565" s="430"/>
      <c r="J565" s="430"/>
      <c r="K565" s="430"/>
      <c r="L565" s="430"/>
      <c r="M565" s="430"/>
      <c r="N565" s="430"/>
      <c r="O565" s="430"/>
      <c r="P565" s="430"/>
      <c r="Q565" s="430"/>
      <c r="R565" s="430"/>
      <c r="S565" s="430"/>
      <c r="T565" s="430"/>
      <c r="U565" s="430"/>
      <c r="V565" s="430"/>
      <c r="W565" s="430"/>
      <c r="X565" s="430"/>
      <c r="Y565" s="430"/>
      <c r="Z565" s="430"/>
      <c r="AA565" s="430"/>
    </row>
    <row r="566">
      <c r="A566" s="433"/>
      <c r="B566" s="430"/>
      <c r="C566" s="430"/>
      <c r="D566" s="430"/>
      <c r="E566" s="432"/>
      <c r="F566" s="430"/>
      <c r="G566" s="430"/>
      <c r="H566" s="430"/>
      <c r="I566" s="430"/>
      <c r="J566" s="430"/>
      <c r="K566" s="430"/>
      <c r="L566" s="430"/>
      <c r="M566" s="430"/>
      <c r="N566" s="430"/>
      <c r="O566" s="430"/>
      <c r="P566" s="430"/>
      <c r="Q566" s="430"/>
      <c r="R566" s="430"/>
      <c r="S566" s="430"/>
      <c r="T566" s="430"/>
      <c r="U566" s="430"/>
      <c r="V566" s="430"/>
      <c r="W566" s="430"/>
      <c r="X566" s="430"/>
      <c r="Y566" s="430"/>
      <c r="Z566" s="430"/>
      <c r="AA566" s="430"/>
    </row>
    <row r="567">
      <c r="A567" s="433"/>
      <c r="B567" s="430"/>
      <c r="C567" s="430"/>
      <c r="D567" s="430"/>
      <c r="E567" s="432"/>
      <c r="F567" s="430"/>
      <c r="G567" s="430"/>
      <c r="H567" s="430"/>
      <c r="I567" s="430"/>
      <c r="J567" s="430"/>
      <c r="K567" s="430"/>
      <c r="L567" s="430"/>
      <c r="M567" s="430"/>
      <c r="N567" s="430"/>
      <c r="O567" s="430"/>
      <c r="P567" s="430"/>
      <c r="Q567" s="430"/>
      <c r="R567" s="430"/>
      <c r="S567" s="430"/>
      <c r="T567" s="430"/>
      <c r="U567" s="430"/>
      <c r="V567" s="430"/>
      <c r="W567" s="430"/>
      <c r="X567" s="430"/>
      <c r="Y567" s="430"/>
      <c r="Z567" s="430"/>
      <c r="AA567" s="430"/>
    </row>
    <row r="568">
      <c r="A568" s="433"/>
      <c r="B568" s="430"/>
      <c r="C568" s="430"/>
      <c r="D568" s="430"/>
      <c r="E568" s="432"/>
      <c r="F568" s="430"/>
      <c r="G568" s="430"/>
      <c r="H568" s="430"/>
      <c r="I568" s="430"/>
      <c r="J568" s="430"/>
      <c r="K568" s="430"/>
      <c r="L568" s="430"/>
      <c r="M568" s="430"/>
      <c r="N568" s="430"/>
      <c r="O568" s="430"/>
      <c r="P568" s="430"/>
      <c r="Q568" s="430"/>
      <c r="R568" s="430"/>
      <c r="S568" s="430"/>
      <c r="T568" s="430"/>
      <c r="U568" s="430"/>
      <c r="V568" s="430"/>
      <c r="W568" s="430"/>
      <c r="X568" s="430"/>
      <c r="Y568" s="430"/>
      <c r="Z568" s="430"/>
      <c r="AA568" s="430"/>
    </row>
    <row r="569">
      <c r="A569" s="433"/>
      <c r="B569" s="430"/>
      <c r="C569" s="430"/>
      <c r="D569" s="430"/>
      <c r="E569" s="432"/>
      <c r="F569" s="430"/>
      <c r="G569" s="430"/>
      <c r="H569" s="430"/>
      <c r="I569" s="430"/>
      <c r="J569" s="430"/>
      <c r="K569" s="430"/>
      <c r="L569" s="430"/>
      <c r="M569" s="430"/>
      <c r="N569" s="430"/>
      <c r="O569" s="430"/>
      <c r="P569" s="430"/>
      <c r="Q569" s="430"/>
      <c r="R569" s="430"/>
      <c r="S569" s="430"/>
      <c r="T569" s="430"/>
      <c r="U569" s="430"/>
      <c r="V569" s="430"/>
      <c r="W569" s="430"/>
      <c r="X569" s="430"/>
      <c r="Y569" s="430"/>
      <c r="Z569" s="430"/>
      <c r="AA569" s="430"/>
    </row>
    <row r="570">
      <c r="A570" s="433"/>
      <c r="B570" s="430"/>
      <c r="C570" s="430"/>
      <c r="D570" s="430"/>
      <c r="E570" s="432"/>
      <c r="F570" s="430"/>
      <c r="G570" s="430"/>
      <c r="H570" s="430"/>
      <c r="I570" s="430"/>
      <c r="J570" s="430"/>
      <c r="K570" s="430"/>
      <c r="L570" s="430"/>
      <c r="M570" s="430"/>
      <c r="N570" s="430"/>
      <c r="O570" s="430"/>
      <c r="P570" s="430"/>
      <c r="Q570" s="430"/>
      <c r="R570" s="430"/>
      <c r="S570" s="430"/>
      <c r="T570" s="430"/>
      <c r="U570" s="430"/>
      <c r="V570" s="430"/>
      <c r="W570" s="430"/>
      <c r="X570" s="430"/>
      <c r="Y570" s="430"/>
      <c r="Z570" s="430"/>
      <c r="AA570" s="430"/>
    </row>
    <row r="571">
      <c r="A571" s="433"/>
      <c r="B571" s="430"/>
      <c r="C571" s="430"/>
      <c r="D571" s="430"/>
      <c r="E571" s="432"/>
      <c r="F571" s="430"/>
      <c r="G571" s="430"/>
      <c r="H571" s="430"/>
      <c r="I571" s="430"/>
      <c r="J571" s="430"/>
      <c r="K571" s="430"/>
      <c r="L571" s="430"/>
      <c r="M571" s="430"/>
      <c r="N571" s="430"/>
      <c r="O571" s="430"/>
      <c r="P571" s="430"/>
      <c r="Q571" s="430"/>
      <c r="R571" s="430"/>
      <c r="S571" s="430"/>
      <c r="T571" s="430"/>
      <c r="U571" s="430"/>
      <c r="V571" s="430"/>
      <c r="W571" s="430"/>
      <c r="X571" s="430"/>
      <c r="Y571" s="430"/>
      <c r="Z571" s="430"/>
      <c r="AA571" s="430"/>
    </row>
    <row r="572">
      <c r="A572" s="433"/>
      <c r="B572" s="430"/>
      <c r="C572" s="430"/>
      <c r="D572" s="430"/>
      <c r="E572" s="432"/>
      <c r="F572" s="430"/>
      <c r="G572" s="430"/>
      <c r="H572" s="430"/>
      <c r="I572" s="430"/>
      <c r="J572" s="430"/>
      <c r="K572" s="430"/>
      <c r="L572" s="430"/>
      <c r="M572" s="430"/>
      <c r="N572" s="430"/>
      <c r="O572" s="430"/>
      <c r="P572" s="430"/>
      <c r="Q572" s="430"/>
      <c r="R572" s="430"/>
      <c r="S572" s="430"/>
      <c r="T572" s="430"/>
      <c r="U572" s="430"/>
      <c r="V572" s="430"/>
      <c r="W572" s="430"/>
      <c r="X572" s="430"/>
      <c r="Y572" s="430"/>
      <c r="Z572" s="430"/>
      <c r="AA572" s="430"/>
    </row>
    <row r="573">
      <c r="A573" s="433"/>
      <c r="B573" s="430"/>
      <c r="C573" s="430"/>
      <c r="D573" s="430"/>
      <c r="E573" s="432"/>
      <c r="F573" s="430"/>
      <c r="G573" s="430"/>
      <c r="H573" s="430"/>
      <c r="I573" s="430"/>
      <c r="J573" s="430"/>
      <c r="K573" s="430"/>
      <c r="L573" s="430"/>
      <c r="M573" s="430"/>
      <c r="N573" s="430"/>
      <c r="O573" s="430"/>
      <c r="P573" s="430"/>
      <c r="Q573" s="430"/>
      <c r="R573" s="430"/>
      <c r="S573" s="430"/>
      <c r="T573" s="430"/>
      <c r="U573" s="430"/>
      <c r="V573" s="430"/>
      <c r="W573" s="430"/>
      <c r="X573" s="430"/>
      <c r="Y573" s="430"/>
      <c r="Z573" s="430"/>
      <c r="AA573" s="430"/>
    </row>
    <row r="574">
      <c r="A574" s="433"/>
      <c r="B574" s="430"/>
      <c r="C574" s="430"/>
      <c r="D574" s="430"/>
      <c r="E574" s="432"/>
      <c r="F574" s="430"/>
      <c r="G574" s="430"/>
      <c r="H574" s="430"/>
      <c r="I574" s="430"/>
      <c r="J574" s="430"/>
      <c r="K574" s="430"/>
      <c r="L574" s="430"/>
      <c r="M574" s="430"/>
      <c r="N574" s="430"/>
      <c r="O574" s="430"/>
      <c r="P574" s="430"/>
      <c r="Q574" s="430"/>
      <c r="R574" s="430"/>
      <c r="S574" s="430"/>
      <c r="T574" s="430"/>
      <c r="U574" s="430"/>
      <c r="V574" s="430"/>
      <c r="W574" s="430"/>
      <c r="X574" s="430"/>
      <c r="Y574" s="430"/>
      <c r="Z574" s="430"/>
      <c r="AA574" s="430"/>
    </row>
    <row r="575">
      <c r="A575" s="433"/>
      <c r="B575" s="430"/>
      <c r="C575" s="430"/>
      <c r="D575" s="430"/>
      <c r="E575" s="432"/>
      <c r="F575" s="430"/>
      <c r="G575" s="430"/>
      <c r="H575" s="430"/>
      <c r="I575" s="430"/>
      <c r="J575" s="430"/>
      <c r="K575" s="430"/>
      <c r="L575" s="430"/>
      <c r="M575" s="430"/>
      <c r="N575" s="430"/>
      <c r="O575" s="430"/>
      <c r="P575" s="430"/>
      <c r="Q575" s="430"/>
      <c r="R575" s="430"/>
      <c r="S575" s="430"/>
      <c r="T575" s="430"/>
      <c r="U575" s="430"/>
      <c r="V575" s="430"/>
      <c r="W575" s="430"/>
      <c r="X575" s="430"/>
      <c r="Y575" s="430"/>
      <c r="Z575" s="430"/>
      <c r="AA575" s="430"/>
    </row>
    <row r="576">
      <c r="A576" s="433"/>
      <c r="B576" s="430"/>
      <c r="C576" s="430"/>
      <c r="D576" s="430"/>
      <c r="E576" s="432"/>
      <c r="F576" s="430"/>
      <c r="G576" s="430"/>
      <c r="H576" s="430"/>
      <c r="I576" s="430"/>
      <c r="J576" s="430"/>
      <c r="K576" s="430"/>
      <c r="L576" s="430"/>
      <c r="M576" s="430"/>
      <c r="N576" s="430"/>
      <c r="O576" s="430"/>
      <c r="P576" s="430"/>
      <c r="Q576" s="430"/>
      <c r="R576" s="430"/>
      <c r="S576" s="430"/>
      <c r="T576" s="430"/>
      <c r="U576" s="430"/>
      <c r="V576" s="430"/>
      <c r="W576" s="430"/>
      <c r="X576" s="430"/>
      <c r="Y576" s="430"/>
      <c r="Z576" s="430"/>
      <c r="AA576" s="430"/>
    </row>
    <row r="577">
      <c r="A577" s="433"/>
      <c r="B577" s="430"/>
      <c r="C577" s="430"/>
      <c r="D577" s="430"/>
      <c r="E577" s="432"/>
      <c r="F577" s="430"/>
      <c r="G577" s="430"/>
      <c r="H577" s="430"/>
      <c r="I577" s="430"/>
      <c r="J577" s="430"/>
      <c r="K577" s="430"/>
      <c r="L577" s="430"/>
      <c r="M577" s="430"/>
      <c r="N577" s="430"/>
      <c r="O577" s="430"/>
      <c r="P577" s="430"/>
      <c r="Q577" s="430"/>
      <c r="R577" s="430"/>
      <c r="S577" s="430"/>
      <c r="T577" s="430"/>
      <c r="U577" s="430"/>
      <c r="V577" s="430"/>
      <c r="W577" s="430"/>
      <c r="X577" s="430"/>
      <c r="Y577" s="430"/>
      <c r="Z577" s="430"/>
      <c r="AA577" s="430"/>
    </row>
    <row r="578">
      <c r="A578" s="433"/>
      <c r="B578" s="430"/>
      <c r="C578" s="430"/>
      <c r="D578" s="430"/>
      <c r="E578" s="432"/>
      <c r="F578" s="430"/>
      <c r="G578" s="430"/>
      <c r="H578" s="430"/>
      <c r="I578" s="430"/>
      <c r="J578" s="430"/>
      <c r="K578" s="430"/>
      <c r="L578" s="430"/>
      <c r="M578" s="430"/>
      <c r="N578" s="430"/>
      <c r="O578" s="430"/>
      <c r="P578" s="430"/>
      <c r="Q578" s="430"/>
      <c r="R578" s="430"/>
      <c r="S578" s="430"/>
      <c r="T578" s="430"/>
      <c r="U578" s="430"/>
      <c r="V578" s="430"/>
      <c r="W578" s="430"/>
      <c r="X578" s="430"/>
      <c r="Y578" s="430"/>
      <c r="Z578" s="430"/>
      <c r="AA578" s="430"/>
    </row>
    <row r="579">
      <c r="A579" s="433"/>
      <c r="B579" s="430"/>
      <c r="C579" s="430"/>
      <c r="D579" s="430"/>
      <c r="E579" s="432"/>
      <c r="F579" s="430"/>
      <c r="G579" s="430"/>
      <c r="H579" s="430"/>
      <c r="I579" s="430"/>
      <c r="J579" s="430"/>
      <c r="K579" s="430"/>
      <c r="L579" s="430"/>
      <c r="M579" s="430"/>
      <c r="N579" s="430"/>
      <c r="O579" s="430"/>
      <c r="P579" s="430"/>
      <c r="Q579" s="430"/>
      <c r="R579" s="430"/>
      <c r="S579" s="430"/>
      <c r="T579" s="430"/>
      <c r="U579" s="430"/>
      <c r="V579" s="430"/>
      <c r="W579" s="430"/>
      <c r="X579" s="430"/>
      <c r="Y579" s="430"/>
      <c r="Z579" s="430"/>
      <c r="AA579" s="430"/>
    </row>
    <row r="580">
      <c r="A580" s="433"/>
      <c r="B580" s="430"/>
      <c r="C580" s="430"/>
      <c r="D580" s="430"/>
      <c r="E580" s="432"/>
      <c r="F580" s="430"/>
      <c r="G580" s="430"/>
      <c r="H580" s="430"/>
      <c r="I580" s="430"/>
      <c r="J580" s="430"/>
      <c r="K580" s="430"/>
      <c r="L580" s="430"/>
      <c r="M580" s="430"/>
      <c r="N580" s="430"/>
      <c r="O580" s="430"/>
      <c r="P580" s="430"/>
      <c r="Q580" s="430"/>
      <c r="R580" s="430"/>
      <c r="S580" s="430"/>
      <c r="T580" s="430"/>
      <c r="U580" s="430"/>
      <c r="V580" s="430"/>
      <c r="W580" s="430"/>
      <c r="X580" s="430"/>
      <c r="Y580" s="430"/>
      <c r="Z580" s="430"/>
      <c r="AA580" s="430"/>
    </row>
    <row r="581">
      <c r="A581" s="433"/>
      <c r="B581" s="430"/>
      <c r="C581" s="430"/>
      <c r="D581" s="430"/>
      <c r="E581" s="432"/>
      <c r="F581" s="430"/>
      <c r="G581" s="430"/>
      <c r="H581" s="430"/>
      <c r="I581" s="430"/>
      <c r="J581" s="430"/>
      <c r="K581" s="430"/>
      <c r="L581" s="430"/>
      <c r="M581" s="430"/>
      <c r="N581" s="430"/>
      <c r="O581" s="430"/>
      <c r="P581" s="430"/>
      <c r="Q581" s="430"/>
      <c r="R581" s="430"/>
      <c r="S581" s="430"/>
      <c r="T581" s="430"/>
      <c r="U581" s="430"/>
      <c r="V581" s="430"/>
      <c r="W581" s="430"/>
      <c r="X581" s="430"/>
      <c r="Y581" s="430"/>
      <c r="Z581" s="430"/>
      <c r="AA581" s="430"/>
    </row>
    <row r="582">
      <c r="A582" s="433"/>
      <c r="B582" s="430"/>
      <c r="C582" s="430"/>
      <c r="D582" s="430"/>
      <c r="E582" s="432"/>
      <c r="F582" s="430"/>
      <c r="G582" s="430"/>
      <c r="H582" s="430"/>
      <c r="I582" s="430"/>
      <c r="J582" s="430"/>
      <c r="K582" s="430"/>
      <c r="L582" s="430"/>
      <c r="M582" s="430"/>
      <c r="N582" s="430"/>
      <c r="O582" s="430"/>
      <c r="P582" s="430"/>
      <c r="Q582" s="430"/>
      <c r="R582" s="430"/>
      <c r="S582" s="430"/>
      <c r="T582" s="430"/>
      <c r="U582" s="430"/>
      <c r="V582" s="430"/>
      <c r="W582" s="430"/>
      <c r="X582" s="430"/>
      <c r="Y582" s="430"/>
      <c r="Z582" s="430"/>
      <c r="AA582" s="430"/>
    </row>
    <row r="583">
      <c r="A583" s="433"/>
      <c r="B583" s="430"/>
      <c r="C583" s="430"/>
      <c r="D583" s="430"/>
      <c r="E583" s="432"/>
      <c r="F583" s="430"/>
      <c r="G583" s="430"/>
      <c r="H583" s="430"/>
      <c r="I583" s="430"/>
      <c r="J583" s="430"/>
      <c r="K583" s="430"/>
      <c r="L583" s="430"/>
      <c r="M583" s="430"/>
      <c r="N583" s="430"/>
      <c r="O583" s="430"/>
      <c r="P583" s="430"/>
      <c r="Q583" s="430"/>
      <c r="R583" s="430"/>
      <c r="S583" s="430"/>
      <c r="T583" s="430"/>
      <c r="U583" s="430"/>
      <c r="V583" s="430"/>
      <c r="W583" s="430"/>
      <c r="X583" s="430"/>
      <c r="Y583" s="430"/>
      <c r="Z583" s="430"/>
      <c r="AA583" s="430"/>
    </row>
    <row r="584">
      <c r="A584" s="433"/>
      <c r="B584" s="430"/>
      <c r="C584" s="430"/>
      <c r="D584" s="430"/>
      <c r="E584" s="432"/>
      <c r="F584" s="430"/>
      <c r="G584" s="430"/>
      <c r="H584" s="430"/>
      <c r="I584" s="430"/>
      <c r="J584" s="430"/>
      <c r="K584" s="430"/>
      <c r="L584" s="430"/>
      <c r="M584" s="430"/>
      <c r="N584" s="430"/>
      <c r="O584" s="430"/>
      <c r="P584" s="430"/>
      <c r="Q584" s="430"/>
      <c r="R584" s="430"/>
      <c r="S584" s="430"/>
      <c r="T584" s="430"/>
      <c r="U584" s="430"/>
      <c r="V584" s="430"/>
      <c r="W584" s="430"/>
      <c r="X584" s="430"/>
      <c r="Y584" s="430"/>
      <c r="Z584" s="430"/>
      <c r="AA584" s="430"/>
    </row>
    <row r="585">
      <c r="A585" s="433"/>
      <c r="B585" s="430"/>
      <c r="C585" s="430"/>
      <c r="D585" s="430"/>
      <c r="E585" s="432"/>
      <c r="F585" s="430"/>
      <c r="G585" s="430"/>
      <c r="H585" s="430"/>
      <c r="I585" s="430"/>
      <c r="J585" s="430"/>
      <c r="K585" s="430"/>
      <c r="L585" s="430"/>
      <c r="M585" s="430"/>
      <c r="N585" s="430"/>
      <c r="O585" s="430"/>
      <c r="P585" s="430"/>
      <c r="Q585" s="430"/>
      <c r="R585" s="430"/>
      <c r="S585" s="430"/>
      <c r="T585" s="430"/>
      <c r="U585" s="430"/>
      <c r="V585" s="430"/>
      <c r="W585" s="430"/>
      <c r="X585" s="430"/>
      <c r="Y585" s="430"/>
      <c r="Z585" s="430"/>
      <c r="AA585" s="430"/>
    </row>
    <row r="586">
      <c r="A586" s="433"/>
      <c r="B586" s="430"/>
      <c r="C586" s="430"/>
      <c r="D586" s="430"/>
      <c r="E586" s="432"/>
      <c r="F586" s="430"/>
      <c r="G586" s="430"/>
      <c r="H586" s="430"/>
      <c r="I586" s="430"/>
      <c r="J586" s="430"/>
      <c r="K586" s="430"/>
      <c r="L586" s="430"/>
      <c r="M586" s="430"/>
      <c r="N586" s="430"/>
      <c r="O586" s="430"/>
      <c r="P586" s="430"/>
      <c r="Q586" s="430"/>
      <c r="R586" s="430"/>
      <c r="S586" s="430"/>
      <c r="T586" s="430"/>
      <c r="U586" s="430"/>
      <c r="V586" s="430"/>
      <c r="W586" s="430"/>
      <c r="X586" s="430"/>
      <c r="Y586" s="430"/>
      <c r="Z586" s="430"/>
      <c r="AA586" s="430"/>
    </row>
    <row r="587">
      <c r="A587" s="433"/>
      <c r="B587" s="430"/>
      <c r="C587" s="430"/>
      <c r="D587" s="430"/>
      <c r="E587" s="432"/>
      <c r="F587" s="430"/>
      <c r="G587" s="430"/>
      <c r="H587" s="430"/>
      <c r="I587" s="430"/>
      <c r="J587" s="430"/>
      <c r="K587" s="430"/>
      <c r="L587" s="430"/>
      <c r="M587" s="430"/>
      <c r="N587" s="430"/>
      <c r="O587" s="430"/>
      <c r="P587" s="430"/>
      <c r="Q587" s="430"/>
      <c r="R587" s="430"/>
      <c r="S587" s="430"/>
      <c r="T587" s="430"/>
      <c r="U587" s="430"/>
      <c r="V587" s="430"/>
      <c r="W587" s="430"/>
      <c r="X587" s="430"/>
      <c r="Y587" s="430"/>
      <c r="Z587" s="430"/>
      <c r="AA587" s="430"/>
    </row>
    <row r="588">
      <c r="A588" s="433"/>
      <c r="B588" s="430"/>
      <c r="C588" s="430"/>
      <c r="D588" s="430"/>
      <c r="E588" s="432"/>
      <c r="F588" s="430"/>
      <c r="G588" s="430"/>
      <c r="H588" s="430"/>
      <c r="I588" s="430"/>
      <c r="J588" s="430"/>
      <c r="K588" s="430"/>
      <c r="L588" s="430"/>
      <c r="M588" s="430"/>
      <c r="N588" s="430"/>
      <c r="O588" s="430"/>
      <c r="P588" s="430"/>
      <c r="Q588" s="430"/>
      <c r="R588" s="430"/>
      <c r="S588" s="430"/>
      <c r="T588" s="430"/>
      <c r="U588" s="430"/>
      <c r="V588" s="430"/>
      <c r="W588" s="430"/>
      <c r="X588" s="430"/>
      <c r="Y588" s="430"/>
      <c r="Z588" s="430"/>
      <c r="AA588" s="430"/>
    </row>
    <row r="589">
      <c r="A589" s="433"/>
      <c r="B589" s="430"/>
      <c r="C589" s="430"/>
      <c r="D589" s="430"/>
      <c r="E589" s="432"/>
      <c r="F589" s="430"/>
      <c r="G589" s="430"/>
      <c r="H589" s="430"/>
      <c r="I589" s="430"/>
      <c r="J589" s="430"/>
      <c r="K589" s="430"/>
      <c r="L589" s="430"/>
      <c r="M589" s="430"/>
      <c r="N589" s="430"/>
      <c r="O589" s="430"/>
      <c r="P589" s="430"/>
      <c r="Q589" s="430"/>
      <c r="R589" s="430"/>
      <c r="S589" s="430"/>
      <c r="T589" s="430"/>
      <c r="U589" s="430"/>
      <c r="V589" s="430"/>
      <c r="W589" s="430"/>
      <c r="X589" s="430"/>
      <c r="Y589" s="430"/>
      <c r="Z589" s="430"/>
      <c r="AA589" s="430"/>
    </row>
    <row r="590">
      <c r="A590" s="433"/>
      <c r="B590" s="430"/>
      <c r="C590" s="430"/>
      <c r="D590" s="430"/>
      <c r="E590" s="432"/>
      <c r="F590" s="430"/>
      <c r="G590" s="430"/>
      <c r="H590" s="430"/>
      <c r="I590" s="430"/>
      <c r="J590" s="430"/>
      <c r="K590" s="430"/>
      <c r="L590" s="430"/>
      <c r="M590" s="430"/>
      <c r="N590" s="430"/>
      <c r="O590" s="430"/>
      <c r="P590" s="430"/>
      <c r="Q590" s="430"/>
      <c r="R590" s="430"/>
      <c r="S590" s="430"/>
      <c r="T590" s="430"/>
      <c r="U590" s="430"/>
      <c r="V590" s="430"/>
      <c r="W590" s="430"/>
      <c r="X590" s="430"/>
      <c r="Y590" s="430"/>
      <c r="Z590" s="430"/>
      <c r="AA590" s="430"/>
    </row>
    <row r="591">
      <c r="A591" s="433"/>
      <c r="B591" s="430"/>
      <c r="C591" s="430"/>
      <c r="D591" s="430"/>
      <c r="E591" s="432"/>
      <c r="F591" s="430"/>
      <c r="G591" s="430"/>
      <c r="H591" s="430"/>
      <c r="I591" s="430"/>
      <c r="J591" s="430"/>
      <c r="K591" s="430"/>
      <c r="L591" s="430"/>
      <c r="M591" s="430"/>
      <c r="N591" s="430"/>
      <c r="O591" s="430"/>
      <c r="P591" s="430"/>
      <c r="Q591" s="430"/>
      <c r="R591" s="430"/>
      <c r="S591" s="430"/>
      <c r="T591" s="430"/>
      <c r="U591" s="430"/>
      <c r="V591" s="430"/>
      <c r="W591" s="430"/>
      <c r="X591" s="430"/>
      <c r="Y591" s="430"/>
      <c r="Z591" s="430"/>
      <c r="AA591" s="430"/>
    </row>
    <row r="592">
      <c r="A592" s="433"/>
      <c r="B592" s="430"/>
      <c r="C592" s="430"/>
      <c r="D592" s="430"/>
      <c r="E592" s="432"/>
      <c r="F592" s="430"/>
      <c r="G592" s="430"/>
      <c r="H592" s="430"/>
      <c r="I592" s="430"/>
      <c r="J592" s="430"/>
      <c r="K592" s="430"/>
      <c r="L592" s="430"/>
      <c r="M592" s="430"/>
      <c r="N592" s="430"/>
      <c r="O592" s="430"/>
      <c r="P592" s="430"/>
      <c r="Q592" s="430"/>
      <c r="R592" s="430"/>
      <c r="S592" s="430"/>
      <c r="T592" s="430"/>
      <c r="U592" s="430"/>
      <c r="V592" s="430"/>
      <c r="W592" s="430"/>
      <c r="X592" s="430"/>
      <c r="Y592" s="430"/>
      <c r="Z592" s="430"/>
      <c r="AA592" s="430"/>
    </row>
    <row r="593">
      <c r="A593" s="433"/>
      <c r="B593" s="430"/>
      <c r="C593" s="430"/>
      <c r="D593" s="430"/>
      <c r="E593" s="432"/>
      <c r="F593" s="430"/>
      <c r="G593" s="430"/>
      <c r="H593" s="430"/>
      <c r="I593" s="430"/>
      <c r="J593" s="430"/>
      <c r="K593" s="430"/>
      <c r="L593" s="430"/>
      <c r="M593" s="430"/>
      <c r="N593" s="430"/>
      <c r="O593" s="430"/>
      <c r="P593" s="430"/>
      <c r="Q593" s="430"/>
      <c r="R593" s="430"/>
      <c r="S593" s="430"/>
      <c r="T593" s="430"/>
      <c r="U593" s="430"/>
      <c r="V593" s="430"/>
      <c r="W593" s="430"/>
      <c r="X593" s="430"/>
      <c r="Y593" s="430"/>
      <c r="Z593" s="430"/>
      <c r="AA593" s="430"/>
    </row>
    <row r="594">
      <c r="A594" s="433"/>
      <c r="B594" s="430"/>
      <c r="C594" s="430"/>
      <c r="D594" s="430"/>
      <c r="E594" s="432"/>
      <c r="F594" s="430"/>
      <c r="G594" s="430"/>
      <c r="H594" s="430"/>
      <c r="I594" s="430"/>
      <c r="J594" s="430"/>
      <c r="K594" s="430"/>
      <c r="L594" s="430"/>
      <c r="M594" s="430"/>
      <c r="N594" s="430"/>
      <c r="O594" s="430"/>
      <c r="P594" s="430"/>
      <c r="Q594" s="430"/>
      <c r="R594" s="430"/>
      <c r="S594" s="430"/>
      <c r="T594" s="430"/>
      <c r="U594" s="430"/>
      <c r="V594" s="430"/>
      <c r="W594" s="430"/>
      <c r="X594" s="430"/>
      <c r="Y594" s="430"/>
      <c r="Z594" s="430"/>
      <c r="AA594" s="430"/>
    </row>
    <row r="595">
      <c r="A595" s="433"/>
      <c r="B595" s="430"/>
      <c r="C595" s="430"/>
      <c r="D595" s="430"/>
      <c r="E595" s="432"/>
      <c r="F595" s="430"/>
      <c r="G595" s="430"/>
      <c r="H595" s="430"/>
      <c r="I595" s="430"/>
      <c r="J595" s="430"/>
      <c r="K595" s="430"/>
      <c r="L595" s="430"/>
      <c r="M595" s="430"/>
      <c r="N595" s="430"/>
      <c r="O595" s="430"/>
      <c r="P595" s="430"/>
      <c r="Q595" s="430"/>
      <c r="R595" s="430"/>
      <c r="S595" s="430"/>
      <c r="T595" s="430"/>
      <c r="U595" s="430"/>
      <c r="V595" s="430"/>
      <c r="W595" s="430"/>
      <c r="X595" s="430"/>
      <c r="Y595" s="430"/>
      <c r="Z595" s="430"/>
      <c r="AA595" s="430"/>
    </row>
    <row r="596">
      <c r="A596" s="433"/>
      <c r="B596" s="430"/>
      <c r="C596" s="430"/>
      <c r="D596" s="430"/>
      <c r="E596" s="432"/>
      <c r="F596" s="430"/>
      <c r="G596" s="430"/>
      <c r="H596" s="430"/>
      <c r="I596" s="430"/>
      <c r="J596" s="430"/>
      <c r="K596" s="430"/>
      <c r="L596" s="430"/>
      <c r="M596" s="430"/>
      <c r="N596" s="430"/>
      <c r="O596" s="430"/>
      <c r="P596" s="430"/>
      <c r="Q596" s="430"/>
      <c r="R596" s="430"/>
      <c r="S596" s="430"/>
      <c r="T596" s="430"/>
      <c r="U596" s="430"/>
      <c r="V596" s="430"/>
      <c r="W596" s="430"/>
      <c r="X596" s="430"/>
      <c r="Y596" s="430"/>
      <c r="Z596" s="430"/>
      <c r="AA596" s="430"/>
    </row>
    <row r="597">
      <c r="A597" s="433"/>
      <c r="B597" s="430"/>
      <c r="C597" s="430"/>
      <c r="D597" s="430"/>
      <c r="E597" s="432"/>
      <c r="F597" s="430"/>
      <c r="G597" s="430"/>
      <c r="H597" s="430"/>
      <c r="I597" s="430"/>
      <c r="J597" s="430"/>
      <c r="K597" s="430"/>
      <c r="L597" s="430"/>
      <c r="M597" s="430"/>
      <c r="N597" s="430"/>
      <c r="O597" s="430"/>
      <c r="P597" s="430"/>
      <c r="Q597" s="430"/>
      <c r="R597" s="430"/>
      <c r="S597" s="430"/>
      <c r="T597" s="430"/>
      <c r="U597" s="430"/>
      <c r="V597" s="430"/>
      <c r="W597" s="430"/>
      <c r="X597" s="430"/>
      <c r="Y597" s="430"/>
      <c r="Z597" s="430"/>
      <c r="AA597" s="430"/>
    </row>
    <row r="598">
      <c r="A598" s="433"/>
      <c r="B598" s="430"/>
      <c r="C598" s="430"/>
      <c r="D598" s="430"/>
      <c r="E598" s="432"/>
      <c r="F598" s="430"/>
      <c r="G598" s="430"/>
      <c r="H598" s="430"/>
      <c r="I598" s="430"/>
      <c r="J598" s="430"/>
      <c r="K598" s="430"/>
      <c r="L598" s="430"/>
      <c r="M598" s="430"/>
      <c r="N598" s="430"/>
      <c r="O598" s="430"/>
      <c r="P598" s="430"/>
      <c r="Q598" s="430"/>
      <c r="R598" s="430"/>
      <c r="S598" s="430"/>
      <c r="T598" s="430"/>
      <c r="U598" s="430"/>
      <c r="V598" s="430"/>
      <c r="W598" s="430"/>
      <c r="X598" s="430"/>
      <c r="Y598" s="430"/>
      <c r="Z598" s="430"/>
      <c r="AA598" s="430"/>
    </row>
    <row r="599">
      <c r="A599" s="433"/>
      <c r="B599" s="430"/>
      <c r="C599" s="430"/>
      <c r="D599" s="430"/>
      <c r="E599" s="432"/>
      <c r="F599" s="430"/>
      <c r="G599" s="430"/>
      <c r="H599" s="430"/>
      <c r="I599" s="430"/>
      <c r="J599" s="430"/>
      <c r="K599" s="430"/>
      <c r="L599" s="430"/>
      <c r="M599" s="430"/>
      <c r="N599" s="430"/>
      <c r="O599" s="430"/>
      <c r="P599" s="430"/>
      <c r="Q599" s="430"/>
      <c r="R599" s="430"/>
      <c r="S599" s="430"/>
      <c r="T599" s="430"/>
      <c r="U599" s="430"/>
      <c r="V599" s="430"/>
      <c r="W599" s="430"/>
      <c r="X599" s="430"/>
      <c r="Y599" s="430"/>
      <c r="Z599" s="430"/>
      <c r="AA599" s="430"/>
    </row>
    <row r="600">
      <c r="A600" s="433"/>
      <c r="B600" s="430"/>
      <c r="C600" s="430"/>
      <c r="D600" s="430"/>
      <c r="E600" s="432"/>
      <c r="F600" s="430"/>
      <c r="G600" s="430"/>
      <c r="H600" s="430"/>
      <c r="I600" s="430"/>
      <c r="J600" s="430"/>
      <c r="K600" s="430"/>
      <c r="L600" s="430"/>
      <c r="M600" s="430"/>
      <c r="N600" s="430"/>
      <c r="O600" s="430"/>
      <c r="P600" s="430"/>
      <c r="Q600" s="430"/>
      <c r="R600" s="430"/>
      <c r="S600" s="430"/>
      <c r="T600" s="430"/>
      <c r="U600" s="430"/>
      <c r="V600" s="430"/>
      <c r="W600" s="430"/>
      <c r="X600" s="430"/>
      <c r="Y600" s="430"/>
      <c r="Z600" s="430"/>
      <c r="AA600" s="430"/>
    </row>
    <row r="601">
      <c r="A601" s="433"/>
      <c r="B601" s="430"/>
      <c r="C601" s="430"/>
      <c r="D601" s="430"/>
      <c r="E601" s="432"/>
      <c r="F601" s="430"/>
      <c r="G601" s="430"/>
      <c r="H601" s="430"/>
      <c r="I601" s="430"/>
      <c r="J601" s="430"/>
      <c r="K601" s="430"/>
      <c r="L601" s="430"/>
      <c r="M601" s="430"/>
      <c r="N601" s="430"/>
      <c r="O601" s="430"/>
      <c r="P601" s="430"/>
      <c r="Q601" s="430"/>
      <c r="R601" s="430"/>
      <c r="S601" s="430"/>
      <c r="T601" s="430"/>
      <c r="U601" s="430"/>
      <c r="V601" s="430"/>
      <c r="W601" s="430"/>
      <c r="X601" s="430"/>
      <c r="Y601" s="430"/>
      <c r="Z601" s="430"/>
      <c r="AA601" s="430"/>
    </row>
    <row r="602">
      <c r="A602" s="433"/>
      <c r="B602" s="430"/>
      <c r="C602" s="430"/>
      <c r="D602" s="430"/>
      <c r="E602" s="432"/>
      <c r="F602" s="430"/>
      <c r="G602" s="430"/>
      <c r="H602" s="430"/>
      <c r="I602" s="430"/>
      <c r="J602" s="430"/>
      <c r="K602" s="430"/>
      <c r="L602" s="430"/>
      <c r="M602" s="430"/>
      <c r="N602" s="430"/>
      <c r="O602" s="430"/>
      <c r="P602" s="430"/>
      <c r="Q602" s="430"/>
      <c r="R602" s="430"/>
      <c r="S602" s="430"/>
      <c r="T602" s="430"/>
      <c r="U602" s="430"/>
      <c r="V602" s="430"/>
      <c r="W602" s="430"/>
      <c r="X602" s="430"/>
      <c r="Y602" s="430"/>
      <c r="Z602" s="430"/>
      <c r="AA602" s="430"/>
    </row>
    <row r="603">
      <c r="A603" s="433"/>
      <c r="B603" s="430"/>
      <c r="C603" s="430"/>
      <c r="D603" s="430"/>
      <c r="E603" s="432"/>
      <c r="F603" s="430"/>
      <c r="G603" s="430"/>
      <c r="H603" s="430"/>
      <c r="I603" s="430"/>
      <c r="J603" s="430"/>
      <c r="K603" s="430"/>
      <c r="L603" s="430"/>
      <c r="M603" s="430"/>
      <c r="N603" s="430"/>
      <c r="O603" s="430"/>
      <c r="P603" s="430"/>
      <c r="Q603" s="430"/>
      <c r="R603" s="430"/>
      <c r="S603" s="430"/>
      <c r="T603" s="430"/>
      <c r="U603" s="430"/>
      <c r="V603" s="430"/>
      <c r="W603" s="430"/>
      <c r="X603" s="430"/>
      <c r="Y603" s="430"/>
      <c r="Z603" s="430"/>
      <c r="AA603" s="430"/>
    </row>
    <row r="604">
      <c r="A604" s="433"/>
      <c r="B604" s="430"/>
      <c r="C604" s="430"/>
      <c r="D604" s="430"/>
      <c r="E604" s="432"/>
      <c r="F604" s="430"/>
      <c r="G604" s="430"/>
      <c r="H604" s="430"/>
      <c r="I604" s="430"/>
      <c r="J604" s="430"/>
      <c r="K604" s="430"/>
      <c r="L604" s="430"/>
      <c r="M604" s="430"/>
      <c r="N604" s="430"/>
      <c r="O604" s="430"/>
      <c r="P604" s="430"/>
      <c r="Q604" s="430"/>
      <c r="R604" s="430"/>
      <c r="S604" s="430"/>
      <c r="T604" s="430"/>
      <c r="U604" s="430"/>
      <c r="V604" s="430"/>
      <c r="W604" s="430"/>
      <c r="X604" s="430"/>
      <c r="Y604" s="430"/>
      <c r="Z604" s="430"/>
      <c r="AA604" s="430"/>
    </row>
    <row r="605">
      <c r="A605" s="433"/>
      <c r="B605" s="430"/>
      <c r="C605" s="430"/>
      <c r="D605" s="430"/>
      <c r="E605" s="432"/>
      <c r="F605" s="430"/>
      <c r="G605" s="430"/>
      <c r="H605" s="430"/>
      <c r="I605" s="430"/>
      <c r="J605" s="430"/>
      <c r="K605" s="430"/>
      <c r="L605" s="430"/>
      <c r="M605" s="430"/>
      <c r="N605" s="430"/>
      <c r="O605" s="430"/>
      <c r="P605" s="430"/>
      <c r="Q605" s="430"/>
      <c r="R605" s="430"/>
      <c r="S605" s="430"/>
      <c r="T605" s="430"/>
      <c r="U605" s="430"/>
      <c r="V605" s="430"/>
      <c r="W605" s="430"/>
      <c r="X605" s="430"/>
      <c r="Y605" s="430"/>
      <c r="Z605" s="430"/>
      <c r="AA605" s="430"/>
    </row>
    <row r="606">
      <c r="A606" s="433"/>
      <c r="B606" s="430"/>
      <c r="C606" s="430"/>
      <c r="D606" s="430"/>
      <c r="E606" s="432"/>
      <c r="F606" s="430"/>
      <c r="G606" s="430"/>
      <c r="H606" s="430"/>
      <c r="I606" s="430"/>
      <c r="J606" s="430"/>
      <c r="K606" s="430"/>
      <c r="L606" s="430"/>
      <c r="M606" s="430"/>
      <c r="N606" s="430"/>
      <c r="O606" s="430"/>
      <c r="P606" s="430"/>
      <c r="Q606" s="430"/>
      <c r="R606" s="430"/>
      <c r="S606" s="430"/>
      <c r="T606" s="430"/>
      <c r="U606" s="430"/>
      <c r="V606" s="430"/>
      <c r="W606" s="430"/>
      <c r="X606" s="430"/>
      <c r="Y606" s="430"/>
      <c r="Z606" s="430"/>
      <c r="AA606" s="430"/>
    </row>
    <row r="607">
      <c r="A607" s="433"/>
      <c r="B607" s="430"/>
      <c r="C607" s="430"/>
      <c r="D607" s="430"/>
      <c r="E607" s="432"/>
      <c r="F607" s="430"/>
      <c r="G607" s="430"/>
      <c r="H607" s="430"/>
      <c r="I607" s="430"/>
      <c r="J607" s="430"/>
      <c r="K607" s="430"/>
      <c r="L607" s="430"/>
      <c r="M607" s="430"/>
      <c r="N607" s="430"/>
      <c r="O607" s="430"/>
      <c r="P607" s="430"/>
      <c r="Q607" s="430"/>
      <c r="R607" s="430"/>
      <c r="S607" s="430"/>
      <c r="T607" s="430"/>
      <c r="U607" s="430"/>
      <c r="V607" s="430"/>
      <c r="W607" s="430"/>
      <c r="X607" s="430"/>
      <c r="Y607" s="430"/>
      <c r="Z607" s="430"/>
      <c r="AA607" s="430"/>
    </row>
    <row r="608">
      <c r="A608" s="433"/>
      <c r="B608" s="430"/>
      <c r="C608" s="430"/>
      <c r="D608" s="430"/>
      <c r="E608" s="432"/>
      <c r="F608" s="430"/>
      <c r="G608" s="430"/>
      <c r="H608" s="430"/>
      <c r="I608" s="430"/>
      <c r="J608" s="430"/>
      <c r="K608" s="430"/>
      <c r="L608" s="430"/>
      <c r="M608" s="430"/>
      <c r="N608" s="430"/>
      <c r="O608" s="430"/>
      <c r="P608" s="430"/>
      <c r="Q608" s="430"/>
      <c r="R608" s="430"/>
      <c r="S608" s="430"/>
      <c r="T608" s="430"/>
      <c r="U608" s="430"/>
      <c r="V608" s="430"/>
      <c r="W608" s="430"/>
      <c r="X608" s="430"/>
      <c r="Y608" s="430"/>
      <c r="Z608" s="430"/>
      <c r="AA608" s="430"/>
    </row>
    <row r="609">
      <c r="A609" s="433"/>
      <c r="B609" s="430"/>
      <c r="C609" s="430"/>
      <c r="D609" s="430"/>
      <c r="E609" s="432"/>
      <c r="F609" s="430"/>
      <c r="G609" s="430"/>
      <c r="H609" s="430"/>
      <c r="I609" s="430"/>
      <c r="J609" s="430"/>
      <c r="K609" s="430"/>
      <c r="L609" s="430"/>
      <c r="M609" s="430"/>
      <c r="N609" s="430"/>
      <c r="O609" s="430"/>
      <c r="P609" s="430"/>
      <c r="Q609" s="430"/>
      <c r="R609" s="430"/>
      <c r="S609" s="430"/>
      <c r="T609" s="430"/>
      <c r="U609" s="430"/>
      <c r="V609" s="430"/>
      <c r="W609" s="430"/>
      <c r="X609" s="430"/>
      <c r="Y609" s="430"/>
      <c r="Z609" s="430"/>
      <c r="AA609" s="430"/>
    </row>
    <row r="610">
      <c r="A610" s="433"/>
      <c r="B610" s="430"/>
      <c r="C610" s="430"/>
      <c r="D610" s="430"/>
      <c r="E610" s="432"/>
      <c r="F610" s="430"/>
      <c r="G610" s="430"/>
      <c r="H610" s="430"/>
      <c r="I610" s="430"/>
      <c r="J610" s="430"/>
      <c r="K610" s="430"/>
      <c r="L610" s="430"/>
      <c r="M610" s="430"/>
      <c r="N610" s="430"/>
      <c r="O610" s="430"/>
      <c r="P610" s="430"/>
      <c r="Q610" s="430"/>
      <c r="R610" s="430"/>
      <c r="S610" s="430"/>
      <c r="T610" s="430"/>
      <c r="U610" s="430"/>
      <c r="V610" s="430"/>
      <c r="W610" s="430"/>
      <c r="X610" s="430"/>
      <c r="Y610" s="430"/>
      <c r="Z610" s="430"/>
      <c r="AA610" s="430"/>
    </row>
    <row r="611">
      <c r="A611" s="433"/>
      <c r="B611" s="430"/>
      <c r="C611" s="430"/>
      <c r="D611" s="430"/>
      <c r="E611" s="432"/>
      <c r="F611" s="430"/>
      <c r="G611" s="430"/>
      <c r="H611" s="430"/>
      <c r="I611" s="430"/>
      <c r="J611" s="430"/>
      <c r="K611" s="430"/>
      <c r="L611" s="430"/>
      <c r="M611" s="430"/>
      <c r="N611" s="430"/>
      <c r="O611" s="430"/>
      <c r="P611" s="430"/>
      <c r="Q611" s="430"/>
      <c r="R611" s="430"/>
      <c r="S611" s="430"/>
      <c r="T611" s="430"/>
      <c r="U611" s="430"/>
      <c r="V611" s="430"/>
      <c r="W611" s="430"/>
      <c r="X611" s="430"/>
      <c r="Y611" s="430"/>
      <c r="Z611" s="430"/>
      <c r="AA611" s="430"/>
    </row>
    <row r="612">
      <c r="A612" s="433"/>
      <c r="B612" s="430"/>
      <c r="C612" s="430"/>
      <c r="D612" s="430"/>
      <c r="E612" s="432"/>
      <c r="F612" s="430"/>
      <c r="G612" s="430"/>
      <c r="H612" s="430"/>
      <c r="I612" s="430"/>
      <c r="J612" s="430"/>
      <c r="K612" s="430"/>
      <c r="L612" s="430"/>
      <c r="M612" s="430"/>
      <c r="N612" s="430"/>
      <c r="O612" s="430"/>
      <c r="P612" s="430"/>
      <c r="Q612" s="430"/>
      <c r="R612" s="430"/>
      <c r="S612" s="430"/>
      <c r="T612" s="430"/>
      <c r="U612" s="430"/>
      <c r="V612" s="430"/>
      <c r="W612" s="430"/>
      <c r="X612" s="430"/>
      <c r="Y612" s="430"/>
      <c r="Z612" s="430"/>
      <c r="AA612" s="430"/>
    </row>
    <row r="613">
      <c r="A613" s="433"/>
      <c r="B613" s="430"/>
      <c r="C613" s="430"/>
      <c r="D613" s="430"/>
      <c r="E613" s="432"/>
      <c r="F613" s="430"/>
      <c r="G613" s="430"/>
      <c r="H613" s="430"/>
      <c r="I613" s="430"/>
      <c r="J613" s="430"/>
      <c r="K613" s="430"/>
      <c r="L613" s="430"/>
      <c r="M613" s="430"/>
      <c r="N613" s="430"/>
      <c r="O613" s="430"/>
      <c r="P613" s="430"/>
      <c r="Q613" s="430"/>
      <c r="R613" s="430"/>
      <c r="S613" s="430"/>
      <c r="T613" s="430"/>
      <c r="U613" s="430"/>
      <c r="V613" s="430"/>
      <c r="W613" s="430"/>
      <c r="X613" s="430"/>
      <c r="Y613" s="430"/>
      <c r="Z613" s="430"/>
      <c r="AA613" s="430"/>
    </row>
    <row r="614">
      <c r="A614" s="433"/>
      <c r="B614" s="430"/>
      <c r="C614" s="430"/>
      <c r="D614" s="430"/>
      <c r="E614" s="432"/>
      <c r="F614" s="430"/>
      <c r="G614" s="430"/>
      <c r="H614" s="430"/>
      <c r="I614" s="430"/>
      <c r="J614" s="430"/>
      <c r="K614" s="430"/>
      <c r="L614" s="430"/>
      <c r="M614" s="430"/>
      <c r="N614" s="430"/>
      <c r="O614" s="430"/>
      <c r="P614" s="430"/>
      <c r="Q614" s="430"/>
      <c r="R614" s="430"/>
      <c r="S614" s="430"/>
      <c r="T614" s="430"/>
      <c r="U614" s="430"/>
      <c r="V614" s="430"/>
      <c r="W614" s="430"/>
      <c r="X614" s="430"/>
      <c r="Y614" s="430"/>
      <c r="Z614" s="430"/>
      <c r="AA614" s="430"/>
    </row>
    <row r="615">
      <c r="A615" s="433"/>
      <c r="B615" s="430"/>
      <c r="C615" s="430"/>
      <c r="D615" s="430"/>
      <c r="E615" s="432"/>
      <c r="F615" s="430"/>
      <c r="G615" s="430"/>
      <c r="H615" s="430"/>
      <c r="I615" s="430"/>
      <c r="J615" s="430"/>
      <c r="K615" s="430"/>
      <c r="L615" s="430"/>
      <c r="M615" s="430"/>
      <c r="N615" s="430"/>
      <c r="O615" s="430"/>
      <c r="P615" s="430"/>
      <c r="Q615" s="430"/>
      <c r="R615" s="430"/>
      <c r="S615" s="430"/>
      <c r="T615" s="430"/>
      <c r="U615" s="430"/>
      <c r="V615" s="430"/>
      <c r="W615" s="430"/>
      <c r="X615" s="430"/>
      <c r="Y615" s="430"/>
      <c r="Z615" s="430"/>
      <c r="AA615" s="430"/>
    </row>
    <row r="616">
      <c r="A616" s="433"/>
      <c r="B616" s="430"/>
      <c r="C616" s="430"/>
      <c r="D616" s="430"/>
      <c r="E616" s="432"/>
      <c r="F616" s="430"/>
      <c r="G616" s="430"/>
      <c r="H616" s="430"/>
      <c r="I616" s="430"/>
      <c r="J616" s="430"/>
      <c r="K616" s="430"/>
      <c r="L616" s="430"/>
      <c r="M616" s="430"/>
      <c r="N616" s="430"/>
      <c r="O616" s="430"/>
      <c r="P616" s="430"/>
      <c r="Q616" s="430"/>
      <c r="R616" s="430"/>
      <c r="S616" s="430"/>
      <c r="T616" s="430"/>
      <c r="U616" s="430"/>
      <c r="V616" s="430"/>
      <c r="W616" s="430"/>
      <c r="X616" s="430"/>
      <c r="Y616" s="430"/>
      <c r="Z616" s="430"/>
      <c r="AA616" s="430"/>
    </row>
    <row r="617">
      <c r="A617" s="433"/>
      <c r="B617" s="430"/>
      <c r="C617" s="430"/>
      <c r="D617" s="430"/>
      <c r="E617" s="432"/>
      <c r="F617" s="430"/>
      <c r="G617" s="430"/>
      <c r="H617" s="430"/>
      <c r="I617" s="430"/>
      <c r="J617" s="430"/>
      <c r="K617" s="430"/>
      <c r="L617" s="430"/>
      <c r="M617" s="430"/>
      <c r="N617" s="430"/>
      <c r="O617" s="430"/>
      <c r="P617" s="430"/>
      <c r="Q617" s="430"/>
      <c r="R617" s="430"/>
      <c r="S617" s="430"/>
      <c r="T617" s="430"/>
      <c r="U617" s="430"/>
      <c r="V617" s="430"/>
      <c r="W617" s="430"/>
      <c r="X617" s="430"/>
      <c r="Y617" s="430"/>
      <c r="Z617" s="430"/>
      <c r="AA617" s="430"/>
    </row>
    <row r="618">
      <c r="A618" s="433"/>
      <c r="B618" s="430"/>
      <c r="C618" s="430"/>
      <c r="D618" s="430"/>
      <c r="E618" s="432"/>
      <c r="F618" s="430"/>
      <c r="G618" s="430"/>
      <c r="H618" s="430"/>
      <c r="I618" s="430"/>
      <c r="J618" s="430"/>
      <c r="K618" s="430"/>
      <c r="L618" s="430"/>
      <c r="M618" s="430"/>
      <c r="N618" s="430"/>
      <c r="O618" s="430"/>
      <c r="P618" s="430"/>
      <c r="Q618" s="430"/>
      <c r="R618" s="430"/>
      <c r="S618" s="430"/>
      <c r="T618" s="430"/>
      <c r="U618" s="430"/>
      <c r="V618" s="430"/>
      <c r="W618" s="430"/>
      <c r="X618" s="430"/>
      <c r="Y618" s="430"/>
      <c r="Z618" s="430"/>
      <c r="AA618" s="430"/>
    </row>
    <row r="619">
      <c r="A619" s="433"/>
      <c r="B619" s="430"/>
      <c r="C619" s="430"/>
      <c r="D619" s="430"/>
      <c r="E619" s="432"/>
      <c r="F619" s="430"/>
      <c r="G619" s="430"/>
      <c r="H619" s="430"/>
      <c r="I619" s="430"/>
      <c r="J619" s="430"/>
      <c r="K619" s="430"/>
      <c r="L619" s="430"/>
      <c r="M619" s="430"/>
      <c r="N619" s="430"/>
      <c r="O619" s="430"/>
      <c r="P619" s="430"/>
      <c r="Q619" s="430"/>
      <c r="R619" s="430"/>
      <c r="S619" s="430"/>
      <c r="T619" s="430"/>
      <c r="U619" s="430"/>
      <c r="V619" s="430"/>
      <c r="W619" s="430"/>
      <c r="X619" s="430"/>
      <c r="Y619" s="430"/>
      <c r="Z619" s="430"/>
      <c r="AA619" s="430"/>
    </row>
    <row r="620">
      <c r="A620" s="433"/>
      <c r="B620" s="430"/>
      <c r="C620" s="430"/>
      <c r="D620" s="430"/>
      <c r="E620" s="432"/>
      <c r="F620" s="430"/>
      <c r="G620" s="430"/>
      <c r="H620" s="430"/>
      <c r="I620" s="430"/>
      <c r="J620" s="430"/>
      <c r="K620" s="430"/>
      <c r="L620" s="430"/>
      <c r="M620" s="430"/>
      <c r="N620" s="430"/>
      <c r="O620" s="430"/>
      <c r="P620" s="430"/>
      <c r="Q620" s="430"/>
      <c r="R620" s="430"/>
      <c r="S620" s="430"/>
      <c r="T620" s="430"/>
      <c r="U620" s="430"/>
      <c r="V620" s="430"/>
      <c r="W620" s="430"/>
      <c r="X620" s="430"/>
      <c r="Y620" s="430"/>
      <c r="Z620" s="430"/>
      <c r="AA620" s="430"/>
    </row>
    <row r="621">
      <c r="A621" s="433"/>
      <c r="B621" s="430"/>
      <c r="C621" s="430"/>
      <c r="D621" s="430"/>
      <c r="E621" s="432"/>
      <c r="F621" s="430"/>
      <c r="G621" s="430"/>
      <c r="H621" s="430"/>
      <c r="I621" s="430"/>
      <c r="J621" s="430"/>
      <c r="K621" s="430"/>
      <c r="L621" s="430"/>
      <c r="M621" s="430"/>
      <c r="N621" s="430"/>
      <c r="O621" s="430"/>
      <c r="P621" s="430"/>
      <c r="Q621" s="430"/>
      <c r="R621" s="430"/>
      <c r="S621" s="430"/>
      <c r="T621" s="430"/>
      <c r="U621" s="430"/>
      <c r="V621" s="430"/>
      <c r="W621" s="430"/>
      <c r="X621" s="430"/>
      <c r="Y621" s="430"/>
      <c r="Z621" s="430"/>
      <c r="AA621" s="430"/>
    </row>
    <row r="622">
      <c r="A622" s="433"/>
      <c r="B622" s="430"/>
      <c r="C622" s="430"/>
      <c r="D622" s="430"/>
      <c r="E622" s="432"/>
      <c r="F622" s="430"/>
      <c r="G622" s="430"/>
      <c r="H622" s="430"/>
      <c r="I622" s="430"/>
      <c r="J622" s="430"/>
      <c r="K622" s="430"/>
      <c r="L622" s="430"/>
      <c r="M622" s="430"/>
      <c r="N622" s="430"/>
      <c r="O622" s="430"/>
      <c r="P622" s="430"/>
      <c r="Q622" s="430"/>
      <c r="R622" s="430"/>
      <c r="S622" s="430"/>
      <c r="T622" s="430"/>
      <c r="U622" s="430"/>
      <c r="V622" s="430"/>
      <c r="W622" s="430"/>
      <c r="X622" s="430"/>
      <c r="Y622" s="430"/>
      <c r="Z622" s="430"/>
      <c r="AA622" s="430"/>
    </row>
    <row r="623">
      <c r="A623" s="433"/>
      <c r="B623" s="430"/>
      <c r="C623" s="430"/>
      <c r="D623" s="430"/>
      <c r="E623" s="432"/>
      <c r="F623" s="430"/>
      <c r="G623" s="430"/>
      <c r="H623" s="430"/>
      <c r="I623" s="430"/>
      <c r="J623" s="430"/>
      <c r="K623" s="430"/>
      <c r="L623" s="430"/>
      <c r="M623" s="430"/>
      <c r="N623" s="430"/>
      <c r="O623" s="430"/>
      <c r="P623" s="430"/>
      <c r="Q623" s="430"/>
      <c r="R623" s="430"/>
      <c r="S623" s="430"/>
      <c r="T623" s="430"/>
      <c r="U623" s="430"/>
      <c r="V623" s="430"/>
      <c r="W623" s="430"/>
      <c r="X623" s="430"/>
      <c r="Y623" s="430"/>
      <c r="Z623" s="430"/>
      <c r="AA623" s="430"/>
    </row>
    <row r="624">
      <c r="A624" s="433"/>
      <c r="B624" s="430"/>
      <c r="C624" s="430"/>
      <c r="D624" s="430"/>
      <c r="E624" s="432"/>
      <c r="F624" s="430"/>
      <c r="G624" s="430"/>
      <c r="H624" s="430"/>
      <c r="I624" s="430"/>
      <c r="J624" s="430"/>
      <c r="K624" s="430"/>
      <c r="L624" s="430"/>
      <c r="M624" s="430"/>
      <c r="N624" s="430"/>
      <c r="O624" s="430"/>
      <c r="P624" s="430"/>
      <c r="Q624" s="430"/>
      <c r="R624" s="430"/>
      <c r="S624" s="430"/>
      <c r="T624" s="430"/>
      <c r="U624" s="430"/>
      <c r="V624" s="430"/>
      <c r="W624" s="430"/>
      <c r="X624" s="430"/>
      <c r="Y624" s="430"/>
      <c r="Z624" s="430"/>
      <c r="AA624" s="430"/>
    </row>
    <row r="625">
      <c r="A625" s="433"/>
      <c r="B625" s="430"/>
      <c r="C625" s="430"/>
      <c r="D625" s="430"/>
      <c r="E625" s="432"/>
      <c r="F625" s="430"/>
      <c r="G625" s="430"/>
      <c r="H625" s="430"/>
      <c r="I625" s="430"/>
      <c r="J625" s="430"/>
      <c r="K625" s="430"/>
      <c r="L625" s="430"/>
      <c r="M625" s="430"/>
      <c r="N625" s="430"/>
      <c r="O625" s="430"/>
      <c r="P625" s="430"/>
      <c r="Q625" s="430"/>
      <c r="R625" s="430"/>
      <c r="S625" s="430"/>
      <c r="T625" s="430"/>
      <c r="U625" s="430"/>
      <c r="V625" s="430"/>
      <c r="W625" s="430"/>
      <c r="X625" s="430"/>
      <c r="Y625" s="430"/>
      <c r="Z625" s="430"/>
      <c r="AA625" s="430"/>
    </row>
    <row r="626">
      <c r="A626" s="433"/>
      <c r="B626" s="430"/>
      <c r="C626" s="430"/>
      <c r="D626" s="430"/>
      <c r="E626" s="432"/>
      <c r="F626" s="430"/>
      <c r="G626" s="430"/>
      <c r="H626" s="430"/>
      <c r="I626" s="430"/>
      <c r="J626" s="430"/>
      <c r="K626" s="430"/>
      <c r="L626" s="430"/>
      <c r="M626" s="430"/>
      <c r="N626" s="430"/>
      <c r="O626" s="430"/>
      <c r="P626" s="430"/>
      <c r="Q626" s="430"/>
      <c r="R626" s="430"/>
      <c r="S626" s="430"/>
      <c r="T626" s="430"/>
      <c r="U626" s="430"/>
      <c r="V626" s="430"/>
      <c r="W626" s="430"/>
      <c r="X626" s="430"/>
      <c r="Y626" s="430"/>
      <c r="Z626" s="430"/>
      <c r="AA626" s="430"/>
    </row>
    <row r="627">
      <c r="A627" s="433"/>
      <c r="B627" s="430"/>
      <c r="C627" s="430"/>
      <c r="D627" s="430"/>
      <c r="E627" s="432"/>
      <c r="F627" s="430"/>
      <c r="G627" s="430"/>
      <c r="H627" s="430"/>
      <c r="I627" s="430"/>
      <c r="J627" s="430"/>
      <c r="K627" s="430"/>
      <c r="L627" s="430"/>
      <c r="M627" s="430"/>
      <c r="N627" s="430"/>
      <c r="O627" s="430"/>
      <c r="P627" s="430"/>
      <c r="Q627" s="430"/>
      <c r="R627" s="430"/>
      <c r="S627" s="430"/>
      <c r="T627" s="430"/>
      <c r="U627" s="430"/>
      <c r="V627" s="430"/>
      <c r="W627" s="430"/>
      <c r="X627" s="430"/>
      <c r="Y627" s="430"/>
      <c r="Z627" s="430"/>
      <c r="AA627" s="430"/>
    </row>
    <row r="628">
      <c r="A628" s="433"/>
      <c r="B628" s="430"/>
      <c r="C628" s="430"/>
      <c r="D628" s="430"/>
      <c r="E628" s="432"/>
      <c r="F628" s="430"/>
      <c r="G628" s="430"/>
      <c r="H628" s="430"/>
      <c r="I628" s="430"/>
      <c r="J628" s="430"/>
      <c r="K628" s="430"/>
      <c r="L628" s="430"/>
      <c r="M628" s="430"/>
      <c r="N628" s="430"/>
      <c r="O628" s="430"/>
      <c r="P628" s="430"/>
      <c r="Q628" s="430"/>
      <c r="R628" s="430"/>
      <c r="S628" s="430"/>
      <c r="T628" s="430"/>
      <c r="U628" s="430"/>
      <c r="V628" s="430"/>
      <c r="W628" s="430"/>
      <c r="X628" s="430"/>
      <c r="Y628" s="430"/>
      <c r="Z628" s="430"/>
      <c r="AA628" s="430"/>
    </row>
    <row r="629">
      <c r="A629" s="433"/>
      <c r="B629" s="430"/>
      <c r="C629" s="430"/>
      <c r="D629" s="430"/>
      <c r="E629" s="432"/>
      <c r="F629" s="430"/>
      <c r="G629" s="430"/>
      <c r="H629" s="430"/>
      <c r="I629" s="430"/>
      <c r="J629" s="430"/>
      <c r="K629" s="430"/>
      <c r="L629" s="430"/>
      <c r="M629" s="430"/>
      <c r="N629" s="430"/>
      <c r="O629" s="430"/>
      <c r="P629" s="430"/>
      <c r="Q629" s="430"/>
      <c r="R629" s="430"/>
      <c r="S629" s="430"/>
      <c r="T629" s="430"/>
      <c r="U629" s="430"/>
      <c r="V629" s="430"/>
      <c r="W629" s="430"/>
      <c r="X629" s="430"/>
      <c r="Y629" s="430"/>
      <c r="Z629" s="430"/>
      <c r="AA629" s="430"/>
    </row>
    <row r="630">
      <c r="A630" s="433"/>
      <c r="B630" s="430"/>
      <c r="C630" s="430"/>
      <c r="D630" s="430"/>
      <c r="E630" s="432"/>
      <c r="F630" s="430"/>
      <c r="G630" s="430"/>
      <c r="H630" s="430"/>
      <c r="I630" s="430"/>
      <c r="J630" s="430"/>
      <c r="K630" s="430"/>
      <c r="L630" s="430"/>
      <c r="M630" s="430"/>
      <c r="N630" s="430"/>
      <c r="O630" s="430"/>
      <c r="P630" s="430"/>
      <c r="Q630" s="430"/>
      <c r="R630" s="430"/>
      <c r="S630" s="430"/>
      <c r="T630" s="430"/>
      <c r="U630" s="430"/>
      <c r="V630" s="430"/>
      <c r="W630" s="430"/>
      <c r="X630" s="430"/>
      <c r="Y630" s="430"/>
      <c r="Z630" s="430"/>
      <c r="AA630" s="430"/>
    </row>
    <row r="631">
      <c r="A631" s="433"/>
      <c r="B631" s="430"/>
      <c r="C631" s="430"/>
      <c r="D631" s="430"/>
      <c r="E631" s="432"/>
      <c r="F631" s="430"/>
      <c r="G631" s="430"/>
      <c r="H631" s="430"/>
      <c r="I631" s="430"/>
      <c r="J631" s="430"/>
      <c r="K631" s="430"/>
      <c r="L631" s="430"/>
      <c r="M631" s="430"/>
      <c r="N631" s="430"/>
      <c r="O631" s="430"/>
      <c r="P631" s="430"/>
      <c r="Q631" s="430"/>
      <c r="R631" s="430"/>
      <c r="S631" s="430"/>
      <c r="T631" s="430"/>
      <c r="U631" s="430"/>
      <c r="V631" s="430"/>
      <c r="W631" s="430"/>
      <c r="X631" s="430"/>
      <c r="Y631" s="430"/>
      <c r="Z631" s="430"/>
      <c r="AA631" s="430"/>
    </row>
    <row r="632">
      <c r="A632" s="433"/>
      <c r="B632" s="430"/>
      <c r="C632" s="430"/>
      <c r="D632" s="430"/>
      <c r="E632" s="432"/>
      <c r="F632" s="430"/>
      <c r="G632" s="430"/>
      <c r="H632" s="430"/>
      <c r="I632" s="430"/>
      <c r="J632" s="430"/>
      <c r="K632" s="430"/>
      <c r="L632" s="430"/>
      <c r="M632" s="430"/>
      <c r="N632" s="430"/>
      <c r="O632" s="430"/>
      <c r="P632" s="430"/>
      <c r="Q632" s="430"/>
      <c r="R632" s="430"/>
      <c r="S632" s="430"/>
      <c r="T632" s="430"/>
      <c r="U632" s="430"/>
      <c r="V632" s="430"/>
      <c r="W632" s="430"/>
      <c r="X632" s="430"/>
      <c r="Y632" s="430"/>
      <c r="Z632" s="430"/>
      <c r="AA632" s="430"/>
    </row>
    <row r="633">
      <c r="A633" s="433"/>
      <c r="B633" s="430"/>
      <c r="C633" s="430"/>
      <c r="D633" s="430"/>
      <c r="E633" s="432"/>
      <c r="F633" s="430"/>
      <c r="G633" s="430"/>
      <c r="H633" s="430"/>
      <c r="I633" s="430"/>
      <c r="J633" s="430"/>
      <c r="K633" s="430"/>
      <c r="L633" s="430"/>
      <c r="M633" s="430"/>
      <c r="N633" s="430"/>
      <c r="O633" s="430"/>
      <c r="P633" s="430"/>
      <c r="Q633" s="430"/>
      <c r="R633" s="430"/>
      <c r="S633" s="430"/>
      <c r="T633" s="430"/>
      <c r="U633" s="430"/>
      <c r="V633" s="430"/>
      <c r="W633" s="430"/>
      <c r="X633" s="430"/>
      <c r="Y633" s="430"/>
      <c r="Z633" s="430"/>
      <c r="AA633" s="430"/>
    </row>
    <row r="634">
      <c r="A634" s="433"/>
      <c r="B634" s="430"/>
      <c r="C634" s="430"/>
      <c r="D634" s="430"/>
      <c r="E634" s="432"/>
      <c r="F634" s="430"/>
      <c r="G634" s="430"/>
      <c r="H634" s="430"/>
      <c r="I634" s="430"/>
      <c r="J634" s="430"/>
      <c r="K634" s="430"/>
      <c r="L634" s="430"/>
      <c r="M634" s="430"/>
      <c r="N634" s="430"/>
      <c r="O634" s="430"/>
      <c r="P634" s="430"/>
      <c r="Q634" s="430"/>
      <c r="R634" s="430"/>
      <c r="S634" s="430"/>
      <c r="T634" s="430"/>
      <c r="U634" s="430"/>
      <c r="V634" s="430"/>
      <c r="W634" s="430"/>
      <c r="X634" s="430"/>
      <c r="Y634" s="430"/>
      <c r="Z634" s="430"/>
      <c r="AA634" s="430"/>
    </row>
    <row r="635">
      <c r="A635" s="433"/>
      <c r="B635" s="430"/>
      <c r="C635" s="430"/>
      <c r="D635" s="430"/>
      <c r="E635" s="432"/>
      <c r="F635" s="430"/>
      <c r="G635" s="430"/>
      <c r="H635" s="430"/>
      <c r="I635" s="430"/>
      <c r="J635" s="430"/>
      <c r="K635" s="430"/>
      <c r="L635" s="430"/>
      <c r="M635" s="430"/>
      <c r="N635" s="430"/>
      <c r="O635" s="430"/>
      <c r="P635" s="430"/>
      <c r="Q635" s="430"/>
      <c r="R635" s="430"/>
      <c r="S635" s="430"/>
      <c r="T635" s="430"/>
      <c r="U635" s="430"/>
      <c r="V635" s="430"/>
      <c r="W635" s="430"/>
      <c r="X635" s="430"/>
      <c r="Y635" s="430"/>
      <c r="Z635" s="430"/>
      <c r="AA635" s="430"/>
    </row>
    <row r="636">
      <c r="A636" s="433"/>
      <c r="B636" s="430"/>
      <c r="C636" s="430"/>
      <c r="D636" s="430"/>
      <c r="E636" s="432"/>
      <c r="F636" s="430"/>
      <c r="G636" s="430"/>
      <c r="H636" s="430"/>
      <c r="I636" s="430"/>
      <c r="J636" s="430"/>
      <c r="K636" s="430"/>
      <c r="L636" s="430"/>
      <c r="M636" s="430"/>
      <c r="N636" s="430"/>
      <c r="O636" s="430"/>
      <c r="P636" s="430"/>
      <c r="Q636" s="430"/>
      <c r="R636" s="430"/>
      <c r="S636" s="430"/>
      <c r="T636" s="430"/>
      <c r="U636" s="430"/>
      <c r="V636" s="430"/>
      <c r="W636" s="430"/>
      <c r="X636" s="430"/>
      <c r="Y636" s="430"/>
      <c r="Z636" s="430"/>
      <c r="AA636" s="430"/>
    </row>
    <row r="637">
      <c r="A637" s="433"/>
      <c r="B637" s="430"/>
      <c r="C637" s="430"/>
      <c r="D637" s="430"/>
      <c r="E637" s="432"/>
      <c r="F637" s="430"/>
      <c r="G637" s="430"/>
      <c r="H637" s="430"/>
      <c r="I637" s="430"/>
      <c r="J637" s="430"/>
      <c r="K637" s="430"/>
      <c r="L637" s="430"/>
      <c r="M637" s="430"/>
      <c r="N637" s="430"/>
      <c r="O637" s="430"/>
      <c r="P637" s="430"/>
      <c r="Q637" s="430"/>
      <c r="R637" s="430"/>
      <c r="S637" s="430"/>
      <c r="T637" s="430"/>
      <c r="U637" s="430"/>
      <c r="V637" s="430"/>
      <c r="W637" s="430"/>
      <c r="X637" s="430"/>
      <c r="Y637" s="430"/>
      <c r="Z637" s="430"/>
      <c r="AA637" s="430"/>
    </row>
    <row r="638">
      <c r="A638" s="433"/>
      <c r="B638" s="430"/>
      <c r="C638" s="430"/>
      <c r="D638" s="430"/>
      <c r="E638" s="432"/>
      <c r="F638" s="430"/>
      <c r="G638" s="430"/>
      <c r="H638" s="430"/>
      <c r="I638" s="430"/>
      <c r="J638" s="430"/>
      <c r="K638" s="430"/>
      <c r="L638" s="430"/>
      <c r="M638" s="430"/>
      <c r="N638" s="430"/>
      <c r="O638" s="430"/>
      <c r="P638" s="430"/>
      <c r="Q638" s="430"/>
      <c r="R638" s="430"/>
      <c r="S638" s="430"/>
      <c r="T638" s="430"/>
      <c r="U638" s="430"/>
      <c r="V638" s="430"/>
      <c r="W638" s="430"/>
      <c r="X638" s="430"/>
      <c r="Y638" s="430"/>
      <c r="Z638" s="430"/>
      <c r="AA638" s="430"/>
    </row>
    <row r="639">
      <c r="A639" s="433"/>
      <c r="B639" s="430"/>
      <c r="C639" s="430"/>
      <c r="D639" s="430"/>
      <c r="E639" s="432"/>
      <c r="F639" s="430"/>
      <c r="G639" s="430"/>
      <c r="H639" s="430"/>
      <c r="I639" s="430"/>
      <c r="J639" s="430"/>
      <c r="K639" s="430"/>
      <c r="L639" s="430"/>
      <c r="M639" s="430"/>
      <c r="N639" s="430"/>
      <c r="O639" s="430"/>
      <c r="P639" s="430"/>
      <c r="Q639" s="430"/>
      <c r="R639" s="430"/>
      <c r="S639" s="430"/>
      <c r="T639" s="430"/>
      <c r="U639" s="430"/>
      <c r="V639" s="430"/>
      <c r="W639" s="430"/>
      <c r="X639" s="430"/>
      <c r="Y639" s="430"/>
      <c r="Z639" s="430"/>
      <c r="AA639" s="430"/>
    </row>
    <row r="640">
      <c r="A640" s="433"/>
      <c r="B640" s="430"/>
      <c r="C640" s="430"/>
      <c r="D640" s="430"/>
      <c r="E640" s="432"/>
      <c r="F640" s="430"/>
      <c r="G640" s="430"/>
      <c r="H640" s="430"/>
      <c r="I640" s="430"/>
      <c r="J640" s="430"/>
      <c r="K640" s="430"/>
      <c r="L640" s="430"/>
      <c r="M640" s="430"/>
      <c r="N640" s="430"/>
      <c r="O640" s="430"/>
      <c r="P640" s="430"/>
      <c r="Q640" s="430"/>
      <c r="R640" s="430"/>
      <c r="S640" s="430"/>
      <c r="T640" s="430"/>
      <c r="U640" s="430"/>
      <c r="V640" s="430"/>
      <c r="W640" s="430"/>
      <c r="X640" s="430"/>
      <c r="Y640" s="430"/>
      <c r="Z640" s="430"/>
      <c r="AA640" s="430"/>
    </row>
    <row r="641">
      <c r="A641" s="433"/>
      <c r="B641" s="430"/>
      <c r="C641" s="430"/>
      <c r="D641" s="430"/>
      <c r="E641" s="432"/>
      <c r="F641" s="430"/>
      <c r="G641" s="430"/>
      <c r="H641" s="430"/>
      <c r="I641" s="430"/>
      <c r="J641" s="430"/>
      <c r="K641" s="430"/>
      <c r="L641" s="430"/>
      <c r="M641" s="430"/>
      <c r="N641" s="430"/>
      <c r="O641" s="430"/>
      <c r="P641" s="430"/>
      <c r="Q641" s="430"/>
      <c r="R641" s="430"/>
      <c r="S641" s="430"/>
      <c r="T641" s="430"/>
      <c r="U641" s="430"/>
      <c r="V641" s="430"/>
      <c r="W641" s="430"/>
      <c r="X641" s="430"/>
      <c r="Y641" s="430"/>
      <c r="Z641" s="430"/>
      <c r="AA641" s="430"/>
    </row>
    <row r="642">
      <c r="A642" s="433"/>
      <c r="B642" s="430"/>
      <c r="C642" s="430"/>
      <c r="D642" s="430"/>
      <c r="E642" s="432"/>
      <c r="F642" s="430"/>
      <c r="G642" s="430"/>
      <c r="H642" s="430"/>
      <c r="I642" s="430"/>
      <c r="J642" s="430"/>
      <c r="K642" s="430"/>
      <c r="L642" s="430"/>
      <c r="M642" s="430"/>
      <c r="N642" s="430"/>
      <c r="O642" s="430"/>
      <c r="P642" s="430"/>
      <c r="Q642" s="430"/>
      <c r="R642" s="430"/>
      <c r="S642" s="430"/>
      <c r="T642" s="430"/>
      <c r="U642" s="430"/>
      <c r="V642" s="430"/>
      <c r="W642" s="430"/>
      <c r="X642" s="430"/>
      <c r="Y642" s="430"/>
      <c r="Z642" s="430"/>
      <c r="AA642" s="430"/>
    </row>
    <row r="643">
      <c r="A643" s="433"/>
      <c r="B643" s="430"/>
      <c r="C643" s="430"/>
      <c r="D643" s="430"/>
      <c r="E643" s="432"/>
      <c r="F643" s="430"/>
      <c r="G643" s="430"/>
      <c r="H643" s="430"/>
      <c r="I643" s="430"/>
      <c r="J643" s="430"/>
      <c r="K643" s="430"/>
      <c r="L643" s="430"/>
      <c r="M643" s="430"/>
      <c r="N643" s="430"/>
      <c r="O643" s="430"/>
      <c r="P643" s="430"/>
      <c r="Q643" s="430"/>
      <c r="R643" s="430"/>
      <c r="S643" s="430"/>
      <c r="T643" s="430"/>
      <c r="U643" s="430"/>
      <c r="V643" s="430"/>
      <c r="W643" s="430"/>
      <c r="X643" s="430"/>
      <c r="Y643" s="430"/>
      <c r="Z643" s="430"/>
      <c r="AA643" s="430"/>
    </row>
    <row r="644">
      <c r="A644" s="433"/>
      <c r="B644" s="430"/>
      <c r="C644" s="430"/>
      <c r="D644" s="430"/>
      <c r="E644" s="432"/>
      <c r="F644" s="430"/>
      <c r="G644" s="430"/>
      <c r="H644" s="430"/>
      <c r="I644" s="430"/>
      <c r="J644" s="430"/>
      <c r="K644" s="430"/>
      <c r="L644" s="430"/>
      <c r="M644" s="430"/>
      <c r="N644" s="430"/>
      <c r="O644" s="430"/>
      <c r="P644" s="430"/>
      <c r="Q644" s="430"/>
      <c r="R644" s="430"/>
      <c r="S644" s="430"/>
      <c r="T644" s="430"/>
      <c r="U644" s="430"/>
      <c r="V644" s="430"/>
      <c r="W644" s="430"/>
      <c r="X644" s="430"/>
      <c r="Y644" s="430"/>
      <c r="Z644" s="430"/>
      <c r="AA644" s="430"/>
    </row>
    <row r="645">
      <c r="A645" s="433"/>
      <c r="B645" s="430"/>
      <c r="C645" s="430"/>
      <c r="D645" s="430"/>
      <c r="E645" s="432"/>
      <c r="F645" s="430"/>
      <c r="G645" s="430"/>
      <c r="H645" s="430"/>
      <c r="I645" s="430"/>
      <c r="J645" s="430"/>
      <c r="K645" s="430"/>
      <c r="L645" s="430"/>
      <c r="M645" s="430"/>
      <c r="N645" s="430"/>
      <c r="O645" s="430"/>
      <c r="P645" s="430"/>
      <c r="Q645" s="430"/>
      <c r="R645" s="430"/>
      <c r="S645" s="430"/>
      <c r="T645" s="430"/>
      <c r="U645" s="430"/>
      <c r="V645" s="430"/>
      <c r="W645" s="430"/>
      <c r="X645" s="430"/>
      <c r="Y645" s="430"/>
      <c r="Z645" s="430"/>
      <c r="AA645" s="430"/>
    </row>
    <row r="646">
      <c r="A646" s="433"/>
      <c r="B646" s="430"/>
      <c r="C646" s="430"/>
      <c r="D646" s="430"/>
      <c r="E646" s="432"/>
      <c r="F646" s="430"/>
      <c r="G646" s="430"/>
      <c r="H646" s="430"/>
      <c r="I646" s="430"/>
      <c r="J646" s="430"/>
      <c r="K646" s="430"/>
      <c r="L646" s="430"/>
      <c r="M646" s="430"/>
      <c r="N646" s="430"/>
      <c r="O646" s="430"/>
      <c r="P646" s="430"/>
      <c r="Q646" s="430"/>
      <c r="R646" s="430"/>
      <c r="S646" s="430"/>
      <c r="T646" s="430"/>
      <c r="U646" s="430"/>
      <c r="V646" s="430"/>
      <c r="W646" s="430"/>
      <c r="X646" s="430"/>
      <c r="Y646" s="430"/>
      <c r="Z646" s="430"/>
      <c r="AA646" s="430"/>
    </row>
    <row r="647">
      <c r="A647" s="433"/>
      <c r="B647" s="430"/>
      <c r="C647" s="430"/>
      <c r="D647" s="430"/>
      <c r="E647" s="432"/>
      <c r="F647" s="430"/>
      <c r="G647" s="430"/>
      <c r="H647" s="430"/>
      <c r="I647" s="430"/>
      <c r="J647" s="430"/>
      <c r="K647" s="430"/>
      <c r="L647" s="430"/>
      <c r="M647" s="430"/>
      <c r="N647" s="430"/>
      <c r="O647" s="430"/>
      <c r="P647" s="430"/>
      <c r="Q647" s="430"/>
      <c r="R647" s="430"/>
      <c r="S647" s="430"/>
      <c r="T647" s="430"/>
      <c r="U647" s="430"/>
      <c r="V647" s="430"/>
      <c r="W647" s="430"/>
      <c r="X647" s="430"/>
      <c r="Y647" s="430"/>
      <c r="Z647" s="430"/>
      <c r="AA647" s="430"/>
    </row>
    <row r="648">
      <c r="A648" s="433"/>
      <c r="B648" s="430"/>
      <c r="C648" s="430"/>
      <c r="D648" s="430"/>
      <c r="E648" s="432"/>
      <c r="F648" s="430"/>
      <c r="G648" s="430"/>
      <c r="H648" s="430"/>
      <c r="I648" s="430"/>
      <c r="J648" s="430"/>
      <c r="K648" s="430"/>
      <c r="L648" s="430"/>
      <c r="M648" s="430"/>
      <c r="N648" s="430"/>
      <c r="O648" s="430"/>
      <c r="P648" s="430"/>
      <c r="Q648" s="430"/>
      <c r="R648" s="430"/>
      <c r="S648" s="430"/>
      <c r="T648" s="430"/>
      <c r="U648" s="430"/>
      <c r="V648" s="430"/>
      <c r="W648" s="430"/>
      <c r="X648" s="430"/>
      <c r="Y648" s="430"/>
      <c r="Z648" s="430"/>
      <c r="AA648" s="430"/>
    </row>
    <row r="649">
      <c r="A649" s="433"/>
      <c r="B649" s="430"/>
      <c r="C649" s="430"/>
      <c r="D649" s="430"/>
      <c r="E649" s="432"/>
      <c r="F649" s="430"/>
      <c r="G649" s="430"/>
      <c r="H649" s="430"/>
      <c r="I649" s="430"/>
      <c r="J649" s="430"/>
      <c r="K649" s="430"/>
      <c r="L649" s="430"/>
      <c r="M649" s="430"/>
      <c r="N649" s="430"/>
      <c r="O649" s="430"/>
      <c r="P649" s="430"/>
      <c r="Q649" s="430"/>
      <c r="R649" s="430"/>
      <c r="S649" s="430"/>
      <c r="T649" s="430"/>
      <c r="U649" s="430"/>
      <c r="V649" s="430"/>
      <c r="W649" s="430"/>
      <c r="X649" s="430"/>
      <c r="Y649" s="430"/>
      <c r="Z649" s="430"/>
      <c r="AA649" s="430"/>
    </row>
    <row r="650">
      <c r="A650" s="433"/>
      <c r="B650" s="430"/>
      <c r="C650" s="430"/>
      <c r="D650" s="430"/>
      <c r="E650" s="432"/>
      <c r="F650" s="430"/>
      <c r="G650" s="430"/>
      <c r="H650" s="430"/>
      <c r="I650" s="430"/>
      <c r="J650" s="430"/>
      <c r="K650" s="430"/>
      <c r="L650" s="430"/>
      <c r="M650" s="430"/>
      <c r="N650" s="430"/>
      <c r="O650" s="430"/>
      <c r="P650" s="430"/>
      <c r="Q650" s="430"/>
      <c r="R650" s="430"/>
      <c r="S650" s="430"/>
      <c r="T650" s="430"/>
      <c r="U650" s="430"/>
      <c r="V650" s="430"/>
      <c r="W650" s="430"/>
      <c r="X650" s="430"/>
      <c r="Y650" s="430"/>
      <c r="Z650" s="430"/>
      <c r="AA650" s="430"/>
    </row>
    <row r="651">
      <c r="A651" s="433"/>
      <c r="B651" s="430"/>
      <c r="C651" s="430"/>
      <c r="D651" s="430"/>
      <c r="E651" s="432"/>
      <c r="F651" s="430"/>
      <c r="G651" s="430"/>
      <c r="H651" s="430"/>
      <c r="I651" s="430"/>
      <c r="J651" s="430"/>
      <c r="K651" s="430"/>
      <c r="L651" s="430"/>
      <c r="M651" s="430"/>
      <c r="N651" s="430"/>
      <c r="O651" s="430"/>
      <c r="P651" s="430"/>
      <c r="Q651" s="430"/>
      <c r="R651" s="430"/>
      <c r="S651" s="430"/>
      <c r="T651" s="430"/>
      <c r="U651" s="430"/>
      <c r="V651" s="430"/>
      <c r="W651" s="430"/>
      <c r="X651" s="430"/>
      <c r="Y651" s="430"/>
      <c r="Z651" s="430"/>
      <c r="AA651" s="430"/>
    </row>
    <row r="652">
      <c r="A652" s="433"/>
      <c r="B652" s="430"/>
      <c r="C652" s="430"/>
      <c r="D652" s="430"/>
      <c r="E652" s="432"/>
      <c r="F652" s="430"/>
      <c r="G652" s="430"/>
      <c r="H652" s="430"/>
      <c r="I652" s="430"/>
      <c r="J652" s="430"/>
      <c r="K652" s="430"/>
      <c r="L652" s="430"/>
      <c r="M652" s="430"/>
      <c r="N652" s="430"/>
      <c r="O652" s="430"/>
      <c r="P652" s="430"/>
      <c r="Q652" s="430"/>
      <c r="R652" s="430"/>
      <c r="S652" s="430"/>
      <c r="T652" s="430"/>
      <c r="U652" s="430"/>
      <c r="V652" s="430"/>
      <c r="W652" s="430"/>
      <c r="X652" s="430"/>
      <c r="Y652" s="430"/>
      <c r="Z652" s="430"/>
      <c r="AA652" s="430"/>
    </row>
    <row r="653">
      <c r="A653" s="433"/>
      <c r="B653" s="430"/>
      <c r="C653" s="430"/>
      <c r="D653" s="430"/>
      <c r="E653" s="432"/>
      <c r="F653" s="430"/>
      <c r="G653" s="430"/>
      <c r="H653" s="430"/>
      <c r="I653" s="430"/>
      <c r="J653" s="430"/>
      <c r="K653" s="430"/>
      <c r="L653" s="430"/>
      <c r="M653" s="430"/>
      <c r="N653" s="430"/>
      <c r="O653" s="430"/>
      <c r="P653" s="430"/>
      <c r="Q653" s="430"/>
      <c r="R653" s="430"/>
      <c r="S653" s="430"/>
      <c r="T653" s="430"/>
      <c r="U653" s="430"/>
      <c r="V653" s="430"/>
      <c r="W653" s="430"/>
      <c r="X653" s="430"/>
      <c r="Y653" s="430"/>
      <c r="Z653" s="430"/>
      <c r="AA653" s="430"/>
    </row>
    <row r="654">
      <c r="A654" s="433"/>
      <c r="B654" s="430"/>
      <c r="C654" s="430"/>
      <c r="D654" s="430"/>
      <c r="E654" s="432"/>
      <c r="F654" s="430"/>
      <c r="G654" s="430"/>
      <c r="H654" s="430"/>
      <c r="I654" s="430"/>
      <c r="J654" s="430"/>
      <c r="K654" s="430"/>
      <c r="L654" s="430"/>
      <c r="M654" s="430"/>
      <c r="N654" s="430"/>
      <c r="O654" s="430"/>
      <c r="P654" s="430"/>
      <c r="Q654" s="430"/>
      <c r="R654" s="430"/>
      <c r="S654" s="430"/>
      <c r="T654" s="430"/>
      <c r="U654" s="430"/>
      <c r="V654" s="430"/>
      <c r="W654" s="430"/>
      <c r="X654" s="430"/>
      <c r="Y654" s="430"/>
      <c r="Z654" s="430"/>
      <c r="AA654" s="430"/>
    </row>
    <row r="655">
      <c r="A655" s="433"/>
      <c r="B655" s="430"/>
      <c r="C655" s="430"/>
      <c r="D655" s="430"/>
      <c r="E655" s="432"/>
      <c r="F655" s="430"/>
      <c r="G655" s="430"/>
      <c r="H655" s="430"/>
      <c r="I655" s="430"/>
      <c r="J655" s="430"/>
      <c r="K655" s="430"/>
      <c r="L655" s="430"/>
      <c r="M655" s="430"/>
      <c r="N655" s="430"/>
      <c r="O655" s="430"/>
      <c r="P655" s="430"/>
      <c r="Q655" s="430"/>
      <c r="R655" s="430"/>
      <c r="S655" s="430"/>
      <c r="T655" s="430"/>
      <c r="U655" s="430"/>
      <c r="V655" s="430"/>
      <c r="W655" s="430"/>
      <c r="X655" s="430"/>
      <c r="Y655" s="430"/>
      <c r="Z655" s="430"/>
      <c r="AA655" s="430"/>
    </row>
    <row r="656">
      <c r="A656" s="433"/>
      <c r="B656" s="430"/>
      <c r="C656" s="430"/>
      <c r="D656" s="430"/>
      <c r="E656" s="432"/>
      <c r="F656" s="430"/>
      <c r="G656" s="430"/>
      <c r="H656" s="430"/>
      <c r="I656" s="430"/>
      <c r="J656" s="430"/>
      <c r="K656" s="430"/>
      <c r="L656" s="430"/>
      <c r="M656" s="430"/>
      <c r="N656" s="430"/>
      <c r="O656" s="430"/>
      <c r="P656" s="430"/>
      <c r="Q656" s="430"/>
      <c r="R656" s="430"/>
      <c r="S656" s="430"/>
      <c r="T656" s="430"/>
      <c r="U656" s="430"/>
      <c r="V656" s="430"/>
      <c r="W656" s="430"/>
      <c r="X656" s="430"/>
      <c r="Y656" s="430"/>
      <c r="Z656" s="430"/>
      <c r="AA656" s="430"/>
    </row>
    <row r="657">
      <c r="A657" s="433"/>
      <c r="B657" s="430"/>
      <c r="C657" s="430"/>
      <c r="D657" s="430"/>
      <c r="E657" s="432"/>
      <c r="F657" s="430"/>
      <c r="G657" s="430"/>
      <c r="H657" s="430"/>
      <c r="I657" s="430"/>
      <c r="J657" s="430"/>
      <c r="K657" s="430"/>
      <c r="L657" s="430"/>
      <c r="M657" s="430"/>
      <c r="N657" s="430"/>
      <c r="O657" s="430"/>
      <c r="P657" s="430"/>
      <c r="Q657" s="430"/>
      <c r="R657" s="430"/>
      <c r="S657" s="430"/>
      <c r="T657" s="430"/>
      <c r="U657" s="430"/>
      <c r="V657" s="430"/>
      <c r="W657" s="430"/>
      <c r="X657" s="430"/>
      <c r="Y657" s="430"/>
      <c r="Z657" s="430"/>
      <c r="AA657" s="430"/>
    </row>
    <row r="658">
      <c r="A658" s="433"/>
      <c r="B658" s="430"/>
      <c r="C658" s="430"/>
      <c r="D658" s="430"/>
      <c r="E658" s="432"/>
      <c r="F658" s="430"/>
      <c r="G658" s="430"/>
      <c r="H658" s="430"/>
      <c r="I658" s="430"/>
      <c r="J658" s="430"/>
      <c r="K658" s="430"/>
      <c r="L658" s="430"/>
      <c r="M658" s="430"/>
      <c r="N658" s="430"/>
      <c r="O658" s="430"/>
      <c r="P658" s="430"/>
      <c r="Q658" s="430"/>
      <c r="R658" s="430"/>
      <c r="S658" s="430"/>
      <c r="T658" s="430"/>
      <c r="U658" s="430"/>
      <c r="V658" s="430"/>
      <c r="W658" s="430"/>
      <c r="X658" s="430"/>
      <c r="Y658" s="430"/>
      <c r="Z658" s="430"/>
      <c r="AA658" s="430"/>
    </row>
    <row r="659">
      <c r="A659" s="433"/>
      <c r="B659" s="430"/>
      <c r="C659" s="430"/>
      <c r="D659" s="430"/>
      <c r="E659" s="432"/>
      <c r="F659" s="430"/>
      <c r="G659" s="430"/>
      <c r="H659" s="430"/>
      <c r="I659" s="430"/>
      <c r="J659" s="430"/>
      <c r="K659" s="430"/>
      <c r="L659" s="430"/>
      <c r="M659" s="430"/>
      <c r="N659" s="430"/>
      <c r="O659" s="430"/>
      <c r="P659" s="430"/>
      <c r="Q659" s="430"/>
      <c r="R659" s="430"/>
      <c r="S659" s="430"/>
      <c r="T659" s="430"/>
      <c r="U659" s="430"/>
      <c r="V659" s="430"/>
      <c r="W659" s="430"/>
      <c r="X659" s="430"/>
      <c r="Y659" s="430"/>
      <c r="Z659" s="430"/>
      <c r="AA659" s="430"/>
    </row>
    <row r="660">
      <c r="A660" s="433"/>
      <c r="B660" s="430"/>
      <c r="C660" s="430"/>
      <c r="D660" s="430"/>
      <c r="E660" s="432"/>
      <c r="F660" s="430"/>
      <c r="G660" s="430"/>
      <c r="H660" s="430"/>
      <c r="I660" s="430"/>
      <c r="J660" s="430"/>
      <c r="K660" s="430"/>
      <c r="L660" s="430"/>
      <c r="M660" s="430"/>
      <c r="N660" s="430"/>
      <c r="O660" s="430"/>
      <c r="P660" s="430"/>
      <c r="Q660" s="430"/>
      <c r="R660" s="430"/>
      <c r="S660" s="430"/>
      <c r="T660" s="430"/>
      <c r="U660" s="430"/>
      <c r="V660" s="430"/>
      <c r="W660" s="430"/>
      <c r="X660" s="430"/>
      <c r="Y660" s="430"/>
      <c r="Z660" s="430"/>
      <c r="AA660" s="430"/>
    </row>
    <row r="661">
      <c r="A661" s="433"/>
      <c r="B661" s="430"/>
      <c r="C661" s="430"/>
      <c r="D661" s="430"/>
      <c r="E661" s="432"/>
      <c r="F661" s="430"/>
      <c r="G661" s="430"/>
      <c r="H661" s="430"/>
      <c r="I661" s="430"/>
      <c r="J661" s="430"/>
      <c r="K661" s="430"/>
      <c r="L661" s="430"/>
      <c r="M661" s="430"/>
      <c r="N661" s="430"/>
      <c r="O661" s="430"/>
      <c r="P661" s="430"/>
      <c r="Q661" s="430"/>
      <c r="R661" s="430"/>
      <c r="S661" s="430"/>
      <c r="T661" s="430"/>
      <c r="U661" s="430"/>
      <c r="V661" s="430"/>
      <c r="W661" s="430"/>
      <c r="X661" s="430"/>
      <c r="Y661" s="430"/>
      <c r="Z661" s="430"/>
      <c r="AA661" s="430"/>
    </row>
    <row r="662">
      <c r="A662" s="433"/>
      <c r="B662" s="430"/>
      <c r="C662" s="430"/>
      <c r="D662" s="430"/>
      <c r="E662" s="432"/>
      <c r="F662" s="430"/>
      <c r="G662" s="430"/>
      <c r="H662" s="430"/>
      <c r="I662" s="430"/>
      <c r="J662" s="430"/>
      <c r="K662" s="430"/>
      <c r="L662" s="430"/>
      <c r="M662" s="430"/>
      <c r="N662" s="430"/>
      <c r="O662" s="430"/>
      <c r="P662" s="430"/>
      <c r="Q662" s="430"/>
      <c r="R662" s="430"/>
      <c r="S662" s="430"/>
      <c r="T662" s="430"/>
      <c r="U662" s="430"/>
      <c r="V662" s="430"/>
      <c r="W662" s="430"/>
      <c r="X662" s="430"/>
      <c r="Y662" s="430"/>
      <c r="Z662" s="430"/>
      <c r="AA662" s="430"/>
    </row>
    <row r="663">
      <c r="A663" s="433"/>
      <c r="B663" s="430"/>
      <c r="C663" s="430"/>
      <c r="D663" s="430"/>
      <c r="E663" s="432"/>
      <c r="F663" s="430"/>
      <c r="G663" s="430"/>
      <c r="H663" s="430"/>
      <c r="I663" s="430"/>
      <c r="J663" s="430"/>
      <c r="K663" s="430"/>
      <c r="L663" s="430"/>
      <c r="M663" s="430"/>
      <c r="N663" s="430"/>
      <c r="O663" s="430"/>
      <c r="P663" s="430"/>
      <c r="Q663" s="430"/>
      <c r="R663" s="430"/>
      <c r="S663" s="430"/>
      <c r="T663" s="430"/>
      <c r="U663" s="430"/>
      <c r="V663" s="430"/>
      <c r="W663" s="430"/>
      <c r="X663" s="430"/>
      <c r="Y663" s="430"/>
      <c r="Z663" s="430"/>
      <c r="AA663" s="430"/>
    </row>
    <row r="664">
      <c r="A664" s="433"/>
      <c r="B664" s="430"/>
      <c r="C664" s="430"/>
      <c r="D664" s="430"/>
      <c r="E664" s="432"/>
      <c r="F664" s="430"/>
      <c r="G664" s="430"/>
      <c r="H664" s="430"/>
      <c r="I664" s="430"/>
      <c r="J664" s="430"/>
      <c r="K664" s="430"/>
      <c r="L664" s="430"/>
      <c r="M664" s="430"/>
      <c r="N664" s="430"/>
      <c r="O664" s="430"/>
      <c r="P664" s="430"/>
      <c r="Q664" s="430"/>
      <c r="R664" s="430"/>
      <c r="S664" s="430"/>
      <c r="T664" s="430"/>
      <c r="U664" s="430"/>
      <c r="V664" s="430"/>
      <c r="W664" s="430"/>
      <c r="X664" s="430"/>
      <c r="Y664" s="430"/>
      <c r="Z664" s="430"/>
      <c r="AA664" s="430"/>
    </row>
    <row r="665">
      <c r="A665" s="433"/>
      <c r="B665" s="430"/>
      <c r="C665" s="430"/>
      <c r="D665" s="430"/>
      <c r="E665" s="432"/>
      <c r="F665" s="430"/>
      <c r="G665" s="430"/>
      <c r="H665" s="430"/>
      <c r="I665" s="430"/>
      <c r="J665" s="430"/>
      <c r="K665" s="430"/>
      <c r="L665" s="430"/>
      <c r="M665" s="430"/>
      <c r="N665" s="430"/>
      <c r="O665" s="430"/>
      <c r="P665" s="430"/>
      <c r="Q665" s="430"/>
      <c r="R665" s="430"/>
      <c r="S665" s="430"/>
      <c r="T665" s="430"/>
      <c r="U665" s="430"/>
      <c r="V665" s="430"/>
      <c r="W665" s="430"/>
      <c r="X665" s="430"/>
      <c r="Y665" s="430"/>
      <c r="Z665" s="430"/>
      <c r="AA665" s="430"/>
    </row>
    <row r="666">
      <c r="A666" s="433"/>
      <c r="B666" s="430"/>
      <c r="C666" s="430"/>
      <c r="D666" s="430"/>
      <c r="E666" s="432"/>
      <c r="F666" s="430"/>
      <c r="G666" s="430"/>
      <c r="H666" s="430"/>
      <c r="I666" s="430"/>
      <c r="J666" s="430"/>
      <c r="K666" s="430"/>
      <c r="L666" s="430"/>
      <c r="M666" s="430"/>
      <c r="N666" s="430"/>
      <c r="O666" s="430"/>
      <c r="P666" s="430"/>
      <c r="Q666" s="430"/>
      <c r="R666" s="430"/>
      <c r="S666" s="430"/>
      <c r="T666" s="430"/>
      <c r="U666" s="430"/>
      <c r="V666" s="430"/>
      <c r="W666" s="430"/>
      <c r="X666" s="430"/>
      <c r="Y666" s="430"/>
      <c r="Z666" s="430"/>
      <c r="AA666" s="430"/>
    </row>
    <row r="667">
      <c r="A667" s="433"/>
      <c r="B667" s="430"/>
      <c r="C667" s="430"/>
      <c r="D667" s="430"/>
      <c r="E667" s="432"/>
      <c r="F667" s="430"/>
      <c r="G667" s="430"/>
      <c r="H667" s="430"/>
      <c r="I667" s="430"/>
      <c r="J667" s="430"/>
      <c r="K667" s="430"/>
      <c r="L667" s="430"/>
      <c r="M667" s="430"/>
      <c r="N667" s="430"/>
      <c r="O667" s="430"/>
      <c r="P667" s="430"/>
      <c r="Q667" s="430"/>
      <c r="R667" s="430"/>
      <c r="S667" s="430"/>
      <c r="T667" s="430"/>
      <c r="U667" s="430"/>
      <c r="V667" s="430"/>
      <c r="W667" s="430"/>
      <c r="X667" s="430"/>
      <c r="Y667" s="430"/>
      <c r="Z667" s="430"/>
      <c r="AA667" s="430"/>
    </row>
    <row r="668">
      <c r="A668" s="433"/>
      <c r="B668" s="430"/>
      <c r="C668" s="430"/>
      <c r="D668" s="430"/>
      <c r="E668" s="432"/>
      <c r="F668" s="430"/>
      <c r="G668" s="430"/>
      <c r="H668" s="430"/>
      <c r="I668" s="430"/>
      <c r="J668" s="430"/>
      <c r="K668" s="430"/>
      <c r="L668" s="430"/>
      <c r="M668" s="430"/>
      <c r="N668" s="430"/>
      <c r="O668" s="430"/>
      <c r="P668" s="430"/>
      <c r="Q668" s="430"/>
      <c r="R668" s="430"/>
      <c r="S668" s="430"/>
      <c r="T668" s="430"/>
      <c r="U668" s="430"/>
      <c r="V668" s="430"/>
      <c r="W668" s="430"/>
      <c r="X668" s="430"/>
      <c r="Y668" s="430"/>
      <c r="Z668" s="430"/>
      <c r="AA668" s="430"/>
    </row>
    <row r="669">
      <c r="A669" s="433"/>
      <c r="B669" s="430"/>
      <c r="C669" s="430"/>
      <c r="D669" s="430"/>
      <c r="E669" s="432"/>
      <c r="F669" s="430"/>
      <c r="G669" s="430"/>
      <c r="H669" s="430"/>
      <c r="I669" s="430"/>
      <c r="J669" s="430"/>
      <c r="K669" s="430"/>
      <c r="L669" s="430"/>
      <c r="M669" s="430"/>
      <c r="N669" s="430"/>
      <c r="O669" s="430"/>
      <c r="P669" s="430"/>
      <c r="Q669" s="430"/>
      <c r="R669" s="430"/>
      <c r="S669" s="430"/>
      <c r="T669" s="430"/>
      <c r="U669" s="430"/>
      <c r="V669" s="430"/>
      <c r="W669" s="430"/>
      <c r="X669" s="430"/>
      <c r="Y669" s="430"/>
      <c r="Z669" s="430"/>
      <c r="AA669" s="430"/>
    </row>
    <row r="670">
      <c r="A670" s="433"/>
      <c r="B670" s="430"/>
      <c r="C670" s="430"/>
      <c r="D670" s="430"/>
      <c r="E670" s="432"/>
      <c r="F670" s="430"/>
      <c r="G670" s="430"/>
      <c r="H670" s="430"/>
      <c r="I670" s="430"/>
      <c r="J670" s="430"/>
      <c r="K670" s="430"/>
      <c r="L670" s="430"/>
      <c r="M670" s="430"/>
      <c r="N670" s="430"/>
      <c r="O670" s="430"/>
      <c r="P670" s="430"/>
      <c r="Q670" s="430"/>
      <c r="R670" s="430"/>
      <c r="S670" s="430"/>
      <c r="T670" s="430"/>
      <c r="U670" s="430"/>
      <c r="V670" s="430"/>
      <c r="W670" s="430"/>
      <c r="X670" s="430"/>
      <c r="Y670" s="430"/>
      <c r="Z670" s="430"/>
      <c r="AA670" s="430"/>
    </row>
    <row r="671">
      <c r="A671" s="433"/>
      <c r="B671" s="430"/>
      <c r="C671" s="430"/>
      <c r="D671" s="430"/>
      <c r="E671" s="432"/>
      <c r="F671" s="430"/>
      <c r="G671" s="430"/>
      <c r="H671" s="430"/>
      <c r="I671" s="430"/>
      <c r="J671" s="430"/>
      <c r="K671" s="430"/>
      <c r="L671" s="430"/>
      <c r="M671" s="430"/>
      <c r="N671" s="430"/>
      <c r="O671" s="430"/>
      <c r="P671" s="430"/>
      <c r="Q671" s="430"/>
      <c r="R671" s="430"/>
      <c r="S671" s="430"/>
      <c r="T671" s="430"/>
      <c r="U671" s="430"/>
      <c r="V671" s="430"/>
      <c r="W671" s="430"/>
      <c r="X671" s="430"/>
      <c r="Y671" s="430"/>
      <c r="Z671" s="430"/>
      <c r="AA671" s="430"/>
    </row>
    <row r="672">
      <c r="A672" s="433"/>
      <c r="B672" s="430"/>
      <c r="C672" s="430"/>
      <c r="D672" s="430"/>
      <c r="E672" s="432"/>
      <c r="F672" s="430"/>
      <c r="G672" s="430"/>
      <c r="H672" s="430"/>
      <c r="I672" s="430"/>
      <c r="J672" s="430"/>
      <c r="K672" s="430"/>
      <c r="L672" s="430"/>
      <c r="M672" s="430"/>
      <c r="N672" s="430"/>
      <c r="O672" s="430"/>
      <c r="P672" s="430"/>
      <c r="Q672" s="430"/>
      <c r="R672" s="430"/>
      <c r="S672" s="430"/>
      <c r="T672" s="430"/>
      <c r="U672" s="430"/>
      <c r="V672" s="430"/>
      <c r="W672" s="430"/>
      <c r="X672" s="430"/>
      <c r="Y672" s="430"/>
      <c r="Z672" s="430"/>
      <c r="AA672" s="430"/>
    </row>
    <row r="673">
      <c r="A673" s="433"/>
      <c r="B673" s="430"/>
      <c r="C673" s="430"/>
      <c r="D673" s="430"/>
      <c r="E673" s="432"/>
      <c r="F673" s="430"/>
      <c r="G673" s="430"/>
      <c r="H673" s="430"/>
      <c r="I673" s="430"/>
      <c r="J673" s="430"/>
      <c r="K673" s="430"/>
      <c r="L673" s="430"/>
      <c r="M673" s="430"/>
      <c r="N673" s="430"/>
      <c r="O673" s="430"/>
      <c r="P673" s="430"/>
      <c r="Q673" s="430"/>
      <c r="R673" s="430"/>
      <c r="S673" s="430"/>
      <c r="T673" s="430"/>
      <c r="U673" s="430"/>
      <c r="V673" s="430"/>
      <c r="W673" s="430"/>
      <c r="X673" s="430"/>
      <c r="Y673" s="430"/>
      <c r="Z673" s="430"/>
      <c r="AA673" s="430"/>
    </row>
    <row r="674">
      <c r="A674" s="433"/>
      <c r="B674" s="430"/>
      <c r="C674" s="430"/>
      <c r="D674" s="430"/>
      <c r="E674" s="432"/>
      <c r="F674" s="430"/>
      <c r="G674" s="430"/>
      <c r="H674" s="430"/>
      <c r="I674" s="430"/>
      <c r="J674" s="430"/>
      <c r="K674" s="430"/>
      <c r="L674" s="430"/>
      <c r="M674" s="430"/>
      <c r="N674" s="430"/>
      <c r="O674" s="430"/>
      <c r="P674" s="430"/>
      <c r="Q674" s="430"/>
      <c r="R674" s="430"/>
      <c r="S674" s="430"/>
      <c r="T674" s="430"/>
      <c r="U674" s="430"/>
      <c r="V674" s="430"/>
      <c r="W674" s="430"/>
      <c r="X674" s="430"/>
      <c r="Y674" s="430"/>
      <c r="Z674" s="430"/>
      <c r="AA674" s="430"/>
    </row>
    <row r="675">
      <c r="A675" s="433"/>
      <c r="B675" s="430"/>
      <c r="C675" s="430"/>
      <c r="D675" s="430"/>
      <c r="E675" s="432"/>
      <c r="F675" s="430"/>
      <c r="G675" s="430"/>
      <c r="H675" s="430"/>
      <c r="I675" s="430"/>
      <c r="J675" s="430"/>
      <c r="K675" s="430"/>
      <c r="L675" s="430"/>
      <c r="M675" s="430"/>
      <c r="N675" s="430"/>
      <c r="O675" s="430"/>
      <c r="P675" s="430"/>
      <c r="Q675" s="430"/>
      <c r="R675" s="430"/>
      <c r="S675" s="430"/>
      <c r="T675" s="430"/>
      <c r="U675" s="430"/>
      <c r="V675" s="430"/>
      <c r="W675" s="430"/>
      <c r="X675" s="430"/>
      <c r="Y675" s="430"/>
      <c r="Z675" s="430"/>
      <c r="AA675" s="430"/>
    </row>
    <row r="676">
      <c r="A676" s="433"/>
      <c r="B676" s="430"/>
      <c r="C676" s="430"/>
      <c r="D676" s="430"/>
      <c r="E676" s="432"/>
      <c r="F676" s="430"/>
      <c r="G676" s="430"/>
      <c r="H676" s="430"/>
      <c r="I676" s="430"/>
      <c r="J676" s="430"/>
      <c r="K676" s="430"/>
      <c r="L676" s="430"/>
      <c r="M676" s="430"/>
      <c r="N676" s="430"/>
      <c r="O676" s="430"/>
      <c r="P676" s="430"/>
      <c r="Q676" s="430"/>
      <c r="R676" s="430"/>
      <c r="S676" s="430"/>
      <c r="T676" s="430"/>
      <c r="U676" s="430"/>
      <c r="V676" s="430"/>
      <c r="W676" s="430"/>
      <c r="X676" s="430"/>
      <c r="Y676" s="430"/>
      <c r="Z676" s="430"/>
      <c r="AA676" s="430"/>
    </row>
    <row r="677">
      <c r="A677" s="433"/>
      <c r="B677" s="430"/>
      <c r="C677" s="430"/>
      <c r="D677" s="430"/>
      <c r="E677" s="432"/>
      <c r="F677" s="430"/>
      <c r="G677" s="430"/>
      <c r="H677" s="430"/>
      <c r="I677" s="430"/>
      <c r="J677" s="430"/>
      <c r="K677" s="430"/>
      <c r="L677" s="430"/>
      <c r="M677" s="430"/>
      <c r="N677" s="430"/>
      <c r="O677" s="430"/>
      <c r="P677" s="430"/>
      <c r="Q677" s="430"/>
      <c r="R677" s="430"/>
      <c r="S677" s="430"/>
      <c r="T677" s="430"/>
      <c r="U677" s="430"/>
      <c r="V677" s="430"/>
      <c r="W677" s="430"/>
      <c r="X677" s="430"/>
      <c r="Y677" s="430"/>
      <c r="Z677" s="430"/>
      <c r="AA677" s="430"/>
    </row>
    <row r="678">
      <c r="A678" s="433"/>
      <c r="B678" s="430"/>
      <c r="C678" s="430"/>
      <c r="D678" s="430"/>
      <c r="E678" s="432"/>
      <c r="F678" s="430"/>
      <c r="G678" s="430"/>
      <c r="H678" s="430"/>
      <c r="I678" s="430"/>
      <c r="J678" s="430"/>
      <c r="K678" s="430"/>
      <c r="L678" s="430"/>
      <c r="M678" s="430"/>
      <c r="N678" s="430"/>
      <c r="O678" s="430"/>
      <c r="P678" s="430"/>
      <c r="Q678" s="430"/>
      <c r="R678" s="430"/>
      <c r="S678" s="430"/>
      <c r="T678" s="430"/>
      <c r="U678" s="430"/>
      <c r="V678" s="430"/>
      <c r="W678" s="430"/>
      <c r="X678" s="430"/>
      <c r="Y678" s="430"/>
      <c r="Z678" s="430"/>
      <c r="AA678" s="430"/>
    </row>
    <row r="679">
      <c r="A679" s="433"/>
      <c r="B679" s="430"/>
      <c r="C679" s="430"/>
      <c r="D679" s="430"/>
      <c r="E679" s="432"/>
      <c r="F679" s="430"/>
      <c r="G679" s="430"/>
      <c r="H679" s="430"/>
      <c r="I679" s="430"/>
      <c r="J679" s="430"/>
      <c r="K679" s="430"/>
      <c r="L679" s="430"/>
      <c r="M679" s="430"/>
      <c r="N679" s="430"/>
      <c r="O679" s="430"/>
      <c r="P679" s="430"/>
      <c r="Q679" s="430"/>
      <c r="R679" s="430"/>
      <c r="S679" s="430"/>
      <c r="T679" s="430"/>
      <c r="U679" s="430"/>
      <c r="V679" s="430"/>
      <c r="W679" s="430"/>
      <c r="X679" s="430"/>
      <c r="Y679" s="430"/>
      <c r="Z679" s="430"/>
      <c r="AA679" s="430"/>
    </row>
    <row r="680">
      <c r="A680" s="433"/>
      <c r="B680" s="430"/>
      <c r="C680" s="430"/>
      <c r="D680" s="430"/>
      <c r="E680" s="432"/>
      <c r="F680" s="430"/>
      <c r="G680" s="430"/>
      <c r="H680" s="430"/>
      <c r="I680" s="430"/>
      <c r="J680" s="430"/>
      <c r="K680" s="430"/>
      <c r="L680" s="430"/>
      <c r="M680" s="430"/>
      <c r="N680" s="430"/>
      <c r="O680" s="430"/>
      <c r="P680" s="430"/>
      <c r="Q680" s="430"/>
      <c r="R680" s="430"/>
      <c r="S680" s="430"/>
      <c r="T680" s="430"/>
      <c r="U680" s="430"/>
      <c r="V680" s="430"/>
      <c r="W680" s="430"/>
      <c r="X680" s="430"/>
      <c r="Y680" s="430"/>
      <c r="Z680" s="430"/>
      <c r="AA680" s="430"/>
    </row>
    <row r="681">
      <c r="A681" s="433"/>
      <c r="B681" s="430"/>
      <c r="C681" s="430"/>
      <c r="D681" s="430"/>
      <c r="E681" s="432"/>
      <c r="F681" s="430"/>
      <c r="G681" s="430"/>
      <c r="H681" s="430"/>
      <c r="I681" s="430"/>
      <c r="J681" s="430"/>
      <c r="K681" s="430"/>
      <c r="L681" s="430"/>
      <c r="M681" s="430"/>
      <c r="N681" s="430"/>
      <c r="O681" s="430"/>
      <c r="P681" s="430"/>
      <c r="Q681" s="430"/>
      <c r="R681" s="430"/>
      <c r="S681" s="430"/>
      <c r="T681" s="430"/>
      <c r="U681" s="430"/>
      <c r="V681" s="430"/>
      <c r="W681" s="430"/>
      <c r="X681" s="430"/>
      <c r="Y681" s="430"/>
      <c r="Z681" s="430"/>
      <c r="AA681" s="430"/>
    </row>
    <row r="682">
      <c r="A682" s="433"/>
      <c r="B682" s="430"/>
      <c r="C682" s="430"/>
      <c r="D682" s="430"/>
      <c r="E682" s="432"/>
      <c r="F682" s="430"/>
      <c r="G682" s="430"/>
      <c r="H682" s="430"/>
      <c r="I682" s="430"/>
      <c r="J682" s="430"/>
      <c r="K682" s="430"/>
      <c r="L682" s="430"/>
      <c r="M682" s="430"/>
      <c r="N682" s="430"/>
      <c r="O682" s="430"/>
      <c r="P682" s="430"/>
      <c r="Q682" s="430"/>
      <c r="R682" s="430"/>
      <c r="S682" s="430"/>
      <c r="T682" s="430"/>
      <c r="U682" s="430"/>
      <c r="V682" s="430"/>
      <c r="W682" s="430"/>
      <c r="X682" s="430"/>
      <c r="Y682" s="430"/>
      <c r="Z682" s="430"/>
      <c r="AA682" s="430"/>
    </row>
    <row r="683">
      <c r="A683" s="433"/>
      <c r="B683" s="430"/>
      <c r="C683" s="430"/>
      <c r="D683" s="430"/>
      <c r="E683" s="432"/>
      <c r="F683" s="430"/>
      <c r="G683" s="430"/>
      <c r="H683" s="430"/>
      <c r="I683" s="430"/>
      <c r="J683" s="430"/>
      <c r="K683" s="430"/>
      <c r="L683" s="430"/>
      <c r="M683" s="430"/>
      <c r="N683" s="430"/>
      <c r="O683" s="430"/>
      <c r="P683" s="430"/>
      <c r="Q683" s="430"/>
      <c r="R683" s="430"/>
      <c r="S683" s="430"/>
      <c r="T683" s="430"/>
      <c r="U683" s="430"/>
      <c r="V683" s="430"/>
      <c r="W683" s="430"/>
      <c r="X683" s="430"/>
      <c r="Y683" s="430"/>
      <c r="Z683" s="430"/>
      <c r="AA683" s="430"/>
    </row>
    <row r="684">
      <c r="A684" s="433"/>
      <c r="B684" s="430"/>
      <c r="C684" s="430"/>
      <c r="D684" s="430"/>
      <c r="E684" s="432"/>
      <c r="F684" s="430"/>
      <c r="G684" s="430"/>
      <c r="H684" s="430"/>
      <c r="I684" s="430"/>
      <c r="J684" s="430"/>
      <c r="K684" s="430"/>
      <c r="L684" s="430"/>
      <c r="M684" s="430"/>
      <c r="N684" s="430"/>
      <c r="O684" s="430"/>
      <c r="P684" s="430"/>
      <c r="Q684" s="430"/>
      <c r="R684" s="430"/>
      <c r="S684" s="430"/>
      <c r="T684" s="430"/>
      <c r="U684" s="430"/>
      <c r="V684" s="430"/>
      <c r="W684" s="430"/>
      <c r="X684" s="430"/>
      <c r="Y684" s="430"/>
      <c r="Z684" s="430"/>
      <c r="AA684" s="430"/>
    </row>
    <row r="685">
      <c r="A685" s="433"/>
      <c r="B685" s="430"/>
      <c r="C685" s="430"/>
      <c r="D685" s="430"/>
      <c r="E685" s="432"/>
      <c r="F685" s="430"/>
      <c r="G685" s="430"/>
      <c r="H685" s="430"/>
      <c r="I685" s="430"/>
      <c r="J685" s="430"/>
      <c r="K685" s="430"/>
      <c r="L685" s="430"/>
      <c r="M685" s="430"/>
      <c r="N685" s="430"/>
      <c r="O685" s="430"/>
      <c r="P685" s="430"/>
      <c r="Q685" s="430"/>
      <c r="R685" s="430"/>
      <c r="S685" s="430"/>
      <c r="T685" s="430"/>
      <c r="U685" s="430"/>
      <c r="V685" s="430"/>
      <c r="W685" s="430"/>
      <c r="X685" s="430"/>
      <c r="Y685" s="430"/>
      <c r="Z685" s="430"/>
      <c r="AA685" s="430"/>
    </row>
    <row r="686">
      <c r="A686" s="433"/>
      <c r="B686" s="430"/>
      <c r="C686" s="430"/>
      <c r="D686" s="430"/>
      <c r="E686" s="432"/>
      <c r="F686" s="430"/>
      <c r="G686" s="430"/>
      <c r="H686" s="430"/>
      <c r="I686" s="430"/>
      <c r="J686" s="430"/>
      <c r="K686" s="430"/>
      <c r="L686" s="430"/>
      <c r="M686" s="430"/>
      <c r="N686" s="430"/>
      <c r="O686" s="430"/>
      <c r="P686" s="430"/>
      <c r="Q686" s="430"/>
      <c r="R686" s="430"/>
      <c r="S686" s="430"/>
      <c r="T686" s="430"/>
      <c r="U686" s="430"/>
      <c r="V686" s="430"/>
      <c r="W686" s="430"/>
      <c r="X686" s="430"/>
      <c r="Y686" s="430"/>
      <c r="Z686" s="430"/>
      <c r="AA686" s="430"/>
    </row>
    <row r="687">
      <c r="A687" s="433"/>
      <c r="B687" s="430"/>
      <c r="C687" s="430"/>
      <c r="D687" s="430"/>
      <c r="E687" s="432"/>
      <c r="F687" s="430"/>
      <c r="G687" s="430"/>
      <c r="H687" s="430"/>
      <c r="I687" s="430"/>
      <c r="J687" s="430"/>
      <c r="K687" s="430"/>
      <c r="L687" s="430"/>
      <c r="M687" s="430"/>
      <c r="N687" s="430"/>
      <c r="O687" s="430"/>
      <c r="P687" s="430"/>
      <c r="Q687" s="430"/>
      <c r="R687" s="430"/>
      <c r="S687" s="430"/>
      <c r="T687" s="430"/>
      <c r="U687" s="430"/>
      <c r="V687" s="430"/>
      <c r="W687" s="430"/>
      <c r="X687" s="430"/>
      <c r="Y687" s="430"/>
      <c r="Z687" s="430"/>
      <c r="AA687" s="430"/>
    </row>
    <row r="688">
      <c r="A688" s="433"/>
      <c r="B688" s="430"/>
      <c r="C688" s="430"/>
      <c r="D688" s="430"/>
      <c r="E688" s="432"/>
      <c r="F688" s="430"/>
      <c r="G688" s="430"/>
      <c r="H688" s="430"/>
      <c r="I688" s="430"/>
      <c r="J688" s="430"/>
      <c r="K688" s="430"/>
      <c r="L688" s="430"/>
      <c r="M688" s="430"/>
      <c r="N688" s="430"/>
      <c r="O688" s="430"/>
      <c r="P688" s="430"/>
      <c r="Q688" s="430"/>
      <c r="R688" s="430"/>
      <c r="S688" s="430"/>
      <c r="T688" s="430"/>
      <c r="U688" s="430"/>
      <c r="V688" s="430"/>
      <c r="W688" s="430"/>
      <c r="X688" s="430"/>
      <c r="Y688" s="430"/>
      <c r="Z688" s="430"/>
      <c r="AA688" s="430"/>
    </row>
    <row r="689">
      <c r="A689" s="433"/>
      <c r="B689" s="430"/>
      <c r="C689" s="430"/>
      <c r="D689" s="430"/>
      <c r="E689" s="432"/>
      <c r="F689" s="430"/>
      <c r="G689" s="430"/>
      <c r="H689" s="430"/>
      <c r="I689" s="430"/>
      <c r="J689" s="430"/>
      <c r="K689" s="430"/>
      <c r="L689" s="430"/>
      <c r="M689" s="430"/>
      <c r="N689" s="430"/>
      <c r="O689" s="430"/>
      <c r="P689" s="430"/>
      <c r="Q689" s="430"/>
      <c r="R689" s="430"/>
      <c r="S689" s="430"/>
      <c r="T689" s="430"/>
      <c r="U689" s="430"/>
      <c r="V689" s="430"/>
      <c r="W689" s="430"/>
      <c r="X689" s="430"/>
      <c r="Y689" s="430"/>
      <c r="Z689" s="430"/>
      <c r="AA689" s="430"/>
    </row>
    <row r="690">
      <c r="A690" s="433"/>
      <c r="B690" s="430"/>
      <c r="C690" s="430"/>
      <c r="D690" s="430"/>
      <c r="E690" s="432"/>
      <c r="F690" s="430"/>
      <c r="G690" s="430"/>
      <c r="H690" s="430"/>
      <c r="I690" s="430"/>
      <c r="J690" s="430"/>
      <c r="K690" s="430"/>
      <c r="L690" s="430"/>
      <c r="M690" s="430"/>
      <c r="N690" s="430"/>
      <c r="O690" s="430"/>
      <c r="P690" s="430"/>
      <c r="Q690" s="430"/>
      <c r="R690" s="430"/>
      <c r="S690" s="430"/>
      <c r="T690" s="430"/>
      <c r="U690" s="430"/>
      <c r="V690" s="430"/>
      <c r="W690" s="430"/>
      <c r="X690" s="430"/>
      <c r="Y690" s="430"/>
      <c r="Z690" s="430"/>
      <c r="AA690" s="430"/>
    </row>
    <row r="691">
      <c r="A691" s="433"/>
      <c r="B691" s="430"/>
      <c r="C691" s="430"/>
      <c r="D691" s="430"/>
      <c r="E691" s="432"/>
      <c r="F691" s="430"/>
      <c r="G691" s="430"/>
      <c r="H691" s="430"/>
      <c r="I691" s="430"/>
      <c r="J691" s="430"/>
      <c r="K691" s="430"/>
      <c r="L691" s="430"/>
      <c r="M691" s="430"/>
      <c r="N691" s="430"/>
      <c r="O691" s="430"/>
      <c r="P691" s="430"/>
      <c r="Q691" s="430"/>
      <c r="R691" s="430"/>
      <c r="S691" s="430"/>
      <c r="T691" s="430"/>
      <c r="U691" s="430"/>
      <c r="V691" s="430"/>
      <c r="W691" s="430"/>
      <c r="X691" s="430"/>
      <c r="Y691" s="430"/>
      <c r="Z691" s="430"/>
      <c r="AA691" s="430"/>
    </row>
    <row r="692">
      <c r="A692" s="433"/>
      <c r="B692" s="430"/>
      <c r="C692" s="430"/>
      <c r="D692" s="430"/>
      <c r="E692" s="432"/>
      <c r="F692" s="430"/>
      <c r="G692" s="430"/>
      <c r="H692" s="430"/>
      <c r="I692" s="430"/>
      <c r="J692" s="430"/>
      <c r="K692" s="430"/>
      <c r="L692" s="430"/>
      <c r="M692" s="430"/>
      <c r="N692" s="430"/>
      <c r="O692" s="430"/>
      <c r="P692" s="430"/>
      <c r="Q692" s="430"/>
      <c r="R692" s="430"/>
      <c r="S692" s="430"/>
      <c r="T692" s="430"/>
      <c r="U692" s="430"/>
      <c r="V692" s="430"/>
      <c r="W692" s="430"/>
      <c r="X692" s="430"/>
      <c r="Y692" s="430"/>
      <c r="Z692" s="430"/>
      <c r="AA692" s="430"/>
    </row>
    <row r="693">
      <c r="A693" s="433"/>
      <c r="B693" s="430"/>
      <c r="C693" s="430"/>
      <c r="D693" s="430"/>
      <c r="E693" s="432"/>
      <c r="F693" s="430"/>
      <c r="G693" s="430"/>
      <c r="H693" s="430"/>
      <c r="I693" s="430"/>
      <c r="J693" s="430"/>
      <c r="K693" s="430"/>
      <c r="L693" s="430"/>
      <c r="M693" s="430"/>
      <c r="N693" s="430"/>
      <c r="O693" s="430"/>
      <c r="P693" s="430"/>
      <c r="Q693" s="430"/>
      <c r="R693" s="430"/>
      <c r="S693" s="430"/>
      <c r="T693" s="430"/>
      <c r="U693" s="430"/>
      <c r="V693" s="430"/>
      <c r="W693" s="430"/>
      <c r="X693" s="430"/>
      <c r="Y693" s="430"/>
      <c r="Z693" s="430"/>
      <c r="AA693" s="430"/>
    </row>
    <row r="694">
      <c r="A694" s="433"/>
      <c r="B694" s="430"/>
      <c r="C694" s="430"/>
      <c r="D694" s="430"/>
      <c r="E694" s="432"/>
      <c r="F694" s="430"/>
      <c r="G694" s="430"/>
      <c r="H694" s="430"/>
      <c r="I694" s="430"/>
      <c r="J694" s="430"/>
      <c r="K694" s="430"/>
      <c r="L694" s="430"/>
      <c r="M694" s="430"/>
      <c r="N694" s="430"/>
      <c r="O694" s="430"/>
      <c r="P694" s="430"/>
      <c r="Q694" s="430"/>
      <c r="R694" s="430"/>
      <c r="S694" s="430"/>
      <c r="T694" s="430"/>
      <c r="U694" s="430"/>
      <c r="V694" s="430"/>
      <c r="W694" s="430"/>
      <c r="X694" s="430"/>
      <c r="Y694" s="430"/>
      <c r="Z694" s="430"/>
      <c r="AA694" s="430"/>
    </row>
    <row r="695">
      <c r="A695" s="433"/>
      <c r="B695" s="430"/>
      <c r="C695" s="430"/>
      <c r="D695" s="430"/>
      <c r="E695" s="432"/>
      <c r="F695" s="430"/>
      <c r="G695" s="430"/>
      <c r="H695" s="430"/>
      <c r="I695" s="430"/>
      <c r="J695" s="430"/>
      <c r="K695" s="430"/>
      <c r="L695" s="430"/>
      <c r="M695" s="430"/>
      <c r="N695" s="430"/>
      <c r="O695" s="430"/>
      <c r="P695" s="430"/>
      <c r="Q695" s="430"/>
      <c r="R695" s="430"/>
      <c r="S695" s="430"/>
      <c r="T695" s="430"/>
      <c r="U695" s="430"/>
      <c r="V695" s="430"/>
      <c r="W695" s="430"/>
      <c r="X695" s="430"/>
      <c r="Y695" s="430"/>
      <c r="Z695" s="430"/>
      <c r="AA695" s="430"/>
    </row>
    <row r="696">
      <c r="A696" s="433"/>
      <c r="B696" s="430"/>
      <c r="C696" s="430"/>
      <c r="D696" s="430"/>
      <c r="E696" s="432"/>
      <c r="F696" s="430"/>
      <c r="G696" s="430"/>
      <c r="H696" s="430"/>
      <c r="I696" s="430"/>
      <c r="J696" s="430"/>
      <c r="K696" s="430"/>
      <c r="L696" s="430"/>
      <c r="M696" s="430"/>
      <c r="N696" s="430"/>
      <c r="O696" s="430"/>
      <c r="P696" s="430"/>
      <c r="Q696" s="430"/>
      <c r="R696" s="430"/>
      <c r="S696" s="430"/>
      <c r="T696" s="430"/>
      <c r="U696" s="430"/>
      <c r="V696" s="430"/>
      <c r="W696" s="430"/>
      <c r="X696" s="430"/>
      <c r="Y696" s="430"/>
      <c r="Z696" s="430"/>
      <c r="AA696" s="430"/>
    </row>
    <row r="697">
      <c r="A697" s="433"/>
      <c r="B697" s="430"/>
      <c r="C697" s="430"/>
      <c r="D697" s="430"/>
      <c r="E697" s="432"/>
      <c r="F697" s="430"/>
      <c r="G697" s="430"/>
      <c r="H697" s="430"/>
      <c r="I697" s="430"/>
      <c r="J697" s="430"/>
      <c r="K697" s="430"/>
      <c r="L697" s="430"/>
      <c r="M697" s="430"/>
      <c r="N697" s="430"/>
      <c r="O697" s="430"/>
      <c r="P697" s="430"/>
      <c r="Q697" s="430"/>
      <c r="R697" s="430"/>
      <c r="S697" s="430"/>
      <c r="T697" s="430"/>
      <c r="U697" s="430"/>
      <c r="V697" s="430"/>
      <c r="W697" s="430"/>
      <c r="X697" s="430"/>
      <c r="Y697" s="430"/>
      <c r="Z697" s="430"/>
      <c r="AA697" s="430"/>
    </row>
    <row r="698">
      <c r="A698" s="433"/>
      <c r="B698" s="430"/>
      <c r="C698" s="430"/>
      <c r="D698" s="430"/>
      <c r="E698" s="432"/>
      <c r="F698" s="430"/>
      <c r="G698" s="430"/>
      <c r="H698" s="430"/>
      <c r="I698" s="430"/>
      <c r="J698" s="430"/>
      <c r="K698" s="430"/>
      <c r="L698" s="430"/>
      <c r="M698" s="430"/>
      <c r="N698" s="430"/>
      <c r="O698" s="430"/>
      <c r="P698" s="430"/>
      <c r="Q698" s="430"/>
      <c r="R698" s="430"/>
      <c r="S698" s="430"/>
      <c r="T698" s="430"/>
      <c r="U698" s="430"/>
      <c r="V698" s="430"/>
      <c r="W698" s="430"/>
      <c r="X698" s="430"/>
      <c r="Y698" s="430"/>
      <c r="Z698" s="430"/>
      <c r="AA698" s="430"/>
    </row>
    <row r="699">
      <c r="A699" s="433"/>
      <c r="B699" s="430"/>
      <c r="C699" s="430"/>
      <c r="D699" s="430"/>
      <c r="E699" s="432"/>
      <c r="F699" s="430"/>
      <c r="G699" s="430"/>
      <c r="H699" s="430"/>
      <c r="I699" s="430"/>
      <c r="J699" s="430"/>
      <c r="K699" s="430"/>
      <c r="L699" s="430"/>
      <c r="M699" s="430"/>
      <c r="N699" s="430"/>
      <c r="O699" s="430"/>
      <c r="P699" s="430"/>
      <c r="Q699" s="430"/>
      <c r="R699" s="430"/>
      <c r="S699" s="430"/>
      <c r="T699" s="430"/>
      <c r="U699" s="430"/>
      <c r="V699" s="430"/>
      <c r="W699" s="430"/>
      <c r="X699" s="430"/>
      <c r="Y699" s="430"/>
      <c r="Z699" s="430"/>
      <c r="AA699" s="430"/>
    </row>
    <row r="700">
      <c r="A700" s="433"/>
      <c r="B700" s="430"/>
      <c r="C700" s="430"/>
      <c r="D700" s="430"/>
      <c r="E700" s="432"/>
      <c r="F700" s="430"/>
      <c r="G700" s="430"/>
      <c r="H700" s="430"/>
      <c r="I700" s="430"/>
      <c r="J700" s="430"/>
      <c r="K700" s="430"/>
      <c r="L700" s="430"/>
      <c r="M700" s="430"/>
      <c r="N700" s="430"/>
      <c r="O700" s="430"/>
      <c r="P700" s="430"/>
      <c r="Q700" s="430"/>
      <c r="R700" s="430"/>
      <c r="S700" s="430"/>
      <c r="T700" s="430"/>
      <c r="U700" s="430"/>
      <c r="V700" s="430"/>
      <c r="W700" s="430"/>
      <c r="X700" s="430"/>
      <c r="Y700" s="430"/>
      <c r="Z700" s="430"/>
      <c r="AA700" s="430"/>
    </row>
    <row r="701">
      <c r="A701" s="433"/>
      <c r="B701" s="430"/>
      <c r="C701" s="430"/>
      <c r="D701" s="430"/>
      <c r="E701" s="432"/>
      <c r="F701" s="430"/>
      <c r="G701" s="430"/>
      <c r="H701" s="430"/>
      <c r="I701" s="430"/>
      <c r="J701" s="430"/>
      <c r="K701" s="430"/>
      <c r="L701" s="430"/>
      <c r="M701" s="430"/>
      <c r="N701" s="430"/>
      <c r="O701" s="430"/>
      <c r="P701" s="430"/>
      <c r="Q701" s="430"/>
      <c r="R701" s="430"/>
      <c r="S701" s="430"/>
      <c r="T701" s="430"/>
      <c r="U701" s="430"/>
      <c r="V701" s="430"/>
      <c r="W701" s="430"/>
      <c r="X701" s="430"/>
      <c r="Y701" s="430"/>
      <c r="Z701" s="430"/>
      <c r="AA701" s="430"/>
    </row>
    <row r="702">
      <c r="A702" s="433"/>
      <c r="B702" s="430"/>
      <c r="C702" s="430"/>
      <c r="D702" s="430"/>
      <c r="E702" s="432"/>
      <c r="F702" s="430"/>
      <c r="G702" s="430"/>
      <c r="H702" s="430"/>
      <c r="I702" s="430"/>
      <c r="J702" s="430"/>
      <c r="K702" s="430"/>
      <c r="L702" s="430"/>
      <c r="M702" s="430"/>
      <c r="N702" s="430"/>
      <c r="O702" s="430"/>
      <c r="P702" s="430"/>
      <c r="Q702" s="430"/>
      <c r="R702" s="430"/>
      <c r="S702" s="430"/>
      <c r="T702" s="430"/>
      <c r="U702" s="430"/>
      <c r="V702" s="430"/>
      <c r="W702" s="430"/>
      <c r="X702" s="430"/>
      <c r="Y702" s="430"/>
      <c r="Z702" s="430"/>
      <c r="AA702" s="430"/>
    </row>
    <row r="703">
      <c r="A703" s="433"/>
      <c r="B703" s="430"/>
      <c r="C703" s="430"/>
      <c r="D703" s="430"/>
      <c r="E703" s="432"/>
      <c r="F703" s="430"/>
      <c r="G703" s="430"/>
      <c r="H703" s="430"/>
      <c r="I703" s="430"/>
      <c r="J703" s="430"/>
      <c r="K703" s="430"/>
      <c r="L703" s="430"/>
      <c r="M703" s="430"/>
      <c r="N703" s="430"/>
      <c r="O703" s="430"/>
      <c r="P703" s="430"/>
      <c r="Q703" s="430"/>
      <c r="R703" s="430"/>
      <c r="S703" s="430"/>
      <c r="T703" s="430"/>
      <c r="U703" s="430"/>
      <c r="V703" s="430"/>
      <c r="W703" s="430"/>
      <c r="X703" s="430"/>
      <c r="Y703" s="430"/>
      <c r="Z703" s="430"/>
      <c r="AA703" s="430"/>
    </row>
    <row r="704">
      <c r="A704" s="433"/>
      <c r="B704" s="430"/>
      <c r="C704" s="430"/>
      <c r="D704" s="430"/>
      <c r="E704" s="432"/>
      <c r="F704" s="430"/>
      <c r="G704" s="430"/>
      <c r="H704" s="430"/>
      <c r="I704" s="430"/>
      <c r="J704" s="430"/>
      <c r="K704" s="430"/>
      <c r="L704" s="430"/>
      <c r="M704" s="430"/>
      <c r="N704" s="430"/>
      <c r="O704" s="430"/>
      <c r="P704" s="430"/>
      <c r="Q704" s="430"/>
      <c r="R704" s="430"/>
      <c r="S704" s="430"/>
      <c r="T704" s="430"/>
      <c r="U704" s="430"/>
      <c r="V704" s="430"/>
      <c r="W704" s="430"/>
      <c r="X704" s="430"/>
      <c r="Y704" s="430"/>
      <c r="Z704" s="430"/>
      <c r="AA704" s="430"/>
    </row>
    <row r="705">
      <c r="A705" s="433"/>
      <c r="B705" s="430"/>
      <c r="C705" s="430"/>
      <c r="D705" s="430"/>
      <c r="E705" s="432"/>
      <c r="F705" s="430"/>
      <c r="G705" s="430"/>
      <c r="H705" s="430"/>
      <c r="I705" s="430"/>
      <c r="J705" s="430"/>
      <c r="K705" s="430"/>
      <c r="L705" s="430"/>
      <c r="M705" s="430"/>
      <c r="N705" s="430"/>
      <c r="O705" s="430"/>
      <c r="P705" s="430"/>
      <c r="Q705" s="430"/>
      <c r="R705" s="430"/>
      <c r="S705" s="430"/>
      <c r="T705" s="430"/>
      <c r="U705" s="430"/>
      <c r="V705" s="430"/>
      <c r="W705" s="430"/>
      <c r="X705" s="430"/>
      <c r="Y705" s="430"/>
      <c r="Z705" s="430"/>
      <c r="AA705" s="430"/>
    </row>
    <row r="706">
      <c r="A706" s="433"/>
      <c r="B706" s="430"/>
      <c r="C706" s="430"/>
      <c r="D706" s="430"/>
      <c r="E706" s="432"/>
      <c r="F706" s="430"/>
      <c r="G706" s="430"/>
      <c r="H706" s="430"/>
      <c r="I706" s="430"/>
      <c r="J706" s="430"/>
      <c r="K706" s="430"/>
      <c r="L706" s="430"/>
      <c r="M706" s="430"/>
      <c r="N706" s="430"/>
      <c r="O706" s="430"/>
      <c r="P706" s="430"/>
      <c r="Q706" s="430"/>
      <c r="R706" s="430"/>
      <c r="S706" s="430"/>
      <c r="T706" s="430"/>
      <c r="U706" s="430"/>
      <c r="V706" s="430"/>
      <c r="W706" s="430"/>
      <c r="X706" s="430"/>
      <c r="Y706" s="430"/>
      <c r="Z706" s="430"/>
      <c r="AA706" s="430"/>
    </row>
    <row r="707">
      <c r="A707" s="433"/>
      <c r="B707" s="430"/>
      <c r="C707" s="430"/>
      <c r="D707" s="430"/>
      <c r="E707" s="432"/>
      <c r="F707" s="430"/>
      <c r="G707" s="430"/>
      <c r="H707" s="430"/>
      <c r="I707" s="430"/>
      <c r="J707" s="430"/>
      <c r="K707" s="430"/>
      <c r="L707" s="430"/>
      <c r="M707" s="430"/>
      <c r="N707" s="430"/>
      <c r="O707" s="430"/>
      <c r="P707" s="430"/>
      <c r="Q707" s="430"/>
      <c r="R707" s="430"/>
      <c r="S707" s="430"/>
      <c r="T707" s="430"/>
      <c r="U707" s="430"/>
      <c r="V707" s="430"/>
      <c r="W707" s="430"/>
      <c r="X707" s="430"/>
      <c r="Y707" s="430"/>
      <c r="Z707" s="430"/>
      <c r="AA707" s="430"/>
    </row>
    <row r="708">
      <c r="A708" s="433"/>
      <c r="B708" s="430"/>
      <c r="C708" s="430"/>
      <c r="D708" s="430"/>
      <c r="E708" s="432"/>
      <c r="F708" s="430"/>
      <c r="G708" s="430"/>
      <c r="H708" s="430"/>
      <c r="I708" s="430"/>
      <c r="J708" s="430"/>
      <c r="K708" s="430"/>
      <c r="L708" s="430"/>
      <c r="M708" s="430"/>
      <c r="N708" s="430"/>
      <c r="O708" s="430"/>
      <c r="P708" s="430"/>
      <c r="Q708" s="430"/>
      <c r="R708" s="430"/>
      <c r="S708" s="430"/>
      <c r="T708" s="430"/>
      <c r="U708" s="430"/>
      <c r="V708" s="430"/>
      <c r="W708" s="430"/>
      <c r="X708" s="430"/>
      <c r="Y708" s="430"/>
      <c r="Z708" s="430"/>
      <c r="AA708" s="430"/>
    </row>
    <row r="709">
      <c r="A709" s="433"/>
      <c r="B709" s="430"/>
      <c r="C709" s="430"/>
      <c r="D709" s="430"/>
      <c r="E709" s="432"/>
      <c r="F709" s="430"/>
      <c r="G709" s="430"/>
      <c r="H709" s="430"/>
      <c r="I709" s="430"/>
      <c r="J709" s="430"/>
      <c r="K709" s="430"/>
      <c r="L709" s="430"/>
      <c r="M709" s="430"/>
      <c r="N709" s="430"/>
      <c r="O709" s="430"/>
      <c r="P709" s="430"/>
      <c r="Q709" s="430"/>
      <c r="R709" s="430"/>
      <c r="S709" s="430"/>
      <c r="T709" s="430"/>
      <c r="U709" s="430"/>
      <c r="V709" s="430"/>
      <c r="W709" s="430"/>
      <c r="X709" s="430"/>
      <c r="Y709" s="430"/>
      <c r="Z709" s="430"/>
      <c r="AA709" s="430"/>
    </row>
    <row r="710">
      <c r="A710" s="433"/>
      <c r="B710" s="430"/>
      <c r="C710" s="430"/>
      <c r="D710" s="430"/>
      <c r="E710" s="432"/>
      <c r="F710" s="430"/>
      <c r="G710" s="430"/>
      <c r="H710" s="430"/>
      <c r="I710" s="430"/>
      <c r="J710" s="430"/>
      <c r="K710" s="430"/>
      <c r="L710" s="430"/>
      <c r="M710" s="430"/>
      <c r="N710" s="430"/>
      <c r="O710" s="430"/>
      <c r="P710" s="430"/>
      <c r="Q710" s="430"/>
      <c r="R710" s="430"/>
      <c r="S710" s="430"/>
      <c r="T710" s="430"/>
      <c r="U710" s="430"/>
      <c r="V710" s="430"/>
      <c r="W710" s="430"/>
      <c r="X710" s="430"/>
      <c r="Y710" s="430"/>
      <c r="Z710" s="430"/>
      <c r="AA710" s="430"/>
    </row>
    <row r="711">
      <c r="A711" s="433"/>
      <c r="B711" s="430"/>
      <c r="C711" s="430"/>
      <c r="D711" s="430"/>
      <c r="E711" s="432"/>
      <c r="F711" s="430"/>
      <c r="G711" s="430"/>
      <c r="H711" s="430"/>
      <c r="I711" s="430"/>
      <c r="J711" s="430"/>
      <c r="K711" s="430"/>
      <c r="L711" s="430"/>
      <c r="M711" s="430"/>
      <c r="N711" s="430"/>
      <c r="O711" s="430"/>
      <c r="P711" s="430"/>
      <c r="Q711" s="430"/>
      <c r="R711" s="430"/>
      <c r="S711" s="430"/>
      <c r="T711" s="430"/>
      <c r="U711" s="430"/>
      <c r="V711" s="430"/>
      <c r="W711" s="430"/>
      <c r="X711" s="430"/>
      <c r="Y711" s="430"/>
      <c r="Z711" s="430"/>
      <c r="AA711" s="430"/>
    </row>
    <row r="712">
      <c r="A712" s="433"/>
      <c r="B712" s="430"/>
      <c r="C712" s="430"/>
      <c r="D712" s="430"/>
      <c r="E712" s="432"/>
      <c r="F712" s="430"/>
      <c r="G712" s="430"/>
      <c r="H712" s="430"/>
      <c r="I712" s="430"/>
      <c r="J712" s="430"/>
      <c r="K712" s="430"/>
      <c r="L712" s="430"/>
      <c r="M712" s="430"/>
      <c r="N712" s="430"/>
      <c r="O712" s="430"/>
      <c r="P712" s="430"/>
      <c r="Q712" s="430"/>
      <c r="R712" s="430"/>
      <c r="S712" s="430"/>
      <c r="T712" s="430"/>
      <c r="U712" s="430"/>
      <c r="V712" s="430"/>
      <c r="W712" s="430"/>
      <c r="X712" s="430"/>
      <c r="Y712" s="430"/>
      <c r="Z712" s="430"/>
      <c r="AA712" s="430"/>
    </row>
    <row r="713">
      <c r="A713" s="433"/>
      <c r="B713" s="430"/>
      <c r="C713" s="430"/>
      <c r="D713" s="430"/>
      <c r="E713" s="432"/>
      <c r="F713" s="430"/>
      <c r="G713" s="430"/>
      <c r="H713" s="430"/>
      <c r="I713" s="430"/>
      <c r="J713" s="430"/>
      <c r="K713" s="430"/>
      <c r="L713" s="430"/>
      <c r="M713" s="430"/>
      <c r="N713" s="430"/>
      <c r="O713" s="430"/>
      <c r="P713" s="430"/>
      <c r="Q713" s="430"/>
      <c r="R713" s="430"/>
      <c r="S713" s="430"/>
      <c r="T713" s="430"/>
      <c r="U713" s="430"/>
      <c r="V713" s="430"/>
      <c r="W713" s="430"/>
      <c r="X713" s="430"/>
      <c r="Y713" s="430"/>
      <c r="Z713" s="430"/>
      <c r="AA713" s="430"/>
    </row>
    <row r="714">
      <c r="A714" s="433"/>
      <c r="B714" s="430"/>
      <c r="C714" s="430"/>
      <c r="D714" s="430"/>
      <c r="E714" s="432"/>
      <c r="F714" s="430"/>
      <c r="G714" s="430"/>
      <c r="H714" s="430"/>
      <c r="I714" s="430"/>
      <c r="J714" s="430"/>
      <c r="K714" s="430"/>
      <c r="L714" s="430"/>
      <c r="M714" s="430"/>
      <c r="N714" s="430"/>
      <c r="O714" s="430"/>
      <c r="P714" s="430"/>
      <c r="Q714" s="430"/>
      <c r="R714" s="430"/>
      <c r="S714" s="430"/>
      <c r="T714" s="430"/>
      <c r="U714" s="430"/>
      <c r="V714" s="430"/>
      <c r="W714" s="430"/>
      <c r="X714" s="430"/>
      <c r="Y714" s="430"/>
      <c r="Z714" s="430"/>
      <c r="AA714" s="430"/>
    </row>
    <row r="715">
      <c r="A715" s="433"/>
      <c r="B715" s="430"/>
      <c r="C715" s="430"/>
      <c r="D715" s="430"/>
      <c r="E715" s="432"/>
      <c r="F715" s="430"/>
      <c r="G715" s="430"/>
      <c r="H715" s="430"/>
      <c r="I715" s="430"/>
      <c r="J715" s="430"/>
      <c r="K715" s="430"/>
      <c r="L715" s="430"/>
      <c r="M715" s="430"/>
      <c r="N715" s="430"/>
      <c r="O715" s="430"/>
      <c r="P715" s="430"/>
      <c r="Q715" s="430"/>
      <c r="R715" s="430"/>
      <c r="S715" s="430"/>
      <c r="T715" s="430"/>
      <c r="U715" s="430"/>
      <c r="V715" s="430"/>
      <c r="W715" s="430"/>
      <c r="X715" s="430"/>
      <c r="Y715" s="430"/>
      <c r="Z715" s="430"/>
      <c r="AA715" s="430"/>
    </row>
    <row r="716">
      <c r="A716" s="433"/>
      <c r="B716" s="430"/>
      <c r="C716" s="430"/>
      <c r="D716" s="430"/>
      <c r="E716" s="432"/>
      <c r="F716" s="430"/>
      <c r="G716" s="430"/>
      <c r="H716" s="430"/>
      <c r="I716" s="430"/>
      <c r="J716" s="430"/>
      <c r="K716" s="430"/>
      <c r="L716" s="430"/>
      <c r="M716" s="430"/>
      <c r="N716" s="430"/>
      <c r="O716" s="430"/>
      <c r="P716" s="430"/>
      <c r="Q716" s="430"/>
      <c r="R716" s="430"/>
      <c r="S716" s="430"/>
      <c r="T716" s="430"/>
      <c r="U716" s="430"/>
      <c r="V716" s="430"/>
      <c r="W716" s="430"/>
      <c r="X716" s="430"/>
      <c r="Y716" s="430"/>
      <c r="Z716" s="430"/>
      <c r="AA716" s="430"/>
    </row>
    <row r="717">
      <c r="A717" s="433"/>
      <c r="B717" s="430"/>
      <c r="C717" s="430"/>
      <c r="D717" s="430"/>
      <c r="E717" s="432"/>
      <c r="F717" s="430"/>
      <c r="G717" s="430"/>
      <c r="H717" s="430"/>
      <c r="I717" s="430"/>
      <c r="J717" s="430"/>
      <c r="K717" s="430"/>
      <c r="L717" s="430"/>
      <c r="M717" s="430"/>
      <c r="N717" s="430"/>
      <c r="O717" s="430"/>
      <c r="P717" s="430"/>
      <c r="Q717" s="430"/>
      <c r="R717" s="430"/>
      <c r="S717" s="430"/>
      <c r="T717" s="430"/>
      <c r="U717" s="430"/>
      <c r="V717" s="430"/>
      <c r="W717" s="430"/>
      <c r="X717" s="430"/>
      <c r="Y717" s="430"/>
      <c r="Z717" s="430"/>
      <c r="AA717" s="430"/>
    </row>
    <row r="718">
      <c r="A718" s="433"/>
      <c r="B718" s="430"/>
      <c r="C718" s="430"/>
      <c r="D718" s="430"/>
      <c r="E718" s="432"/>
      <c r="F718" s="430"/>
      <c r="G718" s="430"/>
      <c r="H718" s="430"/>
      <c r="I718" s="430"/>
      <c r="J718" s="430"/>
      <c r="K718" s="430"/>
      <c r="L718" s="430"/>
      <c r="M718" s="430"/>
      <c r="N718" s="430"/>
      <c r="O718" s="430"/>
      <c r="P718" s="430"/>
      <c r="Q718" s="430"/>
      <c r="R718" s="430"/>
      <c r="S718" s="430"/>
      <c r="T718" s="430"/>
      <c r="U718" s="430"/>
      <c r="V718" s="430"/>
      <c r="W718" s="430"/>
      <c r="X718" s="430"/>
      <c r="Y718" s="430"/>
      <c r="Z718" s="430"/>
      <c r="AA718" s="430"/>
    </row>
    <row r="719">
      <c r="A719" s="433"/>
      <c r="B719" s="430"/>
      <c r="C719" s="430"/>
      <c r="D719" s="430"/>
      <c r="E719" s="432"/>
      <c r="F719" s="430"/>
      <c r="G719" s="430"/>
      <c r="H719" s="430"/>
      <c r="I719" s="430"/>
      <c r="J719" s="430"/>
      <c r="K719" s="430"/>
      <c r="L719" s="430"/>
      <c r="M719" s="430"/>
      <c r="N719" s="430"/>
      <c r="O719" s="430"/>
      <c r="P719" s="430"/>
      <c r="Q719" s="430"/>
      <c r="R719" s="430"/>
      <c r="S719" s="430"/>
      <c r="T719" s="430"/>
      <c r="U719" s="430"/>
      <c r="V719" s="430"/>
      <c r="W719" s="430"/>
      <c r="X719" s="430"/>
      <c r="Y719" s="430"/>
      <c r="Z719" s="430"/>
      <c r="AA719" s="430"/>
    </row>
    <row r="720">
      <c r="A720" s="433"/>
      <c r="B720" s="430"/>
      <c r="C720" s="430"/>
      <c r="D720" s="430"/>
      <c r="E720" s="432"/>
      <c r="F720" s="430"/>
      <c r="G720" s="430"/>
      <c r="H720" s="430"/>
      <c r="I720" s="430"/>
      <c r="J720" s="430"/>
      <c r="K720" s="430"/>
      <c r="L720" s="430"/>
      <c r="M720" s="430"/>
      <c r="N720" s="430"/>
      <c r="O720" s="430"/>
      <c r="P720" s="430"/>
      <c r="Q720" s="430"/>
      <c r="R720" s="430"/>
      <c r="S720" s="430"/>
      <c r="T720" s="430"/>
      <c r="U720" s="430"/>
      <c r="V720" s="430"/>
      <c r="W720" s="430"/>
      <c r="X720" s="430"/>
      <c r="Y720" s="430"/>
      <c r="Z720" s="430"/>
      <c r="AA720" s="430"/>
    </row>
    <row r="721">
      <c r="A721" s="433"/>
      <c r="B721" s="430"/>
      <c r="C721" s="430"/>
      <c r="D721" s="430"/>
      <c r="E721" s="432"/>
      <c r="F721" s="430"/>
      <c r="G721" s="430"/>
      <c r="H721" s="430"/>
      <c r="I721" s="430"/>
      <c r="J721" s="430"/>
      <c r="K721" s="430"/>
      <c r="L721" s="430"/>
      <c r="M721" s="430"/>
      <c r="N721" s="430"/>
      <c r="O721" s="430"/>
      <c r="P721" s="430"/>
      <c r="Q721" s="430"/>
      <c r="R721" s="430"/>
      <c r="S721" s="430"/>
      <c r="T721" s="430"/>
      <c r="U721" s="430"/>
      <c r="V721" s="430"/>
      <c r="W721" s="430"/>
      <c r="X721" s="430"/>
      <c r="Y721" s="430"/>
      <c r="Z721" s="430"/>
      <c r="AA721" s="430"/>
    </row>
    <row r="722">
      <c r="A722" s="433"/>
      <c r="B722" s="430"/>
      <c r="C722" s="430"/>
      <c r="D722" s="430"/>
      <c r="E722" s="432"/>
      <c r="F722" s="430"/>
      <c r="G722" s="430"/>
      <c r="H722" s="430"/>
      <c r="I722" s="430"/>
      <c r="J722" s="430"/>
      <c r="K722" s="430"/>
      <c r="L722" s="430"/>
      <c r="M722" s="430"/>
      <c r="N722" s="430"/>
      <c r="O722" s="430"/>
      <c r="P722" s="430"/>
      <c r="Q722" s="430"/>
      <c r="R722" s="430"/>
      <c r="S722" s="430"/>
      <c r="T722" s="430"/>
      <c r="U722" s="430"/>
      <c r="V722" s="430"/>
      <c r="W722" s="430"/>
      <c r="X722" s="430"/>
      <c r="Y722" s="430"/>
      <c r="Z722" s="430"/>
      <c r="AA722" s="430"/>
    </row>
    <row r="723">
      <c r="A723" s="433"/>
      <c r="B723" s="430"/>
      <c r="C723" s="430"/>
      <c r="D723" s="430"/>
      <c r="E723" s="432"/>
      <c r="F723" s="430"/>
      <c r="G723" s="430"/>
      <c r="H723" s="430"/>
      <c r="I723" s="430"/>
      <c r="J723" s="430"/>
      <c r="K723" s="430"/>
      <c r="L723" s="430"/>
      <c r="M723" s="430"/>
      <c r="N723" s="430"/>
      <c r="O723" s="430"/>
      <c r="P723" s="430"/>
      <c r="Q723" s="430"/>
      <c r="R723" s="430"/>
      <c r="S723" s="430"/>
      <c r="T723" s="430"/>
      <c r="U723" s="430"/>
      <c r="V723" s="430"/>
      <c r="W723" s="430"/>
      <c r="X723" s="430"/>
      <c r="Y723" s="430"/>
      <c r="Z723" s="430"/>
      <c r="AA723" s="430"/>
    </row>
    <row r="724">
      <c r="A724" s="433"/>
      <c r="B724" s="430"/>
      <c r="C724" s="430"/>
      <c r="D724" s="430"/>
      <c r="E724" s="432"/>
      <c r="F724" s="430"/>
      <c r="G724" s="430"/>
      <c r="H724" s="430"/>
      <c r="I724" s="430"/>
      <c r="J724" s="430"/>
      <c r="K724" s="430"/>
      <c r="L724" s="430"/>
      <c r="M724" s="430"/>
      <c r="N724" s="430"/>
      <c r="O724" s="430"/>
      <c r="P724" s="430"/>
      <c r="Q724" s="430"/>
      <c r="R724" s="430"/>
      <c r="S724" s="430"/>
      <c r="T724" s="430"/>
      <c r="U724" s="430"/>
      <c r="V724" s="430"/>
      <c r="W724" s="430"/>
      <c r="X724" s="430"/>
      <c r="Y724" s="430"/>
      <c r="Z724" s="430"/>
      <c r="AA724" s="430"/>
    </row>
    <row r="725">
      <c r="A725" s="433"/>
      <c r="B725" s="430"/>
      <c r="C725" s="430"/>
      <c r="D725" s="430"/>
      <c r="E725" s="432"/>
      <c r="F725" s="430"/>
      <c r="G725" s="430"/>
      <c r="H725" s="430"/>
      <c r="I725" s="430"/>
      <c r="J725" s="430"/>
      <c r="K725" s="430"/>
      <c r="L725" s="430"/>
      <c r="M725" s="430"/>
      <c r="N725" s="430"/>
      <c r="O725" s="430"/>
      <c r="P725" s="430"/>
      <c r="Q725" s="430"/>
      <c r="R725" s="430"/>
      <c r="S725" s="430"/>
      <c r="T725" s="430"/>
      <c r="U725" s="430"/>
      <c r="V725" s="430"/>
      <c r="W725" s="430"/>
      <c r="X725" s="430"/>
      <c r="Y725" s="430"/>
      <c r="Z725" s="430"/>
      <c r="AA725" s="430"/>
    </row>
    <row r="726">
      <c r="A726" s="433"/>
      <c r="B726" s="430"/>
      <c r="C726" s="430"/>
      <c r="D726" s="430"/>
      <c r="E726" s="432"/>
      <c r="F726" s="430"/>
      <c r="G726" s="430"/>
      <c r="H726" s="430"/>
      <c r="I726" s="430"/>
      <c r="J726" s="430"/>
      <c r="K726" s="430"/>
      <c r="L726" s="430"/>
      <c r="M726" s="430"/>
      <c r="N726" s="430"/>
      <c r="O726" s="430"/>
      <c r="P726" s="430"/>
      <c r="Q726" s="430"/>
      <c r="R726" s="430"/>
      <c r="S726" s="430"/>
      <c r="T726" s="430"/>
      <c r="U726" s="430"/>
      <c r="V726" s="430"/>
      <c r="W726" s="430"/>
      <c r="X726" s="430"/>
      <c r="Y726" s="430"/>
      <c r="Z726" s="430"/>
      <c r="AA726" s="430"/>
    </row>
    <row r="727">
      <c r="A727" s="433"/>
      <c r="B727" s="430"/>
      <c r="C727" s="430"/>
      <c r="D727" s="430"/>
      <c r="E727" s="432"/>
      <c r="F727" s="430"/>
      <c r="G727" s="430"/>
      <c r="H727" s="430"/>
      <c r="I727" s="430"/>
      <c r="J727" s="430"/>
      <c r="K727" s="430"/>
      <c r="L727" s="430"/>
      <c r="M727" s="430"/>
      <c r="N727" s="430"/>
      <c r="O727" s="430"/>
      <c r="P727" s="430"/>
      <c r="Q727" s="430"/>
      <c r="R727" s="430"/>
      <c r="S727" s="430"/>
      <c r="T727" s="430"/>
      <c r="U727" s="430"/>
      <c r="V727" s="430"/>
      <c r="W727" s="430"/>
      <c r="X727" s="430"/>
      <c r="Y727" s="430"/>
      <c r="Z727" s="430"/>
      <c r="AA727" s="430"/>
    </row>
    <row r="728">
      <c r="A728" s="433"/>
      <c r="B728" s="430"/>
      <c r="C728" s="430"/>
      <c r="D728" s="430"/>
      <c r="E728" s="432"/>
      <c r="F728" s="430"/>
      <c r="G728" s="430"/>
      <c r="H728" s="430"/>
      <c r="I728" s="430"/>
      <c r="J728" s="430"/>
      <c r="K728" s="430"/>
      <c r="L728" s="430"/>
      <c r="M728" s="430"/>
      <c r="N728" s="430"/>
      <c r="O728" s="430"/>
      <c r="P728" s="430"/>
      <c r="Q728" s="430"/>
      <c r="R728" s="430"/>
      <c r="S728" s="430"/>
      <c r="T728" s="430"/>
      <c r="U728" s="430"/>
      <c r="V728" s="430"/>
      <c r="W728" s="430"/>
      <c r="X728" s="430"/>
      <c r="Y728" s="430"/>
      <c r="Z728" s="430"/>
      <c r="AA728" s="430"/>
    </row>
    <row r="729">
      <c r="A729" s="433"/>
      <c r="B729" s="430"/>
      <c r="C729" s="430"/>
      <c r="D729" s="430"/>
      <c r="E729" s="432"/>
      <c r="F729" s="430"/>
      <c r="G729" s="430"/>
      <c r="H729" s="430"/>
      <c r="I729" s="430"/>
      <c r="J729" s="430"/>
      <c r="K729" s="430"/>
      <c r="L729" s="430"/>
      <c r="M729" s="430"/>
      <c r="N729" s="430"/>
      <c r="O729" s="430"/>
      <c r="P729" s="430"/>
      <c r="Q729" s="430"/>
      <c r="R729" s="430"/>
      <c r="S729" s="430"/>
      <c r="T729" s="430"/>
      <c r="U729" s="430"/>
      <c r="V729" s="430"/>
      <c r="W729" s="430"/>
      <c r="X729" s="430"/>
      <c r="Y729" s="430"/>
      <c r="Z729" s="430"/>
      <c r="AA729" s="430"/>
    </row>
    <row r="730">
      <c r="A730" s="433"/>
      <c r="B730" s="430"/>
      <c r="C730" s="430"/>
      <c r="D730" s="430"/>
      <c r="E730" s="432"/>
      <c r="F730" s="430"/>
      <c r="G730" s="430"/>
      <c r="H730" s="430"/>
      <c r="I730" s="430"/>
      <c r="J730" s="430"/>
      <c r="K730" s="430"/>
      <c r="L730" s="430"/>
      <c r="M730" s="430"/>
      <c r="N730" s="430"/>
      <c r="O730" s="430"/>
      <c r="P730" s="430"/>
      <c r="Q730" s="430"/>
      <c r="R730" s="430"/>
      <c r="S730" s="430"/>
      <c r="T730" s="430"/>
      <c r="U730" s="430"/>
      <c r="V730" s="430"/>
      <c r="W730" s="430"/>
      <c r="X730" s="430"/>
      <c r="Y730" s="430"/>
      <c r="Z730" s="430"/>
      <c r="AA730" s="430"/>
    </row>
    <row r="731">
      <c r="A731" s="433"/>
      <c r="B731" s="430"/>
      <c r="C731" s="430"/>
      <c r="D731" s="430"/>
      <c r="E731" s="432"/>
      <c r="F731" s="430"/>
      <c r="G731" s="430"/>
      <c r="H731" s="430"/>
      <c r="I731" s="430"/>
      <c r="J731" s="430"/>
      <c r="K731" s="430"/>
      <c r="L731" s="430"/>
      <c r="M731" s="430"/>
      <c r="N731" s="430"/>
      <c r="O731" s="430"/>
      <c r="P731" s="430"/>
      <c r="Q731" s="430"/>
      <c r="R731" s="430"/>
      <c r="S731" s="430"/>
      <c r="T731" s="430"/>
      <c r="U731" s="430"/>
      <c r="V731" s="430"/>
      <c r="W731" s="430"/>
      <c r="X731" s="430"/>
      <c r="Y731" s="430"/>
      <c r="Z731" s="430"/>
      <c r="AA731" s="430"/>
    </row>
    <row r="732">
      <c r="A732" s="433"/>
      <c r="B732" s="430"/>
      <c r="C732" s="430"/>
      <c r="D732" s="430"/>
      <c r="E732" s="432"/>
      <c r="F732" s="430"/>
      <c r="G732" s="430"/>
      <c r="H732" s="430"/>
      <c r="I732" s="430"/>
      <c r="J732" s="430"/>
      <c r="K732" s="430"/>
      <c r="L732" s="430"/>
      <c r="M732" s="430"/>
      <c r="N732" s="430"/>
      <c r="O732" s="430"/>
      <c r="P732" s="430"/>
      <c r="Q732" s="430"/>
      <c r="R732" s="430"/>
      <c r="S732" s="430"/>
      <c r="T732" s="430"/>
      <c r="U732" s="430"/>
      <c r="V732" s="430"/>
      <c r="W732" s="430"/>
      <c r="X732" s="430"/>
      <c r="Y732" s="430"/>
      <c r="Z732" s="430"/>
      <c r="AA732" s="430"/>
    </row>
    <row r="733">
      <c r="A733" s="433"/>
      <c r="B733" s="430"/>
      <c r="C733" s="430"/>
      <c r="D733" s="430"/>
      <c r="E733" s="432"/>
      <c r="F733" s="430"/>
      <c r="G733" s="430"/>
      <c r="H733" s="430"/>
      <c r="I733" s="430"/>
      <c r="J733" s="430"/>
      <c r="K733" s="430"/>
      <c r="L733" s="430"/>
      <c r="M733" s="430"/>
      <c r="N733" s="430"/>
      <c r="O733" s="430"/>
      <c r="P733" s="430"/>
      <c r="Q733" s="430"/>
      <c r="R733" s="430"/>
      <c r="S733" s="430"/>
      <c r="T733" s="430"/>
      <c r="U733" s="430"/>
      <c r="V733" s="430"/>
      <c r="W733" s="430"/>
      <c r="X733" s="430"/>
      <c r="Y733" s="430"/>
      <c r="Z733" s="430"/>
      <c r="AA733" s="430"/>
    </row>
    <row r="734">
      <c r="A734" s="433"/>
      <c r="B734" s="430"/>
      <c r="C734" s="430"/>
      <c r="D734" s="430"/>
      <c r="E734" s="432"/>
      <c r="F734" s="430"/>
      <c r="G734" s="430"/>
      <c r="H734" s="430"/>
      <c r="I734" s="430"/>
      <c r="J734" s="430"/>
      <c r="K734" s="430"/>
      <c r="L734" s="430"/>
      <c r="M734" s="430"/>
      <c r="N734" s="430"/>
      <c r="O734" s="430"/>
      <c r="P734" s="430"/>
      <c r="Q734" s="430"/>
      <c r="R734" s="430"/>
      <c r="S734" s="430"/>
      <c r="T734" s="430"/>
      <c r="U734" s="430"/>
      <c r="V734" s="430"/>
      <c r="W734" s="430"/>
      <c r="X734" s="430"/>
      <c r="Y734" s="430"/>
      <c r="Z734" s="430"/>
      <c r="AA734" s="430"/>
    </row>
    <row r="735">
      <c r="A735" s="433"/>
      <c r="B735" s="430"/>
      <c r="C735" s="430"/>
      <c r="D735" s="430"/>
      <c r="E735" s="432"/>
      <c r="F735" s="430"/>
      <c r="G735" s="430"/>
      <c r="H735" s="430"/>
      <c r="I735" s="430"/>
      <c r="J735" s="430"/>
      <c r="K735" s="430"/>
      <c r="L735" s="430"/>
      <c r="M735" s="430"/>
      <c r="N735" s="430"/>
      <c r="O735" s="430"/>
      <c r="P735" s="430"/>
      <c r="Q735" s="430"/>
      <c r="R735" s="430"/>
      <c r="S735" s="430"/>
      <c r="T735" s="430"/>
      <c r="U735" s="430"/>
      <c r="V735" s="430"/>
      <c r="W735" s="430"/>
      <c r="X735" s="430"/>
      <c r="Y735" s="430"/>
      <c r="Z735" s="430"/>
      <c r="AA735" s="430"/>
    </row>
    <row r="736">
      <c r="A736" s="433"/>
      <c r="B736" s="430"/>
      <c r="C736" s="430"/>
      <c r="D736" s="430"/>
      <c r="E736" s="432"/>
      <c r="F736" s="430"/>
      <c r="G736" s="430"/>
      <c r="H736" s="430"/>
      <c r="I736" s="430"/>
      <c r="J736" s="430"/>
      <c r="K736" s="430"/>
      <c r="L736" s="430"/>
      <c r="M736" s="430"/>
      <c r="N736" s="430"/>
      <c r="O736" s="430"/>
      <c r="P736" s="430"/>
      <c r="Q736" s="430"/>
      <c r="R736" s="430"/>
      <c r="S736" s="430"/>
      <c r="T736" s="430"/>
      <c r="U736" s="430"/>
      <c r="V736" s="430"/>
      <c r="W736" s="430"/>
      <c r="X736" s="430"/>
      <c r="Y736" s="430"/>
      <c r="Z736" s="430"/>
      <c r="AA736" s="430"/>
    </row>
    <row r="737">
      <c r="A737" s="433"/>
      <c r="B737" s="430"/>
      <c r="C737" s="430"/>
      <c r="D737" s="430"/>
      <c r="E737" s="432"/>
      <c r="F737" s="430"/>
      <c r="G737" s="430"/>
      <c r="H737" s="430"/>
      <c r="I737" s="430"/>
      <c r="J737" s="430"/>
      <c r="K737" s="430"/>
      <c r="L737" s="430"/>
      <c r="M737" s="430"/>
      <c r="N737" s="430"/>
      <c r="O737" s="430"/>
      <c r="P737" s="430"/>
      <c r="Q737" s="430"/>
      <c r="R737" s="430"/>
      <c r="S737" s="430"/>
      <c r="T737" s="430"/>
      <c r="U737" s="430"/>
      <c r="V737" s="430"/>
      <c r="W737" s="430"/>
      <c r="X737" s="430"/>
      <c r="Y737" s="430"/>
      <c r="Z737" s="430"/>
      <c r="AA737" s="430"/>
    </row>
    <row r="738">
      <c r="A738" s="433"/>
      <c r="B738" s="430"/>
      <c r="C738" s="430"/>
      <c r="D738" s="430"/>
      <c r="E738" s="432"/>
      <c r="F738" s="430"/>
      <c r="G738" s="430"/>
      <c r="H738" s="430"/>
      <c r="I738" s="430"/>
      <c r="J738" s="430"/>
      <c r="K738" s="430"/>
      <c r="L738" s="430"/>
      <c r="M738" s="430"/>
      <c r="N738" s="430"/>
      <c r="O738" s="430"/>
      <c r="P738" s="430"/>
      <c r="Q738" s="430"/>
      <c r="R738" s="430"/>
      <c r="S738" s="430"/>
      <c r="T738" s="430"/>
      <c r="U738" s="430"/>
      <c r="V738" s="430"/>
      <c r="W738" s="430"/>
      <c r="X738" s="430"/>
      <c r="Y738" s="430"/>
      <c r="Z738" s="430"/>
      <c r="AA738" s="430"/>
    </row>
    <row r="739">
      <c r="A739" s="433"/>
      <c r="B739" s="430"/>
      <c r="C739" s="430"/>
      <c r="D739" s="430"/>
      <c r="E739" s="432"/>
      <c r="F739" s="430"/>
      <c r="G739" s="430"/>
      <c r="H739" s="430"/>
      <c r="I739" s="430"/>
      <c r="J739" s="430"/>
      <c r="K739" s="430"/>
      <c r="L739" s="430"/>
      <c r="M739" s="430"/>
      <c r="N739" s="430"/>
      <c r="O739" s="430"/>
      <c r="P739" s="430"/>
      <c r="Q739" s="430"/>
      <c r="R739" s="430"/>
      <c r="S739" s="430"/>
      <c r="T739" s="430"/>
      <c r="U739" s="430"/>
      <c r="V739" s="430"/>
      <c r="W739" s="430"/>
      <c r="X739" s="430"/>
      <c r="Y739" s="430"/>
      <c r="Z739" s="430"/>
      <c r="AA739" s="430"/>
    </row>
    <row r="740">
      <c r="A740" s="433"/>
      <c r="B740" s="430"/>
      <c r="C740" s="430"/>
      <c r="D740" s="430"/>
      <c r="E740" s="432"/>
      <c r="F740" s="430"/>
      <c r="G740" s="430"/>
      <c r="H740" s="430"/>
      <c r="I740" s="430"/>
      <c r="J740" s="430"/>
      <c r="K740" s="430"/>
      <c r="L740" s="430"/>
      <c r="M740" s="430"/>
      <c r="N740" s="430"/>
      <c r="O740" s="430"/>
      <c r="P740" s="430"/>
      <c r="Q740" s="430"/>
      <c r="R740" s="430"/>
      <c r="S740" s="430"/>
      <c r="T740" s="430"/>
      <c r="U740" s="430"/>
      <c r="V740" s="430"/>
      <c r="W740" s="430"/>
      <c r="X740" s="430"/>
      <c r="Y740" s="430"/>
      <c r="Z740" s="430"/>
      <c r="AA740" s="430"/>
    </row>
    <row r="741">
      <c r="A741" s="433"/>
      <c r="B741" s="430"/>
      <c r="C741" s="430"/>
      <c r="D741" s="430"/>
      <c r="E741" s="432"/>
      <c r="F741" s="430"/>
      <c r="G741" s="430"/>
      <c r="H741" s="430"/>
      <c r="I741" s="430"/>
      <c r="J741" s="430"/>
      <c r="K741" s="430"/>
      <c r="L741" s="430"/>
      <c r="M741" s="430"/>
      <c r="N741" s="430"/>
      <c r="O741" s="430"/>
      <c r="P741" s="430"/>
      <c r="Q741" s="430"/>
      <c r="R741" s="430"/>
      <c r="S741" s="430"/>
      <c r="T741" s="430"/>
      <c r="U741" s="430"/>
      <c r="V741" s="430"/>
      <c r="W741" s="430"/>
      <c r="X741" s="430"/>
      <c r="Y741" s="430"/>
      <c r="Z741" s="430"/>
      <c r="AA741" s="430"/>
    </row>
    <row r="742">
      <c r="A742" s="433"/>
      <c r="B742" s="430"/>
      <c r="C742" s="430"/>
      <c r="D742" s="430"/>
      <c r="E742" s="432"/>
      <c r="F742" s="430"/>
      <c r="G742" s="430"/>
      <c r="H742" s="430"/>
      <c r="I742" s="430"/>
      <c r="J742" s="430"/>
      <c r="K742" s="430"/>
      <c r="L742" s="430"/>
      <c r="M742" s="430"/>
      <c r="N742" s="430"/>
      <c r="O742" s="430"/>
      <c r="P742" s="430"/>
      <c r="Q742" s="430"/>
      <c r="R742" s="430"/>
      <c r="S742" s="430"/>
      <c r="T742" s="430"/>
      <c r="U742" s="430"/>
      <c r="V742" s="430"/>
      <c r="W742" s="430"/>
      <c r="X742" s="430"/>
      <c r="Y742" s="430"/>
      <c r="Z742" s="430"/>
      <c r="AA742" s="430"/>
    </row>
    <row r="743">
      <c r="A743" s="433"/>
      <c r="B743" s="430"/>
      <c r="C743" s="430"/>
      <c r="D743" s="430"/>
      <c r="E743" s="432"/>
      <c r="F743" s="430"/>
      <c r="G743" s="430"/>
      <c r="H743" s="430"/>
      <c r="I743" s="430"/>
      <c r="J743" s="430"/>
      <c r="K743" s="430"/>
      <c r="L743" s="430"/>
      <c r="M743" s="430"/>
      <c r="N743" s="430"/>
      <c r="O743" s="430"/>
      <c r="P743" s="430"/>
      <c r="Q743" s="430"/>
      <c r="R743" s="430"/>
      <c r="S743" s="430"/>
      <c r="T743" s="430"/>
      <c r="U743" s="430"/>
      <c r="V743" s="430"/>
      <c r="W743" s="430"/>
      <c r="X743" s="430"/>
      <c r="Y743" s="430"/>
      <c r="Z743" s="430"/>
      <c r="AA743" s="430"/>
    </row>
    <row r="744">
      <c r="A744" s="433"/>
      <c r="B744" s="430"/>
      <c r="C744" s="430"/>
      <c r="D744" s="430"/>
      <c r="E744" s="432"/>
      <c r="F744" s="430"/>
      <c r="G744" s="430"/>
      <c r="H744" s="430"/>
      <c r="I744" s="430"/>
      <c r="J744" s="430"/>
      <c r="K744" s="430"/>
      <c r="L744" s="430"/>
      <c r="M744" s="430"/>
      <c r="N744" s="430"/>
      <c r="O744" s="430"/>
      <c r="P744" s="430"/>
      <c r="Q744" s="430"/>
      <c r="R744" s="430"/>
      <c r="S744" s="430"/>
      <c r="T744" s="430"/>
      <c r="U744" s="430"/>
      <c r="V744" s="430"/>
      <c r="W744" s="430"/>
      <c r="X744" s="430"/>
      <c r="Y744" s="430"/>
      <c r="Z744" s="430"/>
      <c r="AA744" s="430"/>
    </row>
    <row r="745">
      <c r="A745" s="433"/>
      <c r="B745" s="430"/>
      <c r="C745" s="430"/>
      <c r="D745" s="430"/>
      <c r="E745" s="432"/>
      <c r="F745" s="430"/>
      <c r="G745" s="430"/>
      <c r="H745" s="430"/>
      <c r="I745" s="430"/>
      <c r="J745" s="430"/>
      <c r="K745" s="430"/>
      <c r="L745" s="430"/>
      <c r="M745" s="430"/>
      <c r="N745" s="430"/>
      <c r="O745" s="430"/>
      <c r="P745" s="430"/>
      <c r="Q745" s="430"/>
      <c r="R745" s="430"/>
      <c r="S745" s="430"/>
      <c r="T745" s="430"/>
      <c r="U745" s="430"/>
      <c r="V745" s="430"/>
      <c r="W745" s="430"/>
      <c r="X745" s="430"/>
      <c r="Y745" s="430"/>
      <c r="Z745" s="430"/>
      <c r="AA745" s="430"/>
    </row>
    <row r="746">
      <c r="A746" s="433"/>
      <c r="B746" s="430"/>
      <c r="C746" s="430"/>
      <c r="D746" s="430"/>
      <c r="E746" s="432"/>
      <c r="F746" s="430"/>
      <c r="G746" s="430"/>
      <c r="H746" s="430"/>
      <c r="I746" s="430"/>
      <c r="J746" s="430"/>
      <c r="K746" s="430"/>
      <c r="L746" s="430"/>
      <c r="M746" s="430"/>
      <c r="N746" s="430"/>
      <c r="O746" s="430"/>
      <c r="P746" s="430"/>
      <c r="Q746" s="430"/>
      <c r="R746" s="430"/>
      <c r="S746" s="430"/>
      <c r="T746" s="430"/>
      <c r="U746" s="430"/>
      <c r="V746" s="430"/>
      <c r="W746" s="430"/>
      <c r="X746" s="430"/>
      <c r="Y746" s="430"/>
      <c r="Z746" s="430"/>
      <c r="AA746" s="430"/>
    </row>
    <row r="747">
      <c r="A747" s="433"/>
      <c r="B747" s="430"/>
      <c r="C747" s="430"/>
      <c r="D747" s="430"/>
      <c r="E747" s="432"/>
      <c r="F747" s="430"/>
      <c r="G747" s="430"/>
      <c r="H747" s="430"/>
      <c r="I747" s="430"/>
      <c r="J747" s="430"/>
      <c r="K747" s="430"/>
      <c r="L747" s="430"/>
      <c r="M747" s="430"/>
      <c r="N747" s="430"/>
      <c r="O747" s="430"/>
      <c r="P747" s="430"/>
      <c r="Q747" s="430"/>
      <c r="R747" s="430"/>
      <c r="S747" s="430"/>
      <c r="T747" s="430"/>
      <c r="U747" s="430"/>
      <c r="V747" s="430"/>
      <c r="W747" s="430"/>
      <c r="X747" s="430"/>
      <c r="Y747" s="430"/>
      <c r="Z747" s="430"/>
      <c r="AA747" s="430"/>
    </row>
    <row r="748">
      <c r="A748" s="433"/>
      <c r="B748" s="430"/>
      <c r="C748" s="430"/>
      <c r="D748" s="430"/>
      <c r="E748" s="432"/>
      <c r="F748" s="430"/>
      <c r="G748" s="430"/>
      <c r="H748" s="430"/>
      <c r="I748" s="430"/>
      <c r="J748" s="430"/>
      <c r="K748" s="430"/>
      <c r="L748" s="430"/>
      <c r="M748" s="430"/>
      <c r="N748" s="430"/>
      <c r="O748" s="430"/>
      <c r="P748" s="430"/>
      <c r="Q748" s="430"/>
      <c r="R748" s="430"/>
      <c r="S748" s="430"/>
      <c r="T748" s="430"/>
      <c r="U748" s="430"/>
      <c r="V748" s="430"/>
      <c r="W748" s="430"/>
      <c r="X748" s="430"/>
      <c r="Y748" s="430"/>
      <c r="Z748" s="430"/>
      <c r="AA748" s="430"/>
    </row>
    <row r="749">
      <c r="A749" s="433"/>
      <c r="B749" s="430"/>
      <c r="C749" s="430"/>
      <c r="D749" s="430"/>
      <c r="E749" s="432"/>
      <c r="F749" s="430"/>
      <c r="G749" s="430"/>
      <c r="H749" s="430"/>
      <c r="I749" s="430"/>
      <c r="J749" s="430"/>
      <c r="K749" s="430"/>
      <c r="L749" s="430"/>
      <c r="M749" s="430"/>
      <c r="N749" s="430"/>
      <c r="O749" s="430"/>
      <c r="P749" s="430"/>
      <c r="Q749" s="430"/>
      <c r="R749" s="430"/>
      <c r="S749" s="430"/>
      <c r="T749" s="430"/>
      <c r="U749" s="430"/>
      <c r="V749" s="430"/>
      <c r="W749" s="430"/>
      <c r="X749" s="430"/>
      <c r="Y749" s="430"/>
      <c r="Z749" s="430"/>
      <c r="AA749" s="430"/>
    </row>
    <row r="750">
      <c r="A750" s="433"/>
      <c r="B750" s="430"/>
      <c r="C750" s="430"/>
      <c r="D750" s="430"/>
      <c r="E750" s="432"/>
      <c r="F750" s="430"/>
      <c r="G750" s="430"/>
      <c r="H750" s="430"/>
      <c r="I750" s="430"/>
      <c r="J750" s="430"/>
      <c r="K750" s="430"/>
      <c r="L750" s="430"/>
      <c r="M750" s="430"/>
      <c r="N750" s="430"/>
      <c r="O750" s="430"/>
      <c r="P750" s="430"/>
      <c r="Q750" s="430"/>
      <c r="R750" s="430"/>
      <c r="S750" s="430"/>
      <c r="T750" s="430"/>
      <c r="U750" s="430"/>
      <c r="V750" s="430"/>
      <c r="W750" s="430"/>
      <c r="X750" s="430"/>
      <c r="Y750" s="430"/>
      <c r="Z750" s="430"/>
      <c r="AA750" s="430"/>
    </row>
    <row r="751">
      <c r="A751" s="433"/>
      <c r="B751" s="430"/>
      <c r="C751" s="430"/>
      <c r="D751" s="430"/>
      <c r="E751" s="432"/>
      <c r="F751" s="430"/>
      <c r="G751" s="430"/>
      <c r="H751" s="430"/>
      <c r="I751" s="430"/>
      <c r="J751" s="430"/>
      <c r="K751" s="430"/>
      <c r="L751" s="430"/>
      <c r="M751" s="430"/>
      <c r="N751" s="430"/>
      <c r="O751" s="430"/>
      <c r="P751" s="430"/>
      <c r="Q751" s="430"/>
      <c r="R751" s="430"/>
      <c r="S751" s="430"/>
      <c r="T751" s="430"/>
      <c r="U751" s="430"/>
      <c r="V751" s="430"/>
      <c r="W751" s="430"/>
      <c r="X751" s="430"/>
      <c r="Y751" s="430"/>
      <c r="Z751" s="430"/>
      <c r="AA751" s="430"/>
    </row>
    <row r="752">
      <c r="A752" s="433"/>
      <c r="B752" s="430"/>
      <c r="C752" s="430"/>
      <c r="D752" s="430"/>
      <c r="E752" s="432"/>
      <c r="F752" s="430"/>
      <c r="G752" s="430"/>
      <c r="H752" s="430"/>
      <c r="I752" s="430"/>
      <c r="J752" s="430"/>
      <c r="K752" s="430"/>
      <c r="L752" s="430"/>
      <c r="M752" s="430"/>
      <c r="N752" s="430"/>
      <c r="O752" s="430"/>
      <c r="P752" s="430"/>
      <c r="Q752" s="430"/>
      <c r="R752" s="430"/>
      <c r="S752" s="430"/>
      <c r="T752" s="430"/>
      <c r="U752" s="430"/>
      <c r="V752" s="430"/>
      <c r="W752" s="430"/>
      <c r="X752" s="430"/>
      <c r="Y752" s="430"/>
      <c r="Z752" s="430"/>
      <c r="AA752" s="430"/>
    </row>
    <row r="753">
      <c r="A753" s="433"/>
      <c r="B753" s="430"/>
      <c r="C753" s="430"/>
      <c r="D753" s="430"/>
      <c r="E753" s="432"/>
      <c r="F753" s="430"/>
      <c r="G753" s="430"/>
      <c r="H753" s="430"/>
      <c r="I753" s="430"/>
      <c r="J753" s="430"/>
      <c r="K753" s="430"/>
      <c r="L753" s="430"/>
      <c r="M753" s="430"/>
      <c r="N753" s="430"/>
      <c r="O753" s="430"/>
      <c r="P753" s="430"/>
      <c r="Q753" s="430"/>
      <c r="R753" s="430"/>
      <c r="S753" s="430"/>
      <c r="T753" s="430"/>
      <c r="U753" s="430"/>
      <c r="V753" s="430"/>
      <c r="W753" s="430"/>
      <c r="X753" s="430"/>
      <c r="Y753" s="430"/>
      <c r="Z753" s="430"/>
      <c r="AA753" s="430"/>
    </row>
    <row r="754">
      <c r="A754" s="433"/>
      <c r="B754" s="430"/>
      <c r="C754" s="430"/>
      <c r="D754" s="430"/>
      <c r="E754" s="432"/>
      <c r="F754" s="430"/>
      <c r="G754" s="430"/>
      <c r="H754" s="430"/>
      <c r="I754" s="430"/>
      <c r="J754" s="430"/>
      <c r="K754" s="430"/>
      <c r="L754" s="430"/>
      <c r="M754" s="430"/>
      <c r="N754" s="430"/>
      <c r="O754" s="430"/>
      <c r="P754" s="430"/>
      <c r="Q754" s="430"/>
      <c r="R754" s="430"/>
      <c r="S754" s="430"/>
      <c r="T754" s="430"/>
      <c r="U754" s="430"/>
      <c r="V754" s="430"/>
      <c r="W754" s="430"/>
      <c r="X754" s="430"/>
      <c r="Y754" s="430"/>
      <c r="Z754" s="430"/>
      <c r="AA754" s="430"/>
    </row>
    <row r="755">
      <c r="A755" s="433"/>
      <c r="B755" s="430"/>
      <c r="C755" s="430"/>
      <c r="D755" s="430"/>
      <c r="E755" s="432"/>
      <c r="F755" s="430"/>
      <c r="G755" s="430"/>
      <c r="H755" s="430"/>
      <c r="I755" s="430"/>
      <c r="J755" s="430"/>
      <c r="K755" s="430"/>
      <c r="L755" s="430"/>
      <c r="M755" s="430"/>
      <c r="N755" s="430"/>
      <c r="O755" s="430"/>
      <c r="P755" s="430"/>
      <c r="Q755" s="430"/>
      <c r="R755" s="430"/>
      <c r="S755" s="430"/>
      <c r="T755" s="430"/>
      <c r="U755" s="430"/>
      <c r="V755" s="430"/>
      <c r="W755" s="430"/>
      <c r="X755" s="430"/>
      <c r="Y755" s="430"/>
      <c r="Z755" s="430"/>
      <c r="AA755" s="430"/>
    </row>
    <row r="756">
      <c r="A756" s="433"/>
      <c r="B756" s="430"/>
      <c r="C756" s="430"/>
      <c r="D756" s="430"/>
      <c r="E756" s="432"/>
      <c r="F756" s="430"/>
      <c r="G756" s="430"/>
      <c r="H756" s="430"/>
      <c r="I756" s="430"/>
      <c r="J756" s="430"/>
      <c r="K756" s="430"/>
      <c r="L756" s="430"/>
      <c r="M756" s="430"/>
      <c r="N756" s="430"/>
      <c r="O756" s="430"/>
      <c r="P756" s="430"/>
      <c r="Q756" s="430"/>
      <c r="R756" s="430"/>
      <c r="S756" s="430"/>
      <c r="T756" s="430"/>
      <c r="U756" s="430"/>
      <c r="V756" s="430"/>
      <c r="W756" s="430"/>
      <c r="X756" s="430"/>
      <c r="Y756" s="430"/>
      <c r="Z756" s="430"/>
      <c r="AA756" s="430"/>
    </row>
    <row r="757">
      <c r="A757" s="433"/>
      <c r="B757" s="430"/>
      <c r="C757" s="430"/>
      <c r="D757" s="430"/>
      <c r="E757" s="432"/>
      <c r="F757" s="430"/>
      <c r="G757" s="430"/>
      <c r="H757" s="430"/>
      <c r="I757" s="430"/>
      <c r="J757" s="430"/>
      <c r="K757" s="430"/>
      <c r="L757" s="430"/>
      <c r="M757" s="430"/>
      <c r="N757" s="430"/>
      <c r="O757" s="430"/>
      <c r="P757" s="430"/>
      <c r="Q757" s="430"/>
      <c r="R757" s="430"/>
      <c r="S757" s="430"/>
      <c r="T757" s="430"/>
      <c r="U757" s="430"/>
      <c r="V757" s="430"/>
      <c r="W757" s="430"/>
      <c r="X757" s="430"/>
      <c r="Y757" s="430"/>
      <c r="Z757" s="430"/>
      <c r="AA757" s="430"/>
    </row>
    <row r="758">
      <c r="A758" s="433"/>
      <c r="B758" s="430"/>
      <c r="C758" s="430"/>
      <c r="D758" s="430"/>
      <c r="E758" s="432"/>
      <c r="F758" s="430"/>
      <c r="G758" s="430"/>
      <c r="H758" s="430"/>
      <c r="I758" s="430"/>
      <c r="J758" s="430"/>
      <c r="K758" s="430"/>
      <c r="L758" s="430"/>
      <c r="M758" s="430"/>
      <c r="N758" s="430"/>
      <c r="O758" s="430"/>
      <c r="P758" s="430"/>
      <c r="Q758" s="430"/>
      <c r="R758" s="430"/>
      <c r="S758" s="430"/>
      <c r="T758" s="430"/>
      <c r="U758" s="430"/>
      <c r="V758" s="430"/>
      <c r="W758" s="430"/>
      <c r="X758" s="430"/>
      <c r="Y758" s="430"/>
      <c r="Z758" s="430"/>
      <c r="AA758" s="430"/>
    </row>
    <row r="759">
      <c r="A759" s="433"/>
      <c r="B759" s="430"/>
      <c r="C759" s="430"/>
      <c r="D759" s="430"/>
      <c r="E759" s="432"/>
      <c r="F759" s="430"/>
      <c r="G759" s="430"/>
      <c r="H759" s="430"/>
      <c r="I759" s="430"/>
      <c r="J759" s="430"/>
      <c r="K759" s="430"/>
      <c r="L759" s="430"/>
      <c r="M759" s="430"/>
      <c r="N759" s="430"/>
      <c r="O759" s="430"/>
      <c r="P759" s="430"/>
      <c r="Q759" s="430"/>
      <c r="R759" s="430"/>
      <c r="S759" s="430"/>
      <c r="T759" s="430"/>
      <c r="U759" s="430"/>
      <c r="V759" s="430"/>
      <c r="W759" s="430"/>
      <c r="X759" s="430"/>
      <c r="Y759" s="430"/>
      <c r="Z759" s="430"/>
      <c r="AA759" s="430"/>
    </row>
    <row r="760">
      <c r="A760" s="433"/>
      <c r="B760" s="430"/>
      <c r="C760" s="430"/>
      <c r="D760" s="430"/>
      <c r="E760" s="432"/>
      <c r="F760" s="430"/>
      <c r="G760" s="430"/>
      <c r="H760" s="430"/>
      <c r="I760" s="430"/>
      <c r="J760" s="430"/>
      <c r="K760" s="430"/>
      <c r="L760" s="430"/>
      <c r="M760" s="430"/>
      <c r="N760" s="430"/>
      <c r="O760" s="430"/>
      <c r="P760" s="430"/>
      <c r="Q760" s="430"/>
      <c r="R760" s="430"/>
      <c r="S760" s="430"/>
      <c r="T760" s="430"/>
      <c r="U760" s="430"/>
      <c r="V760" s="430"/>
      <c r="W760" s="430"/>
      <c r="X760" s="430"/>
      <c r="Y760" s="430"/>
      <c r="Z760" s="430"/>
      <c r="AA760" s="430"/>
    </row>
    <row r="761">
      <c r="A761" s="433"/>
      <c r="B761" s="430"/>
      <c r="C761" s="430"/>
      <c r="D761" s="430"/>
      <c r="E761" s="432"/>
      <c r="F761" s="430"/>
      <c r="G761" s="430"/>
      <c r="H761" s="430"/>
      <c r="I761" s="430"/>
      <c r="J761" s="430"/>
      <c r="K761" s="430"/>
      <c r="L761" s="430"/>
      <c r="M761" s="430"/>
      <c r="N761" s="430"/>
      <c r="O761" s="430"/>
      <c r="P761" s="430"/>
      <c r="Q761" s="430"/>
      <c r="R761" s="430"/>
      <c r="S761" s="430"/>
      <c r="T761" s="430"/>
      <c r="U761" s="430"/>
      <c r="V761" s="430"/>
      <c r="W761" s="430"/>
      <c r="X761" s="430"/>
      <c r="Y761" s="430"/>
      <c r="Z761" s="430"/>
      <c r="AA761" s="430"/>
    </row>
    <row r="762">
      <c r="A762" s="433"/>
      <c r="B762" s="430"/>
      <c r="C762" s="430"/>
      <c r="D762" s="430"/>
      <c r="E762" s="432"/>
      <c r="F762" s="430"/>
      <c r="G762" s="430"/>
      <c r="H762" s="430"/>
      <c r="I762" s="430"/>
      <c r="J762" s="430"/>
      <c r="K762" s="430"/>
      <c r="L762" s="430"/>
      <c r="M762" s="430"/>
      <c r="N762" s="430"/>
      <c r="O762" s="430"/>
      <c r="P762" s="430"/>
      <c r="Q762" s="430"/>
      <c r="R762" s="430"/>
      <c r="S762" s="430"/>
      <c r="T762" s="430"/>
      <c r="U762" s="430"/>
      <c r="V762" s="430"/>
      <c r="W762" s="430"/>
      <c r="X762" s="430"/>
      <c r="Y762" s="430"/>
      <c r="Z762" s="430"/>
      <c r="AA762" s="430"/>
    </row>
    <row r="763">
      <c r="A763" s="433"/>
      <c r="B763" s="430"/>
      <c r="C763" s="430"/>
      <c r="D763" s="430"/>
      <c r="E763" s="432"/>
      <c r="F763" s="430"/>
      <c r="G763" s="430"/>
      <c r="H763" s="430"/>
      <c r="I763" s="430"/>
      <c r="J763" s="430"/>
      <c r="K763" s="430"/>
      <c r="L763" s="430"/>
      <c r="M763" s="430"/>
      <c r="N763" s="430"/>
      <c r="O763" s="430"/>
      <c r="P763" s="430"/>
      <c r="Q763" s="430"/>
      <c r="R763" s="430"/>
      <c r="S763" s="430"/>
      <c r="T763" s="430"/>
      <c r="U763" s="430"/>
      <c r="V763" s="430"/>
      <c r="W763" s="430"/>
      <c r="X763" s="430"/>
      <c r="Y763" s="430"/>
      <c r="Z763" s="430"/>
      <c r="AA763" s="430"/>
    </row>
    <row r="764">
      <c r="A764" s="433"/>
      <c r="B764" s="430"/>
      <c r="C764" s="430"/>
      <c r="D764" s="430"/>
      <c r="E764" s="432"/>
      <c r="F764" s="430"/>
      <c r="G764" s="430"/>
      <c r="H764" s="430"/>
      <c r="I764" s="430"/>
      <c r="J764" s="430"/>
      <c r="K764" s="430"/>
      <c r="L764" s="430"/>
      <c r="M764" s="430"/>
      <c r="N764" s="430"/>
      <c r="O764" s="430"/>
      <c r="P764" s="430"/>
      <c r="Q764" s="430"/>
      <c r="R764" s="430"/>
      <c r="S764" s="430"/>
      <c r="T764" s="430"/>
      <c r="U764" s="430"/>
      <c r="V764" s="430"/>
      <c r="W764" s="430"/>
      <c r="X764" s="430"/>
      <c r="Y764" s="430"/>
      <c r="Z764" s="430"/>
      <c r="AA764" s="430"/>
    </row>
    <row r="765">
      <c r="A765" s="433"/>
      <c r="B765" s="430"/>
      <c r="C765" s="430"/>
      <c r="D765" s="430"/>
      <c r="E765" s="432"/>
      <c r="F765" s="430"/>
      <c r="G765" s="430"/>
      <c r="H765" s="430"/>
      <c r="I765" s="430"/>
      <c r="J765" s="430"/>
      <c r="K765" s="430"/>
      <c r="L765" s="430"/>
      <c r="M765" s="430"/>
      <c r="N765" s="430"/>
      <c r="O765" s="430"/>
      <c r="P765" s="430"/>
      <c r="Q765" s="430"/>
      <c r="R765" s="430"/>
      <c r="S765" s="430"/>
      <c r="T765" s="430"/>
      <c r="U765" s="430"/>
      <c r="V765" s="430"/>
      <c r="W765" s="430"/>
      <c r="X765" s="430"/>
      <c r="Y765" s="430"/>
      <c r="Z765" s="430"/>
      <c r="AA765" s="430"/>
    </row>
    <row r="766">
      <c r="A766" s="433"/>
      <c r="B766" s="430"/>
      <c r="C766" s="430"/>
      <c r="D766" s="430"/>
      <c r="E766" s="432"/>
      <c r="F766" s="430"/>
      <c r="G766" s="430"/>
      <c r="H766" s="430"/>
      <c r="I766" s="430"/>
      <c r="J766" s="430"/>
      <c r="K766" s="430"/>
      <c r="L766" s="430"/>
      <c r="M766" s="430"/>
      <c r="N766" s="430"/>
      <c r="O766" s="430"/>
      <c r="P766" s="430"/>
      <c r="Q766" s="430"/>
      <c r="R766" s="430"/>
      <c r="S766" s="430"/>
      <c r="T766" s="430"/>
      <c r="U766" s="430"/>
      <c r="V766" s="430"/>
      <c r="W766" s="430"/>
      <c r="X766" s="430"/>
      <c r="Y766" s="430"/>
      <c r="Z766" s="430"/>
      <c r="AA766" s="430"/>
    </row>
    <row r="767">
      <c r="A767" s="433"/>
      <c r="B767" s="430"/>
      <c r="C767" s="430"/>
      <c r="D767" s="430"/>
      <c r="E767" s="432"/>
      <c r="F767" s="430"/>
      <c r="G767" s="430"/>
      <c r="H767" s="430"/>
      <c r="I767" s="430"/>
      <c r="J767" s="430"/>
      <c r="K767" s="430"/>
      <c r="L767" s="430"/>
      <c r="M767" s="430"/>
      <c r="N767" s="430"/>
      <c r="O767" s="430"/>
      <c r="P767" s="430"/>
      <c r="Q767" s="430"/>
      <c r="R767" s="430"/>
      <c r="S767" s="430"/>
      <c r="T767" s="430"/>
      <c r="U767" s="430"/>
      <c r="V767" s="430"/>
      <c r="W767" s="430"/>
      <c r="X767" s="430"/>
      <c r="Y767" s="430"/>
      <c r="Z767" s="430"/>
      <c r="AA767" s="430"/>
    </row>
    <row r="768">
      <c r="A768" s="433"/>
      <c r="B768" s="430"/>
      <c r="C768" s="430"/>
      <c r="D768" s="430"/>
      <c r="E768" s="432"/>
      <c r="F768" s="430"/>
      <c r="G768" s="430"/>
      <c r="H768" s="430"/>
      <c r="I768" s="430"/>
      <c r="J768" s="430"/>
      <c r="K768" s="430"/>
      <c r="L768" s="430"/>
      <c r="M768" s="430"/>
      <c r="N768" s="430"/>
      <c r="O768" s="430"/>
      <c r="P768" s="430"/>
      <c r="Q768" s="430"/>
      <c r="R768" s="430"/>
      <c r="S768" s="430"/>
      <c r="T768" s="430"/>
      <c r="U768" s="430"/>
      <c r="V768" s="430"/>
      <c r="W768" s="430"/>
      <c r="X768" s="430"/>
      <c r="Y768" s="430"/>
      <c r="Z768" s="430"/>
      <c r="AA768" s="430"/>
    </row>
    <row r="769">
      <c r="A769" s="433"/>
      <c r="B769" s="430"/>
      <c r="C769" s="430"/>
      <c r="D769" s="430"/>
      <c r="E769" s="432"/>
      <c r="F769" s="430"/>
      <c r="G769" s="430"/>
      <c r="H769" s="430"/>
      <c r="I769" s="430"/>
      <c r="J769" s="430"/>
      <c r="K769" s="430"/>
      <c r="L769" s="430"/>
      <c r="M769" s="430"/>
      <c r="N769" s="430"/>
      <c r="O769" s="430"/>
      <c r="P769" s="430"/>
      <c r="Q769" s="430"/>
      <c r="R769" s="430"/>
      <c r="S769" s="430"/>
      <c r="T769" s="430"/>
      <c r="U769" s="430"/>
      <c r="V769" s="430"/>
      <c r="W769" s="430"/>
      <c r="X769" s="430"/>
      <c r="Y769" s="430"/>
      <c r="Z769" s="430"/>
      <c r="AA769" s="430"/>
    </row>
    <row r="770">
      <c r="A770" s="433"/>
      <c r="B770" s="430"/>
      <c r="C770" s="430"/>
      <c r="D770" s="430"/>
      <c r="E770" s="432"/>
      <c r="F770" s="430"/>
      <c r="G770" s="430"/>
      <c r="H770" s="430"/>
      <c r="I770" s="430"/>
      <c r="J770" s="430"/>
      <c r="K770" s="430"/>
      <c r="L770" s="430"/>
      <c r="M770" s="430"/>
      <c r="N770" s="430"/>
      <c r="O770" s="430"/>
      <c r="P770" s="430"/>
      <c r="Q770" s="430"/>
      <c r="R770" s="430"/>
      <c r="S770" s="430"/>
      <c r="T770" s="430"/>
      <c r="U770" s="430"/>
      <c r="V770" s="430"/>
      <c r="W770" s="430"/>
      <c r="X770" s="430"/>
      <c r="Y770" s="430"/>
      <c r="Z770" s="430"/>
      <c r="AA770" s="430"/>
    </row>
    <row r="771">
      <c r="A771" s="433"/>
      <c r="B771" s="430"/>
      <c r="C771" s="430"/>
      <c r="D771" s="430"/>
      <c r="E771" s="432"/>
      <c r="F771" s="430"/>
      <c r="G771" s="430"/>
      <c r="H771" s="430"/>
      <c r="I771" s="430"/>
      <c r="J771" s="430"/>
      <c r="K771" s="430"/>
      <c r="L771" s="430"/>
      <c r="M771" s="430"/>
      <c r="N771" s="430"/>
      <c r="O771" s="430"/>
      <c r="P771" s="430"/>
      <c r="Q771" s="430"/>
      <c r="R771" s="430"/>
      <c r="S771" s="430"/>
      <c r="T771" s="430"/>
      <c r="U771" s="430"/>
      <c r="V771" s="430"/>
      <c r="W771" s="430"/>
      <c r="X771" s="430"/>
      <c r="Y771" s="430"/>
      <c r="Z771" s="430"/>
      <c r="AA771" s="430"/>
    </row>
    <row r="772">
      <c r="A772" s="433"/>
      <c r="B772" s="430"/>
      <c r="C772" s="430"/>
      <c r="D772" s="430"/>
      <c r="E772" s="432"/>
      <c r="F772" s="430"/>
      <c r="G772" s="430"/>
      <c r="H772" s="430"/>
      <c r="I772" s="430"/>
      <c r="J772" s="430"/>
      <c r="K772" s="430"/>
      <c r="L772" s="430"/>
      <c r="M772" s="430"/>
      <c r="N772" s="430"/>
      <c r="O772" s="430"/>
      <c r="P772" s="430"/>
      <c r="Q772" s="430"/>
      <c r="R772" s="430"/>
      <c r="S772" s="430"/>
      <c r="T772" s="430"/>
      <c r="U772" s="430"/>
      <c r="V772" s="430"/>
      <c r="W772" s="430"/>
      <c r="X772" s="430"/>
      <c r="Y772" s="430"/>
      <c r="Z772" s="430"/>
      <c r="AA772" s="430"/>
    </row>
    <row r="773">
      <c r="A773" s="433"/>
      <c r="B773" s="430"/>
      <c r="C773" s="430"/>
      <c r="D773" s="430"/>
      <c r="E773" s="432"/>
      <c r="F773" s="430"/>
      <c r="G773" s="430"/>
      <c r="H773" s="430"/>
      <c r="I773" s="430"/>
      <c r="J773" s="430"/>
      <c r="K773" s="430"/>
      <c r="L773" s="430"/>
      <c r="M773" s="430"/>
      <c r="N773" s="430"/>
      <c r="O773" s="430"/>
      <c r="P773" s="430"/>
      <c r="Q773" s="430"/>
      <c r="R773" s="430"/>
      <c r="S773" s="430"/>
      <c r="T773" s="430"/>
      <c r="U773" s="430"/>
      <c r="V773" s="430"/>
      <c r="W773" s="430"/>
      <c r="X773" s="430"/>
      <c r="Y773" s="430"/>
      <c r="Z773" s="430"/>
      <c r="AA773" s="430"/>
    </row>
    <row r="774">
      <c r="A774" s="433"/>
      <c r="B774" s="430"/>
      <c r="C774" s="430"/>
      <c r="D774" s="430"/>
      <c r="E774" s="432"/>
      <c r="F774" s="430"/>
      <c r="G774" s="430"/>
      <c r="H774" s="430"/>
      <c r="I774" s="430"/>
      <c r="J774" s="430"/>
      <c r="K774" s="430"/>
      <c r="L774" s="430"/>
      <c r="M774" s="430"/>
      <c r="N774" s="430"/>
      <c r="O774" s="430"/>
      <c r="P774" s="430"/>
      <c r="Q774" s="430"/>
      <c r="R774" s="430"/>
      <c r="S774" s="430"/>
      <c r="T774" s="430"/>
      <c r="U774" s="430"/>
      <c r="V774" s="430"/>
      <c r="W774" s="430"/>
      <c r="X774" s="430"/>
      <c r="Y774" s="430"/>
      <c r="Z774" s="430"/>
      <c r="AA774" s="430"/>
    </row>
    <row r="775">
      <c r="A775" s="433"/>
      <c r="B775" s="430"/>
      <c r="C775" s="430"/>
      <c r="D775" s="430"/>
      <c r="E775" s="432"/>
      <c r="F775" s="430"/>
      <c r="G775" s="430"/>
      <c r="H775" s="430"/>
      <c r="I775" s="430"/>
      <c r="J775" s="430"/>
      <c r="K775" s="430"/>
      <c r="L775" s="430"/>
      <c r="M775" s="430"/>
      <c r="N775" s="430"/>
      <c r="O775" s="430"/>
      <c r="P775" s="430"/>
      <c r="Q775" s="430"/>
      <c r="R775" s="430"/>
      <c r="S775" s="430"/>
      <c r="T775" s="430"/>
      <c r="U775" s="430"/>
      <c r="V775" s="430"/>
      <c r="W775" s="430"/>
      <c r="X775" s="430"/>
      <c r="Y775" s="430"/>
      <c r="Z775" s="430"/>
      <c r="AA775" s="430"/>
    </row>
    <row r="776">
      <c r="A776" s="433"/>
      <c r="B776" s="430"/>
      <c r="C776" s="430"/>
      <c r="D776" s="430"/>
      <c r="E776" s="432"/>
      <c r="F776" s="430"/>
      <c r="G776" s="430"/>
      <c r="H776" s="430"/>
      <c r="I776" s="430"/>
      <c r="J776" s="430"/>
      <c r="K776" s="430"/>
      <c r="L776" s="430"/>
      <c r="M776" s="430"/>
      <c r="N776" s="430"/>
      <c r="O776" s="430"/>
      <c r="P776" s="430"/>
      <c r="Q776" s="430"/>
      <c r="R776" s="430"/>
      <c r="S776" s="430"/>
      <c r="T776" s="430"/>
      <c r="U776" s="430"/>
      <c r="V776" s="430"/>
      <c r="W776" s="430"/>
      <c r="X776" s="430"/>
      <c r="Y776" s="430"/>
      <c r="Z776" s="430"/>
      <c r="AA776" s="430"/>
    </row>
    <row r="777">
      <c r="A777" s="433"/>
      <c r="B777" s="430"/>
      <c r="C777" s="430"/>
      <c r="D777" s="430"/>
      <c r="E777" s="432"/>
      <c r="F777" s="430"/>
      <c r="G777" s="430"/>
      <c r="H777" s="430"/>
      <c r="I777" s="430"/>
      <c r="J777" s="430"/>
      <c r="K777" s="430"/>
      <c r="L777" s="430"/>
      <c r="M777" s="430"/>
      <c r="N777" s="430"/>
      <c r="O777" s="430"/>
      <c r="P777" s="430"/>
      <c r="Q777" s="430"/>
      <c r="R777" s="430"/>
      <c r="S777" s="430"/>
      <c r="T777" s="430"/>
      <c r="U777" s="430"/>
      <c r="V777" s="430"/>
      <c r="W777" s="430"/>
      <c r="X777" s="430"/>
      <c r="Y777" s="430"/>
      <c r="Z777" s="430"/>
      <c r="AA777" s="430"/>
    </row>
    <row r="778">
      <c r="A778" s="433"/>
      <c r="B778" s="430"/>
      <c r="C778" s="430"/>
      <c r="D778" s="430"/>
      <c r="E778" s="432"/>
      <c r="F778" s="430"/>
      <c r="G778" s="430"/>
      <c r="H778" s="430"/>
      <c r="I778" s="430"/>
      <c r="J778" s="430"/>
      <c r="K778" s="430"/>
      <c r="L778" s="430"/>
      <c r="M778" s="430"/>
      <c r="N778" s="430"/>
      <c r="O778" s="430"/>
      <c r="P778" s="430"/>
      <c r="Q778" s="430"/>
      <c r="R778" s="430"/>
      <c r="S778" s="430"/>
      <c r="T778" s="430"/>
      <c r="U778" s="430"/>
      <c r="V778" s="430"/>
      <c r="W778" s="430"/>
      <c r="X778" s="430"/>
      <c r="Y778" s="430"/>
      <c r="Z778" s="430"/>
      <c r="AA778" s="430"/>
    </row>
    <row r="779">
      <c r="A779" s="433"/>
      <c r="B779" s="430"/>
      <c r="C779" s="430"/>
      <c r="D779" s="430"/>
      <c r="E779" s="432"/>
      <c r="F779" s="430"/>
      <c r="G779" s="430"/>
      <c r="H779" s="430"/>
      <c r="I779" s="430"/>
      <c r="J779" s="430"/>
      <c r="K779" s="430"/>
      <c r="L779" s="430"/>
      <c r="M779" s="430"/>
      <c r="N779" s="430"/>
      <c r="O779" s="430"/>
      <c r="P779" s="430"/>
      <c r="Q779" s="430"/>
      <c r="R779" s="430"/>
      <c r="S779" s="430"/>
      <c r="T779" s="430"/>
      <c r="U779" s="430"/>
      <c r="V779" s="430"/>
      <c r="W779" s="430"/>
      <c r="X779" s="430"/>
      <c r="Y779" s="430"/>
      <c r="Z779" s="430"/>
      <c r="AA779" s="430"/>
    </row>
    <row r="780">
      <c r="A780" s="433"/>
      <c r="B780" s="430"/>
      <c r="C780" s="430"/>
      <c r="D780" s="430"/>
      <c r="E780" s="432"/>
      <c r="F780" s="430"/>
      <c r="G780" s="430"/>
      <c r="H780" s="430"/>
      <c r="I780" s="430"/>
      <c r="J780" s="430"/>
      <c r="K780" s="430"/>
      <c r="L780" s="430"/>
      <c r="M780" s="430"/>
      <c r="N780" s="430"/>
      <c r="O780" s="430"/>
      <c r="P780" s="430"/>
      <c r="Q780" s="430"/>
      <c r="R780" s="430"/>
      <c r="S780" s="430"/>
      <c r="T780" s="430"/>
      <c r="U780" s="430"/>
      <c r="V780" s="430"/>
      <c r="W780" s="430"/>
      <c r="X780" s="430"/>
      <c r="Y780" s="430"/>
      <c r="Z780" s="430"/>
      <c r="AA780" s="430"/>
    </row>
    <row r="781">
      <c r="A781" s="433"/>
      <c r="B781" s="430"/>
      <c r="C781" s="430"/>
      <c r="D781" s="430"/>
      <c r="E781" s="432"/>
      <c r="F781" s="430"/>
      <c r="G781" s="430"/>
      <c r="H781" s="430"/>
      <c r="I781" s="430"/>
      <c r="J781" s="430"/>
      <c r="K781" s="430"/>
      <c r="L781" s="430"/>
      <c r="M781" s="430"/>
      <c r="N781" s="430"/>
      <c r="O781" s="430"/>
      <c r="P781" s="430"/>
      <c r="Q781" s="430"/>
      <c r="R781" s="430"/>
      <c r="S781" s="430"/>
      <c r="T781" s="430"/>
      <c r="U781" s="430"/>
      <c r="V781" s="430"/>
      <c r="W781" s="430"/>
      <c r="X781" s="430"/>
      <c r="Y781" s="430"/>
      <c r="Z781" s="430"/>
      <c r="AA781" s="430"/>
    </row>
    <row r="782">
      <c r="A782" s="433"/>
      <c r="B782" s="430"/>
      <c r="C782" s="430"/>
      <c r="D782" s="430"/>
      <c r="E782" s="432"/>
      <c r="F782" s="430"/>
      <c r="G782" s="430"/>
      <c r="H782" s="430"/>
      <c r="I782" s="430"/>
      <c r="J782" s="430"/>
      <c r="K782" s="430"/>
      <c r="L782" s="430"/>
      <c r="M782" s="430"/>
      <c r="N782" s="430"/>
      <c r="O782" s="430"/>
      <c r="P782" s="430"/>
      <c r="Q782" s="430"/>
      <c r="R782" s="430"/>
      <c r="S782" s="430"/>
      <c r="T782" s="430"/>
      <c r="U782" s="430"/>
      <c r="V782" s="430"/>
      <c r="W782" s="430"/>
      <c r="X782" s="430"/>
      <c r="Y782" s="430"/>
      <c r="Z782" s="430"/>
      <c r="AA782" s="430"/>
    </row>
    <row r="783">
      <c r="A783" s="433"/>
      <c r="B783" s="430"/>
      <c r="C783" s="430"/>
      <c r="D783" s="430"/>
      <c r="E783" s="432"/>
      <c r="F783" s="430"/>
      <c r="G783" s="430"/>
      <c r="H783" s="430"/>
      <c r="I783" s="430"/>
      <c r="J783" s="430"/>
      <c r="K783" s="430"/>
      <c r="L783" s="430"/>
      <c r="M783" s="430"/>
      <c r="N783" s="430"/>
      <c r="O783" s="430"/>
      <c r="P783" s="430"/>
      <c r="Q783" s="430"/>
      <c r="R783" s="430"/>
      <c r="S783" s="430"/>
      <c r="T783" s="430"/>
      <c r="U783" s="430"/>
      <c r="V783" s="430"/>
      <c r="W783" s="430"/>
      <c r="X783" s="430"/>
      <c r="Y783" s="430"/>
      <c r="Z783" s="430"/>
      <c r="AA783" s="430"/>
    </row>
    <row r="784">
      <c r="A784" s="433"/>
      <c r="B784" s="430"/>
      <c r="C784" s="430"/>
      <c r="D784" s="430"/>
      <c r="E784" s="432"/>
      <c r="F784" s="430"/>
      <c r="G784" s="430"/>
      <c r="H784" s="430"/>
      <c r="I784" s="430"/>
      <c r="J784" s="430"/>
      <c r="K784" s="430"/>
      <c r="L784" s="430"/>
      <c r="M784" s="430"/>
      <c r="N784" s="430"/>
      <c r="O784" s="430"/>
      <c r="P784" s="430"/>
      <c r="Q784" s="430"/>
      <c r="R784" s="430"/>
      <c r="S784" s="430"/>
      <c r="T784" s="430"/>
      <c r="U784" s="430"/>
      <c r="V784" s="430"/>
      <c r="W784" s="430"/>
      <c r="X784" s="430"/>
      <c r="Y784" s="430"/>
      <c r="Z784" s="430"/>
      <c r="AA784" s="430"/>
    </row>
    <row r="785">
      <c r="A785" s="433"/>
      <c r="B785" s="430"/>
      <c r="C785" s="430"/>
      <c r="D785" s="430"/>
      <c r="E785" s="432"/>
      <c r="F785" s="430"/>
      <c r="G785" s="430"/>
      <c r="H785" s="430"/>
      <c r="I785" s="430"/>
      <c r="J785" s="430"/>
      <c r="K785" s="430"/>
      <c r="L785" s="430"/>
      <c r="M785" s="430"/>
      <c r="N785" s="430"/>
      <c r="O785" s="430"/>
      <c r="P785" s="430"/>
      <c r="Q785" s="430"/>
      <c r="R785" s="430"/>
      <c r="S785" s="430"/>
      <c r="T785" s="430"/>
      <c r="U785" s="430"/>
      <c r="V785" s="430"/>
      <c r="W785" s="430"/>
      <c r="X785" s="430"/>
      <c r="Y785" s="430"/>
      <c r="Z785" s="430"/>
      <c r="AA785" s="430"/>
    </row>
    <row r="786">
      <c r="A786" s="433"/>
      <c r="B786" s="430"/>
      <c r="C786" s="430"/>
      <c r="D786" s="430"/>
      <c r="E786" s="432"/>
      <c r="F786" s="430"/>
      <c r="G786" s="430"/>
      <c r="H786" s="430"/>
      <c r="I786" s="430"/>
      <c r="J786" s="430"/>
      <c r="K786" s="430"/>
      <c r="L786" s="430"/>
      <c r="M786" s="430"/>
      <c r="N786" s="430"/>
      <c r="O786" s="430"/>
      <c r="P786" s="430"/>
      <c r="Q786" s="430"/>
      <c r="R786" s="430"/>
      <c r="S786" s="430"/>
      <c r="T786" s="430"/>
      <c r="U786" s="430"/>
      <c r="V786" s="430"/>
      <c r="W786" s="430"/>
      <c r="X786" s="430"/>
      <c r="Y786" s="430"/>
      <c r="Z786" s="430"/>
      <c r="AA786" s="430"/>
    </row>
    <row r="787">
      <c r="A787" s="433"/>
      <c r="B787" s="430"/>
      <c r="C787" s="430"/>
      <c r="D787" s="430"/>
      <c r="E787" s="432"/>
      <c r="F787" s="430"/>
      <c r="G787" s="430"/>
      <c r="H787" s="430"/>
      <c r="I787" s="430"/>
      <c r="J787" s="430"/>
      <c r="K787" s="430"/>
      <c r="L787" s="430"/>
      <c r="M787" s="430"/>
      <c r="N787" s="430"/>
      <c r="O787" s="430"/>
      <c r="P787" s="430"/>
      <c r="Q787" s="430"/>
      <c r="R787" s="430"/>
      <c r="S787" s="430"/>
      <c r="T787" s="430"/>
      <c r="U787" s="430"/>
      <c r="V787" s="430"/>
      <c r="W787" s="430"/>
      <c r="X787" s="430"/>
      <c r="Y787" s="430"/>
      <c r="Z787" s="430"/>
      <c r="AA787" s="430"/>
    </row>
    <row r="788">
      <c r="A788" s="433"/>
      <c r="B788" s="430"/>
      <c r="C788" s="430"/>
      <c r="D788" s="430"/>
      <c r="E788" s="432"/>
      <c r="F788" s="430"/>
      <c r="G788" s="430"/>
      <c r="H788" s="430"/>
      <c r="I788" s="430"/>
      <c r="J788" s="430"/>
      <c r="K788" s="430"/>
      <c r="L788" s="430"/>
      <c r="M788" s="430"/>
      <c r="N788" s="430"/>
      <c r="O788" s="430"/>
      <c r="P788" s="430"/>
      <c r="Q788" s="430"/>
      <c r="R788" s="430"/>
      <c r="S788" s="430"/>
      <c r="T788" s="430"/>
      <c r="U788" s="430"/>
      <c r="V788" s="430"/>
      <c r="W788" s="430"/>
      <c r="X788" s="430"/>
      <c r="Y788" s="430"/>
      <c r="Z788" s="430"/>
      <c r="AA788" s="430"/>
    </row>
    <row r="789">
      <c r="A789" s="433"/>
      <c r="B789" s="430"/>
      <c r="C789" s="430"/>
      <c r="D789" s="430"/>
      <c r="E789" s="432"/>
      <c r="F789" s="430"/>
      <c r="G789" s="430"/>
      <c r="H789" s="430"/>
      <c r="I789" s="430"/>
      <c r="J789" s="430"/>
      <c r="K789" s="430"/>
      <c r="L789" s="430"/>
      <c r="M789" s="430"/>
      <c r="N789" s="430"/>
      <c r="O789" s="430"/>
      <c r="P789" s="430"/>
      <c r="Q789" s="430"/>
      <c r="R789" s="430"/>
      <c r="S789" s="430"/>
      <c r="T789" s="430"/>
      <c r="U789" s="430"/>
      <c r="V789" s="430"/>
      <c r="W789" s="430"/>
      <c r="X789" s="430"/>
      <c r="Y789" s="430"/>
      <c r="Z789" s="430"/>
      <c r="AA789" s="430"/>
    </row>
    <row r="790">
      <c r="A790" s="433"/>
      <c r="B790" s="430"/>
      <c r="C790" s="430"/>
      <c r="D790" s="430"/>
      <c r="E790" s="432"/>
      <c r="F790" s="430"/>
      <c r="G790" s="430"/>
      <c r="H790" s="430"/>
      <c r="I790" s="430"/>
      <c r="J790" s="430"/>
      <c r="K790" s="430"/>
      <c r="L790" s="430"/>
      <c r="M790" s="430"/>
      <c r="N790" s="430"/>
      <c r="O790" s="430"/>
      <c r="P790" s="430"/>
      <c r="Q790" s="430"/>
      <c r="R790" s="430"/>
      <c r="S790" s="430"/>
      <c r="T790" s="430"/>
      <c r="U790" s="430"/>
      <c r="V790" s="430"/>
      <c r="W790" s="430"/>
      <c r="X790" s="430"/>
      <c r="Y790" s="430"/>
      <c r="Z790" s="430"/>
      <c r="AA790" s="430"/>
    </row>
    <row r="791">
      <c r="A791" s="433"/>
      <c r="B791" s="430"/>
      <c r="C791" s="430"/>
      <c r="D791" s="430"/>
      <c r="E791" s="432"/>
      <c r="F791" s="430"/>
      <c r="G791" s="430"/>
      <c r="H791" s="430"/>
      <c r="I791" s="430"/>
      <c r="J791" s="430"/>
      <c r="K791" s="430"/>
      <c r="L791" s="430"/>
      <c r="M791" s="430"/>
      <c r="N791" s="430"/>
      <c r="O791" s="430"/>
      <c r="P791" s="430"/>
      <c r="Q791" s="430"/>
      <c r="R791" s="430"/>
      <c r="S791" s="430"/>
      <c r="T791" s="430"/>
      <c r="U791" s="430"/>
      <c r="V791" s="430"/>
      <c r="W791" s="430"/>
      <c r="X791" s="430"/>
      <c r="Y791" s="430"/>
      <c r="Z791" s="430"/>
      <c r="AA791" s="430"/>
    </row>
    <row r="792">
      <c r="A792" s="433"/>
      <c r="B792" s="430"/>
      <c r="C792" s="430"/>
      <c r="D792" s="430"/>
      <c r="E792" s="432"/>
      <c r="F792" s="430"/>
      <c r="G792" s="430"/>
      <c r="H792" s="430"/>
      <c r="I792" s="430"/>
      <c r="J792" s="430"/>
      <c r="K792" s="430"/>
      <c r="L792" s="430"/>
      <c r="M792" s="430"/>
      <c r="N792" s="430"/>
      <c r="O792" s="430"/>
      <c r="P792" s="430"/>
      <c r="Q792" s="430"/>
      <c r="R792" s="430"/>
      <c r="S792" s="430"/>
      <c r="T792" s="430"/>
      <c r="U792" s="430"/>
      <c r="V792" s="430"/>
      <c r="W792" s="430"/>
      <c r="X792" s="430"/>
      <c r="Y792" s="430"/>
      <c r="Z792" s="430"/>
      <c r="AA792" s="430"/>
    </row>
    <row r="793">
      <c r="A793" s="433"/>
      <c r="B793" s="430"/>
      <c r="C793" s="430"/>
      <c r="D793" s="430"/>
      <c r="E793" s="432"/>
      <c r="F793" s="430"/>
      <c r="G793" s="430"/>
      <c r="H793" s="430"/>
      <c r="I793" s="430"/>
      <c r="J793" s="430"/>
      <c r="K793" s="430"/>
      <c r="L793" s="430"/>
      <c r="M793" s="430"/>
      <c r="N793" s="430"/>
      <c r="O793" s="430"/>
      <c r="P793" s="430"/>
      <c r="Q793" s="430"/>
      <c r="R793" s="430"/>
      <c r="S793" s="430"/>
      <c r="T793" s="430"/>
      <c r="U793" s="430"/>
      <c r="V793" s="430"/>
      <c r="W793" s="430"/>
      <c r="X793" s="430"/>
      <c r="Y793" s="430"/>
      <c r="Z793" s="430"/>
      <c r="AA793" s="430"/>
    </row>
    <row r="794">
      <c r="A794" s="433"/>
      <c r="B794" s="430"/>
      <c r="C794" s="430"/>
      <c r="D794" s="430"/>
      <c r="E794" s="432"/>
      <c r="F794" s="430"/>
      <c r="G794" s="430"/>
      <c r="H794" s="430"/>
      <c r="I794" s="430"/>
      <c r="J794" s="430"/>
      <c r="K794" s="430"/>
      <c r="L794" s="430"/>
      <c r="M794" s="430"/>
      <c r="N794" s="430"/>
      <c r="O794" s="430"/>
      <c r="P794" s="430"/>
      <c r="Q794" s="430"/>
      <c r="R794" s="430"/>
      <c r="S794" s="430"/>
      <c r="T794" s="430"/>
      <c r="U794" s="430"/>
      <c r="V794" s="430"/>
      <c r="W794" s="430"/>
      <c r="X794" s="430"/>
      <c r="Y794" s="430"/>
      <c r="Z794" s="430"/>
      <c r="AA794" s="430"/>
    </row>
    <row r="795">
      <c r="A795" s="433"/>
      <c r="B795" s="430"/>
      <c r="C795" s="430"/>
      <c r="D795" s="430"/>
      <c r="E795" s="432"/>
      <c r="F795" s="430"/>
      <c r="G795" s="430"/>
      <c r="H795" s="430"/>
      <c r="I795" s="430"/>
      <c r="J795" s="430"/>
      <c r="K795" s="430"/>
      <c r="L795" s="430"/>
      <c r="M795" s="430"/>
      <c r="N795" s="430"/>
      <c r="O795" s="430"/>
      <c r="P795" s="430"/>
      <c r="Q795" s="430"/>
      <c r="R795" s="430"/>
      <c r="S795" s="430"/>
      <c r="T795" s="430"/>
      <c r="U795" s="430"/>
      <c r="V795" s="430"/>
      <c r="W795" s="430"/>
      <c r="X795" s="430"/>
      <c r="Y795" s="430"/>
      <c r="Z795" s="430"/>
      <c r="AA795" s="430"/>
    </row>
    <row r="796">
      <c r="A796" s="433"/>
      <c r="B796" s="430"/>
      <c r="C796" s="430"/>
      <c r="D796" s="430"/>
      <c r="E796" s="432"/>
      <c r="F796" s="430"/>
      <c r="G796" s="430"/>
      <c r="H796" s="430"/>
      <c r="I796" s="430"/>
      <c r="J796" s="430"/>
      <c r="K796" s="430"/>
      <c r="L796" s="430"/>
      <c r="M796" s="430"/>
      <c r="N796" s="430"/>
      <c r="O796" s="430"/>
      <c r="P796" s="430"/>
      <c r="Q796" s="430"/>
      <c r="R796" s="430"/>
      <c r="S796" s="430"/>
      <c r="T796" s="430"/>
      <c r="U796" s="430"/>
      <c r="V796" s="430"/>
      <c r="W796" s="430"/>
      <c r="X796" s="430"/>
      <c r="Y796" s="430"/>
      <c r="Z796" s="430"/>
      <c r="AA796" s="430"/>
    </row>
    <row r="797">
      <c r="A797" s="433"/>
      <c r="B797" s="430"/>
      <c r="C797" s="430"/>
      <c r="D797" s="430"/>
      <c r="E797" s="432"/>
      <c r="F797" s="430"/>
      <c r="G797" s="430"/>
      <c r="H797" s="430"/>
      <c r="I797" s="430"/>
      <c r="J797" s="430"/>
      <c r="K797" s="430"/>
      <c r="L797" s="430"/>
      <c r="M797" s="430"/>
      <c r="N797" s="430"/>
      <c r="O797" s="430"/>
      <c r="P797" s="430"/>
      <c r="Q797" s="430"/>
      <c r="R797" s="430"/>
      <c r="S797" s="430"/>
      <c r="T797" s="430"/>
      <c r="U797" s="430"/>
      <c r="V797" s="430"/>
      <c r="W797" s="430"/>
      <c r="X797" s="430"/>
      <c r="Y797" s="430"/>
      <c r="Z797" s="430"/>
      <c r="AA797" s="430"/>
    </row>
    <row r="798">
      <c r="A798" s="433"/>
      <c r="B798" s="430"/>
      <c r="C798" s="430"/>
      <c r="D798" s="430"/>
      <c r="E798" s="432"/>
      <c r="F798" s="430"/>
      <c r="G798" s="430"/>
      <c r="H798" s="430"/>
      <c r="I798" s="430"/>
      <c r="J798" s="430"/>
      <c r="K798" s="430"/>
      <c r="L798" s="430"/>
      <c r="M798" s="430"/>
      <c r="N798" s="430"/>
      <c r="O798" s="430"/>
      <c r="P798" s="430"/>
      <c r="Q798" s="430"/>
      <c r="R798" s="430"/>
      <c r="S798" s="430"/>
      <c r="T798" s="430"/>
      <c r="U798" s="430"/>
      <c r="V798" s="430"/>
      <c r="W798" s="430"/>
      <c r="X798" s="430"/>
      <c r="Y798" s="430"/>
      <c r="Z798" s="430"/>
      <c r="AA798" s="430"/>
    </row>
    <row r="799">
      <c r="A799" s="433"/>
      <c r="B799" s="430"/>
      <c r="C799" s="430"/>
      <c r="D799" s="430"/>
      <c r="E799" s="432"/>
      <c r="F799" s="430"/>
      <c r="G799" s="430"/>
      <c r="H799" s="430"/>
      <c r="I799" s="430"/>
      <c r="J799" s="430"/>
      <c r="K799" s="430"/>
      <c r="L799" s="430"/>
      <c r="M799" s="430"/>
      <c r="N799" s="430"/>
      <c r="O799" s="430"/>
      <c r="P799" s="430"/>
      <c r="Q799" s="430"/>
      <c r="R799" s="430"/>
      <c r="S799" s="430"/>
      <c r="T799" s="430"/>
      <c r="U799" s="430"/>
      <c r="V799" s="430"/>
      <c r="W799" s="430"/>
      <c r="X799" s="430"/>
      <c r="Y799" s="430"/>
      <c r="Z799" s="430"/>
      <c r="AA799" s="430"/>
    </row>
    <row r="800">
      <c r="A800" s="433"/>
      <c r="B800" s="430"/>
      <c r="C800" s="430"/>
      <c r="D800" s="430"/>
      <c r="E800" s="432"/>
      <c r="F800" s="430"/>
      <c r="G800" s="430"/>
      <c r="H800" s="430"/>
      <c r="I800" s="430"/>
      <c r="J800" s="430"/>
      <c r="K800" s="430"/>
      <c r="L800" s="430"/>
      <c r="M800" s="430"/>
      <c r="N800" s="430"/>
      <c r="O800" s="430"/>
      <c r="P800" s="430"/>
      <c r="Q800" s="430"/>
      <c r="R800" s="430"/>
      <c r="S800" s="430"/>
      <c r="T800" s="430"/>
      <c r="U800" s="430"/>
      <c r="V800" s="430"/>
      <c r="W800" s="430"/>
      <c r="X800" s="430"/>
      <c r="Y800" s="430"/>
      <c r="Z800" s="430"/>
      <c r="AA800" s="430"/>
    </row>
    <row r="801">
      <c r="A801" s="433"/>
      <c r="B801" s="430"/>
      <c r="C801" s="430"/>
      <c r="D801" s="430"/>
      <c r="E801" s="432"/>
      <c r="F801" s="430"/>
      <c r="G801" s="430"/>
      <c r="H801" s="430"/>
      <c r="I801" s="430"/>
      <c r="J801" s="430"/>
      <c r="K801" s="430"/>
      <c r="L801" s="430"/>
      <c r="M801" s="430"/>
      <c r="N801" s="430"/>
      <c r="O801" s="430"/>
      <c r="P801" s="430"/>
      <c r="Q801" s="430"/>
      <c r="R801" s="430"/>
      <c r="S801" s="430"/>
      <c r="T801" s="430"/>
      <c r="U801" s="430"/>
      <c r="V801" s="430"/>
      <c r="W801" s="430"/>
      <c r="X801" s="430"/>
      <c r="Y801" s="430"/>
      <c r="Z801" s="430"/>
      <c r="AA801" s="430"/>
    </row>
    <row r="802">
      <c r="A802" s="433"/>
      <c r="B802" s="430"/>
      <c r="C802" s="430"/>
      <c r="D802" s="430"/>
      <c r="E802" s="432"/>
      <c r="F802" s="430"/>
      <c r="G802" s="430"/>
      <c r="H802" s="430"/>
      <c r="I802" s="430"/>
      <c r="J802" s="430"/>
      <c r="K802" s="430"/>
      <c r="L802" s="430"/>
      <c r="M802" s="430"/>
      <c r="N802" s="430"/>
      <c r="O802" s="430"/>
      <c r="P802" s="430"/>
      <c r="Q802" s="430"/>
      <c r="R802" s="430"/>
      <c r="S802" s="430"/>
      <c r="T802" s="430"/>
      <c r="U802" s="430"/>
      <c r="V802" s="430"/>
      <c r="W802" s="430"/>
      <c r="X802" s="430"/>
      <c r="Y802" s="430"/>
      <c r="Z802" s="430"/>
      <c r="AA802" s="430"/>
    </row>
    <row r="803">
      <c r="A803" s="433"/>
      <c r="B803" s="430"/>
      <c r="C803" s="430"/>
      <c r="D803" s="430"/>
      <c r="E803" s="432"/>
      <c r="F803" s="430"/>
      <c r="G803" s="430"/>
      <c r="H803" s="430"/>
      <c r="I803" s="430"/>
      <c r="J803" s="430"/>
      <c r="K803" s="430"/>
      <c r="L803" s="430"/>
      <c r="M803" s="430"/>
      <c r="N803" s="430"/>
      <c r="O803" s="430"/>
      <c r="P803" s="430"/>
      <c r="Q803" s="430"/>
      <c r="R803" s="430"/>
      <c r="S803" s="430"/>
      <c r="T803" s="430"/>
      <c r="U803" s="430"/>
      <c r="V803" s="430"/>
      <c r="W803" s="430"/>
      <c r="X803" s="430"/>
      <c r="Y803" s="430"/>
      <c r="Z803" s="430"/>
      <c r="AA803" s="430"/>
    </row>
    <row r="804">
      <c r="A804" s="433"/>
      <c r="B804" s="430"/>
      <c r="C804" s="430"/>
      <c r="D804" s="430"/>
      <c r="E804" s="432"/>
      <c r="F804" s="430"/>
      <c r="G804" s="430"/>
      <c r="H804" s="430"/>
      <c r="I804" s="430"/>
      <c r="J804" s="430"/>
      <c r="K804" s="430"/>
      <c r="L804" s="430"/>
      <c r="M804" s="430"/>
      <c r="N804" s="430"/>
      <c r="O804" s="430"/>
      <c r="P804" s="430"/>
      <c r="Q804" s="430"/>
      <c r="R804" s="430"/>
      <c r="S804" s="430"/>
      <c r="T804" s="430"/>
      <c r="U804" s="430"/>
      <c r="V804" s="430"/>
      <c r="W804" s="430"/>
      <c r="X804" s="430"/>
      <c r="Y804" s="430"/>
      <c r="Z804" s="430"/>
      <c r="AA804" s="430"/>
    </row>
    <row r="805">
      <c r="A805" s="433"/>
      <c r="B805" s="430"/>
      <c r="C805" s="430"/>
      <c r="D805" s="430"/>
      <c r="E805" s="432"/>
      <c r="F805" s="430"/>
      <c r="G805" s="430"/>
      <c r="H805" s="430"/>
      <c r="I805" s="430"/>
      <c r="J805" s="430"/>
      <c r="K805" s="430"/>
      <c r="L805" s="430"/>
      <c r="M805" s="430"/>
      <c r="N805" s="430"/>
      <c r="O805" s="430"/>
      <c r="P805" s="430"/>
      <c r="Q805" s="430"/>
      <c r="R805" s="430"/>
      <c r="S805" s="430"/>
      <c r="T805" s="430"/>
      <c r="U805" s="430"/>
      <c r="V805" s="430"/>
      <c r="W805" s="430"/>
      <c r="X805" s="430"/>
      <c r="Y805" s="430"/>
      <c r="Z805" s="430"/>
      <c r="AA805" s="430"/>
    </row>
    <row r="806">
      <c r="A806" s="433"/>
      <c r="B806" s="430"/>
      <c r="C806" s="430"/>
      <c r="D806" s="430"/>
      <c r="E806" s="432"/>
      <c r="F806" s="430"/>
      <c r="G806" s="430"/>
      <c r="H806" s="430"/>
      <c r="I806" s="430"/>
      <c r="J806" s="430"/>
      <c r="K806" s="430"/>
      <c r="L806" s="430"/>
      <c r="M806" s="430"/>
      <c r="N806" s="430"/>
      <c r="O806" s="430"/>
      <c r="P806" s="430"/>
      <c r="Q806" s="430"/>
      <c r="R806" s="430"/>
      <c r="S806" s="430"/>
      <c r="T806" s="430"/>
      <c r="U806" s="430"/>
      <c r="V806" s="430"/>
      <c r="W806" s="430"/>
      <c r="X806" s="430"/>
      <c r="Y806" s="430"/>
      <c r="Z806" s="430"/>
      <c r="AA806" s="430"/>
    </row>
    <row r="807">
      <c r="A807" s="433"/>
      <c r="B807" s="430"/>
      <c r="C807" s="430"/>
      <c r="D807" s="430"/>
      <c r="E807" s="432"/>
      <c r="F807" s="430"/>
      <c r="G807" s="430"/>
      <c r="H807" s="430"/>
      <c r="I807" s="430"/>
      <c r="J807" s="430"/>
      <c r="K807" s="430"/>
      <c r="L807" s="430"/>
      <c r="M807" s="430"/>
      <c r="N807" s="430"/>
      <c r="O807" s="430"/>
      <c r="P807" s="430"/>
      <c r="Q807" s="430"/>
      <c r="R807" s="430"/>
      <c r="S807" s="430"/>
      <c r="T807" s="430"/>
      <c r="U807" s="430"/>
      <c r="V807" s="430"/>
      <c r="W807" s="430"/>
      <c r="X807" s="430"/>
      <c r="Y807" s="430"/>
      <c r="Z807" s="430"/>
      <c r="AA807" s="430"/>
    </row>
    <row r="808">
      <c r="A808" s="433"/>
      <c r="B808" s="430"/>
      <c r="C808" s="430"/>
      <c r="D808" s="430"/>
      <c r="E808" s="432"/>
      <c r="F808" s="430"/>
      <c r="G808" s="430"/>
      <c r="H808" s="430"/>
      <c r="I808" s="430"/>
      <c r="J808" s="430"/>
      <c r="K808" s="430"/>
      <c r="L808" s="430"/>
      <c r="M808" s="430"/>
      <c r="N808" s="430"/>
      <c r="O808" s="430"/>
      <c r="P808" s="430"/>
      <c r="Q808" s="430"/>
      <c r="R808" s="430"/>
      <c r="S808" s="430"/>
      <c r="T808" s="430"/>
      <c r="U808" s="430"/>
      <c r="V808" s="430"/>
      <c r="W808" s="430"/>
      <c r="X808" s="430"/>
      <c r="Y808" s="430"/>
      <c r="Z808" s="430"/>
      <c r="AA808" s="430"/>
    </row>
    <row r="809">
      <c r="A809" s="433"/>
      <c r="B809" s="430"/>
      <c r="C809" s="430"/>
      <c r="D809" s="430"/>
      <c r="E809" s="432"/>
      <c r="F809" s="430"/>
      <c r="G809" s="430"/>
      <c r="H809" s="430"/>
      <c r="I809" s="430"/>
      <c r="J809" s="430"/>
      <c r="K809" s="430"/>
      <c r="L809" s="430"/>
      <c r="M809" s="430"/>
      <c r="N809" s="430"/>
      <c r="O809" s="430"/>
      <c r="P809" s="430"/>
      <c r="Q809" s="430"/>
      <c r="R809" s="430"/>
      <c r="S809" s="430"/>
      <c r="T809" s="430"/>
      <c r="U809" s="430"/>
      <c r="V809" s="430"/>
      <c r="W809" s="430"/>
      <c r="X809" s="430"/>
      <c r="Y809" s="430"/>
      <c r="Z809" s="430"/>
      <c r="AA809" s="430"/>
    </row>
    <row r="810">
      <c r="A810" s="433"/>
      <c r="B810" s="430"/>
      <c r="C810" s="430"/>
      <c r="D810" s="430"/>
      <c r="E810" s="432"/>
      <c r="F810" s="430"/>
      <c r="G810" s="430"/>
      <c r="H810" s="430"/>
      <c r="I810" s="430"/>
      <c r="J810" s="430"/>
      <c r="K810" s="430"/>
      <c r="L810" s="430"/>
      <c r="M810" s="430"/>
      <c r="N810" s="430"/>
      <c r="O810" s="430"/>
      <c r="P810" s="430"/>
      <c r="Q810" s="430"/>
      <c r="R810" s="430"/>
      <c r="S810" s="430"/>
      <c r="T810" s="430"/>
      <c r="U810" s="430"/>
      <c r="V810" s="430"/>
      <c r="W810" s="430"/>
      <c r="X810" s="430"/>
      <c r="Y810" s="430"/>
      <c r="Z810" s="430"/>
      <c r="AA810" s="430"/>
    </row>
    <row r="811">
      <c r="A811" s="433"/>
      <c r="B811" s="430"/>
      <c r="C811" s="430"/>
      <c r="D811" s="430"/>
      <c r="E811" s="432"/>
      <c r="F811" s="430"/>
      <c r="G811" s="430"/>
      <c r="H811" s="430"/>
      <c r="I811" s="430"/>
      <c r="J811" s="430"/>
      <c r="K811" s="430"/>
      <c r="L811" s="430"/>
      <c r="M811" s="430"/>
      <c r="N811" s="430"/>
      <c r="O811" s="430"/>
      <c r="P811" s="430"/>
      <c r="Q811" s="430"/>
      <c r="R811" s="430"/>
      <c r="S811" s="430"/>
      <c r="T811" s="430"/>
      <c r="U811" s="430"/>
      <c r="V811" s="430"/>
      <c r="W811" s="430"/>
      <c r="X811" s="430"/>
      <c r="Y811" s="430"/>
      <c r="Z811" s="430"/>
      <c r="AA811" s="430"/>
    </row>
    <row r="812">
      <c r="A812" s="433"/>
      <c r="B812" s="430"/>
      <c r="C812" s="430"/>
      <c r="D812" s="430"/>
      <c r="E812" s="432"/>
      <c r="F812" s="430"/>
      <c r="G812" s="430"/>
      <c r="H812" s="430"/>
      <c r="I812" s="430"/>
      <c r="J812" s="430"/>
      <c r="K812" s="430"/>
      <c r="L812" s="430"/>
      <c r="M812" s="430"/>
      <c r="N812" s="430"/>
      <c r="O812" s="430"/>
      <c r="P812" s="430"/>
      <c r="Q812" s="430"/>
      <c r="R812" s="430"/>
      <c r="S812" s="430"/>
      <c r="T812" s="430"/>
      <c r="U812" s="430"/>
      <c r="V812" s="430"/>
      <c r="W812" s="430"/>
      <c r="X812" s="430"/>
      <c r="Y812" s="430"/>
      <c r="Z812" s="430"/>
      <c r="AA812" s="430"/>
    </row>
    <row r="813">
      <c r="A813" s="433"/>
      <c r="B813" s="430"/>
      <c r="C813" s="430"/>
      <c r="D813" s="430"/>
      <c r="E813" s="432"/>
      <c r="F813" s="430"/>
      <c r="G813" s="430"/>
      <c r="H813" s="430"/>
      <c r="I813" s="430"/>
      <c r="J813" s="430"/>
      <c r="K813" s="430"/>
      <c r="L813" s="430"/>
      <c r="M813" s="430"/>
      <c r="N813" s="430"/>
      <c r="O813" s="430"/>
      <c r="P813" s="430"/>
      <c r="Q813" s="430"/>
      <c r="R813" s="430"/>
      <c r="S813" s="430"/>
      <c r="T813" s="430"/>
      <c r="U813" s="430"/>
      <c r="V813" s="430"/>
      <c r="W813" s="430"/>
      <c r="X813" s="430"/>
      <c r="Y813" s="430"/>
      <c r="Z813" s="430"/>
      <c r="AA813" s="430"/>
    </row>
    <row r="814">
      <c r="A814" s="433"/>
      <c r="B814" s="430"/>
      <c r="C814" s="430"/>
      <c r="D814" s="430"/>
      <c r="E814" s="432"/>
      <c r="F814" s="430"/>
      <c r="G814" s="430"/>
      <c r="H814" s="430"/>
      <c r="I814" s="430"/>
      <c r="J814" s="430"/>
      <c r="K814" s="430"/>
      <c r="L814" s="430"/>
      <c r="M814" s="430"/>
      <c r="N814" s="430"/>
      <c r="O814" s="430"/>
      <c r="P814" s="430"/>
      <c r="Q814" s="430"/>
      <c r="R814" s="430"/>
      <c r="S814" s="430"/>
      <c r="T814" s="430"/>
      <c r="U814" s="430"/>
      <c r="V814" s="430"/>
      <c r="W814" s="430"/>
      <c r="X814" s="430"/>
      <c r="Y814" s="430"/>
      <c r="Z814" s="430"/>
      <c r="AA814" s="430"/>
    </row>
    <row r="815">
      <c r="A815" s="433"/>
      <c r="B815" s="430"/>
      <c r="C815" s="430"/>
      <c r="D815" s="430"/>
      <c r="E815" s="432"/>
      <c r="F815" s="430"/>
      <c r="G815" s="430"/>
      <c r="H815" s="430"/>
      <c r="I815" s="430"/>
      <c r="J815" s="430"/>
      <c r="K815" s="430"/>
      <c r="L815" s="430"/>
      <c r="M815" s="430"/>
      <c r="N815" s="430"/>
      <c r="O815" s="430"/>
      <c r="P815" s="430"/>
      <c r="Q815" s="430"/>
      <c r="R815" s="430"/>
      <c r="S815" s="430"/>
      <c r="T815" s="430"/>
      <c r="U815" s="430"/>
      <c r="V815" s="430"/>
      <c r="W815" s="430"/>
      <c r="X815" s="430"/>
      <c r="Y815" s="430"/>
      <c r="Z815" s="430"/>
      <c r="AA815" s="430"/>
    </row>
    <row r="816">
      <c r="A816" s="433"/>
      <c r="B816" s="430"/>
      <c r="C816" s="430"/>
      <c r="D816" s="430"/>
      <c r="E816" s="432"/>
      <c r="F816" s="430"/>
      <c r="G816" s="430"/>
      <c r="H816" s="430"/>
      <c r="I816" s="430"/>
      <c r="J816" s="430"/>
      <c r="K816" s="430"/>
      <c r="L816" s="430"/>
      <c r="M816" s="430"/>
      <c r="N816" s="430"/>
      <c r="O816" s="430"/>
      <c r="P816" s="430"/>
      <c r="Q816" s="430"/>
      <c r="R816" s="430"/>
      <c r="S816" s="430"/>
      <c r="T816" s="430"/>
      <c r="U816" s="430"/>
      <c r="V816" s="430"/>
      <c r="W816" s="430"/>
      <c r="X816" s="430"/>
      <c r="Y816" s="430"/>
      <c r="Z816" s="430"/>
      <c r="AA816" s="430"/>
    </row>
    <row r="817">
      <c r="A817" s="433"/>
      <c r="B817" s="430"/>
      <c r="C817" s="430"/>
      <c r="D817" s="430"/>
      <c r="E817" s="432"/>
      <c r="F817" s="430"/>
      <c r="G817" s="430"/>
      <c r="H817" s="430"/>
      <c r="I817" s="430"/>
      <c r="J817" s="430"/>
      <c r="K817" s="430"/>
      <c r="L817" s="430"/>
      <c r="M817" s="430"/>
      <c r="N817" s="430"/>
      <c r="O817" s="430"/>
      <c r="P817" s="430"/>
      <c r="Q817" s="430"/>
      <c r="R817" s="430"/>
      <c r="S817" s="430"/>
      <c r="T817" s="430"/>
      <c r="U817" s="430"/>
      <c r="V817" s="430"/>
      <c r="W817" s="430"/>
      <c r="X817" s="430"/>
      <c r="Y817" s="430"/>
      <c r="Z817" s="430"/>
      <c r="AA817" s="430"/>
    </row>
    <row r="818">
      <c r="A818" s="433"/>
      <c r="B818" s="430"/>
      <c r="C818" s="430"/>
      <c r="D818" s="430"/>
      <c r="E818" s="432"/>
      <c r="F818" s="430"/>
      <c r="G818" s="430"/>
      <c r="H818" s="430"/>
      <c r="I818" s="430"/>
      <c r="J818" s="430"/>
      <c r="K818" s="430"/>
      <c r="L818" s="430"/>
      <c r="M818" s="430"/>
      <c r="N818" s="430"/>
      <c r="O818" s="430"/>
      <c r="P818" s="430"/>
      <c r="Q818" s="430"/>
      <c r="R818" s="430"/>
      <c r="S818" s="430"/>
      <c r="T818" s="430"/>
      <c r="U818" s="430"/>
      <c r="V818" s="430"/>
      <c r="W818" s="430"/>
      <c r="X818" s="430"/>
      <c r="Y818" s="430"/>
      <c r="Z818" s="430"/>
      <c r="AA818" s="430"/>
    </row>
    <row r="819">
      <c r="A819" s="433"/>
      <c r="B819" s="430"/>
      <c r="C819" s="430"/>
      <c r="D819" s="430"/>
      <c r="E819" s="432"/>
      <c r="F819" s="430"/>
      <c r="G819" s="430"/>
      <c r="H819" s="430"/>
      <c r="I819" s="430"/>
      <c r="J819" s="430"/>
      <c r="K819" s="430"/>
      <c r="L819" s="430"/>
      <c r="M819" s="430"/>
      <c r="N819" s="430"/>
      <c r="O819" s="430"/>
      <c r="P819" s="430"/>
      <c r="Q819" s="430"/>
      <c r="R819" s="430"/>
      <c r="S819" s="430"/>
      <c r="T819" s="430"/>
      <c r="U819" s="430"/>
      <c r="V819" s="430"/>
      <c r="W819" s="430"/>
      <c r="X819" s="430"/>
      <c r="Y819" s="430"/>
      <c r="Z819" s="430"/>
      <c r="AA819" s="430"/>
    </row>
    <row r="820">
      <c r="A820" s="433"/>
      <c r="B820" s="430"/>
      <c r="C820" s="430"/>
      <c r="D820" s="430"/>
      <c r="E820" s="432"/>
      <c r="F820" s="430"/>
      <c r="G820" s="430"/>
      <c r="H820" s="430"/>
      <c r="I820" s="430"/>
      <c r="J820" s="430"/>
      <c r="K820" s="430"/>
      <c r="L820" s="430"/>
      <c r="M820" s="430"/>
      <c r="N820" s="430"/>
      <c r="O820" s="430"/>
      <c r="P820" s="430"/>
      <c r="Q820" s="430"/>
      <c r="R820" s="430"/>
      <c r="S820" s="430"/>
      <c r="T820" s="430"/>
      <c r="U820" s="430"/>
      <c r="V820" s="430"/>
      <c r="W820" s="430"/>
      <c r="X820" s="430"/>
      <c r="Y820" s="430"/>
      <c r="Z820" s="430"/>
      <c r="AA820" s="430"/>
    </row>
    <row r="821">
      <c r="A821" s="433"/>
      <c r="B821" s="430"/>
      <c r="C821" s="430"/>
      <c r="D821" s="430"/>
      <c r="E821" s="432"/>
      <c r="F821" s="430"/>
      <c r="G821" s="430"/>
      <c r="H821" s="430"/>
      <c r="I821" s="430"/>
      <c r="J821" s="430"/>
      <c r="K821" s="430"/>
      <c r="L821" s="430"/>
      <c r="M821" s="430"/>
      <c r="N821" s="430"/>
      <c r="O821" s="430"/>
      <c r="P821" s="430"/>
      <c r="Q821" s="430"/>
      <c r="R821" s="430"/>
      <c r="S821" s="430"/>
      <c r="T821" s="430"/>
      <c r="U821" s="430"/>
      <c r="V821" s="430"/>
      <c r="W821" s="430"/>
      <c r="X821" s="430"/>
      <c r="Y821" s="430"/>
      <c r="Z821" s="430"/>
      <c r="AA821" s="430"/>
    </row>
    <row r="822">
      <c r="A822" s="433"/>
      <c r="B822" s="430"/>
      <c r="C822" s="430"/>
      <c r="D822" s="430"/>
      <c r="E822" s="432"/>
      <c r="F822" s="430"/>
      <c r="G822" s="430"/>
      <c r="H822" s="430"/>
      <c r="I822" s="430"/>
      <c r="J822" s="430"/>
      <c r="K822" s="430"/>
      <c r="L822" s="430"/>
      <c r="M822" s="430"/>
      <c r="N822" s="430"/>
      <c r="O822" s="430"/>
      <c r="P822" s="430"/>
      <c r="Q822" s="430"/>
      <c r="R822" s="430"/>
      <c r="S822" s="430"/>
      <c r="T822" s="430"/>
      <c r="U822" s="430"/>
      <c r="V822" s="430"/>
      <c r="W822" s="430"/>
      <c r="X822" s="430"/>
      <c r="Y822" s="430"/>
      <c r="Z822" s="430"/>
      <c r="AA822" s="430"/>
    </row>
    <row r="823">
      <c r="A823" s="433"/>
      <c r="B823" s="430"/>
      <c r="C823" s="430"/>
      <c r="D823" s="430"/>
      <c r="E823" s="432"/>
      <c r="F823" s="430"/>
      <c r="G823" s="430"/>
      <c r="H823" s="430"/>
      <c r="I823" s="430"/>
      <c r="J823" s="430"/>
      <c r="K823" s="430"/>
      <c r="L823" s="430"/>
      <c r="M823" s="430"/>
      <c r="N823" s="430"/>
      <c r="O823" s="430"/>
      <c r="P823" s="430"/>
      <c r="Q823" s="430"/>
      <c r="R823" s="430"/>
      <c r="S823" s="430"/>
      <c r="T823" s="430"/>
      <c r="U823" s="430"/>
      <c r="V823" s="430"/>
      <c r="W823" s="430"/>
      <c r="X823" s="430"/>
      <c r="Y823" s="430"/>
      <c r="Z823" s="430"/>
      <c r="AA823" s="430"/>
    </row>
    <row r="824">
      <c r="A824" s="433"/>
      <c r="B824" s="430"/>
      <c r="C824" s="430"/>
      <c r="D824" s="430"/>
      <c r="E824" s="432"/>
      <c r="F824" s="430"/>
      <c r="G824" s="430"/>
      <c r="H824" s="430"/>
      <c r="I824" s="430"/>
      <c r="J824" s="430"/>
      <c r="K824" s="430"/>
      <c r="L824" s="430"/>
      <c r="M824" s="430"/>
      <c r="N824" s="430"/>
      <c r="O824" s="430"/>
      <c r="P824" s="430"/>
      <c r="Q824" s="430"/>
      <c r="R824" s="430"/>
      <c r="S824" s="430"/>
      <c r="T824" s="430"/>
      <c r="U824" s="430"/>
      <c r="V824" s="430"/>
      <c r="W824" s="430"/>
      <c r="X824" s="430"/>
      <c r="Y824" s="430"/>
      <c r="Z824" s="430"/>
      <c r="AA824" s="430"/>
    </row>
    <row r="825">
      <c r="A825" s="433"/>
      <c r="B825" s="430"/>
      <c r="C825" s="430"/>
      <c r="D825" s="430"/>
      <c r="E825" s="432"/>
      <c r="F825" s="430"/>
      <c r="G825" s="430"/>
      <c r="H825" s="430"/>
      <c r="I825" s="430"/>
      <c r="J825" s="430"/>
      <c r="K825" s="430"/>
      <c r="L825" s="430"/>
      <c r="M825" s="430"/>
      <c r="N825" s="430"/>
      <c r="O825" s="430"/>
      <c r="P825" s="430"/>
      <c r="Q825" s="430"/>
      <c r="R825" s="430"/>
      <c r="S825" s="430"/>
      <c r="T825" s="430"/>
      <c r="U825" s="430"/>
      <c r="V825" s="430"/>
      <c r="W825" s="430"/>
      <c r="X825" s="430"/>
      <c r="Y825" s="430"/>
      <c r="Z825" s="430"/>
      <c r="AA825" s="430"/>
    </row>
    <row r="826">
      <c r="A826" s="433"/>
      <c r="B826" s="430"/>
      <c r="C826" s="430"/>
      <c r="D826" s="430"/>
      <c r="E826" s="432"/>
      <c r="F826" s="430"/>
      <c r="G826" s="430"/>
      <c r="H826" s="430"/>
      <c r="I826" s="430"/>
      <c r="J826" s="430"/>
      <c r="K826" s="430"/>
      <c r="L826" s="430"/>
      <c r="M826" s="430"/>
      <c r="N826" s="430"/>
      <c r="O826" s="430"/>
      <c r="P826" s="430"/>
      <c r="Q826" s="430"/>
      <c r="R826" s="430"/>
      <c r="S826" s="430"/>
      <c r="T826" s="430"/>
      <c r="U826" s="430"/>
      <c r="V826" s="430"/>
      <c r="W826" s="430"/>
      <c r="X826" s="430"/>
      <c r="Y826" s="430"/>
      <c r="Z826" s="430"/>
      <c r="AA826" s="430"/>
    </row>
    <row r="827">
      <c r="A827" s="433"/>
      <c r="B827" s="430"/>
      <c r="C827" s="430"/>
      <c r="D827" s="430"/>
      <c r="E827" s="432"/>
      <c r="F827" s="430"/>
      <c r="G827" s="430"/>
      <c r="H827" s="430"/>
      <c r="I827" s="430"/>
      <c r="J827" s="430"/>
      <c r="K827" s="430"/>
      <c r="L827" s="430"/>
      <c r="M827" s="430"/>
      <c r="N827" s="430"/>
      <c r="O827" s="430"/>
      <c r="P827" s="430"/>
      <c r="Q827" s="430"/>
      <c r="R827" s="430"/>
      <c r="S827" s="430"/>
      <c r="T827" s="430"/>
      <c r="U827" s="430"/>
      <c r="V827" s="430"/>
      <c r="W827" s="430"/>
      <c r="X827" s="430"/>
      <c r="Y827" s="430"/>
      <c r="Z827" s="430"/>
      <c r="AA827" s="430"/>
    </row>
    <row r="828">
      <c r="A828" s="433"/>
      <c r="B828" s="430"/>
      <c r="C828" s="430"/>
      <c r="D828" s="430"/>
      <c r="E828" s="432"/>
      <c r="F828" s="430"/>
      <c r="G828" s="430"/>
      <c r="H828" s="430"/>
      <c r="I828" s="430"/>
      <c r="J828" s="430"/>
      <c r="K828" s="430"/>
      <c r="L828" s="430"/>
      <c r="M828" s="430"/>
      <c r="N828" s="430"/>
      <c r="O828" s="430"/>
      <c r="P828" s="430"/>
      <c r="Q828" s="430"/>
      <c r="R828" s="430"/>
      <c r="S828" s="430"/>
      <c r="T828" s="430"/>
      <c r="U828" s="430"/>
      <c r="V828" s="430"/>
      <c r="W828" s="430"/>
      <c r="X828" s="430"/>
      <c r="Y828" s="430"/>
      <c r="Z828" s="430"/>
      <c r="AA828" s="430"/>
    </row>
    <row r="829">
      <c r="A829" s="433"/>
      <c r="B829" s="430"/>
      <c r="C829" s="430"/>
      <c r="D829" s="430"/>
      <c r="E829" s="432"/>
      <c r="F829" s="430"/>
      <c r="G829" s="430"/>
      <c r="H829" s="430"/>
      <c r="I829" s="430"/>
      <c r="J829" s="430"/>
      <c r="K829" s="430"/>
      <c r="L829" s="430"/>
      <c r="M829" s="430"/>
      <c r="N829" s="430"/>
      <c r="O829" s="430"/>
      <c r="P829" s="430"/>
      <c r="Q829" s="430"/>
      <c r="R829" s="430"/>
      <c r="S829" s="430"/>
      <c r="T829" s="430"/>
      <c r="U829" s="430"/>
      <c r="V829" s="430"/>
      <c r="W829" s="430"/>
      <c r="X829" s="430"/>
      <c r="Y829" s="430"/>
      <c r="Z829" s="430"/>
      <c r="AA829" s="430"/>
    </row>
    <row r="830">
      <c r="A830" s="433"/>
      <c r="B830" s="430"/>
      <c r="C830" s="430"/>
      <c r="D830" s="430"/>
      <c r="E830" s="432"/>
      <c r="F830" s="430"/>
      <c r="G830" s="430"/>
      <c r="H830" s="430"/>
      <c r="I830" s="430"/>
      <c r="J830" s="430"/>
      <c r="K830" s="430"/>
      <c r="L830" s="430"/>
      <c r="M830" s="430"/>
      <c r="N830" s="430"/>
      <c r="O830" s="430"/>
      <c r="P830" s="430"/>
      <c r="Q830" s="430"/>
      <c r="R830" s="430"/>
      <c r="S830" s="430"/>
      <c r="T830" s="430"/>
      <c r="U830" s="430"/>
      <c r="V830" s="430"/>
      <c r="W830" s="430"/>
      <c r="X830" s="430"/>
      <c r="Y830" s="430"/>
      <c r="Z830" s="430"/>
      <c r="AA830" s="430"/>
    </row>
    <row r="831">
      <c r="A831" s="433"/>
      <c r="B831" s="430"/>
      <c r="C831" s="430"/>
      <c r="D831" s="430"/>
      <c r="E831" s="432"/>
      <c r="F831" s="430"/>
      <c r="G831" s="430"/>
      <c r="H831" s="430"/>
      <c r="I831" s="430"/>
      <c r="J831" s="430"/>
      <c r="K831" s="430"/>
      <c r="L831" s="430"/>
      <c r="M831" s="430"/>
      <c r="N831" s="430"/>
      <c r="O831" s="430"/>
      <c r="P831" s="430"/>
      <c r="Q831" s="430"/>
      <c r="R831" s="430"/>
      <c r="S831" s="430"/>
      <c r="T831" s="430"/>
      <c r="U831" s="430"/>
      <c r="V831" s="430"/>
      <c r="W831" s="430"/>
      <c r="X831" s="430"/>
      <c r="Y831" s="430"/>
      <c r="Z831" s="430"/>
      <c r="AA831" s="430"/>
    </row>
    <row r="832">
      <c r="A832" s="433"/>
      <c r="B832" s="430"/>
      <c r="C832" s="430"/>
      <c r="D832" s="430"/>
      <c r="E832" s="432"/>
      <c r="F832" s="430"/>
      <c r="G832" s="430"/>
      <c r="H832" s="430"/>
      <c r="I832" s="430"/>
      <c r="J832" s="430"/>
      <c r="K832" s="430"/>
      <c r="L832" s="430"/>
      <c r="M832" s="430"/>
      <c r="N832" s="430"/>
      <c r="O832" s="430"/>
      <c r="P832" s="430"/>
      <c r="Q832" s="430"/>
      <c r="R832" s="430"/>
      <c r="S832" s="430"/>
      <c r="T832" s="430"/>
      <c r="U832" s="430"/>
      <c r="V832" s="430"/>
      <c r="W832" s="430"/>
      <c r="X832" s="430"/>
      <c r="Y832" s="430"/>
      <c r="Z832" s="430"/>
      <c r="AA832" s="430"/>
    </row>
    <row r="833">
      <c r="A833" s="433"/>
      <c r="B833" s="430"/>
      <c r="C833" s="430"/>
      <c r="D833" s="430"/>
      <c r="E833" s="432"/>
      <c r="F833" s="430"/>
      <c r="G833" s="430"/>
      <c r="H833" s="430"/>
      <c r="I833" s="430"/>
      <c r="J833" s="430"/>
      <c r="K833" s="430"/>
      <c r="L833" s="430"/>
      <c r="M833" s="430"/>
      <c r="N833" s="430"/>
      <c r="O833" s="430"/>
      <c r="P833" s="430"/>
      <c r="Q833" s="430"/>
      <c r="R833" s="430"/>
      <c r="S833" s="430"/>
      <c r="T833" s="430"/>
      <c r="U833" s="430"/>
      <c r="V833" s="430"/>
      <c r="W833" s="430"/>
      <c r="X833" s="430"/>
      <c r="Y833" s="430"/>
      <c r="Z833" s="430"/>
      <c r="AA833" s="430"/>
    </row>
    <row r="834">
      <c r="A834" s="433"/>
      <c r="B834" s="430"/>
      <c r="C834" s="430"/>
      <c r="D834" s="430"/>
      <c r="E834" s="432"/>
      <c r="F834" s="430"/>
      <c r="G834" s="430"/>
      <c r="H834" s="430"/>
      <c r="I834" s="430"/>
      <c r="J834" s="430"/>
      <c r="K834" s="430"/>
      <c r="L834" s="430"/>
      <c r="M834" s="430"/>
      <c r="N834" s="430"/>
      <c r="O834" s="430"/>
      <c r="P834" s="430"/>
      <c r="Q834" s="430"/>
      <c r="R834" s="430"/>
      <c r="S834" s="430"/>
      <c r="T834" s="430"/>
      <c r="U834" s="430"/>
      <c r="V834" s="430"/>
      <c r="W834" s="430"/>
      <c r="X834" s="430"/>
      <c r="Y834" s="430"/>
      <c r="Z834" s="430"/>
      <c r="AA834" s="430"/>
    </row>
    <row r="835">
      <c r="A835" s="433"/>
      <c r="B835" s="430"/>
      <c r="C835" s="430"/>
      <c r="D835" s="430"/>
      <c r="E835" s="432"/>
      <c r="F835" s="430"/>
      <c r="G835" s="430"/>
      <c r="H835" s="430"/>
      <c r="I835" s="430"/>
      <c r="J835" s="430"/>
      <c r="K835" s="430"/>
      <c r="L835" s="430"/>
      <c r="M835" s="430"/>
      <c r="N835" s="430"/>
      <c r="O835" s="430"/>
      <c r="P835" s="430"/>
      <c r="Q835" s="430"/>
      <c r="R835" s="430"/>
      <c r="S835" s="430"/>
      <c r="T835" s="430"/>
      <c r="U835" s="430"/>
      <c r="V835" s="430"/>
      <c r="W835" s="430"/>
      <c r="X835" s="430"/>
      <c r="Y835" s="430"/>
      <c r="Z835" s="430"/>
      <c r="AA835" s="430"/>
    </row>
    <row r="836">
      <c r="A836" s="433"/>
      <c r="B836" s="430"/>
      <c r="C836" s="430"/>
      <c r="D836" s="430"/>
      <c r="E836" s="432"/>
      <c r="F836" s="430"/>
      <c r="G836" s="430"/>
      <c r="H836" s="430"/>
      <c r="I836" s="430"/>
      <c r="J836" s="430"/>
      <c r="K836" s="430"/>
      <c r="L836" s="430"/>
      <c r="M836" s="430"/>
      <c r="N836" s="430"/>
      <c r="O836" s="430"/>
      <c r="P836" s="430"/>
      <c r="Q836" s="430"/>
      <c r="R836" s="430"/>
      <c r="S836" s="430"/>
      <c r="T836" s="430"/>
      <c r="U836" s="430"/>
      <c r="V836" s="430"/>
      <c r="W836" s="430"/>
      <c r="X836" s="430"/>
      <c r="Y836" s="430"/>
      <c r="Z836" s="430"/>
      <c r="AA836" s="430"/>
    </row>
    <row r="837">
      <c r="A837" s="433"/>
      <c r="B837" s="430"/>
      <c r="C837" s="430"/>
      <c r="D837" s="430"/>
      <c r="E837" s="432"/>
      <c r="F837" s="430"/>
      <c r="G837" s="430"/>
      <c r="H837" s="430"/>
      <c r="I837" s="430"/>
      <c r="J837" s="430"/>
      <c r="K837" s="430"/>
      <c r="L837" s="430"/>
      <c r="M837" s="430"/>
      <c r="N837" s="430"/>
      <c r="O837" s="430"/>
      <c r="P837" s="430"/>
      <c r="Q837" s="430"/>
      <c r="R837" s="430"/>
      <c r="S837" s="430"/>
      <c r="T837" s="430"/>
      <c r="U837" s="430"/>
      <c r="V837" s="430"/>
      <c r="W837" s="430"/>
      <c r="X837" s="430"/>
      <c r="Y837" s="430"/>
      <c r="Z837" s="430"/>
      <c r="AA837" s="430"/>
    </row>
    <row r="838">
      <c r="A838" s="433"/>
      <c r="B838" s="430"/>
      <c r="C838" s="430"/>
      <c r="D838" s="430"/>
      <c r="E838" s="432"/>
      <c r="F838" s="430"/>
      <c r="G838" s="430"/>
      <c r="H838" s="430"/>
      <c r="I838" s="430"/>
      <c r="J838" s="430"/>
      <c r="K838" s="430"/>
      <c r="L838" s="430"/>
      <c r="M838" s="430"/>
      <c r="N838" s="430"/>
      <c r="O838" s="430"/>
      <c r="P838" s="430"/>
      <c r="Q838" s="430"/>
      <c r="R838" s="430"/>
      <c r="S838" s="430"/>
      <c r="T838" s="430"/>
      <c r="U838" s="430"/>
      <c r="V838" s="430"/>
      <c r="W838" s="430"/>
      <c r="X838" s="430"/>
      <c r="Y838" s="430"/>
      <c r="Z838" s="430"/>
      <c r="AA838" s="430"/>
    </row>
    <row r="839">
      <c r="A839" s="433"/>
      <c r="B839" s="430"/>
      <c r="C839" s="430"/>
      <c r="D839" s="430"/>
      <c r="E839" s="432"/>
      <c r="F839" s="430"/>
      <c r="G839" s="430"/>
      <c r="H839" s="430"/>
      <c r="I839" s="430"/>
      <c r="J839" s="430"/>
      <c r="K839" s="430"/>
      <c r="L839" s="430"/>
      <c r="M839" s="430"/>
      <c r="N839" s="430"/>
      <c r="O839" s="430"/>
      <c r="P839" s="430"/>
      <c r="Q839" s="430"/>
      <c r="R839" s="430"/>
      <c r="S839" s="430"/>
      <c r="T839" s="430"/>
      <c r="U839" s="430"/>
      <c r="V839" s="430"/>
      <c r="W839" s="430"/>
      <c r="X839" s="430"/>
      <c r="Y839" s="430"/>
      <c r="Z839" s="430"/>
      <c r="AA839" s="430"/>
    </row>
    <row r="840">
      <c r="A840" s="433"/>
      <c r="B840" s="430"/>
      <c r="C840" s="430"/>
      <c r="D840" s="430"/>
      <c r="E840" s="432"/>
      <c r="F840" s="430"/>
      <c r="G840" s="430"/>
      <c r="H840" s="430"/>
      <c r="I840" s="430"/>
      <c r="J840" s="430"/>
      <c r="K840" s="430"/>
      <c r="L840" s="430"/>
      <c r="M840" s="430"/>
      <c r="N840" s="430"/>
      <c r="O840" s="430"/>
      <c r="P840" s="430"/>
      <c r="Q840" s="430"/>
      <c r="R840" s="430"/>
      <c r="S840" s="430"/>
      <c r="T840" s="430"/>
      <c r="U840" s="430"/>
      <c r="V840" s="430"/>
      <c r="W840" s="430"/>
      <c r="X840" s="430"/>
      <c r="Y840" s="430"/>
      <c r="Z840" s="430"/>
      <c r="AA840" s="430"/>
    </row>
    <row r="841">
      <c r="A841" s="433"/>
      <c r="B841" s="430"/>
      <c r="C841" s="430"/>
      <c r="D841" s="430"/>
      <c r="E841" s="432"/>
      <c r="F841" s="430"/>
      <c r="G841" s="430"/>
      <c r="H841" s="430"/>
      <c r="I841" s="430"/>
      <c r="J841" s="430"/>
      <c r="K841" s="430"/>
      <c r="L841" s="430"/>
      <c r="M841" s="430"/>
      <c r="N841" s="430"/>
      <c r="O841" s="430"/>
      <c r="P841" s="430"/>
      <c r="Q841" s="430"/>
      <c r="R841" s="430"/>
      <c r="S841" s="430"/>
      <c r="T841" s="430"/>
      <c r="U841" s="430"/>
      <c r="V841" s="430"/>
      <c r="W841" s="430"/>
      <c r="X841" s="430"/>
      <c r="Y841" s="430"/>
      <c r="Z841" s="430"/>
      <c r="AA841" s="430"/>
    </row>
    <row r="842">
      <c r="A842" s="433"/>
      <c r="B842" s="430"/>
      <c r="C842" s="430"/>
      <c r="D842" s="430"/>
      <c r="E842" s="432"/>
      <c r="F842" s="430"/>
      <c r="G842" s="430"/>
      <c r="H842" s="430"/>
      <c r="I842" s="430"/>
      <c r="J842" s="430"/>
      <c r="K842" s="430"/>
      <c r="L842" s="430"/>
      <c r="M842" s="430"/>
      <c r="N842" s="430"/>
      <c r="O842" s="430"/>
      <c r="P842" s="430"/>
      <c r="Q842" s="430"/>
      <c r="R842" s="430"/>
      <c r="S842" s="430"/>
      <c r="T842" s="430"/>
      <c r="U842" s="430"/>
      <c r="V842" s="430"/>
      <c r="W842" s="430"/>
      <c r="X842" s="430"/>
      <c r="Y842" s="430"/>
      <c r="Z842" s="430"/>
      <c r="AA842" s="430"/>
    </row>
    <row r="843">
      <c r="A843" s="433"/>
      <c r="B843" s="430"/>
      <c r="C843" s="430"/>
      <c r="D843" s="430"/>
      <c r="E843" s="432"/>
      <c r="F843" s="430"/>
      <c r="G843" s="430"/>
      <c r="H843" s="430"/>
      <c r="I843" s="430"/>
      <c r="J843" s="430"/>
      <c r="K843" s="430"/>
      <c r="L843" s="430"/>
      <c r="M843" s="430"/>
      <c r="N843" s="430"/>
      <c r="O843" s="430"/>
      <c r="P843" s="430"/>
      <c r="Q843" s="430"/>
      <c r="R843" s="430"/>
      <c r="S843" s="430"/>
      <c r="T843" s="430"/>
      <c r="U843" s="430"/>
      <c r="V843" s="430"/>
      <c r="W843" s="430"/>
      <c r="X843" s="430"/>
      <c r="Y843" s="430"/>
      <c r="Z843" s="430"/>
      <c r="AA843" s="430"/>
    </row>
    <row r="844">
      <c r="A844" s="433"/>
      <c r="B844" s="430"/>
      <c r="C844" s="430"/>
      <c r="D844" s="430"/>
      <c r="E844" s="432"/>
      <c r="F844" s="430"/>
      <c r="G844" s="430"/>
      <c r="H844" s="430"/>
      <c r="I844" s="430"/>
      <c r="J844" s="430"/>
      <c r="K844" s="430"/>
      <c r="L844" s="430"/>
      <c r="M844" s="430"/>
      <c r="N844" s="430"/>
      <c r="O844" s="430"/>
      <c r="P844" s="430"/>
      <c r="Q844" s="430"/>
      <c r="R844" s="430"/>
      <c r="S844" s="430"/>
      <c r="T844" s="430"/>
      <c r="U844" s="430"/>
      <c r="V844" s="430"/>
      <c r="W844" s="430"/>
      <c r="X844" s="430"/>
      <c r="Y844" s="430"/>
      <c r="Z844" s="430"/>
      <c r="AA844" s="430"/>
    </row>
    <row r="845">
      <c r="A845" s="433"/>
      <c r="B845" s="430"/>
      <c r="C845" s="430"/>
      <c r="D845" s="430"/>
      <c r="E845" s="432"/>
      <c r="F845" s="430"/>
      <c r="G845" s="430"/>
      <c r="H845" s="430"/>
      <c r="I845" s="430"/>
      <c r="J845" s="430"/>
      <c r="K845" s="430"/>
      <c r="L845" s="430"/>
      <c r="M845" s="430"/>
      <c r="N845" s="430"/>
      <c r="O845" s="430"/>
      <c r="P845" s="430"/>
      <c r="Q845" s="430"/>
      <c r="R845" s="430"/>
      <c r="S845" s="430"/>
      <c r="T845" s="430"/>
      <c r="U845" s="430"/>
      <c r="V845" s="430"/>
      <c r="W845" s="430"/>
      <c r="X845" s="430"/>
      <c r="Y845" s="430"/>
      <c r="Z845" s="430"/>
      <c r="AA845" s="430"/>
    </row>
    <row r="846">
      <c r="A846" s="433"/>
      <c r="B846" s="430"/>
      <c r="C846" s="430"/>
      <c r="D846" s="430"/>
      <c r="E846" s="432"/>
      <c r="F846" s="430"/>
      <c r="G846" s="430"/>
      <c r="H846" s="430"/>
      <c r="I846" s="430"/>
      <c r="J846" s="430"/>
      <c r="K846" s="430"/>
      <c r="L846" s="430"/>
      <c r="M846" s="430"/>
      <c r="N846" s="430"/>
      <c r="O846" s="430"/>
      <c r="P846" s="430"/>
      <c r="Q846" s="430"/>
      <c r="R846" s="430"/>
      <c r="S846" s="430"/>
      <c r="T846" s="430"/>
      <c r="U846" s="430"/>
      <c r="V846" s="430"/>
      <c r="W846" s="430"/>
      <c r="X846" s="430"/>
      <c r="Y846" s="430"/>
      <c r="Z846" s="430"/>
      <c r="AA846" s="430"/>
    </row>
    <row r="847">
      <c r="A847" s="433"/>
      <c r="B847" s="430"/>
      <c r="C847" s="430"/>
      <c r="D847" s="430"/>
      <c r="E847" s="432"/>
      <c r="F847" s="430"/>
      <c r="G847" s="430"/>
      <c r="H847" s="430"/>
      <c r="I847" s="430"/>
      <c r="J847" s="430"/>
      <c r="K847" s="430"/>
      <c r="L847" s="430"/>
      <c r="M847" s="430"/>
      <c r="N847" s="430"/>
      <c r="O847" s="430"/>
      <c r="P847" s="430"/>
      <c r="Q847" s="430"/>
      <c r="R847" s="430"/>
      <c r="S847" s="430"/>
      <c r="T847" s="430"/>
      <c r="U847" s="430"/>
      <c r="V847" s="430"/>
      <c r="W847" s="430"/>
      <c r="X847" s="430"/>
      <c r="Y847" s="430"/>
      <c r="Z847" s="430"/>
      <c r="AA847" s="430"/>
    </row>
    <row r="848">
      <c r="A848" s="433"/>
      <c r="B848" s="430"/>
      <c r="C848" s="430"/>
      <c r="D848" s="430"/>
      <c r="E848" s="432"/>
      <c r="F848" s="430"/>
      <c r="G848" s="430"/>
      <c r="H848" s="430"/>
      <c r="I848" s="430"/>
      <c r="J848" s="430"/>
      <c r="K848" s="430"/>
      <c r="L848" s="430"/>
      <c r="M848" s="430"/>
      <c r="N848" s="430"/>
      <c r="O848" s="430"/>
      <c r="P848" s="430"/>
      <c r="Q848" s="430"/>
      <c r="R848" s="430"/>
      <c r="S848" s="430"/>
      <c r="T848" s="430"/>
      <c r="U848" s="430"/>
      <c r="V848" s="430"/>
      <c r="W848" s="430"/>
      <c r="X848" s="430"/>
      <c r="Y848" s="430"/>
      <c r="Z848" s="430"/>
      <c r="AA848" s="430"/>
    </row>
    <row r="849">
      <c r="A849" s="433"/>
      <c r="B849" s="430"/>
      <c r="C849" s="430"/>
      <c r="D849" s="430"/>
      <c r="E849" s="432"/>
      <c r="F849" s="430"/>
      <c r="G849" s="430"/>
      <c r="H849" s="430"/>
      <c r="I849" s="430"/>
      <c r="J849" s="430"/>
      <c r="K849" s="430"/>
      <c r="L849" s="430"/>
      <c r="M849" s="430"/>
      <c r="N849" s="430"/>
      <c r="O849" s="430"/>
      <c r="P849" s="430"/>
      <c r="Q849" s="430"/>
      <c r="R849" s="430"/>
      <c r="S849" s="430"/>
      <c r="T849" s="430"/>
      <c r="U849" s="430"/>
      <c r="V849" s="430"/>
      <c r="W849" s="430"/>
      <c r="X849" s="430"/>
      <c r="Y849" s="430"/>
      <c r="Z849" s="430"/>
      <c r="AA849" s="430"/>
    </row>
    <row r="850">
      <c r="A850" s="433"/>
      <c r="B850" s="430"/>
      <c r="C850" s="430"/>
      <c r="D850" s="430"/>
      <c r="E850" s="432"/>
      <c r="F850" s="430"/>
      <c r="G850" s="430"/>
      <c r="H850" s="430"/>
      <c r="I850" s="430"/>
      <c r="J850" s="430"/>
      <c r="K850" s="430"/>
      <c r="L850" s="430"/>
      <c r="M850" s="430"/>
      <c r="N850" s="430"/>
      <c r="O850" s="430"/>
      <c r="P850" s="430"/>
      <c r="Q850" s="430"/>
      <c r="R850" s="430"/>
      <c r="S850" s="430"/>
      <c r="T850" s="430"/>
      <c r="U850" s="430"/>
      <c r="V850" s="430"/>
      <c r="W850" s="430"/>
      <c r="X850" s="430"/>
      <c r="Y850" s="430"/>
      <c r="Z850" s="430"/>
      <c r="AA850" s="430"/>
    </row>
    <row r="851">
      <c r="A851" s="433"/>
      <c r="B851" s="430"/>
      <c r="C851" s="430"/>
      <c r="D851" s="430"/>
      <c r="E851" s="432"/>
      <c r="F851" s="430"/>
      <c r="G851" s="430"/>
      <c r="H851" s="430"/>
      <c r="I851" s="430"/>
      <c r="J851" s="430"/>
      <c r="K851" s="430"/>
      <c r="L851" s="430"/>
      <c r="M851" s="430"/>
      <c r="N851" s="430"/>
      <c r="O851" s="430"/>
      <c r="P851" s="430"/>
      <c r="Q851" s="430"/>
      <c r="R851" s="430"/>
      <c r="S851" s="430"/>
      <c r="T851" s="430"/>
      <c r="U851" s="430"/>
      <c r="V851" s="430"/>
      <c r="W851" s="430"/>
      <c r="X851" s="430"/>
      <c r="Y851" s="430"/>
      <c r="Z851" s="430"/>
      <c r="AA851" s="430"/>
    </row>
    <row r="852">
      <c r="A852" s="433"/>
      <c r="B852" s="430"/>
      <c r="C852" s="430"/>
      <c r="D852" s="430"/>
      <c r="E852" s="432"/>
      <c r="F852" s="430"/>
      <c r="G852" s="430"/>
      <c r="H852" s="430"/>
      <c r="I852" s="430"/>
      <c r="J852" s="430"/>
      <c r="K852" s="430"/>
      <c r="L852" s="430"/>
      <c r="M852" s="430"/>
      <c r="N852" s="430"/>
      <c r="O852" s="430"/>
      <c r="P852" s="430"/>
      <c r="Q852" s="430"/>
      <c r="R852" s="430"/>
      <c r="S852" s="430"/>
      <c r="T852" s="430"/>
      <c r="U852" s="430"/>
      <c r="V852" s="430"/>
      <c r="W852" s="430"/>
      <c r="X852" s="430"/>
      <c r="Y852" s="430"/>
      <c r="Z852" s="430"/>
      <c r="AA852" s="430"/>
    </row>
    <row r="853">
      <c r="A853" s="433"/>
      <c r="B853" s="430"/>
      <c r="C853" s="430"/>
      <c r="D853" s="430"/>
      <c r="E853" s="432"/>
      <c r="F853" s="430"/>
      <c r="G853" s="430"/>
      <c r="H853" s="430"/>
      <c r="I853" s="430"/>
      <c r="J853" s="430"/>
      <c r="K853" s="430"/>
      <c r="L853" s="430"/>
      <c r="M853" s="430"/>
      <c r="N853" s="430"/>
      <c r="O853" s="430"/>
      <c r="P853" s="430"/>
      <c r="Q853" s="430"/>
      <c r="R853" s="430"/>
      <c r="S853" s="430"/>
      <c r="T853" s="430"/>
      <c r="U853" s="430"/>
      <c r="V853" s="430"/>
      <c r="W853" s="430"/>
      <c r="X853" s="430"/>
      <c r="Y853" s="430"/>
      <c r="Z853" s="430"/>
      <c r="AA853" s="430"/>
    </row>
    <row r="854">
      <c r="A854" s="433"/>
      <c r="B854" s="430"/>
      <c r="C854" s="430"/>
      <c r="D854" s="430"/>
      <c r="E854" s="432"/>
      <c r="F854" s="430"/>
      <c r="G854" s="430"/>
      <c r="H854" s="430"/>
      <c r="I854" s="430"/>
      <c r="J854" s="430"/>
      <c r="K854" s="430"/>
      <c r="L854" s="430"/>
      <c r="M854" s="430"/>
      <c r="N854" s="430"/>
      <c r="O854" s="430"/>
      <c r="P854" s="430"/>
      <c r="Q854" s="430"/>
      <c r="R854" s="430"/>
      <c r="S854" s="430"/>
      <c r="T854" s="430"/>
      <c r="U854" s="430"/>
      <c r="V854" s="430"/>
      <c r="W854" s="430"/>
      <c r="X854" s="430"/>
      <c r="Y854" s="430"/>
      <c r="Z854" s="430"/>
      <c r="AA854" s="430"/>
    </row>
    <row r="855">
      <c r="A855" s="433"/>
      <c r="B855" s="430"/>
      <c r="C855" s="430"/>
      <c r="D855" s="430"/>
      <c r="E855" s="432"/>
      <c r="F855" s="430"/>
      <c r="G855" s="430"/>
      <c r="H855" s="430"/>
      <c r="I855" s="430"/>
      <c r="J855" s="430"/>
      <c r="K855" s="430"/>
      <c r="L855" s="430"/>
      <c r="M855" s="430"/>
      <c r="N855" s="430"/>
      <c r="O855" s="430"/>
      <c r="P855" s="430"/>
      <c r="Q855" s="430"/>
      <c r="R855" s="430"/>
      <c r="S855" s="430"/>
      <c r="T855" s="430"/>
      <c r="U855" s="430"/>
      <c r="V855" s="430"/>
      <c r="W855" s="430"/>
      <c r="X855" s="430"/>
      <c r="Y855" s="430"/>
      <c r="Z855" s="430"/>
      <c r="AA855" s="430"/>
    </row>
    <row r="856">
      <c r="A856" s="433"/>
      <c r="B856" s="430"/>
      <c r="C856" s="430"/>
      <c r="D856" s="430"/>
      <c r="E856" s="432"/>
      <c r="F856" s="430"/>
      <c r="G856" s="430"/>
      <c r="H856" s="430"/>
      <c r="I856" s="430"/>
      <c r="J856" s="430"/>
      <c r="K856" s="430"/>
      <c r="L856" s="430"/>
      <c r="M856" s="430"/>
      <c r="N856" s="430"/>
      <c r="O856" s="430"/>
      <c r="P856" s="430"/>
      <c r="Q856" s="430"/>
      <c r="R856" s="430"/>
      <c r="S856" s="430"/>
      <c r="T856" s="430"/>
      <c r="U856" s="430"/>
      <c r="V856" s="430"/>
      <c r="W856" s="430"/>
      <c r="X856" s="430"/>
      <c r="Y856" s="430"/>
      <c r="Z856" s="430"/>
      <c r="AA856" s="430"/>
    </row>
    <row r="857">
      <c r="A857" s="433"/>
      <c r="B857" s="430"/>
      <c r="C857" s="430"/>
      <c r="D857" s="430"/>
      <c r="E857" s="432"/>
      <c r="F857" s="430"/>
      <c r="G857" s="430"/>
      <c r="H857" s="430"/>
      <c r="I857" s="430"/>
      <c r="J857" s="430"/>
      <c r="K857" s="430"/>
      <c r="L857" s="430"/>
      <c r="M857" s="430"/>
      <c r="N857" s="430"/>
      <c r="O857" s="430"/>
      <c r="P857" s="430"/>
      <c r="Q857" s="430"/>
      <c r="R857" s="430"/>
      <c r="S857" s="430"/>
      <c r="T857" s="430"/>
      <c r="U857" s="430"/>
      <c r="V857" s="430"/>
      <c r="W857" s="430"/>
      <c r="X857" s="430"/>
      <c r="Y857" s="430"/>
      <c r="Z857" s="430"/>
      <c r="AA857" s="430"/>
    </row>
    <row r="858">
      <c r="A858" s="433"/>
      <c r="B858" s="430"/>
      <c r="C858" s="430"/>
      <c r="D858" s="430"/>
      <c r="E858" s="432"/>
      <c r="F858" s="430"/>
      <c r="G858" s="430"/>
      <c r="H858" s="430"/>
      <c r="I858" s="430"/>
      <c r="J858" s="430"/>
      <c r="K858" s="430"/>
      <c r="L858" s="430"/>
      <c r="M858" s="430"/>
      <c r="N858" s="430"/>
      <c r="O858" s="430"/>
      <c r="P858" s="430"/>
      <c r="Q858" s="430"/>
      <c r="R858" s="430"/>
      <c r="S858" s="430"/>
      <c r="T858" s="430"/>
      <c r="U858" s="430"/>
      <c r="V858" s="430"/>
      <c r="W858" s="430"/>
      <c r="X858" s="430"/>
      <c r="Y858" s="430"/>
      <c r="Z858" s="430"/>
      <c r="AA858" s="430"/>
    </row>
    <row r="859">
      <c r="A859" s="433"/>
      <c r="B859" s="430"/>
      <c r="C859" s="430"/>
      <c r="D859" s="430"/>
      <c r="E859" s="432"/>
      <c r="F859" s="430"/>
      <c r="G859" s="430"/>
      <c r="H859" s="430"/>
      <c r="I859" s="430"/>
      <c r="J859" s="430"/>
      <c r="K859" s="430"/>
      <c r="L859" s="430"/>
      <c r="M859" s="430"/>
      <c r="N859" s="430"/>
      <c r="O859" s="430"/>
      <c r="P859" s="430"/>
      <c r="Q859" s="430"/>
      <c r="R859" s="430"/>
      <c r="S859" s="430"/>
      <c r="T859" s="430"/>
      <c r="U859" s="430"/>
      <c r="V859" s="430"/>
      <c r="W859" s="430"/>
      <c r="X859" s="430"/>
      <c r="Y859" s="430"/>
      <c r="Z859" s="430"/>
      <c r="AA859" s="430"/>
    </row>
    <row r="860">
      <c r="A860" s="433"/>
      <c r="B860" s="430"/>
      <c r="C860" s="430"/>
      <c r="D860" s="430"/>
      <c r="E860" s="432"/>
      <c r="F860" s="430"/>
      <c r="G860" s="430"/>
      <c r="H860" s="430"/>
      <c r="I860" s="430"/>
      <c r="J860" s="430"/>
      <c r="K860" s="430"/>
      <c r="L860" s="430"/>
      <c r="M860" s="430"/>
      <c r="N860" s="430"/>
      <c r="O860" s="430"/>
      <c r="P860" s="430"/>
      <c r="Q860" s="430"/>
      <c r="R860" s="430"/>
      <c r="S860" s="430"/>
      <c r="T860" s="430"/>
      <c r="U860" s="430"/>
      <c r="V860" s="430"/>
      <c r="W860" s="430"/>
      <c r="X860" s="430"/>
      <c r="Y860" s="430"/>
      <c r="Z860" s="430"/>
      <c r="AA860" s="430"/>
    </row>
    <row r="861">
      <c r="A861" s="433"/>
      <c r="B861" s="430"/>
      <c r="C861" s="430"/>
      <c r="D861" s="430"/>
      <c r="E861" s="432"/>
      <c r="F861" s="430"/>
      <c r="G861" s="430"/>
      <c r="H861" s="430"/>
      <c r="I861" s="430"/>
      <c r="J861" s="430"/>
      <c r="K861" s="430"/>
      <c r="L861" s="430"/>
      <c r="M861" s="430"/>
      <c r="N861" s="430"/>
      <c r="O861" s="430"/>
      <c r="P861" s="430"/>
      <c r="Q861" s="430"/>
      <c r="R861" s="430"/>
      <c r="S861" s="430"/>
      <c r="T861" s="430"/>
      <c r="U861" s="430"/>
      <c r="V861" s="430"/>
      <c r="W861" s="430"/>
      <c r="X861" s="430"/>
      <c r="Y861" s="430"/>
      <c r="Z861" s="430"/>
      <c r="AA861" s="430"/>
    </row>
    <row r="862">
      <c r="A862" s="433"/>
      <c r="B862" s="430"/>
      <c r="C862" s="430"/>
      <c r="D862" s="430"/>
      <c r="E862" s="432"/>
      <c r="F862" s="430"/>
      <c r="G862" s="430"/>
      <c r="H862" s="430"/>
      <c r="I862" s="430"/>
      <c r="J862" s="430"/>
      <c r="K862" s="430"/>
      <c r="L862" s="430"/>
      <c r="M862" s="430"/>
      <c r="N862" s="430"/>
      <c r="O862" s="430"/>
      <c r="P862" s="430"/>
      <c r="Q862" s="430"/>
      <c r="R862" s="430"/>
      <c r="S862" s="430"/>
      <c r="T862" s="430"/>
      <c r="U862" s="430"/>
      <c r="V862" s="430"/>
      <c r="W862" s="430"/>
      <c r="X862" s="430"/>
      <c r="Y862" s="430"/>
      <c r="Z862" s="430"/>
      <c r="AA862" s="430"/>
    </row>
    <row r="863">
      <c r="A863" s="433"/>
      <c r="B863" s="430"/>
      <c r="C863" s="430"/>
      <c r="D863" s="430"/>
      <c r="E863" s="432"/>
      <c r="F863" s="430"/>
      <c r="G863" s="430"/>
      <c r="H863" s="430"/>
      <c r="I863" s="430"/>
      <c r="J863" s="430"/>
      <c r="K863" s="430"/>
      <c r="L863" s="430"/>
      <c r="M863" s="430"/>
      <c r="N863" s="430"/>
      <c r="O863" s="430"/>
      <c r="P863" s="430"/>
      <c r="Q863" s="430"/>
      <c r="R863" s="430"/>
      <c r="S863" s="430"/>
      <c r="T863" s="430"/>
      <c r="U863" s="430"/>
      <c r="V863" s="430"/>
      <c r="W863" s="430"/>
      <c r="X863" s="430"/>
      <c r="Y863" s="430"/>
      <c r="Z863" s="430"/>
      <c r="AA863" s="430"/>
    </row>
    <row r="864">
      <c r="A864" s="433"/>
      <c r="B864" s="430"/>
      <c r="C864" s="430"/>
      <c r="D864" s="430"/>
      <c r="E864" s="432"/>
      <c r="F864" s="430"/>
      <c r="G864" s="430"/>
      <c r="H864" s="430"/>
      <c r="I864" s="430"/>
      <c r="J864" s="430"/>
      <c r="K864" s="430"/>
      <c r="L864" s="430"/>
      <c r="M864" s="430"/>
      <c r="N864" s="430"/>
      <c r="O864" s="430"/>
      <c r="P864" s="430"/>
      <c r="Q864" s="430"/>
      <c r="R864" s="430"/>
      <c r="S864" s="430"/>
      <c r="T864" s="430"/>
      <c r="U864" s="430"/>
      <c r="V864" s="430"/>
      <c r="W864" s="430"/>
      <c r="X864" s="430"/>
      <c r="Y864" s="430"/>
      <c r="Z864" s="430"/>
      <c r="AA864" s="430"/>
    </row>
    <row r="865">
      <c r="A865" s="433"/>
      <c r="B865" s="430"/>
      <c r="C865" s="430"/>
      <c r="D865" s="430"/>
      <c r="E865" s="432"/>
      <c r="F865" s="430"/>
      <c r="G865" s="430"/>
      <c r="H865" s="430"/>
      <c r="I865" s="430"/>
      <c r="J865" s="430"/>
      <c r="K865" s="430"/>
      <c r="L865" s="430"/>
      <c r="M865" s="430"/>
      <c r="N865" s="430"/>
      <c r="O865" s="430"/>
      <c r="P865" s="430"/>
      <c r="Q865" s="430"/>
      <c r="R865" s="430"/>
      <c r="S865" s="430"/>
      <c r="T865" s="430"/>
      <c r="U865" s="430"/>
      <c r="V865" s="430"/>
      <c r="W865" s="430"/>
      <c r="X865" s="430"/>
      <c r="Y865" s="430"/>
      <c r="Z865" s="430"/>
      <c r="AA865" s="430"/>
    </row>
    <row r="866">
      <c r="A866" s="433"/>
      <c r="B866" s="430"/>
      <c r="C866" s="430"/>
      <c r="D866" s="430"/>
      <c r="E866" s="432"/>
      <c r="F866" s="430"/>
      <c r="G866" s="430"/>
      <c r="H866" s="430"/>
      <c r="I866" s="430"/>
      <c r="J866" s="430"/>
      <c r="K866" s="430"/>
      <c r="L866" s="430"/>
      <c r="M866" s="430"/>
      <c r="N866" s="430"/>
      <c r="O866" s="430"/>
      <c r="P866" s="430"/>
      <c r="Q866" s="430"/>
      <c r="R866" s="430"/>
      <c r="S866" s="430"/>
      <c r="T866" s="430"/>
      <c r="U866" s="430"/>
      <c r="V866" s="430"/>
      <c r="W866" s="430"/>
      <c r="X866" s="430"/>
      <c r="Y866" s="430"/>
      <c r="Z866" s="430"/>
      <c r="AA866" s="430"/>
    </row>
    <row r="867">
      <c r="A867" s="433"/>
      <c r="B867" s="430"/>
      <c r="C867" s="430"/>
      <c r="D867" s="430"/>
      <c r="E867" s="432"/>
      <c r="F867" s="430"/>
      <c r="G867" s="430"/>
      <c r="H867" s="430"/>
      <c r="I867" s="430"/>
      <c r="J867" s="430"/>
      <c r="K867" s="430"/>
      <c r="L867" s="430"/>
      <c r="M867" s="430"/>
      <c r="N867" s="430"/>
      <c r="O867" s="430"/>
      <c r="P867" s="430"/>
      <c r="Q867" s="430"/>
      <c r="R867" s="430"/>
      <c r="S867" s="430"/>
      <c r="T867" s="430"/>
      <c r="U867" s="430"/>
      <c r="V867" s="430"/>
      <c r="W867" s="430"/>
      <c r="X867" s="430"/>
      <c r="Y867" s="430"/>
      <c r="Z867" s="430"/>
      <c r="AA867" s="430"/>
    </row>
    <row r="868">
      <c r="A868" s="433"/>
      <c r="B868" s="430"/>
      <c r="C868" s="430"/>
      <c r="D868" s="430"/>
      <c r="E868" s="432"/>
      <c r="F868" s="430"/>
      <c r="G868" s="430"/>
      <c r="H868" s="430"/>
      <c r="I868" s="430"/>
      <c r="J868" s="430"/>
      <c r="K868" s="430"/>
      <c r="L868" s="430"/>
      <c r="M868" s="430"/>
      <c r="N868" s="430"/>
      <c r="O868" s="430"/>
      <c r="P868" s="430"/>
      <c r="Q868" s="430"/>
      <c r="R868" s="430"/>
      <c r="S868" s="430"/>
      <c r="T868" s="430"/>
      <c r="U868" s="430"/>
      <c r="V868" s="430"/>
      <c r="W868" s="430"/>
      <c r="X868" s="430"/>
      <c r="Y868" s="430"/>
      <c r="Z868" s="430"/>
      <c r="AA868" s="430"/>
    </row>
    <row r="869">
      <c r="A869" s="433"/>
      <c r="B869" s="430"/>
      <c r="C869" s="430"/>
      <c r="D869" s="430"/>
      <c r="E869" s="432"/>
      <c r="F869" s="430"/>
      <c r="G869" s="430"/>
      <c r="H869" s="430"/>
      <c r="I869" s="430"/>
      <c r="J869" s="430"/>
      <c r="K869" s="430"/>
      <c r="L869" s="430"/>
      <c r="M869" s="430"/>
      <c r="N869" s="430"/>
      <c r="O869" s="430"/>
      <c r="P869" s="430"/>
      <c r="Q869" s="430"/>
      <c r="R869" s="430"/>
      <c r="S869" s="430"/>
      <c r="T869" s="430"/>
      <c r="U869" s="430"/>
      <c r="V869" s="430"/>
      <c r="W869" s="430"/>
      <c r="X869" s="430"/>
      <c r="Y869" s="430"/>
      <c r="Z869" s="430"/>
      <c r="AA869" s="430"/>
    </row>
    <row r="870">
      <c r="A870" s="433"/>
      <c r="B870" s="430"/>
      <c r="C870" s="430"/>
      <c r="D870" s="430"/>
      <c r="E870" s="432"/>
      <c r="F870" s="430"/>
      <c r="G870" s="430"/>
      <c r="H870" s="430"/>
      <c r="I870" s="430"/>
      <c r="J870" s="430"/>
      <c r="K870" s="430"/>
      <c r="L870" s="430"/>
      <c r="M870" s="430"/>
      <c r="N870" s="430"/>
      <c r="O870" s="430"/>
      <c r="P870" s="430"/>
      <c r="Q870" s="430"/>
      <c r="R870" s="430"/>
      <c r="S870" s="430"/>
      <c r="T870" s="430"/>
      <c r="U870" s="430"/>
      <c r="V870" s="430"/>
      <c r="W870" s="430"/>
      <c r="X870" s="430"/>
      <c r="Y870" s="430"/>
      <c r="Z870" s="430"/>
      <c r="AA870" s="430"/>
    </row>
    <row r="871">
      <c r="A871" s="433"/>
      <c r="B871" s="430"/>
      <c r="C871" s="430"/>
      <c r="D871" s="430"/>
      <c r="E871" s="432"/>
      <c r="F871" s="430"/>
      <c r="G871" s="430"/>
      <c r="H871" s="430"/>
      <c r="I871" s="430"/>
      <c r="J871" s="430"/>
      <c r="K871" s="430"/>
      <c r="L871" s="430"/>
      <c r="M871" s="430"/>
      <c r="N871" s="430"/>
      <c r="O871" s="430"/>
      <c r="P871" s="430"/>
      <c r="Q871" s="430"/>
      <c r="R871" s="430"/>
      <c r="S871" s="430"/>
      <c r="T871" s="430"/>
      <c r="U871" s="430"/>
      <c r="V871" s="430"/>
      <c r="W871" s="430"/>
      <c r="X871" s="430"/>
      <c r="Y871" s="430"/>
      <c r="Z871" s="430"/>
      <c r="AA871" s="430"/>
    </row>
    <row r="872">
      <c r="A872" s="433"/>
      <c r="B872" s="430"/>
      <c r="C872" s="430"/>
      <c r="D872" s="430"/>
      <c r="E872" s="432"/>
      <c r="F872" s="430"/>
      <c r="G872" s="430"/>
      <c r="H872" s="430"/>
      <c r="I872" s="430"/>
      <c r="J872" s="430"/>
      <c r="K872" s="430"/>
      <c r="L872" s="430"/>
      <c r="M872" s="430"/>
      <c r="N872" s="430"/>
      <c r="O872" s="430"/>
      <c r="P872" s="430"/>
      <c r="Q872" s="430"/>
      <c r="R872" s="430"/>
      <c r="S872" s="430"/>
      <c r="T872" s="430"/>
      <c r="U872" s="430"/>
      <c r="V872" s="430"/>
      <c r="W872" s="430"/>
      <c r="X872" s="430"/>
      <c r="Y872" s="430"/>
      <c r="Z872" s="430"/>
      <c r="AA872" s="430"/>
    </row>
    <row r="873">
      <c r="A873" s="433"/>
      <c r="B873" s="430"/>
      <c r="C873" s="430"/>
      <c r="D873" s="430"/>
      <c r="E873" s="432"/>
      <c r="F873" s="430"/>
      <c r="G873" s="430"/>
      <c r="H873" s="430"/>
      <c r="I873" s="430"/>
      <c r="J873" s="430"/>
      <c r="K873" s="430"/>
      <c r="L873" s="430"/>
      <c r="M873" s="430"/>
      <c r="N873" s="430"/>
      <c r="O873" s="430"/>
      <c r="P873" s="430"/>
      <c r="Q873" s="430"/>
      <c r="R873" s="430"/>
      <c r="S873" s="430"/>
      <c r="T873" s="430"/>
      <c r="U873" s="430"/>
      <c r="V873" s="430"/>
      <c r="W873" s="430"/>
      <c r="X873" s="430"/>
      <c r="Y873" s="430"/>
      <c r="Z873" s="430"/>
      <c r="AA873" s="430"/>
    </row>
    <row r="874">
      <c r="A874" s="433"/>
      <c r="B874" s="430"/>
      <c r="C874" s="430"/>
      <c r="D874" s="430"/>
      <c r="E874" s="432"/>
      <c r="F874" s="430"/>
      <c r="G874" s="430"/>
      <c r="H874" s="430"/>
      <c r="I874" s="430"/>
      <c r="J874" s="430"/>
      <c r="K874" s="430"/>
      <c r="L874" s="430"/>
      <c r="M874" s="430"/>
      <c r="N874" s="430"/>
      <c r="O874" s="430"/>
      <c r="P874" s="430"/>
      <c r="Q874" s="430"/>
      <c r="R874" s="430"/>
      <c r="S874" s="430"/>
      <c r="T874" s="430"/>
      <c r="U874" s="430"/>
      <c r="V874" s="430"/>
      <c r="W874" s="430"/>
      <c r="X874" s="430"/>
      <c r="Y874" s="430"/>
      <c r="Z874" s="430"/>
      <c r="AA874" s="430"/>
    </row>
    <row r="875">
      <c r="A875" s="433"/>
      <c r="B875" s="430"/>
      <c r="C875" s="430"/>
      <c r="D875" s="430"/>
      <c r="E875" s="432"/>
      <c r="F875" s="430"/>
      <c r="G875" s="430"/>
      <c r="H875" s="430"/>
      <c r="I875" s="430"/>
      <c r="J875" s="430"/>
      <c r="K875" s="430"/>
      <c r="L875" s="430"/>
      <c r="M875" s="430"/>
      <c r="N875" s="430"/>
      <c r="O875" s="430"/>
      <c r="P875" s="430"/>
      <c r="Q875" s="430"/>
      <c r="R875" s="430"/>
      <c r="S875" s="430"/>
      <c r="T875" s="430"/>
      <c r="U875" s="430"/>
      <c r="V875" s="430"/>
      <c r="W875" s="430"/>
      <c r="X875" s="430"/>
      <c r="Y875" s="430"/>
      <c r="Z875" s="430"/>
      <c r="AA875" s="430"/>
    </row>
    <row r="876">
      <c r="A876" s="433"/>
      <c r="B876" s="430"/>
      <c r="C876" s="430"/>
      <c r="D876" s="430"/>
      <c r="E876" s="432"/>
      <c r="F876" s="430"/>
      <c r="G876" s="430"/>
      <c r="H876" s="430"/>
      <c r="I876" s="430"/>
      <c r="J876" s="430"/>
      <c r="K876" s="430"/>
      <c r="L876" s="430"/>
      <c r="M876" s="430"/>
      <c r="N876" s="430"/>
      <c r="O876" s="430"/>
      <c r="P876" s="430"/>
      <c r="Q876" s="430"/>
      <c r="R876" s="430"/>
      <c r="S876" s="430"/>
      <c r="T876" s="430"/>
      <c r="U876" s="430"/>
      <c r="V876" s="430"/>
      <c r="W876" s="430"/>
      <c r="X876" s="430"/>
      <c r="Y876" s="430"/>
      <c r="Z876" s="430"/>
      <c r="AA876" s="430"/>
    </row>
    <row r="877">
      <c r="A877" s="433"/>
      <c r="B877" s="430"/>
      <c r="C877" s="430"/>
      <c r="D877" s="430"/>
      <c r="E877" s="432"/>
      <c r="F877" s="430"/>
      <c r="G877" s="430"/>
      <c r="H877" s="430"/>
      <c r="I877" s="430"/>
      <c r="J877" s="430"/>
      <c r="K877" s="430"/>
      <c r="L877" s="430"/>
      <c r="M877" s="430"/>
      <c r="N877" s="430"/>
      <c r="O877" s="430"/>
      <c r="P877" s="430"/>
      <c r="Q877" s="430"/>
      <c r="R877" s="430"/>
      <c r="S877" s="430"/>
      <c r="T877" s="430"/>
      <c r="U877" s="430"/>
      <c r="V877" s="430"/>
      <c r="W877" s="430"/>
      <c r="X877" s="430"/>
      <c r="Y877" s="430"/>
      <c r="Z877" s="430"/>
      <c r="AA877" s="430"/>
    </row>
    <row r="878">
      <c r="A878" s="433"/>
      <c r="B878" s="430"/>
      <c r="C878" s="430"/>
      <c r="D878" s="430"/>
      <c r="E878" s="432"/>
      <c r="F878" s="430"/>
      <c r="G878" s="430"/>
      <c r="H878" s="430"/>
      <c r="I878" s="430"/>
      <c r="J878" s="430"/>
      <c r="K878" s="430"/>
      <c r="L878" s="430"/>
      <c r="M878" s="430"/>
      <c r="N878" s="430"/>
      <c r="O878" s="430"/>
      <c r="P878" s="430"/>
      <c r="Q878" s="430"/>
      <c r="R878" s="430"/>
      <c r="S878" s="430"/>
      <c r="T878" s="430"/>
      <c r="U878" s="430"/>
      <c r="V878" s="430"/>
      <c r="W878" s="430"/>
      <c r="X878" s="430"/>
      <c r="Y878" s="430"/>
      <c r="Z878" s="430"/>
      <c r="AA878" s="430"/>
    </row>
    <row r="879">
      <c r="A879" s="433"/>
      <c r="B879" s="430"/>
      <c r="C879" s="430"/>
      <c r="D879" s="430"/>
      <c r="E879" s="432"/>
      <c r="F879" s="430"/>
      <c r="G879" s="430"/>
      <c r="H879" s="430"/>
      <c r="I879" s="430"/>
      <c r="J879" s="430"/>
      <c r="K879" s="430"/>
      <c r="L879" s="430"/>
      <c r="M879" s="430"/>
      <c r="N879" s="430"/>
      <c r="O879" s="430"/>
      <c r="P879" s="430"/>
      <c r="Q879" s="430"/>
      <c r="R879" s="430"/>
      <c r="S879" s="430"/>
      <c r="T879" s="430"/>
      <c r="U879" s="430"/>
      <c r="V879" s="430"/>
      <c r="W879" s="430"/>
      <c r="X879" s="430"/>
      <c r="Y879" s="430"/>
      <c r="Z879" s="430"/>
      <c r="AA879" s="430"/>
    </row>
    <row r="880">
      <c r="A880" s="433"/>
      <c r="B880" s="430"/>
      <c r="C880" s="430"/>
      <c r="D880" s="430"/>
      <c r="E880" s="432"/>
      <c r="F880" s="430"/>
      <c r="G880" s="430"/>
      <c r="H880" s="430"/>
      <c r="I880" s="430"/>
      <c r="J880" s="430"/>
      <c r="K880" s="430"/>
      <c r="L880" s="430"/>
      <c r="M880" s="430"/>
      <c r="N880" s="430"/>
      <c r="O880" s="430"/>
      <c r="P880" s="430"/>
      <c r="Q880" s="430"/>
      <c r="R880" s="430"/>
      <c r="S880" s="430"/>
      <c r="T880" s="430"/>
      <c r="U880" s="430"/>
      <c r="V880" s="430"/>
      <c r="W880" s="430"/>
      <c r="X880" s="430"/>
      <c r="Y880" s="430"/>
      <c r="Z880" s="430"/>
      <c r="AA880" s="430"/>
    </row>
    <row r="881">
      <c r="A881" s="433"/>
      <c r="B881" s="430"/>
      <c r="C881" s="430"/>
      <c r="D881" s="430"/>
      <c r="E881" s="432"/>
      <c r="F881" s="430"/>
      <c r="G881" s="430"/>
      <c r="H881" s="430"/>
      <c r="I881" s="430"/>
      <c r="J881" s="430"/>
      <c r="K881" s="430"/>
      <c r="L881" s="430"/>
      <c r="M881" s="430"/>
      <c r="N881" s="430"/>
      <c r="O881" s="430"/>
      <c r="P881" s="430"/>
      <c r="Q881" s="430"/>
      <c r="R881" s="430"/>
      <c r="S881" s="430"/>
      <c r="T881" s="430"/>
      <c r="U881" s="430"/>
      <c r="V881" s="430"/>
      <c r="W881" s="430"/>
      <c r="X881" s="430"/>
      <c r="Y881" s="430"/>
      <c r="Z881" s="430"/>
      <c r="AA881" s="430"/>
    </row>
    <row r="882">
      <c r="A882" s="433"/>
      <c r="B882" s="430"/>
      <c r="C882" s="430"/>
      <c r="D882" s="430"/>
      <c r="E882" s="432"/>
      <c r="F882" s="430"/>
      <c r="G882" s="430"/>
      <c r="H882" s="430"/>
      <c r="I882" s="430"/>
      <c r="J882" s="430"/>
      <c r="K882" s="430"/>
      <c r="L882" s="430"/>
      <c r="M882" s="430"/>
      <c r="N882" s="430"/>
      <c r="O882" s="430"/>
      <c r="P882" s="430"/>
      <c r="Q882" s="430"/>
      <c r="R882" s="430"/>
      <c r="S882" s="430"/>
      <c r="T882" s="430"/>
      <c r="U882" s="430"/>
      <c r="V882" s="430"/>
      <c r="W882" s="430"/>
      <c r="X882" s="430"/>
      <c r="Y882" s="430"/>
      <c r="Z882" s="430"/>
      <c r="AA882" s="430"/>
    </row>
    <row r="883">
      <c r="A883" s="433"/>
      <c r="B883" s="430"/>
      <c r="C883" s="430"/>
      <c r="D883" s="430"/>
      <c r="E883" s="432"/>
      <c r="F883" s="430"/>
      <c r="G883" s="430"/>
      <c r="H883" s="430"/>
      <c r="I883" s="430"/>
      <c r="J883" s="430"/>
      <c r="K883" s="430"/>
      <c r="L883" s="430"/>
      <c r="M883" s="430"/>
      <c r="N883" s="430"/>
      <c r="O883" s="430"/>
      <c r="P883" s="430"/>
      <c r="Q883" s="430"/>
      <c r="R883" s="430"/>
      <c r="S883" s="430"/>
      <c r="T883" s="430"/>
      <c r="U883" s="430"/>
      <c r="V883" s="430"/>
      <c r="W883" s="430"/>
      <c r="X883" s="430"/>
      <c r="Y883" s="430"/>
      <c r="Z883" s="430"/>
      <c r="AA883" s="430"/>
    </row>
    <row r="884">
      <c r="A884" s="433"/>
      <c r="B884" s="430"/>
      <c r="C884" s="430"/>
      <c r="D884" s="430"/>
      <c r="E884" s="432"/>
      <c r="F884" s="430"/>
      <c r="G884" s="430"/>
      <c r="H884" s="430"/>
      <c r="I884" s="430"/>
      <c r="J884" s="430"/>
      <c r="K884" s="430"/>
      <c r="L884" s="430"/>
      <c r="M884" s="430"/>
      <c r="N884" s="430"/>
      <c r="O884" s="430"/>
      <c r="P884" s="430"/>
      <c r="Q884" s="430"/>
      <c r="R884" s="430"/>
      <c r="S884" s="430"/>
      <c r="T884" s="430"/>
      <c r="U884" s="430"/>
      <c r="V884" s="430"/>
      <c r="W884" s="430"/>
      <c r="X884" s="430"/>
      <c r="Y884" s="430"/>
      <c r="Z884" s="430"/>
      <c r="AA884" s="430"/>
    </row>
    <row r="885">
      <c r="A885" s="433"/>
      <c r="B885" s="430"/>
      <c r="C885" s="430"/>
      <c r="D885" s="430"/>
      <c r="E885" s="432"/>
      <c r="F885" s="430"/>
      <c r="G885" s="430"/>
      <c r="H885" s="430"/>
      <c r="I885" s="430"/>
      <c r="J885" s="430"/>
      <c r="K885" s="430"/>
      <c r="L885" s="430"/>
      <c r="M885" s="430"/>
      <c r="N885" s="430"/>
      <c r="O885" s="430"/>
      <c r="P885" s="430"/>
      <c r="Q885" s="430"/>
      <c r="R885" s="430"/>
      <c r="S885" s="430"/>
      <c r="T885" s="430"/>
      <c r="U885" s="430"/>
      <c r="V885" s="430"/>
      <c r="W885" s="430"/>
      <c r="X885" s="430"/>
      <c r="Y885" s="430"/>
      <c r="Z885" s="430"/>
      <c r="AA885" s="430"/>
    </row>
    <row r="886">
      <c r="A886" s="433"/>
      <c r="B886" s="430"/>
      <c r="C886" s="430"/>
      <c r="D886" s="430"/>
      <c r="E886" s="432"/>
      <c r="F886" s="430"/>
      <c r="G886" s="430"/>
      <c r="H886" s="430"/>
      <c r="I886" s="430"/>
      <c r="J886" s="430"/>
      <c r="K886" s="430"/>
      <c r="L886" s="430"/>
      <c r="M886" s="430"/>
      <c r="N886" s="430"/>
      <c r="O886" s="430"/>
      <c r="P886" s="430"/>
      <c r="Q886" s="430"/>
      <c r="R886" s="430"/>
      <c r="S886" s="430"/>
      <c r="T886" s="430"/>
      <c r="U886" s="430"/>
      <c r="V886" s="430"/>
      <c r="W886" s="430"/>
      <c r="X886" s="430"/>
      <c r="Y886" s="430"/>
      <c r="Z886" s="430"/>
      <c r="AA886" s="430"/>
    </row>
    <row r="887">
      <c r="A887" s="433"/>
      <c r="B887" s="430"/>
      <c r="C887" s="430"/>
      <c r="D887" s="430"/>
      <c r="E887" s="432"/>
      <c r="F887" s="430"/>
      <c r="G887" s="430"/>
      <c r="H887" s="430"/>
      <c r="I887" s="430"/>
      <c r="J887" s="430"/>
      <c r="K887" s="430"/>
      <c r="L887" s="430"/>
      <c r="M887" s="430"/>
      <c r="N887" s="430"/>
      <c r="O887" s="430"/>
      <c r="P887" s="430"/>
      <c r="Q887" s="430"/>
      <c r="R887" s="430"/>
      <c r="S887" s="430"/>
      <c r="T887" s="430"/>
      <c r="U887" s="430"/>
      <c r="V887" s="430"/>
      <c r="W887" s="430"/>
      <c r="X887" s="430"/>
      <c r="Y887" s="430"/>
      <c r="Z887" s="430"/>
      <c r="AA887" s="430"/>
    </row>
    <row r="888">
      <c r="A888" s="433"/>
      <c r="B888" s="430"/>
      <c r="C888" s="430"/>
      <c r="D888" s="430"/>
      <c r="E888" s="432"/>
      <c r="F888" s="430"/>
      <c r="G888" s="430"/>
      <c r="H888" s="430"/>
      <c r="I888" s="430"/>
      <c r="J888" s="430"/>
      <c r="K888" s="430"/>
      <c r="L888" s="430"/>
      <c r="M888" s="430"/>
      <c r="N888" s="430"/>
      <c r="O888" s="430"/>
      <c r="P888" s="430"/>
      <c r="Q888" s="430"/>
      <c r="R888" s="430"/>
      <c r="S888" s="430"/>
      <c r="T888" s="430"/>
      <c r="U888" s="430"/>
      <c r="V888" s="430"/>
      <c r="W888" s="430"/>
      <c r="X888" s="430"/>
      <c r="Y888" s="430"/>
      <c r="Z888" s="430"/>
      <c r="AA888" s="430"/>
    </row>
    <row r="889">
      <c r="A889" s="433"/>
      <c r="B889" s="430"/>
      <c r="C889" s="430"/>
      <c r="D889" s="430"/>
      <c r="E889" s="432"/>
      <c r="F889" s="430"/>
      <c r="G889" s="430"/>
      <c r="H889" s="430"/>
      <c r="I889" s="430"/>
      <c r="J889" s="430"/>
      <c r="K889" s="430"/>
      <c r="L889" s="430"/>
      <c r="M889" s="430"/>
      <c r="N889" s="430"/>
      <c r="O889" s="430"/>
      <c r="P889" s="430"/>
      <c r="Q889" s="430"/>
      <c r="R889" s="430"/>
      <c r="S889" s="430"/>
      <c r="T889" s="430"/>
      <c r="U889" s="430"/>
      <c r="V889" s="430"/>
      <c r="W889" s="430"/>
      <c r="X889" s="430"/>
      <c r="Y889" s="430"/>
      <c r="Z889" s="430"/>
      <c r="AA889" s="430"/>
    </row>
    <row r="890">
      <c r="A890" s="433"/>
      <c r="B890" s="430"/>
      <c r="C890" s="430"/>
      <c r="D890" s="430"/>
      <c r="E890" s="432"/>
      <c r="F890" s="430"/>
      <c r="G890" s="430"/>
      <c r="H890" s="430"/>
      <c r="I890" s="430"/>
      <c r="J890" s="430"/>
      <c r="K890" s="430"/>
      <c r="L890" s="430"/>
      <c r="M890" s="430"/>
      <c r="N890" s="430"/>
      <c r="O890" s="430"/>
      <c r="P890" s="430"/>
      <c r="Q890" s="430"/>
      <c r="R890" s="430"/>
      <c r="S890" s="430"/>
      <c r="T890" s="430"/>
      <c r="U890" s="430"/>
      <c r="V890" s="430"/>
      <c r="W890" s="430"/>
      <c r="X890" s="430"/>
      <c r="Y890" s="430"/>
      <c r="Z890" s="430"/>
      <c r="AA890" s="430"/>
    </row>
    <row r="891">
      <c r="A891" s="433"/>
      <c r="B891" s="430"/>
      <c r="C891" s="430"/>
      <c r="D891" s="430"/>
      <c r="E891" s="432"/>
      <c r="F891" s="430"/>
      <c r="G891" s="430"/>
      <c r="H891" s="430"/>
      <c r="I891" s="430"/>
      <c r="J891" s="430"/>
      <c r="K891" s="430"/>
      <c r="L891" s="430"/>
      <c r="M891" s="430"/>
      <c r="N891" s="430"/>
      <c r="O891" s="430"/>
      <c r="P891" s="430"/>
      <c r="Q891" s="430"/>
      <c r="R891" s="430"/>
      <c r="S891" s="430"/>
      <c r="T891" s="430"/>
      <c r="U891" s="430"/>
      <c r="V891" s="430"/>
      <c r="W891" s="430"/>
      <c r="X891" s="430"/>
      <c r="Y891" s="430"/>
      <c r="Z891" s="430"/>
      <c r="AA891" s="430"/>
    </row>
    <row r="892">
      <c r="A892" s="433"/>
      <c r="B892" s="430"/>
      <c r="C892" s="430"/>
      <c r="D892" s="430"/>
      <c r="E892" s="432"/>
      <c r="F892" s="430"/>
      <c r="G892" s="430"/>
      <c r="H892" s="430"/>
      <c r="I892" s="430"/>
      <c r="J892" s="430"/>
      <c r="K892" s="430"/>
      <c r="L892" s="430"/>
      <c r="M892" s="430"/>
      <c r="N892" s="430"/>
      <c r="O892" s="430"/>
      <c r="P892" s="430"/>
      <c r="Q892" s="430"/>
      <c r="R892" s="430"/>
      <c r="S892" s="430"/>
      <c r="T892" s="430"/>
      <c r="U892" s="430"/>
      <c r="V892" s="430"/>
      <c r="W892" s="430"/>
      <c r="X892" s="430"/>
      <c r="Y892" s="430"/>
      <c r="Z892" s="430"/>
      <c r="AA892" s="430"/>
    </row>
    <row r="893">
      <c r="A893" s="433"/>
      <c r="B893" s="430"/>
      <c r="C893" s="430"/>
      <c r="D893" s="430"/>
      <c r="E893" s="432"/>
      <c r="F893" s="430"/>
      <c r="G893" s="430"/>
      <c r="H893" s="430"/>
      <c r="I893" s="430"/>
      <c r="J893" s="430"/>
      <c r="K893" s="430"/>
      <c r="L893" s="430"/>
      <c r="M893" s="430"/>
      <c r="N893" s="430"/>
      <c r="O893" s="430"/>
      <c r="P893" s="430"/>
      <c r="Q893" s="430"/>
      <c r="R893" s="430"/>
      <c r="S893" s="430"/>
      <c r="T893" s="430"/>
      <c r="U893" s="430"/>
      <c r="V893" s="430"/>
      <c r="W893" s="430"/>
      <c r="X893" s="430"/>
      <c r="Y893" s="430"/>
      <c r="Z893" s="430"/>
      <c r="AA893" s="430"/>
    </row>
    <row r="894">
      <c r="A894" s="433"/>
      <c r="B894" s="430"/>
      <c r="C894" s="430"/>
      <c r="D894" s="430"/>
      <c r="E894" s="432"/>
      <c r="F894" s="430"/>
      <c r="G894" s="430"/>
      <c r="H894" s="430"/>
      <c r="I894" s="430"/>
      <c r="J894" s="430"/>
      <c r="K894" s="430"/>
      <c r="L894" s="430"/>
      <c r="M894" s="430"/>
      <c r="N894" s="430"/>
      <c r="O894" s="430"/>
      <c r="P894" s="430"/>
      <c r="Q894" s="430"/>
      <c r="R894" s="430"/>
      <c r="S894" s="430"/>
      <c r="T894" s="430"/>
      <c r="U894" s="430"/>
      <c r="V894" s="430"/>
      <c r="W894" s="430"/>
      <c r="X894" s="430"/>
      <c r="Y894" s="430"/>
      <c r="Z894" s="430"/>
      <c r="AA894" s="430"/>
    </row>
    <row r="895">
      <c r="A895" s="433"/>
      <c r="B895" s="430"/>
      <c r="C895" s="430"/>
      <c r="D895" s="430"/>
      <c r="E895" s="432"/>
      <c r="F895" s="430"/>
      <c r="G895" s="430"/>
      <c r="H895" s="430"/>
      <c r="I895" s="430"/>
      <c r="J895" s="430"/>
      <c r="K895" s="430"/>
      <c r="L895" s="430"/>
      <c r="M895" s="430"/>
      <c r="N895" s="430"/>
      <c r="O895" s="430"/>
      <c r="P895" s="430"/>
      <c r="Q895" s="430"/>
      <c r="R895" s="430"/>
      <c r="S895" s="430"/>
      <c r="T895" s="430"/>
      <c r="U895" s="430"/>
      <c r="V895" s="430"/>
      <c r="W895" s="430"/>
      <c r="X895" s="430"/>
      <c r="Y895" s="430"/>
      <c r="Z895" s="430"/>
      <c r="AA895" s="430"/>
    </row>
    <row r="896">
      <c r="A896" s="433"/>
      <c r="B896" s="430"/>
      <c r="C896" s="430"/>
      <c r="D896" s="430"/>
      <c r="E896" s="432"/>
      <c r="F896" s="430"/>
      <c r="G896" s="430"/>
      <c r="H896" s="430"/>
      <c r="I896" s="430"/>
      <c r="J896" s="430"/>
      <c r="K896" s="430"/>
      <c r="L896" s="430"/>
      <c r="M896" s="430"/>
      <c r="N896" s="430"/>
      <c r="O896" s="430"/>
      <c r="P896" s="430"/>
      <c r="Q896" s="430"/>
      <c r="R896" s="430"/>
      <c r="S896" s="430"/>
      <c r="T896" s="430"/>
      <c r="U896" s="430"/>
      <c r="V896" s="430"/>
      <c r="W896" s="430"/>
      <c r="X896" s="430"/>
      <c r="Y896" s="430"/>
      <c r="Z896" s="430"/>
      <c r="AA896" s="430"/>
    </row>
    <row r="897">
      <c r="A897" s="433"/>
      <c r="B897" s="430"/>
      <c r="C897" s="430"/>
      <c r="D897" s="430"/>
      <c r="E897" s="432"/>
      <c r="F897" s="430"/>
      <c r="G897" s="430"/>
      <c r="H897" s="430"/>
      <c r="I897" s="430"/>
      <c r="J897" s="430"/>
      <c r="K897" s="430"/>
      <c r="L897" s="430"/>
      <c r="M897" s="430"/>
      <c r="N897" s="430"/>
      <c r="O897" s="430"/>
      <c r="P897" s="430"/>
      <c r="Q897" s="430"/>
      <c r="R897" s="430"/>
      <c r="S897" s="430"/>
      <c r="T897" s="430"/>
      <c r="U897" s="430"/>
      <c r="V897" s="430"/>
      <c r="W897" s="430"/>
      <c r="X897" s="430"/>
      <c r="Y897" s="430"/>
      <c r="Z897" s="430"/>
      <c r="AA897" s="430"/>
    </row>
    <row r="898">
      <c r="A898" s="433"/>
      <c r="B898" s="430"/>
      <c r="C898" s="430"/>
      <c r="D898" s="430"/>
      <c r="E898" s="432"/>
      <c r="F898" s="430"/>
      <c r="G898" s="430"/>
      <c r="H898" s="430"/>
      <c r="I898" s="430"/>
      <c r="J898" s="430"/>
      <c r="K898" s="430"/>
      <c r="L898" s="430"/>
      <c r="M898" s="430"/>
      <c r="N898" s="430"/>
      <c r="O898" s="430"/>
      <c r="P898" s="430"/>
      <c r="Q898" s="430"/>
      <c r="R898" s="430"/>
      <c r="S898" s="430"/>
      <c r="T898" s="430"/>
      <c r="U898" s="430"/>
      <c r="V898" s="430"/>
      <c r="W898" s="430"/>
      <c r="X898" s="430"/>
      <c r="Y898" s="430"/>
      <c r="Z898" s="430"/>
      <c r="AA898" s="430"/>
    </row>
    <row r="899">
      <c r="A899" s="433"/>
      <c r="B899" s="430"/>
      <c r="C899" s="430"/>
      <c r="D899" s="430"/>
      <c r="E899" s="432"/>
      <c r="F899" s="430"/>
      <c r="G899" s="430"/>
      <c r="H899" s="430"/>
      <c r="I899" s="430"/>
      <c r="J899" s="430"/>
      <c r="K899" s="430"/>
      <c r="L899" s="430"/>
      <c r="M899" s="430"/>
      <c r="N899" s="430"/>
      <c r="O899" s="430"/>
      <c r="P899" s="430"/>
      <c r="Q899" s="430"/>
      <c r="R899" s="430"/>
      <c r="S899" s="430"/>
      <c r="T899" s="430"/>
      <c r="U899" s="430"/>
      <c r="V899" s="430"/>
      <c r="W899" s="430"/>
      <c r="X899" s="430"/>
      <c r="Y899" s="430"/>
      <c r="Z899" s="430"/>
      <c r="AA899" s="430"/>
    </row>
    <row r="900">
      <c r="A900" s="433"/>
      <c r="B900" s="430"/>
      <c r="C900" s="430"/>
      <c r="D900" s="430"/>
      <c r="E900" s="432"/>
      <c r="F900" s="430"/>
      <c r="G900" s="430"/>
      <c r="H900" s="430"/>
      <c r="I900" s="430"/>
      <c r="J900" s="430"/>
      <c r="K900" s="430"/>
      <c r="L900" s="430"/>
      <c r="M900" s="430"/>
      <c r="N900" s="430"/>
      <c r="O900" s="430"/>
      <c r="P900" s="430"/>
      <c r="Q900" s="430"/>
      <c r="R900" s="430"/>
      <c r="S900" s="430"/>
      <c r="T900" s="430"/>
      <c r="U900" s="430"/>
      <c r="V900" s="430"/>
      <c r="W900" s="430"/>
      <c r="X900" s="430"/>
      <c r="Y900" s="430"/>
      <c r="Z900" s="430"/>
      <c r="AA900" s="430"/>
    </row>
    <row r="901">
      <c r="A901" s="433"/>
      <c r="B901" s="430"/>
      <c r="C901" s="430"/>
      <c r="D901" s="430"/>
      <c r="E901" s="432"/>
      <c r="F901" s="430"/>
      <c r="G901" s="430"/>
      <c r="H901" s="430"/>
      <c r="I901" s="430"/>
      <c r="J901" s="430"/>
      <c r="K901" s="430"/>
      <c r="L901" s="430"/>
      <c r="M901" s="430"/>
      <c r="N901" s="430"/>
      <c r="O901" s="430"/>
      <c r="P901" s="430"/>
      <c r="Q901" s="430"/>
      <c r="R901" s="430"/>
      <c r="S901" s="430"/>
      <c r="T901" s="430"/>
      <c r="U901" s="430"/>
      <c r="V901" s="430"/>
      <c r="W901" s="430"/>
      <c r="X901" s="430"/>
      <c r="Y901" s="430"/>
      <c r="Z901" s="430"/>
      <c r="AA901" s="430"/>
    </row>
    <row r="902">
      <c r="A902" s="433"/>
      <c r="B902" s="430"/>
      <c r="C902" s="430"/>
      <c r="D902" s="430"/>
      <c r="E902" s="432"/>
      <c r="F902" s="430"/>
      <c r="G902" s="430"/>
      <c r="H902" s="430"/>
      <c r="I902" s="430"/>
      <c r="J902" s="430"/>
      <c r="K902" s="430"/>
      <c r="L902" s="430"/>
      <c r="M902" s="430"/>
      <c r="N902" s="430"/>
      <c r="O902" s="430"/>
      <c r="P902" s="430"/>
      <c r="Q902" s="430"/>
      <c r="R902" s="430"/>
      <c r="S902" s="430"/>
      <c r="T902" s="430"/>
      <c r="U902" s="430"/>
      <c r="V902" s="430"/>
      <c r="W902" s="430"/>
      <c r="X902" s="430"/>
      <c r="Y902" s="430"/>
      <c r="Z902" s="430"/>
      <c r="AA902" s="430"/>
    </row>
    <row r="903">
      <c r="A903" s="433"/>
      <c r="B903" s="430"/>
      <c r="C903" s="430"/>
      <c r="D903" s="430"/>
      <c r="E903" s="432"/>
      <c r="F903" s="430"/>
      <c r="G903" s="430"/>
      <c r="H903" s="430"/>
      <c r="I903" s="430"/>
      <c r="J903" s="430"/>
      <c r="K903" s="430"/>
      <c r="L903" s="430"/>
      <c r="M903" s="430"/>
      <c r="N903" s="430"/>
      <c r="O903" s="430"/>
      <c r="P903" s="430"/>
      <c r="Q903" s="430"/>
      <c r="R903" s="430"/>
      <c r="S903" s="430"/>
      <c r="T903" s="430"/>
      <c r="U903" s="430"/>
      <c r="V903" s="430"/>
      <c r="W903" s="430"/>
      <c r="X903" s="430"/>
      <c r="Y903" s="430"/>
      <c r="Z903" s="430"/>
      <c r="AA903" s="430"/>
    </row>
    <row r="904">
      <c r="A904" s="433"/>
      <c r="B904" s="430"/>
      <c r="C904" s="430"/>
      <c r="D904" s="430"/>
      <c r="E904" s="432"/>
      <c r="F904" s="430"/>
      <c r="G904" s="430"/>
      <c r="H904" s="430"/>
      <c r="I904" s="430"/>
      <c r="J904" s="430"/>
      <c r="K904" s="430"/>
      <c r="L904" s="430"/>
      <c r="M904" s="430"/>
      <c r="N904" s="430"/>
      <c r="O904" s="430"/>
      <c r="P904" s="430"/>
      <c r="Q904" s="430"/>
      <c r="R904" s="430"/>
      <c r="S904" s="430"/>
      <c r="T904" s="430"/>
      <c r="U904" s="430"/>
      <c r="V904" s="430"/>
      <c r="W904" s="430"/>
      <c r="X904" s="430"/>
      <c r="Y904" s="430"/>
      <c r="Z904" s="430"/>
      <c r="AA904" s="430"/>
    </row>
    <row r="905">
      <c r="A905" s="433"/>
      <c r="B905" s="430"/>
      <c r="C905" s="430"/>
      <c r="D905" s="430"/>
      <c r="E905" s="432"/>
      <c r="F905" s="430"/>
      <c r="G905" s="430"/>
      <c r="H905" s="430"/>
      <c r="I905" s="430"/>
      <c r="J905" s="430"/>
      <c r="K905" s="430"/>
      <c r="L905" s="430"/>
      <c r="M905" s="430"/>
      <c r="N905" s="430"/>
      <c r="O905" s="430"/>
      <c r="P905" s="430"/>
      <c r="Q905" s="430"/>
      <c r="R905" s="430"/>
      <c r="S905" s="430"/>
      <c r="T905" s="430"/>
      <c r="U905" s="430"/>
      <c r="V905" s="430"/>
      <c r="W905" s="430"/>
      <c r="X905" s="430"/>
      <c r="Y905" s="430"/>
      <c r="Z905" s="430"/>
      <c r="AA905" s="430"/>
    </row>
    <row r="906">
      <c r="A906" s="433"/>
      <c r="B906" s="430"/>
      <c r="C906" s="430"/>
      <c r="D906" s="430"/>
      <c r="E906" s="432"/>
      <c r="F906" s="430"/>
      <c r="G906" s="430"/>
      <c r="H906" s="430"/>
      <c r="I906" s="430"/>
      <c r="J906" s="430"/>
      <c r="K906" s="430"/>
      <c r="L906" s="430"/>
      <c r="M906" s="430"/>
      <c r="N906" s="430"/>
      <c r="O906" s="430"/>
      <c r="P906" s="430"/>
      <c r="Q906" s="430"/>
      <c r="R906" s="430"/>
      <c r="S906" s="430"/>
      <c r="T906" s="430"/>
      <c r="U906" s="430"/>
      <c r="V906" s="430"/>
      <c r="W906" s="430"/>
      <c r="X906" s="430"/>
      <c r="Y906" s="430"/>
      <c r="Z906" s="430"/>
      <c r="AA906" s="430"/>
    </row>
    <row r="907">
      <c r="A907" s="433"/>
      <c r="B907" s="430"/>
      <c r="C907" s="430"/>
      <c r="D907" s="430"/>
      <c r="E907" s="432"/>
      <c r="F907" s="430"/>
      <c r="G907" s="430"/>
      <c r="H907" s="430"/>
      <c r="I907" s="430"/>
      <c r="J907" s="430"/>
      <c r="K907" s="430"/>
      <c r="L907" s="430"/>
      <c r="M907" s="430"/>
      <c r="N907" s="430"/>
      <c r="O907" s="430"/>
      <c r="P907" s="430"/>
      <c r="Q907" s="430"/>
      <c r="R907" s="430"/>
      <c r="S907" s="430"/>
      <c r="T907" s="430"/>
      <c r="U907" s="430"/>
      <c r="V907" s="430"/>
      <c r="W907" s="430"/>
      <c r="X907" s="430"/>
      <c r="Y907" s="430"/>
      <c r="Z907" s="430"/>
      <c r="AA907" s="430"/>
    </row>
    <row r="908">
      <c r="A908" s="433"/>
      <c r="B908" s="430"/>
      <c r="C908" s="430"/>
      <c r="D908" s="430"/>
      <c r="E908" s="432"/>
      <c r="F908" s="430"/>
      <c r="G908" s="430"/>
      <c r="H908" s="430"/>
      <c r="I908" s="430"/>
      <c r="J908" s="430"/>
      <c r="K908" s="430"/>
      <c r="L908" s="430"/>
      <c r="M908" s="430"/>
      <c r="N908" s="430"/>
      <c r="O908" s="430"/>
      <c r="P908" s="430"/>
      <c r="Q908" s="430"/>
      <c r="R908" s="430"/>
      <c r="S908" s="430"/>
      <c r="T908" s="430"/>
      <c r="U908" s="430"/>
      <c r="V908" s="430"/>
      <c r="W908" s="430"/>
      <c r="X908" s="430"/>
      <c r="Y908" s="430"/>
      <c r="Z908" s="430"/>
      <c r="AA908" s="430"/>
    </row>
    <row r="909">
      <c r="A909" s="433"/>
      <c r="B909" s="430"/>
      <c r="C909" s="430"/>
      <c r="D909" s="430"/>
      <c r="E909" s="432"/>
      <c r="F909" s="430"/>
      <c r="G909" s="430"/>
      <c r="H909" s="430"/>
      <c r="I909" s="430"/>
      <c r="J909" s="430"/>
      <c r="K909" s="430"/>
      <c r="L909" s="430"/>
      <c r="M909" s="430"/>
      <c r="N909" s="430"/>
      <c r="O909" s="430"/>
      <c r="P909" s="430"/>
      <c r="Q909" s="430"/>
      <c r="R909" s="430"/>
      <c r="S909" s="430"/>
      <c r="T909" s="430"/>
      <c r="U909" s="430"/>
      <c r="V909" s="430"/>
      <c r="W909" s="430"/>
      <c r="X909" s="430"/>
      <c r="Y909" s="430"/>
      <c r="Z909" s="430"/>
      <c r="AA909" s="430"/>
    </row>
    <row r="910">
      <c r="A910" s="433"/>
      <c r="B910" s="430"/>
      <c r="C910" s="430"/>
      <c r="D910" s="430"/>
      <c r="E910" s="432"/>
      <c r="F910" s="430"/>
      <c r="G910" s="430"/>
      <c r="H910" s="430"/>
      <c r="I910" s="430"/>
      <c r="J910" s="430"/>
      <c r="K910" s="430"/>
      <c r="L910" s="430"/>
      <c r="M910" s="430"/>
      <c r="N910" s="430"/>
      <c r="O910" s="430"/>
      <c r="P910" s="430"/>
      <c r="Q910" s="430"/>
      <c r="R910" s="430"/>
      <c r="S910" s="430"/>
      <c r="T910" s="430"/>
      <c r="U910" s="430"/>
      <c r="V910" s="430"/>
      <c r="W910" s="430"/>
      <c r="X910" s="430"/>
      <c r="Y910" s="430"/>
      <c r="Z910" s="430"/>
      <c r="AA910" s="430"/>
    </row>
    <row r="911">
      <c r="A911" s="433"/>
      <c r="B911" s="430"/>
      <c r="C911" s="430"/>
      <c r="D911" s="430"/>
      <c r="E911" s="432"/>
      <c r="F911" s="430"/>
      <c r="G911" s="430"/>
      <c r="H911" s="430"/>
      <c r="I911" s="430"/>
      <c r="J911" s="430"/>
      <c r="K911" s="430"/>
      <c r="L911" s="430"/>
      <c r="M911" s="430"/>
      <c r="N911" s="430"/>
      <c r="O911" s="430"/>
      <c r="P911" s="430"/>
      <c r="Q911" s="430"/>
      <c r="R911" s="430"/>
      <c r="S911" s="430"/>
      <c r="T911" s="430"/>
      <c r="U911" s="430"/>
      <c r="V911" s="430"/>
      <c r="W911" s="430"/>
      <c r="X911" s="430"/>
      <c r="Y911" s="430"/>
      <c r="Z911" s="430"/>
      <c r="AA911" s="430"/>
    </row>
    <row r="912">
      <c r="A912" s="433"/>
      <c r="B912" s="430"/>
      <c r="C912" s="430"/>
      <c r="D912" s="430"/>
      <c r="E912" s="432"/>
      <c r="F912" s="430"/>
      <c r="G912" s="430"/>
      <c r="H912" s="430"/>
      <c r="I912" s="430"/>
      <c r="J912" s="430"/>
      <c r="K912" s="430"/>
      <c r="L912" s="430"/>
      <c r="M912" s="430"/>
      <c r="N912" s="430"/>
      <c r="O912" s="430"/>
      <c r="P912" s="430"/>
      <c r="Q912" s="430"/>
      <c r="R912" s="430"/>
      <c r="S912" s="430"/>
      <c r="T912" s="430"/>
      <c r="U912" s="430"/>
      <c r="V912" s="430"/>
      <c r="W912" s="430"/>
      <c r="X912" s="430"/>
      <c r="Y912" s="430"/>
      <c r="Z912" s="430"/>
      <c r="AA912" s="430"/>
    </row>
    <row r="913">
      <c r="A913" s="433"/>
      <c r="B913" s="430"/>
      <c r="C913" s="430"/>
      <c r="D913" s="430"/>
      <c r="E913" s="432"/>
      <c r="F913" s="430"/>
      <c r="G913" s="430"/>
      <c r="H913" s="430"/>
      <c r="I913" s="430"/>
      <c r="J913" s="430"/>
      <c r="K913" s="430"/>
      <c r="L913" s="430"/>
      <c r="M913" s="430"/>
      <c r="N913" s="430"/>
      <c r="O913" s="430"/>
      <c r="P913" s="430"/>
      <c r="Q913" s="430"/>
      <c r="R913" s="430"/>
      <c r="S913" s="430"/>
      <c r="T913" s="430"/>
      <c r="U913" s="430"/>
      <c r="V913" s="430"/>
      <c r="W913" s="430"/>
      <c r="X913" s="430"/>
      <c r="Y913" s="430"/>
      <c r="Z913" s="430"/>
      <c r="AA913" s="430"/>
    </row>
    <row r="914">
      <c r="A914" s="433"/>
      <c r="B914" s="430"/>
      <c r="C914" s="430"/>
      <c r="D914" s="430"/>
      <c r="E914" s="432"/>
      <c r="F914" s="430"/>
      <c r="G914" s="430"/>
      <c r="H914" s="430"/>
      <c r="I914" s="430"/>
      <c r="J914" s="430"/>
      <c r="K914" s="430"/>
      <c r="L914" s="430"/>
      <c r="M914" s="430"/>
      <c r="N914" s="430"/>
      <c r="O914" s="430"/>
      <c r="P914" s="430"/>
      <c r="Q914" s="430"/>
      <c r="R914" s="430"/>
      <c r="S914" s="430"/>
      <c r="T914" s="430"/>
      <c r="U914" s="430"/>
      <c r="V914" s="430"/>
      <c r="W914" s="430"/>
      <c r="X914" s="430"/>
      <c r="Y914" s="430"/>
      <c r="Z914" s="430"/>
      <c r="AA914" s="430"/>
    </row>
    <row r="915">
      <c r="A915" s="433"/>
      <c r="B915" s="430"/>
      <c r="C915" s="430"/>
      <c r="D915" s="430"/>
      <c r="E915" s="432"/>
      <c r="F915" s="430"/>
      <c r="G915" s="430"/>
      <c r="H915" s="430"/>
      <c r="I915" s="430"/>
      <c r="J915" s="430"/>
      <c r="K915" s="430"/>
      <c r="L915" s="430"/>
      <c r="M915" s="430"/>
      <c r="N915" s="430"/>
      <c r="O915" s="430"/>
      <c r="P915" s="430"/>
      <c r="Q915" s="430"/>
      <c r="R915" s="430"/>
      <c r="S915" s="430"/>
      <c r="T915" s="430"/>
      <c r="U915" s="430"/>
      <c r="V915" s="430"/>
      <c r="W915" s="430"/>
      <c r="X915" s="430"/>
      <c r="Y915" s="430"/>
      <c r="Z915" s="430"/>
      <c r="AA915" s="430"/>
    </row>
    <row r="916">
      <c r="A916" s="433"/>
      <c r="B916" s="430"/>
      <c r="C916" s="430"/>
      <c r="D916" s="430"/>
      <c r="E916" s="432"/>
      <c r="F916" s="430"/>
      <c r="G916" s="430"/>
      <c r="H916" s="430"/>
      <c r="I916" s="430"/>
      <c r="J916" s="430"/>
      <c r="K916" s="430"/>
      <c r="L916" s="430"/>
      <c r="M916" s="430"/>
      <c r="N916" s="430"/>
      <c r="O916" s="430"/>
      <c r="P916" s="430"/>
      <c r="Q916" s="430"/>
      <c r="R916" s="430"/>
      <c r="S916" s="430"/>
      <c r="T916" s="430"/>
      <c r="U916" s="430"/>
      <c r="V916" s="430"/>
      <c r="W916" s="430"/>
      <c r="X916" s="430"/>
      <c r="Y916" s="430"/>
      <c r="Z916" s="430"/>
      <c r="AA916" s="430"/>
    </row>
    <row r="917">
      <c r="A917" s="433"/>
      <c r="B917" s="430"/>
      <c r="C917" s="430"/>
      <c r="D917" s="430"/>
      <c r="E917" s="432"/>
      <c r="F917" s="430"/>
      <c r="G917" s="430"/>
      <c r="H917" s="430"/>
      <c r="I917" s="430"/>
      <c r="J917" s="430"/>
      <c r="K917" s="430"/>
      <c r="L917" s="430"/>
      <c r="M917" s="430"/>
      <c r="N917" s="430"/>
      <c r="O917" s="430"/>
      <c r="P917" s="430"/>
      <c r="Q917" s="430"/>
      <c r="R917" s="430"/>
      <c r="S917" s="430"/>
      <c r="T917" s="430"/>
      <c r="U917" s="430"/>
      <c r="V917" s="430"/>
      <c r="W917" s="430"/>
      <c r="X917" s="430"/>
      <c r="Y917" s="430"/>
      <c r="Z917" s="430"/>
      <c r="AA917" s="430"/>
    </row>
    <row r="918">
      <c r="A918" s="433"/>
      <c r="B918" s="430"/>
      <c r="C918" s="430"/>
      <c r="D918" s="430"/>
      <c r="E918" s="432"/>
      <c r="F918" s="430"/>
      <c r="G918" s="430"/>
      <c r="H918" s="430"/>
      <c r="I918" s="430"/>
      <c r="J918" s="430"/>
      <c r="K918" s="430"/>
      <c r="L918" s="430"/>
      <c r="M918" s="430"/>
      <c r="N918" s="430"/>
      <c r="O918" s="430"/>
      <c r="P918" s="430"/>
      <c r="Q918" s="430"/>
      <c r="R918" s="430"/>
      <c r="S918" s="430"/>
      <c r="T918" s="430"/>
      <c r="U918" s="430"/>
      <c r="V918" s="430"/>
      <c r="W918" s="430"/>
      <c r="X918" s="430"/>
      <c r="Y918" s="430"/>
      <c r="Z918" s="430"/>
      <c r="AA918" s="430"/>
    </row>
    <row r="919">
      <c r="A919" s="433"/>
      <c r="B919" s="430"/>
      <c r="C919" s="430"/>
      <c r="D919" s="430"/>
      <c r="E919" s="432"/>
      <c r="F919" s="430"/>
      <c r="G919" s="430"/>
      <c r="H919" s="430"/>
      <c r="I919" s="430"/>
      <c r="J919" s="430"/>
      <c r="K919" s="430"/>
      <c r="L919" s="430"/>
      <c r="M919" s="430"/>
      <c r="N919" s="430"/>
      <c r="O919" s="430"/>
      <c r="P919" s="430"/>
      <c r="Q919" s="430"/>
      <c r="R919" s="430"/>
      <c r="S919" s="430"/>
      <c r="T919" s="430"/>
      <c r="U919" s="430"/>
      <c r="V919" s="430"/>
      <c r="W919" s="430"/>
      <c r="X919" s="430"/>
      <c r="Y919" s="430"/>
      <c r="Z919" s="430"/>
      <c r="AA919" s="430"/>
    </row>
    <row r="920">
      <c r="A920" s="433"/>
      <c r="B920" s="430"/>
      <c r="C920" s="430"/>
      <c r="D920" s="430"/>
      <c r="E920" s="432"/>
      <c r="F920" s="430"/>
      <c r="G920" s="430"/>
      <c r="H920" s="430"/>
      <c r="I920" s="430"/>
      <c r="J920" s="430"/>
      <c r="K920" s="430"/>
      <c r="L920" s="430"/>
      <c r="M920" s="430"/>
      <c r="N920" s="430"/>
      <c r="O920" s="430"/>
      <c r="P920" s="430"/>
      <c r="Q920" s="430"/>
      <c r="R920" s="430"/>
      <c r="S920" s="430"/>
      <c r="T920" s="430"/>
      <c r="U920" s="430"/>
      <c r="V920" s="430"/>
      <c r="W920" s="430"/>
      <c r="X920" s="430"/>
      <c r="Y920" s="430"/>
      <c r="Z920" s="430"/>
      <c r="AA920" s="430"/>
    </row>
    <row r="921">
      <c r="A921" s="433"/>
      <c r="B921" s="430"/>
      <c r="C921" s="430"/>
      <c r="D921" s="430"/>
      <c r="E921" s="432"/>
      <c r="F921" s="430"/>
      <c r="G921" s="430"/>
      <c r="H921" s="430"/>
      <c r="I921" s="430"/>
      <c r="J921" s="430"/>
      <c r="K921" s="430"/>
      <c r="L921" s="430"/>
      <c r="M921" s="430"/>
      <c r="N921" s="430"/>
      <c r="O921" s="430"/>
      <c r="P921" s="430"/>
      <c r="Q921" s="430"/>
      <c r="R921" s="430"/>
      <c r="S921" s="430"/>
      <c r="T921" s="430"/>
      <c r="U921" s="430"/>
      <c r="V921" s="430"/>
      <c r="W921" s="430"/>
      <c r="X921" s="430"/>
      <c r="Y921" s="430"/>
      <c r="Z921" s="430"/>
      <c r="AA921" s="430"/>
    </row>
    <row r="922">
      <c r="A922" s="433"/>
      <c r="B922" s="430"/>
      <c r="C922" s="430"/>
      <c r="D922" s="430"/>
      <c r="E922" s="432"/>
      <c r="F922" s="430"/>
      <c r="G922" s="430"/>
      <c r="H922" s="430"/>
      <c r="I922" s="430"/>
      <c r="J922" s="430"/>
      <c r="K922" s="430"/>
      <c r="L922" s="430"/>
      <c r="M922" s="430"/>
      <c r="N922" s="430"/>
      <c r="O922" s="430"/>
      <c r="P922" s="430"/>
      <c r="Q922" s="430"/>
      <c r="R922" s="430"/>
      <c r="S922" s="430"/>
      <c r="T922" s="430"/>
      <c r="U922" s="430"/>
      <c r="V922" s="430"/>
      <c r="W922" s="430"/>
      <c r="X922" s="430"/>
      <c r="Y922" s="430"/>
      <c r="Z922" s="430"/>
      <c r="AA922" s="430"/>
    </row>
    <row r="923">
      <c r="A923" s="433"/>
      <c r="B923" s="430"/>
      <c r="C923" s="430"/>
      <c r="D923" s="430"/>
      <c r="E923" s="432"/>
      <c r="F923" s="430"/>
      <c r="G923" s="430"/>
      <c r="H923" s="430"/>
      <c r="I923" s="430"/>
      <c r="J923" s="430"/>
      <c r="K923" s="430"/>
      <c r="L923" s="430"/>
      <c r="M923" s="430"/>
      <c r="N923" s="430"/>
      <c r="O923" s="430"/>
      <c r="P923" s="430"/>
      <c r="Q923" s="430"/>
      <c r="R923" s="430"/>
      <c r="S923" s="430"/>
      <c r="T923" s="430"/>
      <c r="U923" s="430"/>
      <c r="V923" s="430"/>
      <c r="W923" s="430"/>
      <c r="X923" s="430"/>
      <c r="Y923" s="430"/>
      <c r="Z923" s="430"/>
      <c r="AA923" s="430"/>
    </row>
    <row r="924">
      <c r="A924" s="433"/>
      <c r="B924" s="430"/>
      <c r="C924" s="430"/>
      <c r="D924" s="430"/>
      <c r="E924" s="432"/>
      <c r="F924" s="430"/>
      <c r="G924" s="430"/>
      <c r="H924" s="430"/>
      <c r="I924" s="430"/>
      <c r="J924" s="430"/>
      <c r="K924" s="430"/>
      <c r="L924" s="430"/>
      <c r="M924" s="430"/>
      <c r="N924" s="430"/>
      <c r="O924" s="430"/>
      <c r="P924" s="430"/>
      <c r="Q924" s="430"/>
      <c r="R924" s="430"/>
      <c r="S924" s="430"/>
      <c r="T924" s="430"/>
      <c r="U924" s="430"/>
      <c r="V924" s="430"/>
      <c r="W924" s="430"/>
      <c r="X924" s="430"/>
      <c r="Y924" s="430"/>
      <c r="Z924" s="430"/>
      <c r="AA924" s="430"/>
    </row>
    <row r="925">
      <c r="A925" s="433"/>
      <c r="B925" s="430"/>
      <c r="C925" s="430"/>
      <c r="D925" s="430"/>
      <c r="E925" s="432"/>
      <c r="F925" s="430"/>
      <c r="G925" s="430"/>
      <c r="H925" s="430"/>
      <c r="I925" s="430"/>
      <c r="J925" s="430"/>
      <c r="K925" s="430"/>
      <c r="L925" s="430"/>
      <c r="M925" s="430"/>
      <c r="N925" s="430"/>
      <c r="O925" s="430"/>
      <c r="P925" s="430"/>
      <c r="Q925" s="430"/>
      <c r="R925" s="430"/>
      <c r="S925" s="430"/>
      <c r="T925" s="430"/>
      <c r="U925" s="430"/>
      <c r="V925" s="430"/>
      <c r="W925" s="430"/>
      <c r="X925" s="430"/>
      <c r="Y925" s="430"/>
      <c r="Z925" s="430"/>
      <c r="AA925" s="430"/>
    </row>
    <row r="926">
      <c r="A926" s="433"/>
      <c r="B926" s="430"/>
      <c r="C926" s="430"/>
      <c r="D926" s="430"/>
      <c r="E926" s="432"/>
      <c r="F926" s="430"/>
      <c r="G926" s="430"/>
      <c r="H926" s="430"/>
      <c r="I926" s="430"/>
      <c r="J926" s="430"/>
      <c r="K926" s="430"/>
      <c r="L926" s="430"/>
      <c r="M926" s="430"/>
      <c r="N926" s="430"/>
      <c r="O926" s="430"/>
      <c r="P926" s="430"/>
      <c r="Q926" s="430"/>
      <c r="R926" s="430"/>
      <c r="S926" s="430"/>
      <c r="T926" s="430"/>
      <c r="U926" s="430"/>
      <c r="V926" s="430"/>
      <c r="W926" s="430"/>
      <c r="X926" s="430"/>
      <c r="Y926" s="430"/>
      <c r="Z926" s="430"/>
      <c r="AA926" s="430"/>
    </row>
    <row r="927">
      <c r="A927" s="433"/>
      <c r="B927" s="430"/>
      <c r="C927" s="430"/>
      <c r="D927" s="430"/>
      <c r="E927" s="432"/>
      <c r="F927" s="430"/>
      <c r="G927" s="430"/>
      <c r="H927" s="430"/>
      <c r="I927" s="430"/>
      <c r="J927" s="430"/>
      <c r="K927" s="430"/>
      <c r="L927" s="430"/>
      <c r="M927" s="430"/>
      <c r="N927" s="430"/>
      <c r="O927" s="430"/>
      <c r="P927" s="430"/>
      <c r="Q927" s="430"/>
      <c r="R927" s="430"/>
      <c r="S927" s="430"/>
      <c r="T927" s="430"/>
      <c r="U927" s="430"/>
      <c r="V927" s="430"/>
      <c r="W927" s="430"/>
      <c r="X927" s="430"/>
      <c r="Y927" s="430"/>
      <c r="Z927" s="430"/>
      <c r="AA927" s="430"/>
    </row>
    <row r="928">
      <c r="A928" s="433"/>
      <c r="B928" s="430"/>
      <c r="C928" s="430"/>
      <c r="D928" s="430"/>
      <c r="E928" s="432"/>
      <c r="F928" s="430"/>
      <c r="G928" s="430"/>
      <c r="H928" s="430"/>
      <c r="I928" s="430"/>
      <c r="J928" s="430"/>
      <c r="K928" s="430"/>
      <c r="L928" s="430"/>
      <c r="M928" s="430"/>
      <c r="N928" s="430"/>
      <c r="O928" s="430"/>
      <c r="P928" s="430"/>
      <c r="Q928" s="430"/>
      <c r="R928" s="430"/>
      <c r="S928" s="430"/>
      <c r="T928" s="430"/>
      <c r="U928" s="430"/>
      <c r="V928" s="430"/>
      <c r="W928" s="430"/>
      <c r="X928" s="430"/>
      <c r="Y928" s="430"/>
      <c r="Z928" s="430"/>
      <c r="AA928" s="430"/>
    </row>
    <row r="929">
      <c r="A929" s="433"/>
      <c r="B929" s="430"/>
      <c r="C929" s="430"/>
      <c r="D929" s="430"/>
      <c r="E929" s="432"/>
      <c r="F929" s="430"/>
      <c r="G929" s="430"/>
      <c r="H929" s="430"/>
      <c r="I929" s="430"/>
      <c r="J929" s="430"/>
      <c r="K929" s="430"/>
      <c r="L929" s="430"/>
      <c r="M929" s="430"/>
      <c r="N929" s="430"/>
      <c r="O929" s="430"/>
      <c r="P929" s="430"/>
      <c r="Q929" s="430"/>
      <c r="R929" s="430"/>
      <c r="S929" s="430"/>
      <c r="T929" s="430"/>
      <c r="U929" s="430"/>
      <c r="V929" s="430"/>
      <c r="W929" s="430"/>
      <c r="X929" s="430"/>
      <c r="Y929" s="430"/>
      <c r="Z929" s="430"/>
      <c r="AA929" s="430"/>
    </row>
    <row r="930">
      <c r="A930" s="433"/>
      <c r="B930" s="430"/>
      <c r="C930" s="430"/>
      <c r="D930" s="430"/>
      <c r="E930" s="432"/>
      <c r="F930" s="430"/>
      <c r="G930" s="430"/>
      <c r="H930" s="430"/>
      <c r="I930" s="430"/>
      <c r="J930" s="430"/>
      <c r="K930" s="430"/>
      <c r="L930" s="430"/>
      <c r="M930" s="430"/>
      <c r="N930" s="430"/>
      <c r="O930" s="430"/>
      <c r="P930" s="430"/>
      <c r="Q930" s="430"/>
      <c r="R930" s="430"/>
      <c r="S930" s="430"/>
      <c r="T930" s="430"/>
      <c r="U930" s="430"/>
      <c r="V930" s="430"/>
      <c r="W930" s="430"/>
      <c r="X930" s="430"/>
      <c r="Y930" s="430"/>
      <c r="Z930" s="430"/>
      <c r="AA930" s="430"/>
    </row>
    <row r="931">
      <c r="A931" s="433"/>
      <c r="B931" s="430"/>
      <c r="C931" s="430"/>
      <c r="D931" s="430"/>
      <c r="E931" s="432"/>
      <c r="F931" s="430"/>
      <c r="G931" s="430"/>
      <c r="H931" s="430"/>
      <c r="I931" s="430"/>
      <c r="J931" s="430"/>
      <c r="K931" s="430"/>
      <c r="L931" s="430"/>
      <c r="M931" s="430"/>
      <c r="N931" s="430"/>
      <c r="O931" s="430"/>
      <c r="P931" s="430"/>
      <c r="Q931" s="430"/>
      <c r="R931" s="430"/>
      <c r="S931" s="430"/>
      <c r="T931" s="430"/>
      <c r="U931" s="430"/>
      <c r="V931" s="430"/>
      <c r="W931" s="430"/>
      <c r="X931" s="430"/>
      <c r="Y931" s="430"/>
      <c r="Z931" s="430"/>
      <c r="AA931" s="430"/>
    </row>
    <row r="932">
      <c r="A932" s="433"/>
      <c r="B932" s="430"/>
      <c r="C932" s="430"/>
      <c r="D932" s="430"/>
      <c r="E932" s="432"/>
      <c r="F932" s="430"/>
      <c r="G932" s="430"/>
      <c r="H932" s="430"/>
      <c r="I932" s="430"/>
      <c r="J932" s="430"/>
      <c r="K932" s="430"/>
      <c r="L932" s="430"/>
      <c r="M932" s="430"/>
      <c r="N932" s="430"/>
      <c r="O932" s="430"/>
      <c r="P932" s="430"/>
      <c r="Q932" s="430"/>
      <c r="R932" s="430"/>
      <c r="S932" s="430"/>
      <c r="T932" s="430"/>
      <c r="U932" s="430"/>
      <c r="V932" s="430"/>
      <c r="W932" s="430"/>
      <c r="X932" s="430"/>
      <c r="Y932" s="430"/>
      <c r="Z932" s="430"/>
      <c r="AA932" s="430"/>
    </row>
    <row r="933">
      <c r="A933" s="433"/>
      <c r="B933" s="430"/>
      <c r="C933" s="430"/>
      <c r="D933" s="430"/>
      <c r="E933" s="432"/>
      <c r="F933" s="430"/>
      <c r="G933" s="430"/>
      <c r="H933" s="430"/>
      <c r="I933" s="430"/>
      <c r="J933" s="430"/>
      <c r="K933" s="430"/>
      <c r="L933" s="430"/>
      <c r="M933" s="430"/>
      <c r="N933" s="430"/>
      <c r="O933" s="430"/>
      <c r="P933" s="430"/>
      <c r="Q933" s="430"/>
      <c r="R933" s="430"/>
      <c r="S933" s="430"/>
      <c r="T933" s="430"/>
      <c r="U933" s="430"/>
      <c r="V933" s="430"/>
      <c r="W933" s="430"/>
      <c r="X933" s="430"/>
      <c r="Y933" s="430"/>
      <c r="Z933" s="430"/>
      <c r="AA933" s="430"/>
    </row>
    <row r="934">
      <c r="A934" s="433"/>
      <c r="B934" s="430"/>
      <c r="C934" s="430"/>
      <c r="D934" s="430"/>
      <c r="E934" s="432"/>
      <c r="F934" s="430"/>
      <c r="G934" s="430"/>
      <c r="H934" s="430"/>
      <c r="I934" s="430"/>
      <c r="J934" s="430"/>
      <c r="K934" s="430"/>
      <c r="L934" s="430"/>
      <c r="M934" s="430"/>
      <c r="N934" s="430"/>
      <c r="O934" s="430"/>
      <c r="P934" s="430"/>
      <c r="Q934" s="430"/>
      <c r="R934" s="430"/>
      <c r="S934" s="430"/>
      <c r="T934" s="430"/>
      <c r="U934" s="430"/>
      <c r="V934" s="430"/>
      <c r="W934" s="430"/>
      <c r="X934" s="430"/>
      <c r="Y934" s="430"/>
      <c r="Z934" s="430"/>
      <c r="AA934" s="430"/>
    </row>
    <row r="935">
      <c r="A935" s="433"/>
      <c r="B935" s="430"/>
      <c r="C935" s="430"/>
      <c r="D935" s="430"/>
      <c r="E935" s="432"/>
      <c r="F935" s="430"/>
      <c r="G935" s="430"/>
      <c r="H935" s="430"/>
      <c r="I935" s="430"/>
      <c r="J935" s="430"/>
      <c r="K935" s="430"/>
      <c r="L935" s="430"/>
      <c r="M935" s="430"/>
      <c r="N935" s="430"/>
      <c r="O935" s="430"/>
      <c r="P935" s="430"/>
      <c r="Q935" s="430"/>
      <c r="R935" s="430"/>
      <c r="S935" s="430"/>
      <c r="T935" s="430"/>
      <c r="U935" s="430"/>
      <c r="V935" s="430"/>
      <c r="W935" s="430"/>
      <c r="X935" s="430"/>
      <c r="Y935" s="430"/>
      <c r="Z935" s="430"/>
      <c r="AA935" s="430"/>
    </row>
    <row r="936">
      <c r="A936" s="433"/>
      <c r="B936" s="430"/>
      <c r="C936" s="430"/>
      <c r="D936" s="430"/>
      <c r="E936" s="432"/>
      <c r="F936" s="430"/>
      <c r="G936" s="430"/>
      <c r="H936" s="430"/>
      <c r="I936" s="430"/>
      <c r="J936" s="430"/>
      <c r="K936" s="430"/>
      <c r="L936" s="430"/>
      <c r="M936" s="430"/>
      <c r="N936" s="430"/>
      <c r="O936" s="430"/>
      <c r="P936" s="430"/>
      <c r="Q936" s="430"/>
      <c r="R936" s="430"/>
      <c r="S936" s="430"/>
      <c r="T936" s="430"/>
      <c r="U936" s="430"/>
      <c r="V936" s="430"/>
      <c r="W936" s="430"/>
      <c r="X936" s="430"/>
      <c r="Y936" s="430"/>
      <c r="Z936" s="430"/>
      <c r="AA936" s="430"/>
    </row>
    <row r="937">
      <c r="A937" s="433"/>
      <c r="B937" s="430"/>
      <c r="C937" s="430"/>
      <c r="D937" s="430"/>
      <c r="E937" s="432"/>
      <c r="F937" s="430"/>
      <c r="G937" s="430"/>
      <c r="H937" s="430"/>
      <c r="I937" s="430"/>
      <c r="J937" s="430"/>
      <c r="K937" s="430"/>
      <c r="L937" s="430"/>
      <c r="M937" s="430"/>
      <c r="N937" s="430"/>
      <c r="O937" s="430"/>
      <c r="P937" s="430"/>
      <c r="Q937" s="430"/>
      <c r="R937" s="430"/>
      <c r="S937" s="430"/>
      <c r="T937" s="430"/>
      <c r="U937" s="430"/>
      <c r="V937" s="430"/>
      <c r="W937" s="430"/>
      <c r="X937" s="430"/>
      <c r="Y937" s="430"/>
      <c r="Z937" s="430"/>
      <c r="AA937" s="430"/>
    </row>
    <row r="938">
      <c r="A938" s="433"/>
      <c r="B938" s="430"/>
      <c r="C938" s="430"/>
      <c r="D938" s="430"/>
      <c r="E938" s="432"/>
      <c r="F938" s="430"/>
      <c r="G938" s="430"/>
      <c r="H938" s="430"/>
      <c r="I938" s="430"/>
      <c r="J938" s="430"/>
      <c r="K938" s="430"/>
      <c r="L938" s="430"/>
      <c r="M938" s="430"/>
      <c r="N938" s="430"/>
      <c r="O938" s="430"/>
      <c r="P938" s="430"/>
      <c r="Q938" s="430"/>
      <c r="R938" s="430"/>
      <c r="S938" s="430"/>
      <c r="T938" s="430"/>
      <c r="U938" s="430"/>
      <c r="V938" s="430"/>
      <c r="W938" s="430"/>
      <c r="X938" s="430"/>
      <c r="Y938" s="430"/>
      <c r="Z938" s="430"/>
      <c r="AA938" s="430"/>
    </row>
    <row r="939">
      <c r="A939" s="433"/>
      <c r="B939" s="430"/>
      <c r="C939" s="430"/>
      <c r="D939" s="430"/>
      <c r="E939" s="432"/>
      <c r="F939" s="430"/>
      <c r="G939" s="430"/>
      <c r="H939" s="430"/>
      <c r="I939" s="430"/>
      <c r="J939" s="430"/>
      <c r="K939" s="430"/>
      <c r="L939" s="430"/>
      <c r="M939" s="430"/>
      <c r="N939" s="430"/>
      <c r="O939" s="430"/>
      <c r="P939" s="430"/>
      <c r="Q939" s="430"/>
      <c r="R939" s="430"/>
      <c r="S939" s="430"/>
      <c r="T939" s="430"/>
      <c r="U939" s="430"/>
      <c r="V939" s="430"/>
      <c r="W939" s="430"/>
      <c r="X939" s="430"/>
      <c r="Y939" s="430"/>
      <c r="Z939" s="430"/>
      <c r="AA939" s="430"/>
    </row>
    <row r="940">
      <c r="A940" s="433"/>
      <c r="B940" s="430"/>
      <c r="C940" s="430"/>
      <c r="D940" s="430"/>
      <c r="E940" s="432"/>
      <c r="F940" s="430"/>
      <c r="G940" s="430"/>
      <c r="H940" s="430"/>
      <c r="I940" s="430"/>
      <c r="J940" s="430"/>
      <c r="K940" s="430"/>
      <c r="L940" s="430"/>
      <c r="M940" s="430"/>
      <c r="N940" s="430"/>
      <c r="O940" s="430"/>
      <c r="P940" s="430"/>
      <c r="Q940" s="430"/>
      <c r="R940" s="430"/>
      <c r="S940" s="430"/>
      <c r="T940" s="430"/>
      <c r="U940" s="430"/>
      <c r="V940" s="430"/>
      <c r="W940" s="430"/>
      <c r="X940" s="430"/>
      <c r="Y940" s="430"/>
      <c r="Z940" s="430"/>
      <c r="AA940" s="430"/>
    </row>
    <row r="941">
      <c r="A941" s="433"/>
      <c r="B941" s="430"/>
      <c r="C941" s="430"/>
      <c r="D941" s="430"/>
      <c r="E941" s="432"/>
      <c r="F941" s="430"/>
      <c r="G941" s="430"/>
      <c r="H941" s="430"/>
      <c r="I941" s="430"/>
      <c r="J941" s="430"/>
      <c r="K941" s="430"/>
      <c r="L941" s="430"/>
      <c r="M941" s="430"/>
      <c r="N941" s="430"/>
      <c r="O941" s="430"/>
      <c r="P941" s="430"/>
      <c r="Q941" s="430"/>
      <c r="R941" s="430"/>
      <c r="S941" s="430"/>
      <c r="T941" s="430"/>
      <c r="U941" s="430"/>
      <c r="V941" s="430"/>
      <c r="W941" s="430"/>
      <c r="X941" s="430"/>
      <c r="Y941" s="430"/>
      <c r="Z941" s="430"/>
      <c r="AA941" s="430"/>
    </row>
    <row r="942">
      <c r="A942" s="433"/>
      <c r="B942" s="430"/>
      <c r="C942" s="430"/>
      <c r="D942" s="430"/>
      <c r="E942" s="432"/>
      <c r="F942" s="430"/>
      <c r="G942" s="430"/>
      <c r="H942" s="430"/>
      <c r="I942" s="430"/>
      <c r="J942" s="430"/>
      <c r="K942" s="430"/>
      <c r="L942" s="430"/>
      <c r="M942" s="430"/>
      <c r="N942" s="430"/>
      <c r="O942" s="430"/>
      <c r="P942" s="430"/>
      <c r="Q942" s="430"/>
      <c r="R942" s="430"/>
      <c r="S942" s="430"/>
      <c r="T942" s="430"/>
      <c r="U942" s="430"/>
      <c r="V942" s="430"/>
      <c r="W942" s="430"/>
      <c r="X942" s="430"/>
      <c r="Y942" s="430"/>
      <c r="Z942" s="430"/>
      <c r="AA942" s="430"/>
    </row>
    <row r="943">
      <c r="A943" s="433"/>
      <c r="B943" s="430"/>
      <c r="C943" s="430"/>
      <c r="D943" s="430"/>
      <c r="E943" s="432"/>
      <c r="F943" s="430"/>
      <c r="G943" s="430"/>
      <c r="H943" s="430"/>
      <c r="I943" s="430"/>
      <c r="J943" s="430"/>
      <c r="K943" s="430"/>
      <c r="L943" s="430"/>
      <c r="M943" s="430"/>
      <c r="N943" s="430"/>
      <c r="O943" s="430"/>
      <c r="P943" s="430"/>
      <c r="Q943" s="430"/>
      <c r="R943" s="430"/>
      <c r="S943" s="430"/>
      <c r="T943" s="430"/>
      <c r="U943" s="430"/>
      <c r="V943" s="430"/>
      <c r="W943" s="430"/>
      <c r="X943" s="430"/>
      <c r="Y943" s="430"/>
      <c r="Z943" s="430"/>
      <c r="AA943" s="430"/>
    </row>
    <row r="944">
      <c r="A944" s="433"/>
      <c r="B944" s="430"/>
      <c r="C944" s="430"/>
      <c r="D944" s="430"/>
      <c r="E944" s="432"/>
      <c r="F944" s="430"/>
      <c r="G944" s="430"/>
      <c r="H944" s="430"/>
      <c r="I944" s="430"/>
      <c r="J944" s="430"/>
      <c r="K944" s="430"/>
      <c r="L944" s="430"/>
      <c r="M944" s="430"/>
      <c r="N944" s="430"/>
      <c r="O944" s="430"/>
      <c r="P944" s="430"/>
      <c r="Q944" s="430"/>
      <c r="R944" s="430"/>
      <c r="S944" s="430"/>
      <c r="T944" s="430"/>
      <c r="U944" s="430"/>
      <c r="V944" s="430"/>
      <c r="W944" s="430"/>
      <c r="X944" s="430"/>
      <c r="Y944" s="430"/>
      <c r="Z944" s="430"/>
      <c r="AA944" s="430"/>
    </row>
    <row r="945">
      <c r="A945" s="433"/>
      <c r="B945" s="430"/>
      <c r="C945" s="430"/>
      <c r="D945" s="430"/>
      <c r="E945" s="432"/>
      <c r="F945" s="430"/>
      <c r="G945" s="430"/>
      <c r="H945" s="430"/>
      <c r="I945" s="430"/>
      <c r="J945" s="430"/>
      <c r="K945" s="430"/>
      <c r="L945" s="430"/>
      <c r="M945" s="430"/>
      <c r="N945" s="430"/>
      <c r="O945" s="430"/>
      <c r="P945" s="430"/>
      <c r="Q945" s="430"/>
      <c r="R945" s="430"/>
      <c r="S945" s="430"/>
      <c r="T945" s="430"/>
      <c r="U945" s="430"/>
      <c r="V945" s="430"/>
      <c r="W945" s="430"/>
      <c r="X945" s="430"/>
      <c r="Y945" s="430"/>
      <c r="Z945" s="430"/>
      <c r="AA945" s="430"/>
    </row>
    <row r="946">
      <c r="A946" s="433"/>
      <c r="B946" s="430"/>
      <c r="C946" s="430"/>
      <c r="D946" s="430"/>
      <c r="E946" s="432"/>
      <c r="F946" s="430"/>
      <c r="G946" s="430"/>
      <c r="H946" s="430"/>
      <c r="I946" s="430"/>
      <c r="J946" s="430"/>
      <c r="K946" s="430"/>
      <c r="L946" s="430"/>
      <c r="M946" s="430"/>
      <c r="N946" s="430"/>
      <c r="O946" s="430"/>
      <c r="P946" s="430"/>
      <c r="Q946" s="430"/>
      <c r="R946" s="430"/>
      <c r="S946" s="430"/>
      <c r="T946" s="430"/>
      <c r="U946" s="430"/>
      <c r="V946" s="430"/>
      <c r="W946" s="430"/>
      <c r="X946" s="430"/>
      <c r="Y946" s="430"/>
      <c r="Z946" s="430"/>
      <c r="AA946" s="430"/>
    </row>
    <row r="947">
      <c r="A947" s="433"/>
      <c r="B947" s="430"/>
      <c r="C947" s="430"/>
      <c r="D947" s="430"/>
      <c r="E947" s="432"/>
      <c r="F947" s="430"/>
      <c r="G947" s="430"/>
      <c r="H947" s="430"/>
      <c r="I947" s="430"/>
      <c r="J947" s="430"/>
      <c r="K947" s="430"/>
      <c r="L947" s="430"/>
      <c r="M947" s="430"/>
      <c r="N947" s="430"/>
      <c r="O947" s="430"/>
      <c r="P947" s="430"/>
      <c r="Q947" s="430"/>
      <c r="R947" s="430"/>
      <c r="S947" s="430"/>
      <c r="T947" s="430"/>
      <c r="U947" s="430"/>
      <c r="V947" s="430"/>
      <c r="W947" s="430"/>
      <c r="X947" s="430"/>
      <c r="Y947" s="430"/>
      <c r="Z947" s="430"/>
      <c r="AA947" s="430"/>
    </row>
    <row r="948">
      <c r="A948" s="433"/>
      <c r="B948" s="430"/>
      <c r="C948" s="430"/>
      <c r="D948" s="430"/>
      <c r="E948" s="432"/>
      <c r="F948" s="430"/>
      <c r="G948" s="430"/>
      <c r="H948" s="430"/>
      <c r="I948" s="430"/>
      <c r="J948" s="430"/>
      <c r="K948" s="430"/>
      <c r="L948" s="430"/>
      <c r="M948" s="430"/>
      <c r="N948" s="430"/>
      <c r="O948" s="430"/>
      <c r="P948" s="430"/>
      <c r="Q948" s="430"/>
      <c r="R948" s="430"/>
      <c r="S948" s="430"/>
      <c r="T948" s="430"/>
      <c r="U948" s="430"/>
      <c r="V948" s="430"/>
      <c r="W948" s="430"/>
      <c r="X948" s="430"/>
      <c r="Y948" s="430"/>
      <c r="Z948" s="430"/>
      <c r="AA948" s="430"/>
    </row>
    <row r="949">
      <c r="A949" s="433"/>
      <c r="B949" s="430"/>
      <c r="C949" s="430"/>
      <c r="D949" s="430"/>
      <c r="E949" s="432"/>
      <c r="F949" s="430"/>
      <c r="G949" s="430"/>
      <c r="H949" s="430"/>
      <c r="I949" s="430"/>
      <c r="J949" s="430"/>
      <c r="K949" s="430"/>
      <c r="L949" s="430"/>
      <c r="M949" s="430"/>
      <c r="N949" s="430"/>
      <c r="O949" s="430"/>
      <c r="P949" s="430"/>
      <c r="Q949" s="430"/>
      <c r="R949" s="430"/>
      <c r="S949" s="430"/>
      <c r="T949" s="430"/>
      <c r="U949" s="430"/>
      <c r="V949" s="430"/>
      <c r="W949" s="430"/>
      <c r="X949" s="430"/>
      <c r="Y949" s="430"/>
      <c r="Z949" s="430"/>
      <c r="AA949" s="430"/>
    </row>
    <row r="950">
      <c r="A950" s="433"/>
      <c r="B950" s="430"/>
      <c r="C950" s="430"/>
      <c r="D950" s="430"/>
      <c r="E950" s="432"/>
      <c r="F950" s="430"/>
      <c r="G950" s="430"/>
      <c r="H950" s="430"/>
      <c r="I950" s="430"/>
      <c r="J950" s="430"/>
      <c r="K950" s="430"/>
      <c r="L950" s="430"/>
      <c r="M950" s="430"/>
      <c r="N950" s="430"/>
      <c r="O950" s="430"/>
      <c r="P950" s="430"/>
      <c r="Q950" s="430"/>
      <c r="R950" s="430"/>
      <c r="S950" s="430"/>
      <c r="T950" s="430"/>
      <c r="U950" s="430"/>
      <c r="V950" s="430"/>
      <c r="W950" s="430"/>
      <c r="X950" s="430"/>
      <c r="Y950" s="430"/>
      <c r="Z950" s="430"/>
      <c r="AA950" s="430"/>
    </row>
    <row r="951">
      <c r="A951" s="433"/>
      <c r="B951" s="430"/>
      <c r="C951" s="430"/>
      <c r="D951" s="430"/>
      <c r="E951" s="432"/>
      <c r="F951" s="430"/>
      <c r="G951" s="430"/>
      <c r="H951" s="430"/>
      <c r="I951" s="430"/>
      <c r="J951" s="430"/>
      <c r="K951" s="430"/>
      <c r="L951" s="430"/>
      <c r="M951" s="430"/>
      <c r="N951" s="430"/>
      <c r="O951" s="430"/>
      <c r="P951" s="430"/>
      <c r="Q951" s="430"/>
      <c r="R951" s="430"/>
      <c r="S951" s="430"/>
      <c r="T951" s="430"/>
      <c r="U951" s="430"/>
      <c r="V951" s="430"/>
      <c r="W951" s="430"/>
      <c r="X951" s="430"/>
      <c r="Y951" s="430"/>
      <c r="Z951" s="430"/>
      <c r="AA951" s="430"/>
    </row>
    <row r="952">
      <c r="A952" s="433"/>
      <c r="B952" s="430"/>
      <c r="C952" s="430"/>
      <c r="D952" s="430"/>
      <c r="E952" s="432"/>
      <c r="F952" s="430"/>
      <c r="G952" s="430"/>
      <c r="H952" s="430"/>
      <c r="I952" s="430"/>
      <c r="J952" s="430"/>
      <c r="K952" s="430"/>
      <c r="L952" s="430"/>
      <c r="M952" s="430"/>
      <c r="N952" s="430"/>
      <c r="O952" s="430"/>
      <c r="P952" s="430"/>
      <c r="Q952" s="430"/>
      <c r="R952" s="430"/>
      <c r="S952" s="430"/>
      <c r="T952" s="430"/>
      <c r="U952" s="430"/>
      <c r="V952" s="430"/>
      <c r="W952" s="430"/>
      <c r="X952" s="430"/>
      <c r="Y952" s="430"/>
      <c r="Z952" s="430"/>
      <c r="AA952" s="430"/>
    </row>
    <row r="953">
      <c r="A953" s="433"/>
      <c r="B953" s="430"/>
      <c r="C953" s="430"/>
      <c r="D953" s="430"/>
      <c r="E953" s="432"/>
      <c r="F953" s="430"/>
      <c r="G953" s="430"/>
      <c r="H953" s="430"/>
      <c r="I953" s="430"/>
      <c r="J953" s="430"/>
      <c r="K953" s="430"/>
      <c r="L953" s="430"/>
      <c r="M953" s="430"/>
      <c r="N953" s="430"/>
      <c r="O953" s="430"/>
      <c r="P953" s="430"/>
      <c r="Q953" s="430"/>
      <c r="R953" s="430"/>
      <c r="S953" s="430"/>
      <c r="T953" s="430"/>
      <c r="U953" s="430"/>
      <c r="V953" s="430"/>
      <c r="W953" s="430"/>
      <c r="X953" s="430"/>
      <c r="Y953" s="430"/>
      <c r="Z953" s="430"/>
      <c r="AA953" s="430"/>
    </row>
    <row r="954">
      <c r="A954" s="433"/>
      <c r="B954" s="430"/>
      <c r="C954" s="430"/>
      <c r="D954" s="430"/>
      <c r="E954" s="432"/>
      <c r="F954" s="430"/>
      <c r="G954" s="430"/>
      <c r="H954" s="430"/>
      <c r="I954" s="430"/>
      <c r="J954" s="430"/>
      <c r="K954" s="430"/>
      <c r="L954" s="430"/>
      <c r="M954" s="430"/>
      <c r="N954" s="430"/>
      <c r="O954" s="430"/>
      <c r="P954" s="430"/>
      <c r="Q954" s="430"/>
      <c r="R954" s="430"/>
      <c r="S954" s="430"/>
      <c r="T954" s="430"/>
      <c r="U954" s="430"/>
      <c r="V954" s="430"/>
      <c r="W954" s="430"/>
      <c r="X954" s="430"/>
      <c r="Y954" s="430"/>
      <c r="Z954" s="430"/>
      <c r="AA954" s="430"/>
    </row>
    <row r="955">
      <c r="A955" s="433"/>
      <c r="B955" s="430"/>
      <c r="C955" s="430"/>
      <c r="D955" s="430"/>
      <c r="E955" s="432"/>
      <c r="F955" s="430"/>
      <c r="G955" s="430"/>
      <c r="H955" s="430"/>
      <c r="I955" s="430"/>
      <c r="J955" s="430"/>
      <c r="K955" s="430"/>
      <c r="L955" s="430"/>
      <c r="M955" s="430"/>
      <c r="N955" s="430"/>
      <c r="O955" s="430"/>
      <c r="P955" s="430"/>
      <c r="Q955" s="430"/>
      <c r="R955" s="430"/>
      <c r="S955" s="430"/>
      <c r="T955" s="430"/>
      <c r="U955" s="430"/>
      <c r="V955" s="430"/>
      <c r="W955" s="430"/>
      <c r="X955" s="430"/>
      <c r="Y955" s="430"/>
      <c r="Z955" s="430"/>
      <c r="AA955" s="430"/>
    </row>
    <row r="956">
      <c r="A956" s="433"/>
      <c r="B956" s="430"/>
      <c r="C956" s="430"/>
      <c r="D956" s="430"/>
      <c r="E956" s="432"/>
      <c r="F956" s="430"/>
      <c r="G956" s="430"/>
      <c r="H956" s="430"/>
      <c r="I956" s="430"/>
      <c r="J956" s="430"/>
      <c r="K956" s="430"/>
      <c r="L956" s="430"/>
      <c r="M956" s="430"/>
      <c r="N956" s="430"/>
      <c r="O956" s="430"/>
      <c r="P956" s="430"/>
      <c r="Q956" s="430"/>
      <c r="R956" s="430"/>
      <c r="S956" s="430"/>
      <c r="T956" s="430"/>
      <c r="U956" s="430"/>
      <c r="V956" s="430"/>
      <c r="W956" s="430"/>
      <c r="X956" s="430"/>
      <c r="Y956" s="430"/>
      <c r="Z956" s="430"/>
      <c r="AA956" s="430"/>
    </row>
    <row r="957">
      <c r="A957" s="433"/>
      <c r="B957" s="430"/>
      <c r="C957" s="430"/>
      <c r="D957" s="430"/>
      <c r="E957" s="432"/>
      <c r="F957" s="430"/>
      <c r="G957" s="430"/>
      <c r="H957" s="430"/>
      <c r="I957" s="430"/>
      <c r="J957" s="430"/>
      <c r="K957" s="430"/>
      <c r="L957" s="430"/>
      <c r="M957" s="430"/>
      <c r="N957" s="430"/>
      <c r="O957" s="430"/>
      <c r="P957" s="430"/>
      <c r="Q957" s="430"/>
      <c r="R957" s="430"/>
      <c r="S957" s="430"/>
      <c r="T957" s="430"/>
      <c r="U957" s="430"/>
      <c r="V957" s="430"/>
      <c r="W957" s="430"/>
      <c r="X957" s="430"/>
      <c r="Y957" s="430"/>
      <c r="Z957" s="430"/>
      <c r="AA957" s="430"/>
    </row>
    <row r="958">
      <c r="A958" s="433"/>
      <c r="B958" s="430"/>
      <c r="C958" s="430"/>
      <c r="D958" s="430"/>
      <c r="E958" s="432"/>
      <c r="F958" s="430"/>
      <c r="G958" s="430"/>
      <c r="H958" s="430"/>
      <c r="I958" s="430"/>
      <c r="J958" s="430"/>
      <c r="K958" s="430"/>
      <c r="L958" s="430"/>
      <c r="M958" s="430"/>
      <c r="N958" s="430"/>
      <c r="O958" s="430"/>
      <c r="P958" s="430"/>
      <c r="Q958" s="430"/>
      <c r="R958" s="430"/>
      <c r="S958" s="430"/>
      <c r="T958" s="430"/>
      <c r="U958" s="430"/>
      <c r="V958" s="430"/>
      <c r="W958" s="430"/>
      <c r="X958" s="430"/>
      <c r="Y958" s="430"/>
      <c r="Z958" s="430"/>
      <c r="AA958" s="430"/>
    </row>
    <row r="959">
      <c r="A959" s="433"/>
      <c r="B959" s="430"/>
      <c r="C959" s="430"/>
      <c r="D959" s="430"/>
      <c r="E959" s="432"/>
      <c r="F959" s="430"/>
      <c r="G959" s="430"/>
      <c r="H959" s="430"/>
      <c r="I959" s="430"/>
      <c r="J959" s="430"/>
      <c r="K959" s="430"/>
      <c r="L959" s="430"/>
      <c r="M959" s="430"/>
      <c r="N959" s="430"/>
      <c r="O959" s="430"/>
      <c r="P959" s="430"/>
      <c r="Q959" s="430"/>
      <c r="R959" s="430"/>
      <c r="S959" s="430"/>
      <c r="T959" s="430"/>
      <c r="U959" s="430"/>
      <c r="V959" s="430"/>
      <c r="W959" s="430"/>
      <c r="X959" s="430"/>
      <c r="Y959" s="430"/>
      <c r="Z959" s="430"/>
      <c r="AA959" s="430"/>
    </row>
    <row r="960">
      <c r="A960" s="433"/>
      <c r="B960" s="430"/>
      <c r="C960" s="430"/>
      <c r="D960" s="430"/>
      <c r="E960" s="432"/>
      <c r="F960" s="430"/>
      <c r="G960" s="430"/>
      <c r="H960" s="430"/>
      <c r="I960" s="430"/>
      <c r="J960" s="430"/>
      <c r="K960" s="430"/>
      <c r="L960" s="430"/>
      <c r="M960" s="430"/>
      <c r="N960" s="430"/>
      <c r="O960" s="430"/>
      <c r="P960" s="430"/>
      <c r="Q960" s="430"/>
      <c r="R960" s="430"/>
      <c r="S960" s="430"/>
      <c r="T960" s="430"/>
      <c r="U960" s="430"/>
      <c r="V960" s="430"/>
      <c r="W960" s="430"/>
      <c r="X960" s="430"/>
      <c r="Y960" s="430"/>
      <c r="Z960" s="430"/>
      <c r="AA960" s="430"/>
    </row>
    <row r="961">
      <c r="A961" s="433"/>
      <c r="B961" s="430"/>
      <c r="C961" s="430"/>
      <c r="D961" s="430"/>
      <c r="E961" s="432"/>
      <c r="F961" s="430"/>
      <c r="G961" s="430"/>
      <c r="H961" s="430"/>
      <c r="I961" s="430"/>
      <c r="J961" s="430"/>
      <c r="K961" s="430"/>
      <c r="L961" s="430"/>
      <c r="M961" s="430"/>
      <c r="N961" s="430"/>
      <c r="O961" s="430"/>
      <c r="P961" s="430"/>
      <c r="Q961" s="430"/>
      <c r="R961" s="430"/>
      <c r="S961" s="430"/>
      <c r="T961" s="430"/>
      <c r="U961" s="430"/>
      <c r="V961" s="430"/>
      <c r="W961" s="430"/>
      <c r="X961" s="430"/>
      <c r="Y961" s="430"/>
      <c r="Z961" s="430"/>
      <c r="AA961" s="430"/>
    </row>
    <row r="962">
      <c r="A962" s="433"/>
      <c r="B962" s="430"/>
      <c r="C962" s="430"/>
      <c r="D962" s="430"/>
      <c r="E962" s="432"/>
      <c r="F962" s="430"/>
      <c r="G962" s="430"/>
      <c r="H962" s="430"/>
      <c r="I962" s="430"/>
      <c r="J962" s="430"/>
      <c r="K962" s="430"/>
      <c r="L962" s="430"/>
      <c r="M962" s="430"/>
      <c r="N962" s="430"/>
      <c r="O962" s="430"/>
      <c r="P962" s="430"/>
      <c r="Q962" s="430"/>
      <c r="R962" s="430"/>
      <c r="S962" s="430"/>
      <c r="T962" s="430"/>
      <c r="U962" s="430"/>
      <c r="V962" s="430"/>
      <c r="W962" s="430"/>
      <c r="X962" s="430"/>
      <c r="Y962" s="430"/>
      <c r="Z962" s="430"/>
      <c r="AA962" s="430"/>
    </row>
    <row r="963">
      <c r="A963" s="433"/>
      <c r="B963" s="430"/>
      <c r="C963" s="430"/>
      <c r="D963" s="430"/>
      <c r="E963" s="432"/>
      <c r="F963" s="430"/>
      <c r="G963" s="430"/>
      <c r="H963" s="430"/>
      <c r="I963" s="430"/>
      <c r="J963" s="430"/>
      <c r="K963" s="430"/>
      <c r="L963" s="430"/>
      <c r="M963" s="430"/>
      <c r="N963" s="430"/>
      <c r="O963" s="430"/>
      <c r="P963" s="430"/>
      <c r="Q963" s="430"/>
      <c r="R963" s="430"/>
      <c r="S963" s="430"/>
      <c r="T963" s="430"/>
      <c r="U963" s="430"/>
      <c r="V963" s="430"/>
      <c r="W963" s="430"/>
      <c r="X963" s="430"/>
      <c r="Y963" s="430"/>
      <c r="Z963" s="430"/>
      <c r="AA963" s="430"/>
    </row>
    <row r="964">
      <c r="A964" s="433"/>
      <c r="B964" s="430"/>
      <c r="C964" s="430"/>
      <c r="D964" s="430"/>
      <c r="E964" s="432"/>
      <c r="F964" s="430"/>
      <c r="G964" s="430"/>
      <c r="H964" s="430"/>
      <c r="I964" s="430"/>
      <c r="J964" s="430"/>
      <c r="K964" s="430"/>
      <c r="L964" s="430"/>
      <c r="M964" s="430"/>
      <c r="N964" s="430"/>
      <c r="O964" s="430"/>
      <c r="P964" s="430"/>
      <c r="Q964" s="430"/>
      <c r="R964" s="430"/>
      <c r="S964" s="430"/>
      <c r="T964" s="430"/>
      <c r="U964" s="430"/>
      <c r="V964" s="430"/>
      <c r="W964" s="430"/>
      <c r="X964" s="430"/>
      <c r="Y964" s="430"/>
      <c r="Z964" s="430"/>
      <c r="AA964" s="430"/>
    </row>
    <row r="965">
      <c r="A965" s="433"/>
      <c r="B965" s="430"/>
      <c r="C965" s="430"/>
      <c r="D965" s="430"/>
      <c r="E965" s="432"/>
      <c r="F965" s="430"/>
      <c r="G965" s="430"/>
      <c r="H965" s="430"/>
      <c r="I965" s="430"/>
      <c r="J965" s="430"/>
      <c r="K965" s="430"/>
      <c r="L965" s="430"/>
      <c r="M965" s="430"/>
      <c r="N965" s="430"/>
      <c r="O965" s="430"/>
      <c r="P965" s="430"/>
      <c r="Q965" s="430"/>
      <c r="R965" s="430"/>
      <c r="S965" s="430"/>
      <c r="T965" s="430"/>
      <c r="U965" s="430"/>
      <c r="V965" s="430"/>
      <c r="W965" s="430"/>
      <c r="X965" s="430"/>
      <c r="Y965" s="430"/>
      <c r="Z965" s="430"/>
      <c r="AA965" s="430"/>
    </row>
    <row r="966">
      <c r="A966" s="433"/>
      <c r="B966" s="430"/>
      <c r="C966" s="430"/>
      <c r="D966" s="430"/>
      <c r="E966" s="432"/>
      <c r="F966" s="430"/>
      <c r="G966" s="430"/>
      <c r="H966" s="430"/>
      <c r="I966" s="430"/>
      <c r="J966" s="430"/>
      <c r="K966" s="430"/>
      <c r="L966" s="430"/>
      <c r="M966" s="430"/>
      <c r="N966" s="430"/>
      <c r="O966" s="430"/>
      <c r="P966" s="430"/>
      <c r="Q966" s="430"/>
      <c r="R966" s="430"/>
      <c r="S966" s="430"/>
      <c r="T966" s="430"/>
      <c r="U966" s="430"/>
      <c r="V966" s="430"/>
      <c r="W966" s="430"/>
      <c r="X966" s="430"/>
      <c r="Y966" s="430"/>
      <c r="Z966" s="430"/>
      <c r="AA966" s="430"/>
    </row>
    <row r="967">
      <c r="A967" s="433"/>
      <c r="B967" s="430"/>
      <c r="C967" s="430"/>
      <c r="D967" s="430"/>
      <c r="E967" s="432"/>
      <c r="F967" s="430"/>
      <c r="G967" s="430"/>
      <c r="H967" s="430"/>
      <c r="I967" s="430"/>
      <c r="J967" s="430"/>
      <c r="K967" s="430"/>
      <c r="L967" s="430"/>
      <c r="M967" s="430"/>
      <c r="N967" s="430"/>
      <c r="O967" s="430"/>
      <c r="P967" s="430"/>
      <c r="Q967" s="430"/>
      <c r="R967" s="430"/>
      <c r="S967" s="430"/>
      <c r="T967" s="430"/>
      <c r="U967" s="430"/>
      <c r="V967" s="430"/>
      <c r="W967" s="430"/>
      <c r="X967" s="430"/>
      <c r="Y967" s="430"/>
      <c r="Z967" s="430"/>
      <c r="AA967" s="430"/>
    </row>
    <row r="968">
      <c r="A968" s="433"/>
      <c r="B968" s="430"/>
      <c r="C968" s="430"/>
      <c r="D968" s="430"/>
      <c r="E968" s="432"/>
      <c r="F968" s="430"/>
      <c r="G968" s="430"/>
      <c r="H968" s="430"/>
      <c r="I968" s="430"/>
      <c r="J968" s="430"/>
      <c r="K968" s="430"/>
      <c r="L968" s="430"/>
      <c r="M968" s="430"/>
      <c r="N968" s="430"/>
      <c r="O968" s="430"/>
      <c r="P968" s="430"/>
      <c r="Q968" s="430"/>
      <c r="R968" s="430"/>
      <c r="S968" s="430"/>
      <c r="T968" s="430"/>
      <c r="U968" s="430"/>
      <c r="V968" s="430"/>
      <c r="W968" s="430"/>
      <c r="X968" s="430"/>
      <c r="Y968" s="430"/>
      <c r="Z968" s="430"/>
      <c r="AA968" s="430"/>
    </row>
    <row r="969">
      <c r="A969" s="433"/>
      <c r="B969" s="430"/>
      <c r="C969" s="430"/>
      <c r="D969" s="430"/>
      <c r="E969" s="432"/>
      <c r="F969" s="430"/>
      <c r="G969" s="430"/>
      <c r="H969" s="430"/>
      <c r="I969" s="430"/>
      <c r="J969" s="430"/>
      <c r="K969" s="430"/>
      <c r="L969" s="430"/>
      <c r="M969" s="430"/>
      <c r="N969" s="430"/>
      <c r="O969" s="430"/>
      <c r="P969" s="430"/>
      <c r="Q969" s="430"/>
      <c r="R969" s="430"/>
      <c r="S969" s="430"/>
      <c r="T969" s="430"/>
      <c r="U969" s="430"/>
      <c r="V969" s="430"/>
      <c r="W969" s="430"/>
      <c r="X969" s="430"/>
      <c r="Y969" s="430"/>
      <c r="Z969" s="430"/>
      <c r="AA969" s="430"/>
    </row>
    <row r="970">
      <c r="A970" s="433"/>
      <c r="B970" s="430"/>
      <c r="C970" s="430"/>
      <c r="D970" s="430"/>
      <c r="E970" s="432"/>
      <c r="F970" s="430"/>
      <c r="G970" s="430"/>
      <c r="H970" s="430"/>
      <c r="I970" s="430"/>
      <c r="J970" s="430"/>
      <c r="K970" s="430"/>
      <c r="L970" s="430"/>
      <c r="M970" s="430"/>
      <c r="N970" s="430"/>
      <c r="O970" s="430"/>
      <c r="P970" s="430"/>
      <c r="Q970" s="430"/>
      <c r="R970" s="430"/>
      <c r="S970" s="430"/>
      <c r="T970" s="430"/>
      <c r="U970" s="430"/>
      <c r="V970" s="430"/>
      <c r="W970" s="430"/>
      <c r="X970" s="430"/>
      <c r="Y970" s="430"/>
      <c r="Z970" s="430"/>
      <c r="AA970" s="430"/>
    </row>
    <row r="971">
      <c r="A971" s="433"/>
      <c r="B971" s="430"/>
      <c r="C971" s="430"/>
      <c r="D971" s="430"/>
      <c r="E971" s="432"/>
      <c r="F971" s="430"/>
      <c r="G971" s="430"/>
      <c r="H971" s="430"/>
      <c r="I971" s="430"/>
      <c r="J971" s="430"/>
      <c r="K971" s="430"/>
      <c r="L971" s="430"/>
      <c r="M971" s="430"/>
      <c r="N971" s="430"/>
      <c r="O971" s="430"/>
      <c r="P971" s="430"/>
      <c r="Q971" s="430"/>
      <c r="R971" s="430"/>
      <c r="S971" s="430"/>
      <c r="T971" s="430"/>
      <c r="U971" s="430"/>
      <c r="V971" s="430"/>
      <c r="W971" s="430"/>
      <c r="X971" s="430"/>
      <c r="Y971" s="430"/>
      <c r="Z971" s="430"/>
      <c r="AA971" s="430"/>
    </row>
    <row r="972">
      <c r="A972" s="433"/>
      <c r="B972" s="430"/>
      <c r="C972" s="430"/>
      <c r="D972" s="430"/>
      <c r="E972" s="432"/>
      <c r="F972" s="430"/>
      <c r="G972" s="430"/>
      <c r="H972" s="430"/>
      <c r="I972" s="430"/>
      <c r="J972" s="430"/>
      <c r="K972" s="430"/>
      <c r="L972" s="430"/>
      <c r="M972" s="430"/>
      <c r="N972" s="430"/>
      <c r="O972" s="430"/>
      <c r="P972" s="430"/>
      <c r="Q972" s="430"/>
      <c r="R972" s="430"/>
      <c r="S972" s="430"/>
      <c r="T972" s="430"/>
      <c r="U972" s="430"/>
      <c r="V972" s="430"/>
      <c r="W972" s="430"/>
      <c r="X972" s="430"/>
      <c r="Y972" s="430"/>
      <c r="Z972" s="430"/>
      <c r="AA972" s="430"/>
    </row>
    <row r="973">
      <c r="A973" s="433"/>
      <c r="B973" s="430"/>
      <c r="C973" s="430"/>
      <c r="D973" s="430"/>
      <c r="E973" s="432"/>
      <c r="F973" s="430"/>
      <c r="G973" s="430"/>
      <c r="H973" s="430"/>
      <c r="I973" s="430"/>
      <c r="J973" s="430"/>
      <c r="K973" s="430"/>
      <c r="L973" s="430"/>
      <c r="M973" s="430"/>
      <c r="N973" s="430"/>
      <c r="O973" s="430"/>
      <c r="P973" s="430"/>
      <c r="Q973" s="430"/>
      <c r="R973" s="430"/>
      <c r="S973" s="430"/>
      <c r="T973" s="430"/>
      <c r="U973" s="430"/>
      <c r="V973" s="430"/>
      <c r="W973" s="430"/>
      <c r="X973" s="430"/>
      <c r="Y973" s="430"/>
      <c r="Z973" s="430"/>
      <c r="AA973" s="430"/>
    </row>
    <row r="974">
      <c r="A974" s="433"/>
      <c r="B974" s="430"/>
      <c r="C974" s="430"/>
      <c r="D974" s="430"/>
      <c r="E974" s="432"/>
      <c r="F974" s="430"/>
      <c r="G974" s="430"/>
      <c r="H974" s="430"/>
      <c r="I974" s="430"/>
      <c r="J974" s="430"/>
      <c r="K974" s="430"/>
      <c r="L974" s="430"/>
      <c r="M974" s="430"/>
      <c r="N974" s="430"/>
      <c r="O974" s="430"/>
      <c r="P974" s="430"/>
      <c r="Q974" s="430"/>
      <c r="R974" s="430"/>
      <c r="S974" s="430"/>
      <c r="T974" s="430"/>
      <c r="U974" s="430"/>
      <c r="V974" s="430"/>
      <c r="W974" s="430"/>
      <c r="X974" s="430"/>
      <c r="Y974" s="430"/>
      <c r="Z974" s="430"/>
      <c r="AA974" s="430"/>
    </row>
    <row r="975">
      <c r="A975" s="433"/>
      <c r="B975" s="430"/>
      <c r="C975" s="430"/>
      <c r="D975" s="430"/>
      <c r="E975" s="432"/>
      <c r="F975" s="430"/>
      <c r="G975" s="430"/>
      <c r="H975" s="430"/>
      <c r="I975" s="430"/>
      <c r="J975" s="430"/>
      <c r="K975" s="430"/>
      <c r="L975" s="430"/>
      <c r="M975" s="430"/>
      <c r="N975" s="430"/>
      <c r="O975" s="430"/>
      <c r="P975" s="430"/>
      <c r="Q975" s="430"/>
      <c r="R975" s="430"/>
      <c r="S975" s="430"/>
      <c r="T975" s="430"/>
      <c r="U975" s="430"/>
      <c r="V975" s="430"/>
      <c r="W975" s="430"/>
      <c r="X975" s="430"/>
      <c r="Y975" s="430"/>
      <c r="Z975" s="430"/>
      <c r="AA975" s="430"/>
    </row>
    <row r="976">
      <c r="A976" s="433"/>
      <c r="B976" s="430"/>
      <c r="C976" s="430"/>
      <c r="D976" s="430"/>
      <c r="E976" s="432"/>
      <c r="F976" s="430"/>
      <c r="G976" s="430"/>
      <c r="H976" s="430"/>
      <c r="I976" s="430"/>
      <c r="J976" s="430"/>
      <c r="K976" s="430"/>
      <c r="L976" s="430"/>
      <c r="M976" s="430"/>
      <c r="N976" s="430"/>
      <c r="O976" s="430"/>
      <c r="P976" s="430"/>
      <c r="Q976" s="430"/>
      <c r="R976" s="430"/>
      <c r="S976" s="430"/>
      <c r="T976" s="430"/>
      <c r="U976" s="430"/>
      <c r="V976" s="430"/>
      <c r="W976" s="430"/>
      <c r="X976" s="430"/>
      <c r="Y976" s="430"/>
      <c r="Z976" s="430"/>
      <c r="AA976" s="430"/>
    </row>
    <row r="977">
      <c r="A977" s="433"/>
      <c r="B977" s="430"/>
      <c r="C977" s="430"/>
      <c r="D977" s="430"/>
      <c r="E977" s="432"/>
      <c r="F977" s="430"/>
      <c r="G977" s="430"/>
      <c r="H977" s="430"/>
      <c r="I977" s="430"/>
      <c r="J977" s="430"/>
      <c r="K977" s="430"/>
      <c r="L977" s="430"/>
      <c r="M977" s="430"/>
      <c r="N977" s="430"/>
      <c r="O977" s="430"/>
      <c r="P977" s="430"/>
      <c r="Q977" s="430"/>
      <c r="R977" s="430"/>
      <c r="S977" s="430"/>
      <c r="T977" s="430"/>
      <c r="U977" s="430"/>
      <c r="V977" s="430"/>
      <c r="W977" s="430"/>
      <c r="X977" s="430"/>
      <c r="Y977" s="430"/>
      <c r="Z977" s="430"/>
      <c r="AA977" s="430"/>
    </row>
    <row r="978">
      <c r="A978" s="433"/>
      <c r="B978" s="430"/>
      <c r="C978" s="430"/>
      <c r="D978" s="430"/>
      <c r="E978" s="432"/>
      <c r="F978" s="430"/>
      <c r="G978" s="430"/>
      <c r="H978" s="430"/>
      <c r="I978" s="430"/>
      <c r="J978" s="430"/>
      <c r="K978" s="430"/>
      <c r="L978" s="430"/>
      <c r="M978" s="430"/>
      <c r="N978" s="430"/>
      <c r="O978" s="430"/>
      <c r="P978" s="430"/>
      <c r="Q978" s="430"/>
      <c r="R978" s="430"/>
      <c r="S978" s="430"/>
      <c r="T978" s="430"/>
      <c r="U978" s="430"/>
      <c r="V978" s="430"/>
      <c r="W978" s="430"/>
      <c r="X978" s="430"/>
      <c r="Y978" s="430"/>
      <c r="Z978" s="430"/>
      <c r="AA978" s="430"/>
    </row>
    <row r="979">
      <c r="A979" s="433"/>
      <c r="B979" s="430"/>
      <c r="C979" s="430"/>
      <c r="D979" s="430"/>
      <c r="E979" s="432"/>
      <c r="F979" s="430"/>
      <c r="G979" s="430"/>
      <c r="H979" s="430"/>
      <c r="I979" s="430"/>
      <c r="J979" s="430"/>
      <c r="K979" s="430"/>
      <c r="L979" s="430"/>
      <c r="M979" s="430"/>
      <c r="N979" s="430"/>
      <c r="O979" s="430"/>
      <c r="P979" s="430"/>
      <c r="Q979" s="430"/>
      <c r="R979" s="430"/>
      <c r="S979" s="430"/>
      <c r="T979" s="430"/>
      <c r="U979" s="430"/>
      <c r="V979" s="430"/>
      <c r="W979" s="430"/>
      <c r="X979" s="430"/>
      <c r="Y979" s="430"/>
      <c r="Z979" s="430"/>
      <c r="AA979" s="430"/>
    </row>
    <row r="980">
      <c r="A980" s="433"/>
      <c r="B980" s="430"/>
      <c r="C980" s="430"/>
      <c r="D980" s="430"/>
      <c r="E980" s="432"/>
      <c r="F980" s="430"/>
      <c r="G980" s="430"/>
      <c r="H980" s="430"/>
      <c r="I980" s="430"/>
      <c r="J980" s="430"/>
      <c r="K980" s="430"/>
      <c r="L980" s="430"/>
      <c r="M980" s="430"/>
      <c r="N980" s="430"/>
      <c r="O980" s="430"/>
      <c r="P980" s="430"/>
      <c r="Q980" s="430"/>
      <c r="R980" s="430"/>
      <c r="S980" s="430"/>
      <c r="T980" s="430"/>
      <c r="U980" s="430"/>
      <c r="V980" s="430"/>
      <c r="W980" s="430"/>
      <c r="X980" s="430"/>
      <c r="Y980" s="430"/>
      <c r="Z980" s="430"/>
      <c r="AA980" s="430"/>
    </row>
    <row r="981">
      <c r="A981" s="433"/>
      <c r="B981" s="430"/>
      <c r="C981" s="430"/>
      <c r="D981" s="430"/>
      <c r="E981" s="432"/>
      <c r="F981" s="430"/>
      <c r="G981" s="430"/>
      <c r="H981" s="430"/>
      <c r="I981" s="430"/>
      <c r="J981" s="430"/>
      <c r="K981" s="430"/>
      <c r="L981" s="430"/>
      <c r="M981" s="430"/>
      <c r="N981" s="430"/>
      <c r="O981" s="430"/>
      <c r="P981" s="430"/>
      <c r="Q981" s="430"/>
      <c r="R981" s="430"/>
      <c r="S981" s="430"/>
      <c r="T981" s="430"/>
      <c r="U981" s="430"/>
      <c r="V981" s="430"/>
      <c r="W981" s="430"/>
      <c r="X981" s="430"/>
      <c r="Y981" s="430"/>
      <c r="Z981" s="430"/>
      <c r="AA981" s="430"/>
    </row>
    <row r="982">
      <c r="A982" s="433"/>
      <c r="B982" s="430"/>
      <c r="C982" s="430"/>
      <c r="D982" s="430"/>
      <c r="E982" s="432"/>
      <c r="F982" s="430"/>
      <c r="G982" s="430"/>
      <c r="H982" s="430"/>
      <c r="I982" s="430"/>
      <c r="J982" s="430"/>
      <c r="K982" s="430"/>
      <c r="L982" s="430"/>
      <c r="M982" s="430"/>
      <c r="N982" s="430"/>
      <c r="O982" s="430"/>
      <c r="P982" s="430"/>
      <c r="Q982" s="430"/>
      <c r="R982" s="430"/>
      <c r="S982" s="430"/>
      <c r="T982" s="430"/>
      <c r="U982" s="430"/>
      <c r="V982" s="430"/>
      <c r="W982" s="430"/>
      <c r="X982" s="430"/>
      <c r="Y982" s="430"/>
      <c r="Z982" s="430"/>
      <c r="AA982" s="430"/>
    </row>
    <row r="983">
      <c r="A983" s="433"/>
      <c r="B983" s="430"/>
      <c r="C983" s="430"/>
      <c r="D983" s="430"/>
      <c r="E983" s="432"/>
      <c r="F983" s="430"/>
      <c r="G983" s="430"/>
      <c r="H983" s="430"/>
      <c r="I983" s="430"/>
      <c r="J983" s="430"/>
      <c r="K983" s="430"/>
      <c r="L983" s="430"/>
      <c r="M983" s="430"/>
      <c r="N983" s="430"/>
      <c r="O983" s="430"/>
      <c r="P983" s="430"/>
      <c r="Q983" s="430"/>
      <c r="R983" s="430"/>
      <c r="S983" s="430"/>
      <c r="T983" s="430"/>
      <c r="U983" s="430"/>
      <c r="V983" s="430"/>
      <c r="W983" s="430"/>
      <c r="X983" s="430"/>
      <c r="Y983" s="430"/>
      <c r="Z983" s="430"/>
      <c r="AA983" s="430"/>
    </row>
    <row r="984">
      <c r="A984" s="433"/>
      <c r="B984" s="430"/>
      <c r="C984" s="430"/>
      <c r="D984" s="430"/>
      <c r="E984" s="432"/>
      <c r="F984" s="430"/>
      <c r="G984" s="430"/>
      <c r="H984" s="430"/>
      <c r="I984" s="430"/>
      <c r="J984" s="430"/>
      <c r="K984" s="430"/>
      <c r="L984" s="430"/>
      <c r="M984" s="430"/>
      <c r="N984" s="430"/>
      <c r="O984" s="430"/>
      <c r="P984" s="430"/>
      <c r="Q984" s="430"/>
      <c r="R984" s="430"/>
      <c r="S984" s="430"/>
      <c r="T984" s="430"/>
      <c r="U984" s="430"/>
      <c r="V984" s="430"/>
      <c r="W984" s="430"/>
      <c r="X984" s="430"/>
      <c r="Y984" s="430"/>
      <c r="Z984" s="430"/>
      <c r="AA984" s="430"/>
    </row>
    <row r="985">
      <c r="A985" s="433"/>
      <c r="B985" s="430"/>
      <c r="C985" s="430"/>
      <c r="D985" s="430"/>
      <c r="E985" s="432"/>
      <c r="F985" s="430"/>
      <c r="G985" s="430"/>
      <c r="H985" s="430"/>
      <c r="I985" s="430"/>
      <c r="J985" s="430"/>
      <c r="K985" s="430"/>
      <c r="L985" s="430"/>
      <c r="M985" s="430"/>
      <c r="N985" s="430"/>
      <c r="O985" s="430"/>
      <c r="P985" s="430"/>
      <c r="Q985" s="430"/>
      <c r="R985" s="430"/>
      <c r="S985" s="430"/>
      <c r="T985" s="430"/>
      <c r="U985" s="430"/>
      <c r="V985" s="430"/>
      <c r="W985" s="430"/>
      <c r="X985" s="430"/>
      <c r="Y985" s="430"/>
      <c r="Z985" s="430"/>
      <c r="AA985" s="430"/>
    </row>
    <row r="986">
      <c r="A986" s="433"/>
      <c r="B986" s="430"/>
      <c r="C986" s="430"/>
      <c r="D986" s="430"/>
      <c r="E986" s="432"/>
      <c r="F986" s="430"/>
      <c r="G986" s="430"/>
      <c r="H986" s="430"/>
      <c r="I986" s="430"/>
      <c r="J986" s="430"/>
      <c r="K986" s="430"/>
      <c r="L986" s="430"/>
      <c r="M986" s="430"/>
      <c r="N986" s="430"/>
      <c r="O986" s="430"/>
      <c r="P986" s="430"/>
      <c r="Q986" s="430"/>
      <c r="R986" s="430"/>
      <c r="S986" s="430"/>
      <c r="T986" s="430"/>
      <c r="U986" s="430"/>
      <c r="V986" s="430"/>
      <c r="W986" s="430"/>
      <c r="X986" s="430"/>
      <c r="Y986" s="430"/>
      <c r="Z986" s="430"/>
      <c r="AA986" s="430"/>
    </row>
    <row r="987">
      <c r="A987" s="433"/>
      <c r="B987" s="430"/>
      <c r="C987" s="430"/>
      <c r="D987" s="430"/>
      <c r="E987" s="432"/>
      <c r="F987" s="430"/>
      <c r="G987" s="430"/>
      <c r="H987" s="430"/>
      <c r="I987" s="430"/>
      <c r="J987" s="430"/>
      <c r="K987" s="430"/>
      <c r="L987" s="430"/>
      <c r="M987" s="430"/>
      <c r="N987" s="430"/>
      <c r="O987" s="430"/>
      <c r="P987" s="430"/>
      <c r="Q987" s="430"/>
      <c r="R987" s="430"/>
      <c r="S987" s="430"/>
      <c r="T987" s="430"/>
      <c r="U987" s="430"/>
      <c r="V987" s="430"/>
      <c r="W987" s="430"/>
      <c r="X987" s="430"/>
      <c r="Y987" s="430"/>
      <c r="Z987" s="430"/>
      <c r="AA987" s="430"/>
    </row>
    <row r="988">
      <c r="A988" s="433"/>
      <c r="B988" s="430"/>
      <c r="C988" s="430"/>
      <c r="D988" s="430"/>
      <c r="E988" s="432"/>
      <c r="F988" s="430"/>
      <c r="G988" s="430"/>
      <c r="H988" s="430"/>
      <c r="I988" s="430"/>
      <c r="J988" s="430"/>
      <c r="K988" s="430"/>
      <c r="L988" s="430"/>
      <c r="M988" s="430"/>
      <c r="N988" s="430"/>
      <c r="O988" s="430"/>
      <c r="P988" s="430"/>
      <c r="Q988" s="430"/>
      <c r="R988" s="430"/>
      <c r="S988" s="430"/>
      <c r="T988" s="430"/>
      <c r="U988" s="430"/>
      <c r="V988" s="430"/>
      <c r="W988" s="430"/>
      <c r="X988" s="430"/>
      <c r="Y988" s="430"/>
      <c r="Z988" s="430"/>
      <c r="AA988" s="430"/>
    </row>
    <row r="989">
      <c r="A989" s="433"/>
      <c r="B989" s="430"/>
      <c r="C989" s="430"/>
      <c r="D989" s="430"/>
      <c r="E989" s="432"/>
      <c r="F989" s="430"/>
      <c r="G989" s="430"/>
      <c r="H989" s="430"/>
      <c r="I989" s="430"/>
      <c r="J989" s="430"/>
      <c r="K989" s="430"/>
      <c r="L989" s="430"/>
      <c r="M989" s="430"/>
      <c r="N989" s="430"/>
      <c r="O989" s="430"/>
      <c r="P989" s="430"/>
      <c r="Q989" s="430"/>
      <c r="R989" s="430"/>
      <c r="S989" s="430"/>
      <c r="T989" s="430"/>
      <c r="U989" s="430"/>
      <c r="V989" s="430"/>
      <c r="W989" s="430"/>
      <c r="X989" s="430"/>
      <c r="Y989" s="430"/>
      <c r="Z989" s="430"/>
      <c r="AA989" s="430"/>
    </row>
    <row r="990">
      <c r="A990" s="433"/>
      <c r="B990" s="430"/>
      <c r="C990" s="430"/>
      <c r="D990" s="430"/>
      <c r="E990" s="432"/>
      <c r="F990" s="430"/>
      <c r="G990" s="430"/>
      <c r="H990" s="430"/>
      <c r="I990" s="430"/>
      <c r="J990" s="430"/>
      <c r="K990" s="430"/>
      <c r="L990" s="430"/>
      <c r="M990" s="430"/>
      <c r="N990" s="430"/>
      <c r="O990" s="430"/>
      <c r="P990" s="430"/>
      <c r="Q990" s="430"/>
      <c r="R990" s="430"/>
      <c r="S990" s="430"/>
      <c r="T990" s="430"/>
      <c r="U990" s="430"/>
      <c r="V990" s="430"/>
      <c r="W990" s="430"/>
      <c r="X990" s="430"/>
      <c r="Y990" s="430"/>
      <c r="Z990" s="430"/>
      <c r="AA990" s="430"/>
    </row>
    <row r="991">
      <c r="A991" s="433"/>
      <c r="B991" s="430"/>
      <c r="C991" s="430"/>
      <c r="D991" s="430"/>
      <c r="E991" s="432"/>
      <c r="F991" s="430"/>
      <c r="G991" s="430"/>
      <c r="H991" s="430"/>
      <c r="I991" s="430"/>
      <c r="J991" s="430"/>
      <c r="K991" s="430"/>
      <c r="L991" s="430"/>
      <c r="M991" s="430"/>
      <c r="N991" s="430"/>
      <c r="O991" s="430"/>
      <c r="P991" s="430"/>
      <c r="Q991" s="430"/>
      <c r="R991" s="430"/>
      <c r="S991" s="430"/>
      <c r="T991" s="430"/>
      <c r="U991" s="430"/>
      <c r="V991" s="430"/>
      <c r="W991" s="430"/>
      <c r="X991" s="430"/>
      <c r="Y991" s="430"/>
      <c r="Z991" s="430"/>
      <c r="AA991" s="430"/>
    </row>
    <row r="992">
      <c r="A992" s="433"/>
      <c r="B992" s="430"/>
      <c r="C992" s="430"/>
      <c r="D992" s="430"/>
      <c r="E992" s="432"/>
      <c r="F992" s="430"/>
      <c r="G992" s="430"/>
      <c r="H992" s="430"/>
      <c r="I992" s="430"/>
      <c r="J992" s="430"/>
      <c r="K992" s="430"/>
      <c r="L992" s="430"/>
      <c r="M992" s="430"/>
      <c r="N992" s="430"/>
      <c r="O992" s="430"/>
      <c r="P992" s="430"/>
      <c r="Q992" s="430"/>
      <c r="R992" s="430"/>
      <c r="S992" s="430"/>
      <c r="T992" s="430"/>
      <c r="U992" s="430"/>
      <c r="V992" s="430"/>
      <c r="W992" s="430"/>
      <c r="X992" s="430"/>
      <c r="Y992" s="430"/>
      <c r="Z992" s="430"/>
      <c r="AA992" s="430"/>
    </row>
    <row r="993">
      <c r="A993" s="433"/>
      <c r="B993" s="430"/>
      <c r="C993" s="430"/>
      <c r="D993" s="430"/>
      <c r="E993" s="432"/>
      <c r="F993" s="430"/>
      <c r="G993" s="430"/>
      <c r="H993" s="430"/>
      <c r="I993" s="430"/>
      <c r="J993" s="430"/>
      <c r="K993" s="430"/>
      <c r="L993" s="430"/>
      <c r="M993" s="430"/>
      <c r="N993" s="430"/>
      <c r="O993" s="430"/>
      <c r="P993" s="430"/>
      <c r="Q993" s="430"/>
      <c r="R993" s="430"/>
      <c r="S993" s="430"/>
      <c r="T993" s="430"/>
      <c r="U993" s="430"/>
      <c r="V993" s="430"/>
      <c r="W993" s="430"/>
      <c r="X993" s="430"/>
      <c r="Y993" s="430"/>
      <c r="Z993" s="430"/>
      <c r="AA993" s="430"/>
    </row>
    <row r="994">
      <c r="A994" s="433"/>
      <c r="B994" s="430"/>
      <c r="C994" s="430"/>
      <c r="D994" s="430"/>
      <c r="E994" s="432"/>
      <c r="F994" s="430"/>
      <c r="G994" s="430"/>
      <c r="H994" s="430"/>
      <c r="I994" s="430"/>
      <c r="J994" s="430"/>
      <c r="K994" s="430"/>
      <c r="L994" s="430"/>
      <c r="M994" s="430"/>
      <c r="N994" s="430"/>
      <c r="O994" s="430"/>
      <c r="P994" s="430"/>
      <c r="Q994" s="430"/>
      <c r="R994" s="430"/>
      <c r="S994" s="430"/>
      <c r="T994" s="430"/>
      <c r="U994" s="430"/>
      <c r="V994" s="430"/>
      <c r="W994" s="430"/>
      <c r="X994" s="430"/>
      <c r="Y994" s="430"/>
      <c r="Z994" s="430"/>
      <c r="AA994" s="430"/>
    </row>
    <row r="995">
      <c r="A995" s="433"/>
      <c r="B995" s="430"/>
      <c r="C995" s="430"/>
      <c r="D995" s="430"/>
      <c r="E995" s="432"/>
      <c r="F995" s="430"/>
      <c r="G995" s="430"/>
      <c r="H995" s="430"/>
      <c r="I995" s="430"/>
      <c r="J995" s="430"/>
      <c r="K995" s="430"/>
      <c r="L995" s="430"/>
      <c r="M995" s="430"/>
      <c r="N995" s="430"/>
      <c r="O995" s="430"/>
      <c r="P995" s="430"/>
      <c r="Q995" s="430"/>
      <c r="R995" s="430"/>
      <c r="S995" s="430"/>
      <c r="T995" s="430"/>
      <c r="U995" s="430"/>
      <c r="V995" s="430"/>
      <c r="W995" s="430"/>
      <c r="X995" s="430"/>
      <c r="Y995" s="430"/>
      <c r="Z995" s="430"/>
      <c r="AA995" s="430"/>
    </row>
    <row r="996">
      <c r="A996" s="433"/>
      <c r="B996" s="430"/>
      <c r="C996" s="430"/>
      <c r="D996" s="430"/>
      <c r="E996" s="432"/>
      <c r="F996" s="430"/>
      <c r="G996" s="430"/>
      <c r="H996" s="430"/>
      <c r="I996" s="430"/>
      <c r="J996" s="430"/>
      <c r="K996" s="430"/>
      <c r="L996" s="430"/>
      <c r="M996" s="430"/>
      <c r="N996" s="430"/>
      <c r="O996" s="430"/>
      <c r="P996" s="430"/>
      <c r="Q996" s="430"/>
      <c r="R996" s="430"/>
      <c r="S996" s="430"/>
      <c r="T996" s="430"/>
      <c r="U996" s="430"/>
      <c r="V996" s="430"/>
      <c r="W996" s="430"/>
      <c r="X996" s="430"/>
      <c r="Y996" s="430"/>
      <c r="Z996" s="430"/>
      <c r="AA996" s="430"/>
    </row>
    <row r="997">
      <c r="A997" s="433"/>
      <c r="B997" s="430"/>
      <c r="C997" s="430"/>
      <c r="D997" s="430"/>
      <c r="E997" s="432"/>
      <c r="F997" s="430"/>
      <c r="G997" s="430"/>
      <c r="H997" s="430"/>
      <c r="I997" s="430"/>
      <c r="J997" s="430"/>
      <c r="K997" s="430"/>
      <c r="L997" s="430"/>
      <c r="M997" s="430"/>
      <c r="N997" s="430"/>
      <c r="O997" s="430"/>
      <c r="P997" s="430"/>
      <c r="Q997" s="430"/>
      <c r="R997" s="430"/>
      <c r="S997" s="430"/>
      <c r="T997" s="430"/>
      <c r="U997" s="430"/>
      <c r="V997" s="430"/>
      <c r="W997" s="430"/>
      <c r="X997" s="430"/>
      <c r="Y997" s="430"/>
      <c r="Z997" s="430"/>
      <c r="AA997" s="430"/>
    </row>
    <row r="998">
      <c r="A998" s="433"/>
      <c r="B998" s="430"/>
      <c r="C998" s="430"/>
      <c r="D998" s="430"/>
      <c r="E998" s="432"/>
      <c r="F998" s="430"/>
      <c r="G998" s="430"/>
      <c r="H998" s="430"/>
      <c r="I998" s="430"/>
      <c r="J998" s="430"/>
      <c r="K998" s="430"/>
      <c r="L998" s="430"/>
      <c r="M998" s="430"/>
      <c r="N998" s="430"/>
      <c r="O998" s="430"/>
      <c r="P998" s="430"/>
      <c r="Q998" s="430"/>
      <c r="R998" s="430"/>
      <c r="S998" s="430"/>
      <c r="T998" s="430"/>
      <c r="U998" s="430"/>
      <c r="V998" s="430"/>
      <c r="W998" s="430"/>
      <c r="X998" s="430"/>
      <c r="Y998" s="430"/>
      <c r="Z998" s="430"/>
      <c r="AA998" s="430"/>
    </row>
    <row r="999">
      <c r="A999" s="433"/>
      <c r="B999" s="430"/>
      <c r="C999" s="430"/>
      <c r="D999" s="430"/>
      <c r="E999" s="432"/>
      <c r="F999" s="430"/>
      <c r="G999" s="430"/>
      <c r="H999" s="430"/>
      <c r="I999" s="430"/>
      <c r="J999" s="430"/>
      <c r="K999" s="430"/>
      <c r="L999" s="430"/>
      <c r="M999" s="430"/>
      <c r="N999" s="430"/>
      <c r="O999" s="430"/>
      <c r="P999" s="430"/>
      <c r="Q999" s="430"/>
      <c r="R999" s="430"/>
      <c r="S999" s="430"/>
      <c r="T999" s="430"/>
      <c r="U999" s="430"/>
      <c r="V999" s="430"/>
      <c r="W999" s="430"/>
      <c r="X999" s="430"/>
      <c r="Y999" s="430"/>
      <c r="Z999" s="430"/>
      <c r="AA999" s="430"/>
    </row>
    <row r="1000">
      <c r="A1000" s="433"/>
      <c r="B1000" s="430"/>
      <c r="C1000" s="430"/>
      <c r="D1000" s="430"/>
      <c r="E1000" s="432"/>
      <c r="F1000" s="430"/>
      <c r="G1000" s="430"/>
      <c r="H1000" s="430"/>
      <c r="I1000" s="430"/>
      <c r="J1000" s="430"/>
      <c r="K1000" s="430"/>
      <c r="L1000" s="430"/>
      <c r="M1000" s="430"/>
      <c r="N1000" s="430"/>
      <c r="O1000" s="430"/>
      <c r="P1000" s="430"/>
      <c r="Q1000" s="430"/>
      <c r="R1000" s="430"/>
      <c r="S1000" s="430"/>
      <c r="T1000" s="430"/>
      <c r="U1000" s="430"/>
      <c r="V1000" s="430"/>
      <c r="W1000" s="430"/>
      <c r="X1000" s="430"/>
      <c r="Y1000" s="430"/>
      <c r="Z1000" s="430"/>
      <c r="AA1000" s="430"/>
    </row>
  </sheetData>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2" max="2" width="11.29"/>
    <col customWidth="1" min="3" max="3" width="52.43"/>
    <col customWidth="1" min="4" max="4" width="30.86"/>
    <col customWidth="1" min="6" max="6" width="22.14"/>
  </cols>
  <sheetData>
    <row r="1">
      <c r="A1" s="434" t="s">
        <v>540</v>
      </c>
      <c r="B1" s="435"/>
      <c r="C1" s="435"/>
      <c r="D1" s="435"/>
      <c r="E1" s="435"/>
      <c r="F1" s="435"/>
      <c r="G1" s="435"/>
      <c r="H1" s="435"/>
      <c r="I1" s="435"/>
      <c r="J1" s="435"/>
      <c r="K1" s="435"/>
      <c r="L1" s="435"/>
      <c r="M1" s="435"/>
      <c r="N1" s="435"/>
      <c r="O1" s="435"/>
      <c r="P1" s="435"/>
      <c r="Q1" s="435"/>
      <c r="R1" s="435"/>
      <c r="S1" s="435"/>
      <c r="T1" s="435"/>
      <c r="U1" s="435"/>
      <c r="V1" s="435"/>
      <c r="W1" s="435"/>
      <c r="X1" s="435"/>
      <c r="Y1" s="435"/>
      <c r="Z1" s="435"/>
      <c r="AA1" s="435"/>
    </row>
    <row r="2">
      <c r="A2" s="436" t="s">
        <v>541</v>
      </c>
      <c r="B2" s="437" t="s">
        <v>3</v>
      </c>
      <c r="C2" s="437" t="s">
        <v>532</v>
      </c>
      <c r="D2" s="437" t="s">
        <v>1</v>
      </c>
      <c r="E2" s="437" t="s">
        <v>542</v>
      </c>
      <c r="F2" s="437" t="s">
        <v>6</v>
      </c>
      <c r="G2" s="435"/>
      <c r="H2" s="435"/>
      <c r="I2" s="435"/>
      <c r="J2" s="435"/>
      <c r="K2" s="435"/>
      <c r="L2" s="435"/>
      <c r="M2" s="435"/>
      <c r="N2" s="435"/>
      <c r="O2" s="435"/>
      <c r="P2" s="435"/>
      <c r="Q2" s="435"/>
      <c r="R2" s="435"/>
      <c r="S2" s="435"/>
      <c r="T2" s="435"/>
      <c r="U2" s="435"/>
      <c r="V2" s="435"/>
      <c r="W2" s="435"/>
      <c r="X2" s="435"/>
      <c r="Y2" s="435"/>
      <c r="Z2" s="435"/>
      <c r="AA2" s="435"/>
    </row>
    <row r="3">
      <c r="A3" s="438"/>
      <c r="B3" s="364"/>
      <c r="C3" s="364" t="s">
        <v>543</v>
      </c>
      <c r="D3" s="364" t="s">
        <v>128</v>
      </c>
      <c r="E3" s="364"/>
      <c r="F3" s="364" t="s">
        <v>544</v>
      </c>
    </row>
    <row r="4">
      <c r="A4" s="438"/>
      <c r="B4" s="364"/>
      <c r="C4" s="364" t="s">
        <v>545</v>
      </c>
      <c r="D4" s="364" t="s">
        <v>45</v>
      </c>
      <c r="E4" s="364"/>
      <c r="F4" s="364" t="s">
        <v>546</v>
      </c>
    </row>
    <row r="5">
      <c r="A5" s="438"/>
      <c r="B5" s="364"/>
      <c r="C5" s="364" t="s">
        <v>547</v>
      </c>
      <c r="D5" s="364" t="s">
        <v>548</v>
      </c>
      <c r="E5" s="364"/>
      <c r="F5" s="364" t="s">
        <v>544</v>
      </c>
    </row>
    <row r="6">
      <c r="A6" s="438"/>
      <c r="B6" s="364"/>
      <c r="C6" s="364" t="s">
        <v>137</v>
      </c>
      <c r="D6" s="364" t="s">
        <v>549</v>
      </c>
      <c r="E6" s="364"/>
      <c r="F6" s="364" t="s">
        <v>546</v>
      </c>
    </row>
    <row r="7">
      <c r="A7" s="438"/>
      <c r="B7" s="364"/>
      <c r="C7" s="364" t="s">
        <v>550</v>
      </c>
      <c r="D7" s="364" t="s">
        <v>551</v>
      </c>
      <c r="E7" s="364"/>
      <c r="F7" s="364" t="s">
        <v>546</v>
      </c>
    </row>
    <row r="8">
      <c r="A8" s="438"/>
      <c r="B8" s="364"/>
      <c r="C8" s="364" t="s">
        <v>137</v>
      </c>
      <c r="D8" s="364" t="s">
        <v>552</v>
      </c>
      <c r="E8" s="364"/>
      <c r="F8" s="364" t="s">
        <v>546</v>
      </c>
    </row>
    <row r="9">
      <c r="A9" s="438"/>
      <c r="B9" s="364"/>
      <c r="C9" s="364" t="s">
        <v>137</v>
      </c>
      <c r="D9" s="364" t="s">
        <v>553</v>
      </c>
      <c r="E9" s="364"/>
      <c r="F9" s="364" t="s">
        <v>546</v>
      </c>
    </row>
    <row r="10">
      <c r="A10" s="438"/>
      <c r="B10" s="364"/>
      <c r="C10" s="364" t="s">
        <v>137</v>
      </c>
      <c r="D10" s="364" t="s">
        <v>554</v>
      </c>
      <c r="E10" s="364"/>
      <c r="F10" s="364" t="s">
        <v>546</v>
      </c>
    </row>
    <row r="11">
      <c r="A11" s="438"/>
      <c r="B11" s="364"/>
      <c r="C11" s="364" t="s">
        <v>137</v>
      </c>
      <c r="D11" s="364" t="s">
        <v>555</v>
      </c>
      <c r="E11" s="364"/>
      <c r="F11" s="364" t="s">
        <v>546</v>
      </c>
    </row>
    <row r="12">
      <c r="A12" s="438"/>
      <c r="B12" s="364"/>
      <c r="C12" s="364" t="s">
        <v>137</v>
      </c>
      <c r="D12" s="364" t="s">
        <v>556</v>
      </c>
      <c r="E12" s="364"/>
      <c r="F12" s="364" t="s">
        <v>546</v>
      </c>
    </row>
    <row r="13">
      <c r="A13" s="438">
        <v>43712.0</v>
      </c>
      <c r="B13" s="364">
        <v>183386.0</v>
      </c>
      <c r="C13" s="364" t="s">
        <v>557</v>
      </c>
      <c r="D13" s="364" t="s">
        <v>558</v>
      </c>
      <c r="E13" s="364" t="s">
        <v>559</v>
      </c>
    </row>
    <row r="14">
      <c r="A14" s="438">
        <v>43754.0</v>
      </c>
      <c r="B14" s="364">
        <v>185615.0</v>
      </c>
      <c r="C14" s="364" t="s">
        <v>560</v>
      </c>
      <c r="D14" s="364" t="s">
        <v>128</v>
      </c>
      <c r="E14" s="364" t="s">
        <v>561</v>
      </c>
    </row>
    <row r="15">
      <c r="A15" s="438">
        <v>44327.0</v>
      </c>
      <c r="B15" s="364">
        <v>219998.0</v>
      </c>
      <c r="C15" s="364" t="s">
        <v>562</v>
      </c>
      <c r="D15" s="364" t="s">
        <v>563</v>
      </c>
      <c r="E15" s="364" t="s">
        <v>561</v>
      </c>
    </row>
    <row r="16">
      <c r="A16" s="438">
        <v>44327.0</v>
      </c>
      <c r="B16" s="364">
        <v>164165.0</v>
      </c>
      <c r="C16" s="364" t="s">
        <v>564</v>
      </c>
      <c r="D16" s="364" t="s">
        <v>82</v>
      </c>
      <c r="E16" s="364" t="s">
        <v>565</v>
      </c>
      <c r="F16" s="364" t="s">
        <v>566</v>
      </c>
    </row>
    <row r="17">
      <c r="A17" s="438">
        <v>44327.0</v>
      </c>
      <c r="B17" s="364">
        <v>213244.0</v>
      </c>
      <c r="C17" s="364" t="s">
        <v>567</v>
      </c>
      <c r="D17" s="364" t="s">
        <v>82</v>
      </c>
      <c r="E17" s="364" t="s">
        <v>565</v>
      </c>
      <c r="F17" s="364" t="s">
        <v>566</v>
      </c>
    </row>
    <row r="18">
      <c r="A18" s="438">
        <v>44327.0</v>
      </c>
      <c r="B18" s="364">
        <v>212125.0</v>
      </c>
      <c r="C18" s="364" t="s">
        <v>568</v>
      </c>
      <c r="D18" s="364" t="s">
        <v>82</v>
      </c>
      <c r="E18" s="364" t="s">
        <v>565</v>
      </c>
      <c r="F18" s="364" t="s">
        <v>566</v>
      </c>
    </row>
    <row r="19">
      <c r="A19" s="438">
        <v>44327.0</v>
      </c>
      <c r="B19" s="364">
        <v>199227.0</v>
      </c>
      <c r="C19" s="364" t="s">
        <v>39</v>
      </c>
      <c r="D19" s="364" t="s">
        <v>336</v>
      </c>
      <c r="E19" s="364" t="s">
        <v>559</v>
      </c>
    </row>
    <row r="20">
      <c r="A20" s="438">
        <v>44355.0</v>
      </c>
      <c r="B20" s="364">
        <v>190910.0</v>
      </c>
      <c r="C20" s="364" t="s">
        <v>569</v>
      </c>
      <c r="D20" s="364" t="s">
        <v>120</v>
      </c>
      <c r="E20" s="364" t="s">
        <v>559</v>
      </c>
    </row>
    <row r="21">
      <c r="A21" s="438">
        <v>44355.0</v>
      </c>
      <c r="B21" s="364">
        <v>188486.0</v>
      </c>
      <c r="C21" s="364" t="s">
        <v>570</v>
      </c>
      <c r="D21" s="364" t="s">
        <v>20</v>
      </c>
      <c r="E21" s="364" t="s">
        <v>571</v>
      </c>
    </row>
    <row r="22">
      <c r="A22" s="438">
        <v>45044.0</v>
      </c>
      <c r="B22" s="439">
        <v>215693.0</v>
      </c>
      <c r="C22" s="440" t="s">
        <v>572</v>
      </c>
      <c r="D22" s="440" t="s">
        <v>461</v>
      </c>
      <c r="E22" s="440" t="s">
        <v>573</v>
      </c>
    </row>
    <row r="23">
      <c r="A23" s="438">
        <v>45044.0</v>
      </c>
      <c r="B23" s="439">
        <v>251619.0</v>
      </c>
      <c r="C23" s="440" t="s">
        <v>574</v>
      </c>
      <c r="D23" s="440" t="s">
        <v>461</v>
      </c>
      <c r="E23" s="440" t="s">
        <v>573</v>
      </c>
    </row>
    <row r="24">
      <c r="A24" s="438">
        <v>45044.0</v>
      </c>
      <c r="B24" s="439">
        <v>249374.0</v>
      </c>
      <c r="C24" s="440" t="s">
        <v>575</v>
      </c>
      <c r="D24" s="440" t="s">
        <v>461</v>
      </c>
      <c r="E24" s="440" t="s">
        <v>573</v>
      </c>
    </row>
    <row r="25">
      <c r="A25" s="438">
        <v>45044.0</v>
      </c>
      <c r="B25" s="439">
        <v>243068.0</v>
      </c>
      <c r="C25" s="440" t="s">
        <v>576</v>
      </c>
      <c r="D25" s="440" t="s">
        <v>577</v>
      </c>
      <c r="E25" s="440" t="s">
        <v>559</v>
      </c>
    </row>
    <row r="26">
      <c r="A26" s="438">
        <v>45057.0</v>
      </c>
      <c r="B26" s="439">
        <v>233060.0</v>
      </c>
      <c r="C26" s="440" t="s">
        <v>578</v>
      </c>
      <c r="D26" s="364" t="s">
        <v>411</v>
      </c>
      <c r="E26" s="364" t="s">
        <v>559</v>
      </c>
    </row>
    <row r="27">
      <c r="A27" s="438">
        <v>45156.0</v>
      </c>
      <c r="B27" s="364">
        <v>274328.0</v>
      </c>
      <c r="C27" s="364" t="s">
        <v>579</v>
      </c>
      <c r="D27" s="364" t="s">
        <v>128</v>
      </c>
      <c r="E27" s="364" t="s">
        <v>580</v>
      </c>
      <c r="F27" s="364" t="s">
        <v>581</v>
      </c>
    </row>
    <row r="28">
      <c r="A28" s="438">
        <v>45161.0</v>
      </c>
      <c r="B28" s="364">
        <v>236751.0</v>
      </c>
      <c r="C28" s="364" t="s">
        <v>582</v>
      </c>
      <c r="D28" s="364" t="s">
        <v>583</v>
      </c>
      <c r="E28" s="364" t="s">
        <v>561</v>
      </c>
    </row>
    <row r="29">
      <c r="A29" s="438">
        <v>45180.0</v>
      </c>
      <c r="B29" s="364">
        <v>192815.0</v>
      </c>
      <c r="C29" s="364" t="s">
        <v>584</v>
      </c>
      <c r="D29" s="364" t="s">
        <v>82</v>
      </c>
      <c r="E29" s="364" t="s">
        <v>565</v>
      </c>
      <c r="F29" s="364" t="s">
        <v>585</v>
      </c>
    </row>
    <row r="30">
      <c r="A30" s="438">
        <v>45189.0</v>
      </c>
      <c r="B30" s="364">
        <v>217953.0</v>
      </c>
      <c r="C30" s="364" t="s">
        <v>586</v>
      </c>
      <c r="D30" s="364" t="s">
        <v>587</v>
      </c>
      <c r="E30" s="364" t="s">
        <v>561</v>
      </c>
    </row>
    <row r="31">
      <c r="A31" s="438">
        <v>45189.0</v>
      </c>
      <c r="B31" s="364">
        <v>217954.0</v>
      </c>
      <c r="C31" s="364" t="s">
        <v>588</v>
      </c>
      <c r="D31" s="364" t="s">
        <v>587</v>
      </c>
      <c r="E31" s="364" t="s">
        <v>561</v>
      </c>
    </row>
    <row r="32">
      <c r="A32" s="438">
        <v>45191.0</v>
      </c>
      <c r="B32" s="364">
        <v>274103.0</v>
      </c>
      <c r="C32" s="364" t="s">
        <v>589</v>
      </c>
      <c r="D32" s="364" t="s">
        <v>120</v>
      </c>
      <c r="E32" s="364" t="s">
        <v>565</v>
      </c>
      <c r="F32" s="364" t="s">
        <v>590</v>
      </c>
    </row>
    <row r="33">
      <c r="A33" s="438">
        <v>45203.0</v>
      </c>
      <c r="B33" s="364">
        <v>233576.0</v>
      </c>
      <c r="C33" s="364" t="s">
        <v>591</v>
      </c>
      <c r="D33" s="364" t="s">
        <v>592</v>
      </c>
      <c r="E33" s="364" t="s">
        <v>559</v>
      </c>
    </row>
    <row r="34">
      <c r="A34" s="438">
        <v>45222.0</v>
      </c>
      <c r="B34" s="364">
        <v>267345.0</v>
      </c>
      <c r="C34" s="364" t="s">
        <v>593</v>
      </c>
      <c r="D34" s="364" t="s">
        <v>120</v>
      </c>
      <c r="E34" s="364" t="s">
        <v>565</v>
      </c>
      <c r="F34" s="364" t="s">
        <v>590</v>
      </c>
    </row>
    <row r="35">
      <c r="A35" s="438">
        <v>45636.0</v>
      </c>
      <c r="B35" s="364">
        <v>290536.0</v>
      </c>
      <c r="C35" s="364" t="s">
        <v>594</v>
      </c>
      <c r="D35" s="364" t="s">
        <v>232</v>
      </c>
      <c r="E35" s="364" t="s">
        <v>559</v>
      </c>
    </row>
    <row r="36">
      <c r="A36" s="438">
        <v>45723.0</v>
      </c>
      <c r="B36" s="364">
        <v>237935.0</v>
      </c>
      <c r="C36" s="364" t="s">
        <v>595</v>
      </c>
      <c r="D36" s="364" t="s">
        <v>596</v>
      </c>
      <c r="E36" s="364" t="s">
        <v>565</v>
      </c>
    </row>
    <row r="37">
      <c r="A37" s="438">
        <v>45757.0</v>
      </c>
      <c r="B37" s="364">
        <v>259568.0</v>
      </c>
      <c r="C37" s="364" t="s">
        <v>597</v>
      </c>
      <c r="D37" s="364" t="s">
        <v>598</v>
      </c>
      <c r="E37" s="364" t="s">
        <v>559</v>
      </c>
    </row>
    <row r="38">
      <c r="A38" s="438">
        <v>45769.0</v>
      </c>
      <c r="B38" s="364">
        <v>304625.0</v>
      </c>
      <c r="C38" s="364" t="s">
        <v>599</v>
      </c>
      <c r="D38" s="364" t="s">
        <v>600</v>
      </c>
      <c r="E38" s="364" t="s">
        <v>561</v>
      </c>
    </row>
    <row r="39">
      <c r="A39" s="438">
        <v>45769.0</v>
      </c>
      <c r="B39" s="364">
        <v>252466.0</v>
      </c>
      <c r="C39" s="364" t="s">
        <v>601</v>
      </c>
      <c r="D39" s="364" t="s">
        <v>210</v>
      </c>
      <c r="E39" s="364" t="s">
        <v>559</v>
      </c>
    </row>
    <row r="40">
      <c r="A40" s="346"/>
    </row>
    <row r="41">
      <c r="A41" s="346"/>
    </row>
    <row r="42">
      <c r="A42" s="346"/>
    </row>
    <row r="43">
      <c r="A43" s="346"/>
    </row>
    <row r="44">
      <c r="A44" s="346"/>
    </row>
    <row r="45">
      <c r="A45" s="346"/>
    </row>
    <row r="46">
      <c r="A46" s="346"/>
    </row>
    <row r="47">
      <c r="A47" s="346"/>
    </row>
    <row r="48">
      <c r="A48" s="346"/>
    </row>
    <row r="49">
      <c r="A49" s="346"/>
    </row>
    <row r="50">
      <c r="A50" s="346"/>
    </row>
    <row r="51">
      <c r="A51" s="346"/>
    </row>
    <row r="52">
      <c r="A52" s="346"/>
    </row>
    <row r="53">
      <c r="A53" s="346"/>
    </row>
    <row r="54">
      <c r="A54" s="346"/>
    </row>
    <row r="55">
      <c r="A55" s="346"/>
    </row>
    <row r="56">
      <c r="A56" s="346"/>
    </row>
    <row r="57">
      <c r="A57" s="346"/>
    </row>
    <row r="58">
      <c r="A58" s="346"/>
    </row>
    <row r="59">
      <c r="A59" s="346"/>
    </row>
    <row r="60">
      <c r="A60" s="346"/>
    </row>
    <row r="61">
      <c r="A61" s="346"/>
    </row>
    <row r="62">
      <c r="A62" s="346"/>
    </row>
    <row r="63">
      <c r="A63" s="346"/>
    </row>
    <row r="64">
      <c r="A64" s="346"/>
    </row>
    <row r="65">
      <c r="A65" s="346"/>
    </row>
    <row r="66">
      <c r="A66" s="346"/>
    </row>
    <row r="67">
      <c r="A67" s="346"/>
    </row>
    <row r="68">
      <c r="A68" s="346"/>
    </row>
    <row r="69">
      <c r="A69" s="346"/>
    </row>
    <row r="70">
      <c r="A70" s="346"/>
    </row>
    <row r="71">
      <c r="A71" s="346"/>
    </row>
    <row r="72">
      <c r="A72" s="346"/>
    </row>
    <row r="73">
      <c r="A73" s="346"/>
    </row>
    <row r="74">
      <c r="A74" s="346"/>
    </row>
    <row r="75">
      <c r="A75" s="346"/>
    </row>
    <row r="76">
      <c r="A76" s="346"/>
    </row>
    <row r="77">
      <c r="A77" s="346"/>
    </row>
    <row r="78">
      <c r="A78" s="346"/>
    </row>
    <row r="79">
      <c r="A79" s="346"/>
    </row>
    <row r="80">
      <c r="A80" s="346"/>
    </row>
    <row r="81">
      <c r="A81" s="346"/>
    </row>
    <row r="82">
      <c r="A82" s="346"/>
    </row>
    <row r="83">
      <c r="A83" s="346"/>
    </row>
    <row r="84">
      <c r="A84" s="346"/>
    </row>
    <row r="85">
      <c r="A85" s="346"/>
    </row>
    <row r="86">
      <c r="A86" s="346"/>
    </row>
    <row r="87">
      <c r="A87" s="346"/>
    </row>
    <row r="88">
      <c r="A88" s="346"/>
    </row>
    <row r="89">
      <c r="A89" s="346"/>
    </row>
    <row r="90">
      <c r="A90" s="346"/>
    </row>
    <row r="91">
      <c r="A91" s="346"/>
    </row>
    <row r="92">
      <c r="A92" s="346"/>
    </row>
    <row r="93">
      <c r="A93" s="346"/>
    </row>
    <row r="94">
      <c r="A94" s="346"/>
    </row>
    <row r="95">
      <c r="A95" s="346"/>
    </row>
    <row r="96">
      <c r="A96" s="346"/>
    </row>
    <row r="97">
      <c r="A97" s="346"/>
    </row>
    <row r="98">
      <c r="A98" s="346"/>
    </row>
    <row r="99">
      <c r="A99" s="346"/>
    </row>
    <row r="100">
      <c r="A100" s="346"/>
    </row>
    <row r="101">
      <c r="A101" s="346"/>
    </row>
    <row r="102">
      <c r="A102" s="346"/>
    </row>
    <row r="103">
      <c r="A103" s="346"/>
    </row>
    <row r="104">
      <c r="A104" s="346"/>
    </row>
    <row r="105">
      <c r="A105" s="346"/>
    </row>
    <row r="106">
      <c r="A106" s="346"/>
    </row>
    <row r="107">
      <c r="A107" s="346"/>
    </row>
    <row r="108">
      <c r="A108" s="346"/>
    </row>
    <row r="109">
      <c r="A109" s="346"/>
    </row>
    <row r="110">
      <c r="A110" s="346"/>
    </row>
    <row r="111">
      <c r="A111" s="346"/>
    </row>
    <row r="112">
      <c r="A112" s="346"/>
    </row>
    <row r="113">
      <c r="A113" s="346"/>
    </row>
    <row r="114">
      <c r="A114" s="346"/>
    </row>
    <row r="115">
      <c r="A115" s="346"/>
    </row>
    <row r="116">
      <c r="A116" s="346"/>
    </row>
    <row r="117">
      <c r="A117" s="346"/>
    </row>
    <row r="118">
      <c r="A118" s="346"/>
    </row>
    <row r="119">
      <c r="A119" s="346"/>
    </row>
    <row r="120">
      <c r="A120" s="346"/>
    </row>
    <row r="121">
      <c r="A121" s="346"/>
    </row>
    <row r="122">
      <c r="A122" s="346"/>
    </row>
    <row r="123">
      <c r="A123" s="346"/>
    </row>
    <row r="124">
      <c r="A124" s="346"/>
    </row>
    <row r="125">
      <c r="A125" s="346"/>
    </row>
    <row r="126">
      <c r="A126" s="346"/>
    </row>
    <row r="127">
      <c r="A127" s="346"/>
    </row>
    <row r="128">
      <c r="A128" s="346"/>
    </row>
    <row r="129">
      <c r="A129" s="346"/>
    </row>
    <row r="130">
      <c r="A130" s="346"/>
    </row>
    <row r="131">
      <c r="A131" s="346"/>
    </row>
    <row r="132">
      <c r="A132" s="346"/>
    </row>
    <row r="133">
      <c r="A133" s="346"/>
    </row>
    <row r="134">
      <c r="A134" s="346"/>
    </row>
    <row r="135">
      <c r="A135" s="346"/>
    </row>
    <row r="136">
      <c r="A136" s="346"/>
    </row>
    <row r="137">
      <c r="A137" s="346"/>
    </row>
    <row r="138">
      <c r="A138" s="346"/>
    </row>
    <row r="139">
      <c r="A139" s="346"/>
    </row>
    <row r="140">
      <c r="A140" s="346"/>
    </row>
    <row r="141">
      <c r="A141" s="346"/>
    </row>
    <row r="142">
      <c r="A142" s="346"/>
    </row>
    <row r="143">
      <c r="A143" s="346"/>
    </row>
    <row r="144">
      <c r="A144" s="346"/>
    </row>
    <row r="145">
      <c r="A145" s="346"/>
    </row>
    <row r="146">
      <c r="A146" s="346"/>
    </row>
    <row r="147">
      <c r="A147" s="346"/>
    </row>
    <row r="148">
      <c r="A148" s="346"/>
    </row>
    <row r="149">
      <c r="A149" s="346"/>
    </row>
    <row r="150">
      <c r="A150" s="346"/>
    </row>
    <row r="151">
      <c r="A151" s="346"/>
    </row>
    <row r="152">
      <c r="A152" s="346"/>
    </row>
    <row r="153">
      <c r="A153" s="346"/>
    </row>
    <row r="154">
      <c r="A154" s="346"/>
    </row>
    <row r="155">
      <c r="A155" s="346"/>
    </row>
    <row r="156">
      <c r="A156" s="346"/>
    </row>
    <row r="157">
      <c r="A157" s="346"/>
    </row>
    <row r="158">
      <c r="A158" s="346"/>
    </row>
    <row r="159">
      <c r="A159" s="346"/>
    </row>
    <row r="160">
      <c r="A160" s="346"/>
    </row>
    <row r="161">
      <c r="A161" s="346"/>
    </row>
    <row r="162">
      <c r="A162" s="346"/>
    </row>
    <row r="163">
      <c r="A163" s="346"/>
    </row>
    <row r="164">
      <c r="A164" s="346"/>
    </row>
    <row r="165">
      <c r="A165" s="346"/>
    </row>
    <row r="166">
      <c r="A166" s="346"/>
    </row>
    <row r="167">
      <c r="A167" s="346"/>
    </row>
    <row r="168">
      <c r="A168" s="346"/>
    </row>
    <row r="169">
      <c r="A169" s="346"/>
    </row>
    <row r="170">
      <c r="A170" s="346"/>
    </row>
    <row r="171">
      <c r="A171" s="346"/>
    </row>
    <row r="172">
      <c r="A172" s="346"/>
    </row>
    <row r="173">
      <c r="A173" s="346"/>
    </row>
    <row r="174">
      <c r="A174" s="346"/>
    </row>
    <row r="175">
      <c r="A175" s="346"/>
    </row>
    <row r="176">
      <c r="A176" s="346"/>
    </row>
    <row r="177">
      <c r="A177" s="346"/>
    </row>
    <row r="178">
      <c r="A178" s="346"/>
    </row>
    <row r="179">
      <c r="A179" s="346"/>
    </row>
    <row r="180">
      <c r="A180" s="346"/>
    </row>
    <row r="181">
      <c r="A181" s="346"/>
    </row>
    <row r="182">
      <c r="A182" s="346"/>
    </row>
    <row r="183">
      <c r="A183" s="346"/>
    </row>
    <row r="184">
      <c r="A184" s="346"/>
    </row>
    <row r="185">
      <c r="A185" s="346"/>
    </row>
    <row r="186">
      <c r="A186" s="346"/>
    </row>
    <row r="187">
      <c r="A187" s="346"/>
    </row>
    <row r="188">
      <c r="A188" s="346"/>
    </row>
    <row r="189">
      <c r="A189" s="346"/>
    </row>
    <row r="190">
      <c r="A190" s="346"/>
    </row>
    <row r="191">
      <c r="A191" s="346"/>
    </row>
    <row r="192">
      <c r="A192" s="346"/>
    </row>
    <row r="193">
      <c r="A193" s="346"/>
    </row>
    <row r="194">
      <c r="A194" s="346"/>
    </row>
    <row r="195">
      <c r="A195" s="346"/>
    </row>
    <row r="196">
      <c r="A196" s="346"/>
    </row>
    <row r="197">
      <c r="A197" s="346"/>
    </row>
    <row r="198">
      <c r="A198" s="346"/>
    </row>
    <row r="199">
      <c r="A199" s="346"/>
    </row>
    <row r="200">
      <c r="A200" s="346"/>
    </row>
    <row r="201">
      <c r="A201" s="346"/>
    </row>
    <row r="202">
      <c r="A202" s="346"/>
    </row>
    <row r="203">
      <c r="A203" s="346"/>
    </row>
    <row r="204">
      <c r="A204" s="346"/>
    </row>
    <row r="205">
      <c r="A205" s="346"/>
    </row>
    <row r="206">
      <c r="A206" s="346"/>
    </row>
    <row r="207">
      <c r="A207" s="346"/>
    </row>
    <row r="208">
      <c r="A208" s="346"/>
    </row>
    <row r="209">
      <c r="A209" s="346"/>
    </row>
    <row r="210">
      <c r="A210" s="346"/>
    </row>
    <row r="211">
      <c r="A211" s="346"/>
    </row>
    <row r="212">
      <c r="A212" s="346"/>
    </row>
    <row r="213">
      <c r="A213" s="346"/>
    </row>
    <row r="214">
      <c r="A214" s="346"/>
    </row>
    <row r="215">
      <c r="A215" s="346"/>
    </row>
    <row r="216">
      <c r="A216" s="346"/>
    </row>
    <row r="217">
      <c r="A217" s="346"/>
    </row>
    <row r="218">
      <c r="A218" s="346"/>
    </row>
    <row r="219">
      <c r="A219" s="346"/>
    </row>
    <row r="220">
      <c r="A220" s="346"/>
    </row>
    <row r="221">
      <c r="A221" s="346"/>
    </row>
    <row r="222">
      <c r="A222" s="346"/>
    </row>
    <row r="223">
      <c r="A223" s="346"/>
    </row>
    <row r="224">
      <c r="A224" s="346"/>
    </row>
    <row r="225">
      <c r="A225" s="346"/>
    </row>
    <row r="226">
      <c r="A226" s="346"/>
    </row>
    <row r="227">
      <c r="A227" s="346"/>
    </row>
    <row r="228">
      <c r="A228" s="346"/>
    </row>
    <row r="229">
      <c r="A229" s="346"/>
    </row>
    <row r="230">
      <c r="A230" s="346"/>
    </row>
    <row r="231">
      <c r="A231" s="346"/>
    </row>
    <row r="232">
      <c r="A232" s="346"/>
    </row>
    <row r="233">
      <c r="A233" s="346"/>
    </row>
    <row r="234">
      <c r="A234" s="346"/>
    </row>
    <row r="235">
      <c r="A235" s="346"/>
    </row>
    <row r="236">
      <c r="A236" s="346"/>
    </row>
    <row r="237">
      <c r="A237" s="346"/>
    </row>
    <row r="238">
      <c r="A238" s="346"/>
    </row>
    <row r="239">
      <c r="A239" s="346"/>
    </row>
    <row r="240">
      <c r="A240" s="346"/>
    </row>
    <row r="241">
      <c r="A241" s="346"/>
    </row>
    <row r="242">
      <c r="A242" s="346"/>
    </row>
    <row r="243">
      <c r="A243" s="346"/>
    </row>
    <row r="244">
      <c r="A244" s="346"/>
    </row>
    <row r="245">
      <c r="A245" s="346"/>
    </row>
    <row r="246">
      <c r="A246" s="346"/>
    </row>
    <row r="247">
      <c r="A247" s="346"/>
    </row>
    <row r="248">
      <c r="A248" s="346"/>
    </row>
    <row r="249">
      <c r="A249" s="346"/>
    </row>
    <row r="250">
      <c r="A250" s="346"/>
    </row>
    <row r="251">
      <c r="A251" s="346"/>
    </row>
    <row r="252">
      <c r="A252" s="346"/>
    </row>
    <row r="253">
      <c r="A253" s="346"/>
    </row>
    <row r="254">
      <c r="A254" s="346"/>
    </row>
    <row r="255">
      <c r="A255" s="346"/>
    </row>
    <row r="256">
      <c r="A256" s="346"/>
    </row>
    <row r="257">
      <c r="A257" s="346"/>
    </row>
    <row r="258">
      <c r="A258" s="346"/>
    </row>
    <row r="259">
      <c r="A259" s="346"/>
    </row>
    <row r="260">
      <c r="A260" s="346"/>
    </row>
    <row r="261">
      <c r="A261" s="346"/>
    </row>
    <row r="262">
      <c r="A262" s="346"/>
    </row>
    <row r="263">
      <c r="A263" s="346"/>
    </row>
    <row r="264">
      <c r="A264" s="346"/>
    </row>
    <row r="265">
      <c r="A265" s="346"/>
    </row>
    <row r="266">
      <c r="A266" s="346"/>
    </row>
    <row r="267">
      <c r="A267" s="346"/>
    </row>
    <row r="268">
      <c r="A268" s="346"/>
    </row>
    <row r="269">
      <c r="A269" s="346"/>
    </row>
    <row r="270">
      <c r="A270" s="346"/>
    </row>
    <row r="271">
      <c r="A271" s="346"/>
    </row>
    <row r="272">
      <c r="A272" s="346"/>
    </row>
    <row r="273">
      <c r="A273" s="346"/>
    </row>
    <row r="274">
      <c r="A274" s="346"/>
    </row>
    <row r="275">
      <c r="A275" s="346"/>
    </row>
    <row r="276">
      <c r="A276" s="346"/>
    </row>
    <row r="277">
      <c r="A277" s="346"/>
    </row>
    <row r="278">
      <c r="A278" s="346"/>
    </row>
    <row r="279">
      <c r="A279" s="346"/>
    </row>
    <row r="280">
      <c r="A280" s="346"/>
    </row>
    <row r="281">
      <c r="A281" s="346"/>
    </row>
    <row r="282">
      <c r="A282" s="346"/>
    </row>
    <row r="283">
      <c r="A283" s="346"/>
    </row>
    <row r="284">
      <c r="A284" s="346"/>
    </row>
    <row r="285">
      <c r="A285" s="346"/>
    </row>
    <row r="286">
      <c r="A286" s="346"/>
    </row>
    <row r="287">
      <c r="A287" s="346"/>
    </row>
    <row r="288">
      <c r="A288" s="346"/>
    </row>
    <row r="289">
      <c r="A289" s="346"/>
    </row>
    <row r="290">
      <c r="A290" s="346"/>
    </row>
    <row r="291">
      <c r="A291" s="346"/>
    </row>
    <row r="292">
      <c r="A292" s="346"/>
    </row>
    <row r="293">
      <c r="A293" s="346"/>
    </row>
    <row r="294">
      <c r="A294" s="346"/>
    </row>
    <row r="295">
      <c r="A295" s="346"/>
    </row>
    <row r="296">
      <c r="A296" s="346"/>
    </row>
    <row r="297">
      <c r="A297" s="346"/>
    </row>
    <row r="298">
      <c r="A298" s="346"/>
    </row>
    <row r="299">
      <c r="A299" s="346"/>
    </row>
    <row r="300">
      <c r="A300" s="346"/>
    </row>
    <row r="301">
      <c r="A301" s="346"/>
    </row>
    <row r="302">
      <c r="A302" s="346"/>
    </row>
    <row r="303">
      <c r="A303" s="346"/>
    </row>
    <row r="304">
      <c r="A304" s="346"/>
    </row>
    <row r="305">
      <c r="A305" s="346"/>
    </row>
    <row r="306">
      <c r="A306" s="346"/>
    </row>
    <row r="307">
      <c r="A307" s="346"/>
    </row>
    <row r="308">
      <c r="A308" s="346"/>
    </row>
    <row r="309">
      <c r="A309" s="346"/>
    </row>
    <row r="310">
      <c r="A310" s="346"/>
    </row>
    <row r="311">
      <c r="A311" s="346"/>
    </row>
    <row r="312">
      <c r="A312" s="346"/>
    </row>
    <row r="313">
      <c r="A313" s="346"/>
    </row>
    <row r="314">
      <c r="A314" s="346"/>
    </row>
    <row r="315">
      <c r="A315" s="346"/>
    </row>
    <row r="316">
      <c r="A316" s="346"/>
    </row>
    <row r="317">
      <c r="A317" s="346"/>
    </row>
    <row r="318">
      <c r="A318" s="346"/>
    </row>
    <row r="319">
      <c r="A319" s="346"/>
    </row>
    <row r="320">
      <c r="A320" s="346"/>
    </row>
    <row r="321">
      <c r="A321" s="346"/>
    </row>
    <row r="322">
      <c r="A322" s="346"/>
    </row>
    <row r="323">
      <c r="A323" s="346"/>
    </row>
    <row r="324">
      <c r="A324" s="346"/>
    </row>
    <row r="325">
      <c r="A325" s="346"/>
    </row>
    <row r="326">
      <c r="A326" s="346"/>
    </row>
    <row r="327">
      <c r="A327" s="346"/>
    </row>
    <row r="328">
      <c r="A328" s="346"/>
    </row>
    <row r="329">
      <c r="A329" s="346"/>
    </row>
    <row r="330">
      <c r="A330" s="346"/>
    </row>
    <row r="331">
      <c r="A331" s="346"/>
    </row>
    <row r="332">
      <c r="A332" s="346"/>
    </row>
    <row r="333">
      <c r="A333" s="346"/>
    </row>
    <row r="334">
      <c r="A334" s="346"/>
    </row>
    <row r="335">
      <c r="A335" s="346"/>
    </row>
    <row r="336">
      <c r="A336" s="346"/>
    </row>
    <row r="337">
      <c r="A337" s="346"/>
    </row>
    <row r="338">
      <c r="A338" s="346"/>
    </row>
    <row r="339">
      <c r="A339" s="346"/>
    </row>
    <row r="340">
      <c r="A340" s="346"/>
    </row>
    <row r="341">
      <c r="A341" s="346"/>
    </row>
    <row r="342">
      <c r="A342" s="346"/>
    </row>
    <row r="343">
      <c r="A343" s="346"/>
    </row>
    <row r="344">
      <c r="A344" s="346"/>
    </row>
    <row r="345">
      <c r="A345" s="346"/>
    </row>
    <row r="346">
      <c r="A346" s="346"/>
    </row>
    <row r="347">
      <c r="A347" s="346"/>
    </row>
    <row r="348">
      <c r="A348" s="346"/>
    </row>
    <row r="349">
      <c r="A349" s="346"/>
    </row>
    <row r="350">
      <c r="A350" s="346"/>
    </row>
    <row r="351">
      <c r="A351" s="346"/>
    </row>
    <row r="352">
      <c r="A352" s="346"/>
    </row>
    <row r="353">
      <c r="A353" s="346"/>
    </row>
    <row r="354">
      <c r="A354" s="346"/>
    </row>
    <row r="355">
      <c r="A355" s="346"/>
    </row>
    <row r="356">
      <c r="A356" s="346"/>
    </row>
    <row r="357">
      <c r="A357" s="346"/>
    </row>
    <row r="358">
      <c r="A358" s="346"/>
    </row>
    <row r="359">
      <c r="A359" s="346"/>
    </row>
    <row r="360">
      <c r="A360" s="346"/>
    </row>
    <row r="361">
      <c r="A361" s="346"/>
    </row>
    <row r="362">
      <c r="A362" s="346"/>
    </row>
    <row r="363">
      <c r="A363" s="346"/>
    </row>
    <row r="364">
      <c r="A364" s="346"/>
    </row>
    <row r="365">
      <c r="A365" s="346"/>
    </row>
    <row r="366">
      <c r="A366" s="346"/>
    </row>
    <row r="367">
      <c r="A367" s="346"/>
    </row>
    <row r="368">
      <c r="A368" s="346"/>
    </row>
    <row r="369">
      <c r="A369" s="346"/>
    </row>
    <row r="370">
      <c r="A370" s="346"/>
    </row>
    <row r="371">
      <c r="A371" s="346"/>
    </row>
    <row r="372">
      <c r="A372" s="346"/>
    </row>
    <row r="373">
      <c r="A373" s="346"/>
    </row>
    <row r="374">
      <c r="A374" s="346"/>
    </row>
    <row r="375">
      <c r="A375" s="346"/>
    </row>
    <row r="376">
      <c r="A376" s="346"/>
    </row>
    <row r="377">
      <c r="A377" s="346"/>
    </row>
    <row r="378">
      <c r="A378" s="346"/>
    </row>
    <row r="379">
      <c r="A379" s="346"/>
    </row>
    <row r="380">
      <c r="A380" s="346"/>
    </row>
    <row r="381">
      <c r="A381" s="346"/>
    </row>
    <row r="382">
      <c r="A382" s="346"/>
    </row>
    <row r="383">
      <c r="A383" s="346"/>
    </row>
    <row r="384">
      <c r="A384" s="346"/>
    </row>
    <row r="385">
      <c r="A385" s="346"/>
    </row>
    <row r="386">
      <c r="A386" s="346"/>
    </row>
    <row r="387">
      <c r="A387" s="346"/>
    </row>
    <row r="388">
      <c r="A388" s="346"/>
    </row>
    <row r="389">
      <c r="A389" s="346"/>
    </row>
    <row r="390">
      <c r="A390" s="346"/>
    </row>
    <row r="391">
      <c r="A391" s="346"/>
    </row>
    <row r="392">
      <c r="A392" s="346"/>
    </row>
    <row r="393">
      <c r="A393" s="346"/>
    </row>
    <row r="394">
      <c r="A394" s="346"/>
    </row>
    <row r="395">
      <c r="A395" s="346"/>
    </row>
    <row r="396">
      <c r="A396" s="346"/>
    </row>
    <row r="397">
      <c r="A397" s="346"/>
    </row>
    <row r="398">
      <c r="A398" s="346"/>
    </row>
    <row r="399">
      <c r="A399" s="346"/>
    </row>
    <row r="400">
      <c r="A400" s="346"/>
    </row>
    <row r="401">
      <c r="A401" s="346"/>
    </row>
    <row r="402">
      <c r="A402" s="346"/>
    </row>
    <row r="403">
      <c r="A403" s="346"/>
    </row>
    <row r="404">
      <c r="A404" s="346"/>
    </row>
    <row r="405">
      <c r="A405" s="346"/>
    </row>
    <row r="406">
      <c r="A406" s="346"/>
    </row>
    <row r="407">
      <c r="A407" s="346"/>
    </row>
    <row r="408">
      <c r="A408" s="346"/>
    </row>
    <row r="409">
      <c r="A409" s="346"/>
    </row>
    <row r="410">
      <c r="A410" s="346"/>
    </row>
    <row r="411">
      <c r="A411" s="346"/>
    </row>
    <row r="412">
      <c r="A412" s="346"/>
    </row>
    <row r="413">
      <c r="A413" s="346"/>
    </row>
    <row r="414">
      <c r="A414" s="346"/>
    </row>
    <row r="415">
      <c r="A415" s="346"/>
    </row>
    <row r="416">
      <c r="A416" s="346"/>
    </row>
    <row r="417">
      <c r="A417" s="346"/>
    </row>
    <row r="418">
      <c r="A418" s="346"/>
    </row>
    <row r="419">
      <c r="A419" s="346"/>
    </row>
    <row r="420">
      <c r="A420" s="346"/>
    </row>
    <row r="421">
      <c r="A421" s="346"/>
    </row>
    <row r="422">
      <c r="A422" s="346"/>
    </row>
    <row r="423">
      <c r="A423" s="346"/>
    </row>
    <row r="424">
      <c r="A424" s="346"/>
    </row>
    <row r="425">
      <c r="A425" s="346"/>
    </row>
    <row r="426">
      <c r="A426" s="346"/>
    </row>
    <row r="427">
      <c r="A427" s="346"/>
    </row>
    <row r="428">
      <c r="A428" s="346"/>
    </row>
    <row r="429">
      <c r="A429" s="346"/>
    </row>
    <row r="430">
      <c r="A430" s="346"/>
    </row>
    <row r="431">
      <c r="A431" s="346"/>
    </row>
    <row r="432">
      <c r="A432" s="346"/>
    </row>
    <row r="433">
      <c r="A433" s="346"/>
    </row>
    <row r="434">
      <c r="A434" s="346"/>
    </row>
    <row r="435">
      <c r="A435" s="346"/>
    </row>
    <row r="436">
      <c r="A436" s="346"/>
    </row>
    <row r="437">
      <c r="A437" s="346"/>
    </row>
    <row r="438">
      <c r="A438" s="346"/>
    </row>
    <row r="439">
      <c r="A439" s="346"/>
    </row>
    <row r="440">
      <c r="A440" s="346"/>
    </row>
    <row r="441">
      <c r="A441" s="346"/>
    </row>
    <row r="442">
      <c r="A442" s="346"/>
    </row>
    <row r="443">
      <c r="A443" s="346"/>
    </row>
    <row r="444">
      <c r="A444" s="346"/>
    </row>
    <row r="445">
      <c r="A445" s="346"/>
    </row>
    <row r="446">
      <c r="A446" s="346"/>
    </row>
    <row r="447">
      <c r="A447" s="346"/>
    </row>
    <row r="448">
      <c r="A448" s="346"/>
    </row>
    <row r="449">
      <c r="A449" s="346"/>
    </row>
    <row r="450">
      <c r="A450" s="346"/>
    </row>
    <row r="451">
      <c r="A451" s="346"/>
    </row>
    <row r="452">
      <c r="A452" s="346"/>
    </row>
    <row r="453">
      <c r="A453" s="346"/>
    </row>
    <row r="454">
      <c r="A454" s="346"/>
    </row>
    <row r="455">
      <c r="A455" s="346"/>
    </row>
    <row r="456">
      <c r="A456" s="346"/>
    </row>
    <row r="457">
      <c r="A457" s="346"/>
    </row>
    <row r="458">
      <c r="A458" s="346"/>
    </row>
    <row r="459">
      <c r="A459" s="346"/>
    </row>
    <row r="460">
      <c r="A460" s="346"/>
    </row>
    <row r="461">
      <c r="A461" s="346"/>
    </row>
    <row r="462">
      <c r="A462" s="346"/>
    </row>
    <row r="463">
      <c r="A463" s="346"/>
    </row>
    <row r="464">
      <c r="A464" s="346"/>
    </row>
    <row r="465">
      <c r="A465" s="346"/>
    </row>
    <row r="466">
      <c r="A466" s="346"/>
    </row>
    <row r="467">
      <c r="A467" s="346"/>
    </row>
    <row r="468">
      <c r="A468" s="346"/>
    </row>
    <row r="469">
      <c r="A469" s="346"/>
    </row>
    <row r="470">
      <c r="A470" s="346"/>
    </row>
    <row r="471">
      <c r="A471" s="346"/>
    </row>
    <row r="472">
      <c r="A472" s="346"/>
    </row>
    <row r="473">
      <c r="A473" s="346"/>
    </row>
    <row r="474">
      <c r="A474" s="346"/>
    </row>
    <row r="475">
      <c r="A475" s="346"/>
    </row>
    <row r="476">
      <c r="A476" s="346"/>
    </row>
    <row r="477">
      <c r="A477" s="346"/>
    </row>
    <row r="478">
      <c r="A478" s="346"/>
    </row>
    <row r="479">
      <c r="A479" s="346"/>
    </row>
    <row r="480">
      <c r="A480" s="346"/>
    </row>
    <row r="481">
      <c r="A481" s="346"/>
    </row>
    <row r="482">
      <c r="A482" s="346"/>
    </row>
    <row r="483">
      <c r="A483" s="346"/>
    </row>
    <row r="484">
      <c r="A484" s="346"/>
    </row>
    <row r="485">
      <c r="A485" s="346"/>
    </row>
    <row r="486">
      <c r="A486" s="346"/>
    </row>
    <row r="487">
      <c r="A487" s="346"/>
    </row>
    <row r="488">
      <c r="A488" s="346"/>
    </row>
    <row r="489">
      <c r="A489" s="346"/>
    </row>
    <row r="490">
      <c r="A490" s="346"/>
    </row>
    <row r="491">
      <c r="A491" s="346"/>
    </row>
    <row r="492">
      <c r="A492" s="346"/>
    </row>
    <row r="493">
      <c r="A493" s="346"/>
    </row>
    <row r="494">
      <c r="A494" s="346"/>
    </row>
    <row r="495">
      <c r="A495" s="346"/>
    </row>
    <row r="496">
      <c r="A496" s="346"/>
    </row>
    <row r="497">
      <c r="A497" s="346"/>
    </row>
    <row r="498">
      <c r="A498" s="346"/>
    </row>
    <row r="499">
      <c r="A499" s="346"/>
    </row>
    <row r="500">
      <c r="A500" s="346"/>
    </row>
    <row r="501">
      <c r="A501" s="346"/>
    </row>
    <row r="502">
      <c r="A502" s="346"/>
    </row>
    <row r="503">
      <c r="A503" s="346"/>
    </row>
    <row r="504">
      <c r="A504" s="346"/>
    </row>
    <row r="505">
      <c r="A505" s="346"/>
    </row>
    <row r="506">
      <c r="A506" s="346"/>
    </row>
    <row r="507">
      <c r="A507" s="346"/>
    </row>
    <row r="508">
      <c r="A508" s="346"/>
    </row>
    <row r="509">
      <c r="A509" s="346"/>
    </row>
    <row r="510">
      <c r="A510" s="346"/>
    </row>
    <row r="511">
      <c r="A511" s="346"/>
    </row>
    <row r="512">
      <c r="A512" s="346"/>
    </row>
    <row r="513">
      <c r="A513" s="346"/>
    </row>
    <row r="514">
      <c r="A514" s="346"/>
    </row>
    <row r="515">
      <c r="A515" s="346"/>
    </row>
    <row r="516">
      <c r="A516" s="346"/>
    </row>
    <row r="517">
      <c r="A517" s="346"/>
    </row>
    <row r="518">
      <c r="A518" s="346"/>
    </row>
    <row r="519">
      <c r="A519" s="346"/>
    </row>
    <row r="520">
      <c r="A520" s="346"/>
    </row>
    <row r="521">
      <c r="A521" s="346"/>
    </row>
    <row r="522">
      <c r="A522" s="346"/>
    </row>
    <row r="523">
      <c r="A523" s="346"/>
    </row>
    <row r="524">
      <c r="A524" s="346"/>
    </row>
    <row r="525">
      <c r="A525" s="346"/>
    </row>
    <row r="526">
      <c r="A526" s="346"/>
    </row>
    <row r="527">
      <c r="A527" s="346"/>
    </row>
    <row r="528">
      <c r="A528" s="346"/>
    </row>
    <row r="529">
      <c r="A529" s="346"/>
    </row>
    <row r="530">
      <c r="A530" s="346"/>
    </row>
    <row r="531">
      <c r="A531" s="346"/>
    </row>
    <row r="532">
      <c r="A532" s="346"/>
    </row>
    <row r="533">
      <c r="A533" s="346"/>
    </row>
    <row r="534">
      <c r="A534" s="346"/>
    </row>
    <row r="535">
      <c r="A535" s="346"/>
    </row>
    <row r="536">
      <c r="A536" s="346"/>
    </row>
    <row r="537">
      <c r="A537" s="346"/>
    </row>
    <row r="538">
      <c r="A538" s="346"/>
    </row>
    <row r="539">
      <c r="A539" s="346"/>
    </row>
    <row r="540">
      <c r="A540" s="346"/>
    </row>
    <row r="541">
      <c r="A541" s="346"/>
    </row>
    <row r="542">
      <c r="A542" s="346"/>
    </row>
    <row r="543">
      <c r="A543" s="346"/>
    </row>
    <row r="544">
      <c r="A544" s="346"/>
    </row>
    <row r="545">
      <c r="A545" s="346"/>
    </row>
    <row r="546">
      <c r="A546" s="346"/>
    </row>
    <row r="547">
      <c r="A547" s="346"/>
    </row>
    <row r="548">
      <c r="A548" s="346"/>
    </row>
    <row r="549">
      <c r="A549" s="346"/>
    </row>
    <row r="550">
      <c r="A550" s="346"/>
    </row>
    <row r="551">
      <c r="A551" s="346"/>
    </row>
    <row r="552">
      <c r="A552" s="346"/>
    </row>
    <row r="553">
      <c r="A553" s="346"/>
    </row>
    <row r="554">
      <c r="A554" s="346"/>
    </row>
    <row r="555">
      <c r="A555" s="346"/>
    </row>
    <row r="556">
      <c r="A556" s="346"/>
    </row>
    <row r="557">
      <c r="A557" s="346"/>
    </row>
    <row r="558">
      <c r="A558" s="346"/>
    </row>
    <row r="559">
      <c r="A559" s="346"/>
    </row>
    <row r="560">
      <c r="A560" s="346"/>
    </row>
    <row r="561">
      <c r="A561" s="346"/>
    </row>
    <row r="562">
      <c r="A562" s="346"/>
    </row>
    <row r="563">
      <c r="A563" s="346"/>
    </row>
    <row r="564">
      <c r="A564" s="346"/>
    </row>
    <row r="565">
      <c r="A565" s="346"/>
    </row>
    <row r="566">
      <c r="A566" s="346"/>
    </row>
    <row r="567">
      <c r="A567" s="346"/>
    </row>
    <row r="568">
      <c r="A568" s="346"/>
    </row>
    <row r="569">
      <c r="A569" s="346"/>
    </row>
    <row r="570">
      <c r="A570" s="346"/>
    </row>
    <row r="571">
      <c r="A571" s="346"/>
    </row>
    <row r="572">
      <c r="A572" s="346"/>
    </row>
    <row r="573">
      <c r="A573" s="346"/>
    </row>
    <row r="574">
      <c r="A574" s="346"/>
    </row>
    <row r="575">
      <c r="A575" s="346"/>
    </row>
    <row r="576">
      <c r="A576" s="346"/>
    </row>
    <row r="577">
      <c r="A577" s="346"/>
    </row>
    <row r="578">
      <c r="A578" s="346"/>
    </row>
    <row r="579">
      <c r="A579" s="346"/>
    </row>
    <row r="580">
      <c r="A580" s="346"/>
    </row>
    <row r="581">
      <c r="A581" s="346"/>
    </row>
    <row r="582">
      <c r="A582" s="346"/>
    </row>
    <row r="583">
      <c r="A583" s="346"/>
    </row>
    <row r="584">
      <c r="A584" s="346"/>
    </row>
    <row r="585">
      <c r="A585" s="346"/>
    </row>
    <row r="586">
      <c r="A586" s="346"/>
    </row>
    <row r="587">
      <c r="A587" s="346"/>
    </row>
    <row r="588">
      <c r="A588" s="346"/>
    </row>
    <row r="589">
      <c r="A589" s="346"/>
    </row>
    <row r="590">
      <c r="A590" s="346"/>
    </row>
    <row r="591">
      <c r="A591" s="346"/>
    </row>
    <row r="592">
      <c r="A592" s="346"/>
    </row>
    <row r="593">
      <c r="A593" s="346"/>
    </row>
    <row r="594">
      <c r="A594" s="346"/>
    </row>
    <row r="595">
      <c r="A595" s="346"/>
    </row>
    <row r="596">
      <c r="A596" s="346"/>
    </row>
    <row r="597">
      <c r="A597" s="346"/>
    </row>
    <row r="598">
      <c r="A598" s="346"/>
    </row>
    <row r="599">
      <c r="A599" s="346"/>
    </row>
    <row r="600">
      <c r="A600" s="346"/>
    </row>
    <row r="601">
      <c r="A601" s="346"/>
    </row>
    <row r="602">
      <c r="A602" s="346"/>
    </row>
    <row r="603">
      <c r="A603" s="346"/>
    </row>
    <row r="604">
      <c r="A604" s="346"/>
    </row>
    <row r="605">
      <c r="A605" s="346"/>
    </row>
    <row r="606">
      <c r="A606" s="346"/>
    </row>
    <row r="607">
      <c r="A607" s="346"/>
    </row>
    <row r="608">
      <c r="A608" s="346"/>
    </row>
    <row r="609">
      <c r="A609" s="346"/>
    </row>
    <row r="610">
      <c r="A610" s="346"/>
    </row>
    <row r="611">
      <c r="A611" s="346"/>
    </row>
    <row r="612">
      <c r="A612" s="346"/>
    </row>
    <row r="613">
      <c r="A613" s="346"/>
    </row>
    <row r="614">
      <c r="A614" s="346"/>
    </row>
    <row r="615">
      <c r="A615" s="346"/>
    </row>
    <row r="616">
      <c r="A616" s="346"/>
    </row>
    <row r="617">
      <c r="A617" s="346"/>
    </row>
    <row r="618">
      <c r="A618" s="346"/>
    </row>
    <row r="619">
      <c r="A619" s="346"/>
    </row>
    <row r="620">
      <c r="A620" s="346"/>
    </row>
    <row r="621">
      <c r="A621" s="346"/>
    </row>
    <row r="622">
      <c r="A622" s="346"/>
    </row>
    <row r="623">
      <c r="A623" s="346"/>
    </row>
    <row r="624">
      <c r="A624" s="346"/>
    </row>
    <row r="625">
      <c r="A625" s="346"/>
    </row>
    <row r="626">
      <c r="A626" s="346"/>
    </row>
    <row r="627">
      <c r="A627" s="346"/>
    </row>
    <row r="628">
      <c r="A628" s="346"/>
    </row>
    <row r="629">
      <c r="A629" s="346"/>
    </row>
    <row r="630">
      <c r="A630" s="346"/>
    </row>
    <row r="631">
      <c r="A631" s="346"/>
    </row>
    <row r="632">
      <c r="A632" s="346"/>
    </row>
    <row r="633">
      <c r="A633" s="346"/>
    </row>
    <row r="634">
      <c r="A634" s="346"/>
    </row>
    <row r="635">
      <c r="A635" s="346"/>
    </row>
    <row r="636">
      <c r="A636" s="346"/>
    </row>
    <row r="637">
      <c r="A637" s="346"/>
    </row>
    <row r="638">
      <c r="A638" s="346"/>
    </row>
    <row r="639">
      <c r="A639" s="346"/>
    </row>
    <row r="640">
      <c r="A640" s="346"/>
    </row>
    <row r="641">
      <c r="A641" s="346"/>
    </row>
    <row r="642">
      <c r="A642" s="346"/>
    </row>
    <row r="643">
      <c r="A643" s="346"/>
    </row>
    <row r="644">
      <c r="A644" s="346"/>
    </row>
    <row r="645">
      <c r="A645" s="346"/>
    </row>
    <row r="646">
      <c r="A646" s="346"/>
    </row>
    <row r="647">
      <c r="A647" s="346"/>
    </row>
    <row r="648">
      <c r="A648" s="346"/>
    </row>
    <row r="649">
      <c r="A649" s="346"/>
    </row>
    <row r="650">
      <c r="A650" s="346"/>
    </row>
    <row r="651">
      <c r="A651" s="346"/>
    </row>
    <row r="652">
      <c r="A652" s="346"/>
    </row>
    <row r="653">
      <c r="A653" s="346"/>
    </row>
    <row r="654">
      <c r="A654" s="346"/>
    </row>
    <row r="655">
      <c r="A655" s="346"/>
    </row>
    <row r="656">
      <c r="A656" s="346"/>
    </row>
    <row r="657">
      <c r="A657" s="346"/>
    </row>
    <row r="658">
      <c r="A658" s="346"/>
    </row>
    <row r="659">
      <c r="A659" s="346"/>
    </row>
    <row r="660">
      <c r="A660" s="346"/>
    </row>
    <row r="661">
      <c r="A661" s="346"/>
    </row>
    <row r="662">
      <c r="A662" s="346"/>
    </row>
    <row r="663">
      <c r="A663" s="346"/>
    </row>
    <row r="664">
      <c r="A664" s="346"/>
    </row>
    <row r="665">
      <c r="A665" s="346"/>
    </row>
    <row r="666">
      <c r="A666" s="346"/>
    </row>
    <row r="667">
      <c r="A667" s="346"/>
    </row>
    <row r="668">
      <c r="A668" s="346"/>
    </row>
    <row r="669">
      <c r="A669" s="346"/>
    </row>
    <row r="670">
      <c r="A670" s="346"/>
    </row>
    <row r="671">
      <c r="A671" s="346"/>
    </row>
    <row r="672">
      <c r="A672" s="346"/>
    </row>
    <row r="673">
      <c r="A673" s="346"/>
    </row>
    <row r="674">
      <c r="A674" s="346"/>
    </row>
    <row r="675">
      <c r="A675" s="346"/>
    </row>
    <row r="676">
      <c r="A676" s="346"/>
    </row>
    <row r="677">
      <c r="A677" s="346"/>
    </row>
    <row r="678">
      <c r="A678" s="346"/>
    </row>
    <row r="679">
      <c r="A679" s="346"/>
    </row>
    <row r="680">
      <c r="A680" s="346"/>
    </row>
    <row r="681">
      <c r="A681" s="346"/>
    </row>
    <row r="682">
      <c r="A682" s="346"/>
    </row>
    <row r="683">
      <c r="A683" s="346"/>
    </row>
    <row r="684">
      <c r="A684" s="346"/>
    </row>
    <row r="685">
      <c r="A685" s="346"/>
    </row>
    <row r="686">
      <c r="A686" s="346"/>
    </row>
    <row r="687">
      <c r="A687" s="346"/>
    </row>
    <row r="688">
      <c r="A688" s="346"/>
    </row>
    <row r="689">
      <c r="A689" s="346"/>
    </row>
    <row r="690">
      <c r="A690" s="346"/>
    </row>
    <row r="691">
      <c r="A691" s="346"/>
    </row>
    <row r="692">
      <c r="A692" s="346"/>
    </row>
    <row r="693">
      <c r="A693" s="346"/>
    </row>
    <row r="694">
      <c r="A694" s="346"/>
    </row>
    <row r="695">
      <c r="A695" s="346"/>
    </row>
    <row r="696">
      <c r="A696" s="346"/>
    </row>
    <row r="697">
      <c r="A697" s="346"/>
    </row>
    <row r="698">
      <c r="A698" s="346"/>
    </row>
    <row r="699">
      <c r="A699" s="346"/>
    </row>
    <row r="700">
      <c r="A700" s="346"/>
    </row>
    <row r="701">
      <c r="A701" s="346"/>
    </row>
    <row r="702">
      <c r="A702" s="346"/>
    </row>
    <row r="703">
      <c r="A703" s="346"/>
    </row>
    <row r="704">
      <c r="A704" s="346"/>
    </row>
    <row r="705">
      <c r="A705" s="346"/>
    </row>
    <row r="706">
      <c r="A706" s="346"/>
    </row>
    <row r="707">
      <c r="A707" s="346"/>
    </row>
    <row r="708">
      <c r="A708" s="346"/>
    </row>
    <row r="709">
      <c r="A709" s="346"/>
    </row>
    <row r="710">
      <c r="A710" s="346"/>
    </row>
    <row r="711">
      <c r="A711" s="346"/>
    </row>
    <row r="712">
      <c r="A712" s="346"/>
    </row>
    <row r="713">
      <c r="A713" s="346"/>
    </row>
    <row r="714">
      <c r="A714" s="346"/>
    </row>
    <row r="715">
      <c r="A715" s="346"/>
    </row>
    <row r="716">
      <c r="A716" s="346"/>
    </row>
    <row r="717">
      <c r="A717" s="346"/>
    </row>
    <row r="718">
      <c r="A718" s="346"/>
    </row>
    <row r="719">
      <c r="A719" s="346"/>
    </row>
    <row r="720">
      <c r="A720" s="346"/>
    </row>
    <row r="721">
      <c r="A721" s="346"/>
    </row>
    <row r="722">
      <c r="A722" s="346"/>
    </row>
    <row r="723">
      <c r="A723" s="346"/>
    </row>
    <row r="724">
      <c r="A724" s="346"/>
    </row>
    <row r="725">
      <c r="A725" s="346"/>
    </row>
    <row r="726">
      <c r="A726" s="346"/>
    </row>
    <row r="727">
      <c r="A727" s="346"/>
    </row>
    <row r="728">
      <c r="A728" s="346"/>
    </row>
    <row r="729">
      <c r="A729" s="346"/>
    </row>
    <row r="730">
      <c r="A730" s="346"/>
    </row>
    <row r="731">
      <c r="A731" s="346"/>
    </row>
    <row r="732">
      <c r="A732" s="346"/>
    </row>
    <row r="733">
      <c r="A733" s="346"/>
    </row>
    <row r="734">
      <c r="A734" s="346"/>
    </row>
    <row r="735">
      <c r="A735" s="346"/>
    </row>
    <row r="736">
      <c r="A736" s="346"/>
    </row>
    <row r="737">
      <c r="A737" s="346"/>
    </row>
    <row r="738">
      <c r="A738" s="346"/>
    </row>
    <row r="739">
      <c r="A739" s="346"/>
    </row>
    <row r="740">
      <c r="A740" s="346"/>
    </row>
    <row r="741">
      <c r="A741" s="346"/>
    </row>
    <row r="742">
      <c r="A742" s="346"/>
    </row>
    <row r="743">
      <c r="A743" s="346"/>
    </row>
    <row r="744">
      <c r="A744" s="346"/>
    </row>
    <row r="745">
      <c r="A745" s="346"/>
    </row>
    <row r="746">
      <c r="A746" s="346"/>
    </row>
    <row r="747">
      <c r="A747" s="346"/>
    </row>
    <row r="748">
      <c r="A748" s="346"/>
    </row>
    <row r="749">
      <c r="A749" s="346"/>
    </row>
    <row r="750">
      <c r="A750" s="346"/>
    </row>
    <row r="751">
      <c r="A751" s="346"/>
    </row>
    <row r="752">
      <c r="A752" s="346"/>
    </row>
    <row r="753">
      <c r="A753" s="346"/>
    </row>
    <row r="754">
      <c r="A754" s="346"/>
    </row>
    <row r="755">
      <c r="A755" s="346"/>
    </row>
    <row r="756">
      <c r="A756" s="346"/>
    </row>
    <row r="757">
      <c r="A757" s="346"/>
    </row>
    <row r="758">
      <c r="A758" s="346"/>
    </row>
    <row r="759">
      <c r="A759" s="346"/>
    </row>
    <row r="760">
      <c r="A760" s="346"/>
    </row>
    <row r="761">
      <c r="A761" s="346"/>
    </row>
    <row r="762">
      <c r="A762" s="346"/>
    </row>
    <row r="763">
      <c r="A763" s="346"/>
    </row>
    <row r="764">
      <c r="A764" s="346"/>
    </row>
    <row r="765">
      <c r="A765" s="346"/>
    </row>
    <row r="766">
      <c r="A766" s="346"/>
    </row>
    <row r="767">
      <c r="A767" s="346"/>
    </row>
    <row r="768">
      <c r="A768" s="346"/>
    </row>
    <row r="769">
      <c r="A769" s="346"/>
    </row>
    <row r="770">
      <c r="A770" s="346"/>
    </row>
    <row r="771">
      <c r="A771" s="346"/>
    </row>
    <row r="772">
      <c r="A772" s="346"/>
    </row>
    <row r="773">
      <c r="A773" s="346"/>
    </row>
    <row r="774">
      <c r="A774" s="346"/>
    </row>
    <row r="775">
      <c r="A775" s="346"/>
    </row>
    <row r="776">
      <c r="A776" s="346"/>
    </row>
    <row r="777">
      <c r="A777" s="346"/>
    </row>
    <row r="778">
      <c r="A778" s="346"/>
    </row>
    <row r="779">
      <c r="A779" s="346"/>
    </row>
    <row r="780">
      <c r="A780" s="346"/>
    </row>
    <row r="781">
      <c r="A781" s="346"/>
    </row>
    <row r="782">
      <c r="A782" s="346"/>
    </row>
    <row r="783">
      <c r="A783" s="346"/>
    </row>
    <row r="784">
      <c r="A784" s="346"/>
    </row>
    <row r="785">
      <c r="A785" s="346"/>
    </row>
    <row r="786">
      <c r="A786" s="346"/>
    </row>
    <row r="787">
      <c r="A787" s="346"/>
    </row>
    <row r="788">
      <c r="A788" s="346"/>
    </row>
    <row r="789">
      <c r="A789" s="346"/>
    </row>
    <row r="790">
      <c r="A790" s="346"/>
    </row>
    <row r="791">
      <c r="A791" s="346"/>
    </row>
    <row r="792">
      <c r="A792" s="346"/>
    </row>
    <row r="793">
      <c r="A793" s="346"/>
    </row>
    <row r="794">
      <c r="A794" s="346"/>
    </row>
    <row r="795">
      <c r="A795" s="346"/>
    </row>
    <row r="796">
      <c r="A796" s="346"/>
    </row>
    <row r="797">
      <c r="A797" s="346"/>
    </row>
    <row r="798">
      <c r="A798" s="346"/>
    </row>
    <row r="799">
      <c r="A799" s="346"/>
    </row>
    <row r="800">
      <c r="A800" s="346"/>
    </row>
    <row r="801">
      <c r="A801" s="346"/>
    </row>
    <row r="802">
      <c r="A802" s="346"/>
    </row>
    <row r="803">
      <c r="A803" s="346"/>
    </row>
    <row r="804">
      <c r="A804" s="346"/>
    </row>
    <row r="805">
      <c r="A805" s="346"/>
    </row>
    <row r="806">
      <c r="A806" s="346"/>
    </row>
    <row r="807">
      <c r="A807" s="346"/>
    </row>
    <row r="808">
      <c r="A808" s="346"/>
    </row>
    <row r="809">
      <c r="A809" s="346"/>
    </row>
    <row r="810">
      <c r="A810" s="346"/>
    </row>
    <row r="811">
      <c r="A811" s="346"/>
    </row>
    <row r="812">
      <c r="A812" s="346"/>
    </row>
    <row r="813">
      <c r="A813" s="346"/>
    </row>
    <row r="814">
      <c r="A814" s="346"/>
    </row>
    <row r="815">
      <c r="A815" s="346"/>
    </row>
    <row r="816">
      <c r="A816" s="346"/>
    </row>
    <row r="817">
      <c r="A817" s="346"/>
    </row>
    <row r="818">
      <c r="A818" s="346"/>
    </row>
    <row r="819">
      <c r="A819" s="346"/>
    </row>
    <row r="820">
      <c r="A820" s="346"/>
    </row>
    <row r="821">
      <c r="A821" s="346"/>
    </row>
    <row r="822">
      <c r="A822" s="346"/>
    </row>
    <row r="823">
      <c r="A823" s="346"/>
    </row>
    <row r="824">
      <c r="A824" s="346"/>
    </row>
    <row r="825">
      <c r="A825" s="346"/>
    </row>
    <row r="826">
      <c r="A826" s="346"/>
    </row>
    <row r="827">
      <c r="A827" s="346"/>
    </row>
    <row r="828">
      <c r="A828" s="346"/>
    </row>
    <row r="829">
      <c r="A829" s="346"/>
    </row>
    <row r="830">
      <c r="A830" s="346"/>
    </row>
    <row r="831">
      <c r="A831" s="346"/>
    </row>
    <row r="832">
      <c r="A832" s="346"/>
    </row>
    <row r="833">
      <c r="A833" s="346"/>
    </row>
    <row r="834">
      <c r="A834" s="346"/>
    </row>
    <row r="835">
      <c r="A835" s="346"/>
    </row>
    <row r="836">
      <c r="A836" s="346"/>
    </row>
    <row r="837">
      <c r="A837" s="346"/>
    </row>
    <row r="838">
      <c r="A838" s="346"/>
    </row>
    <row r="839">
      <c r="A839" s="346"/>
    </row>
    <row r="840">
      <c r="A840" s="346"/>
    </row>
    <row r="841">
      <c r="A841" s="346"/>
    </row>
    <row r="842">
      <c r="A842" s="346"/>
    </row>
    <row r="843">
      <c r="A843" s="346"/>
    </row>
    <row r="844">
      <c r="A844" s="346"/>
    </row>
    <row r="845">
      <c r="A845" s="346"/>
    </row>
    <row r="846">
      <c r="A846" s="346"/>
    </row>
    <row r="847">
      <c r="A847" s="346"/>
    </row>
    <row r="848">
      <c r="A848" s="346"/>
    </row>
    <row r="849">
      <c r="A849" s="346"/>
    </row>
    <row r="850">
      <c r="A850" s="346"/>
    </row>
    <row r="851">
      <c r="A851" s="346"/>
    </row>
    <row r="852">
      <c r="A852" s="346"/>
    </row>
    <row r="853">
      <c r="A853" s="346"/>
    </row>
    <row r="854">
      <c r="A854" s="346"/>
    </row>
    <row r="855">
      <c r="A855" s="346"/>
    </row>
    <row r="856">
      <c r="A856" s="346"/>
    </row>
    <row r="857">
      <c r="A857" s="346"/>
    </row>
    <row r="858">
      <c r="A858" s="346"/>
    </row>
    <row r="859">
      <c r="A859" s="346"/>
    </row>
    <row r="860">
      <c r="A860" s="346"/>
    </row>
    <row r="861">
      <c r="A861" s="346"/>
    </row>
    <row r="862">
      <c r="A862" s="346"/>
    </row>
    <row r="863">
      <c r="A863" s="346"/>
    </row>
    <row r="864">
      <c r="A864" s="346"/>
    </row>
    <row r="865">
      <c r="A865" s="346"/>
    </row>
    <row r="866">
      <c r="A866" s="346"/>
    </row>
    <row r="867">
      <c r="A867" s="346"/>
    </row>
    <row r="868">
      <c r="A868" s="346"/>
    </row>
    <row r="869">
      <c r="A869" s="346"/>
    </row>
    <row r="870">
      <c r="A870" s="346"/>
    </row>
    <row r="871">
      <c r="A871" s="346"/>
    </row>
    <row r="872">
      <c r="A872" s="346"/>
    </row>
    <row r="873">
      <c r="A873" s="346"/>
    </row>
    <row r="874">
      <c r="A874" s="346"/>
    </row>
    <row r="875">
      <c r="A875" s="346"/>
    </row>
    <row r="876">
      <c r="A876" s="346"/>
    </row>
    <row r="877">
      <c r="A877" s="346"/>
    </row>
    <row r="878">
      <c r="A878" s="346"/>
    </row>
    <row r="879">
      <c r="A879" s="346"/>
    </row>
    <row r="880">
      <c r="A880" s="346"/>
    </row>
    <row r="881">
      <c r="A881" s="346"/>
    </row>
    <row r="882">
      <c r="A882" s="346"/>
    </row>
    <row r="883">
      <c r="A883" s="346"/>
    </row>
    <row r="884">
      <c r="A884" s="346"/>
    </row>
    <row r="885">
      <c r="A885" s="346"/>
    </row>
    <row r="886">
      <c r="A886" s="346"/>
    </row>
    <row r="887">
      <c r="A887" s="346"/>
    </row>
    <row r="888">
      <c r="A888" s="346"/>
    </row>
    <row r="889">
      <c r="A889" s="346"/>
    </row>
    <row r="890">
      <c r="A890" s="346"/>
    </row>
    <row r="891">
      <c r="A891" s="346"/>
    </row>
    <row r="892">
      <c r="A892" s="346"/>
    </row>
    <row r="893">
      <c r="A893" s="346"/>
    </row>
    <row r="894">
      <c r="A894" s="346"/>
    </row>
    <row r="895">
      <c r="A895" s="346"/>
    </row>
    <row r="896">
      <c r="A896" s="346"/>
    </row>
    <row r="897">
      <c r="A897" s="346"/>
    </row>
    <row r="898">
      <c r="A898" s="346"/>
    </row>
    <row r="899">
      <c r="A899" s="346"/>
    </row>
    <row r="900">
      <c r="A900" s="346"/>
    </row>
    <row r="901">
      <c r="A901" s="346"/>
    </row>
    <row r="902">
      <c r="A902" s="346"/>
    </row>
    <row r="903">
      <c r="A903" s="346"/>
    </row>
    <row r="904">
      <c r="A904" s="346"/>
    </row>
    <row r="905">
      <c r="A905" s="346"/>
    </row>
    <row r="906">
      <c r="A906" s="346"/>
    </row>
    <row r="907">
      <c r="A907" s="346"/>
    </row>
    <row r="908">
      <c r="A908" s="346"/>
    </row>
    <row r="909">
      <c r="A909" s="346"/>
    </row>
    <row r="910">
      <c r="A910" s="346"/>
    </row>
    <row r="911">
      <c r="A911" s="346"/>
    </row>
    <row r="912">
      <c r="A912" s="346"/>
    </row>
    <row r="913">
      <c r="A913" s="346"/>
    </row>
    <row r="914">
      <c r="A914" s="346"/>
    </row>
    <row r="915">
      <c r="A915" s="346"/>
    </row>
    <row r="916">
      <c r="A916" s="346"/>
    </row>
    <row r="917">
      <c r="A917" s="346"/>
    </row>
    <row r="918">
      <c r="A918" s="346"/>
    </row>
    <row r="919">
      <c r="A919" s="346"/>
    </row>
    <row r="920">
      <c r="A920" s="346"/>
    </row>
    <row r="921">
      <c r="A921" s="346"/>
    </row>
    <row r="922">
      <c r="A922" s="346"/>
    </row>
    <row r="923">
      <c r="A923" s="346"/>
    </row>
    <row r="924">
      <c r="A924" s="346"/>
    </row>
    <row r="925">
      <c r="A925" s="346"/>
    </row>
    <row r="926">
      <c r="A926" s="346"/>
    </row>
    <row r="927">
      <c r="A927" s="346"/>
    </row>
    <row r="928">
      <c r="A928" s="346"/>
    </row>
    <row r="929">
      <c r="A929" s="346"/>
    </row>
    <row r="930">
      <c r="A930" s="346"/>
    </row>
    <row r="931">
      <c r="A931" s="346"/>
    </row>
    <row r="932">
      <c r="A932" s="346"/>
    </row>
    <row r="933">
      <c r="A933" s="346"/>
    </row>
    <row r="934">
      <c r="A934" s="346"/>
    </row>
    <row r="935">
      <c r="A935" s="346"/>
    </row>
    <row r="936">
      <c r="A936" s="346"/>
    </row>
    <row r="937">
      <c r="A937" s="346"/>
    </row>
    <row r="938">
      <c r="A938" s="346"/>
    </row>
    <row r="939">
      <c r="A939" s="346"/>
    </row>
    <row r="940">
      <c r="A940" s="346"/>
    </row>
    <row r="941">
      <c r="A941" s="346"/>
    </row>
    <row r="942">
      <c r="A942" s="346"/>
    </row>
    <row r="943">
      <c r="A943" s="346"/>
    </row>
    <row r="944">
      <c r="A944" s="346"/>
    </row>
    <row r="945">
      <c r="A945" s="346"/>
    </row>
    <row r="946">
      <c r="A946" s="346"/>
    </row>
    <row r="947">
      <c r="A947" s="346"/>
    </row>
    <row r="948">
      <c r="A948" s="346"/>
    </row>
    <row r="949">
      <c r="A949" s="346"/>
    </row>
    <row r="950">
      <c r="A950" s="346"/>
    </row>
    <row r="951">
      <c r="A951" s="346"/>
    </row>
    <row r="952">
      <c r="A952" s="346"/>
    </row>
    <row r="953">
      <c r="A953" s="346"/>
    </row>
    <row r="954">
      <c r="A954" s="346"/>
    </row>
    <row r="955">
      <c r="A955" s="346"/>
    </row>
    <row r="956">
      <c r="A956" s="346"/>
    </row>
    <row r="957">
      <c r="A957" s="346"/>
    </row>
    <row r="958">
      <c r="A958" s="346"/>
    </row>
    <row r="959">
      <c r="A959" s="346"/>
    </row>
    <row r="960">
      <c r="A960" s="346"/>
    </row>
    <row r="961">
      <c r="A961" s="346"/>
    </row>
    <row r="962">
      <c r="A962" s="346"/>
    </row>
    <row r="963">
      <c r="A963" s="346"/>
    </row>
    <row r="964">
      <c r="A964" s="346"/>
    </row>
    <row r="965">
      <c r="A965" s="346"/>
    </row>
    <row r="966">
      <c r="A966" s="346"/>
    </row>
    <row r="967">
      <c r="A967" s="346"/>
    </row>
    <row r="968">
      <c r="A968" s="346"/>
    </row>
    <row r="969">
      <c r="A969" s="346"/>
    </row>
    <row r="970">
      <c r="A970" s="346"/>
    </row>
    <row r="971">
      <c r="A971" s="346"/>
    </row>
    <row r="972">
      <c r="A972" s="346"/>
    </row>
    <row r="973">
      <c r="A973" s="346"/>
    </row>
    <row r="974">
      <c r="A974" s="346"/>
    </row>
    <row r="975">
      <c r="A975" s="346"/>
    </row>
    <row r="976">
      <c r="A976" s="346"/>
    </row>
    <row r="977">
      <c r="A977" s="346"/>
    </row>
    <row r="978">
      <c r="A978" s="346"/>
    </row>
    <row r="979">
      <c r="A979" s="346"/>
    </row>
    <row r="980">
      <c r="A980" s="346"/>
    </row>
    <row r="981">
      <c r="A981" s="346"/>
    </row>
  </sheetData>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99999"/>
    <outlinePr summaryBelow="0" summaryRight="0"/>
  </sheetPr>
  <sheetViews>
    <sheetView workbookViewId="0"/>
  </sheetViews>
  <sheetFormatPr customHeight="1" defaultColWidth="14.43" defaultRowHeight="15.0"/>
  <cols>
    <col customWidth="1" min="2" max="2" width="24.14"/>
    <col customWidth="1" min="3" max="3" width="33.43"/>
  </cols>
  <sheetData>
    <row r="1">
      <c r="A1" s="441" t="s">
        <v>602</v>
      </c>
      <c r="B1" s="441"/>
      <c r="C1" s="441"/>
    </row>
    <row r="2">
      <c r="A2" s="442" t="s">
        <v>603</v>
      </c>
      <c r="B2" s="441"/>
      <c r="C2" s="441"/>
      <c r="E2" s="443" t="s">
        <v>604</v>
      </c>
    </row>
    <row r="3">
      <c r="A3" s="444"/>
      <c r="B3" s="444"/>
      <c r="C3" s="444"/>
      <c r="D3" s="445"/>
      <c r="E3" s="446" t="s">
        <v>605</v>
      </c>
      <c r="F3" s="445"/>
      <c r="G3" s="445"/>
      <c r="H3" s="445"/>
      <c r="I3" s="445"/>
      <c r="J3" s="445"/>
      <c r="K3" s="445"/>
      <c r="L3" s="445"/>
      <c r="M3" s="445"/>
      <c r="N3" s="445"/>
      <c r="O3" s="445"/>
      <c r="P3" s="445"/>
      <c r="Q3" s="445"/>
      <c r="R3" s="445"/>
      <c r="S3" s="445"/>
      <c r="T3" s="445"/>
      <c r="U3" s="445"/>
      <c r="V3" s="445"/>
      <c r="W3" s="445"/>
      <c r="X3" s="445"/>
      <c r="Y3" s="445"/>
      <c r="Z3" s="445"/>
    </row>
    <row r="4">
      <c r="A4" s="447" t="s">
        <v>2</v>
      </c>
      <c r="B4" s="447" t="s">
        <v>606</v>
      </c>
      <c r="C4" s="447" t="s">
        <v>6</v>
      </c>
      <c r="E4" s="448" t="s">
        <v>607</v>
      </c>
    </row>
    <row r="5">
      <c r="A5" s="449">
        <v>45538.0</v>
      </c>
      <c r="B5" s="450" t="s">
        <v>461</v>
      </c>
      <c r="C5" s="450"/>
    </row>
    <row r="6">
      <c r="A6" s="449">
        <v>45538.0</v>
      </c>
      <c r="B6" s="450" t="s">
        <v>608</v>
      </c>
      <c r="C6" s="450"/>
    </row>
    <row r="7">
      <c r="A7" s="449">
        <v>45538.0</v>
      </c>
      <c r="B7" s="450" t="s">
        <v>609</v>
      </c>
      <c r="C7" s="450"/>
    </row>
    <row r="8">
      <c r="A8" s="449">
        <v>45538.0</v>
      </c>
      <c r="B8" s="450" t="s">
        <v>162</v>
      </c>
      <c r="C8" s="450"/>
    </row>
    <row r="9">
      <c r="A9" s="449">
        <v>45538.0</v>
      </c>
      <c r="B9" s="450" t="s">
        <v>223</v>
      </c>
      <c r="C9" s="450"/>
    </row>
    <row r="10">
      <c r="A10" s="449">
        <v>45538.0</v>
      </c>
      <c r="B10" s="450" t="s">
        <v>551</v>
      </c>
      <c r="C10" s="450"/>
    </row>
    <row r="11">
      <c r="A11" s="449">
        <v>45538.0</v>
      </c>
      <c r="B11" s="450" t="s">
        <v>120</v>
      </c>
      <c r="C11" s="450"/>
    </row>
    <row r="12">
      <c r="A12" s="449">
        <v>45538.0</v>
      </c>
      <c r="B12" s="450" t="s">
        <v>178</v>
      </c>
      <c r="C12" s="450"/>
    </row>
    <row r="13">
      <c r="A13" s="449">
        <v>45538.0</v>
      </c>
      <c r="B13" s="450" t="s">
        <v>384</v>
      </c>
      <c r="C13" s="450"/>
    </row>
    <row r="14">
      <c r="A14" s="449">
        <v>45538.0</v>
      </c>
      <c r="B14" s="450" t="s">
        <v>610</v>
      </c>
      <c r="C14" s="450"/>
    </row>
    <row r="15">
      <c r="A15" s="449">
        <v>45538.0</v>
      </c>
      <c r="B15" s="450" t="s">
        <v>411</v>
      </c>
      <c r="C15" s="450"/>
    </row>
    <row r="16">
      <c r="A16" s="449">
        <v>45538.0</v>
      </c>
      <c r="B16" s="450" t="s">
        <v>611</v>
      </c>
      <c r="C16" s="450"/>
    </row>
    <row r="17">
      <c r="A17" s="449">
        <v>45538.0</v>
      </c>
      <c r="B17" s="450" t="s">
        <v>553</v>
      </c>
      <c r="C17" s="450"/>
    </row>
    <row r="18">
      <c r="A18" s="449">
        <v>45538.0</v>
      </c>
      <c r="B18" s="451" t="s">
        <v>556</v>
      </c>
      <c r="C18" s="450"/>
    </row>
    <row r="19">
      <c r="A19" s="449">
        <v>45538.0</v>
      </c>
      <c r="B19" s="450" t="s">
        <v>612</v>
      </c>
      <c r="C19" s="450"/>
    </row>
    <row r="20">
      <c r="A20" s="449">
        <v>45538.0</v>
      </c>
      <c r="B20" s="450" t="s">
        <v>20</v>
      </c>
      <c r="C20" s="450"/>
    </row>
    <row r="21">
      <c r="A21" s="449">
        <v>45538.0</v>
      </c>
      <c r="B21" s="450" t="s">
        <v>548</v>
      </c>
      <c r="C21" s="450"/>
    </row>
    <row r="22">
      <c r="A22" s="449">
        <v>45538.0</v>
      </c>
      <c r="B22" s="452" t="s">
        <v>613</v>
      </c>
      <c r="C22" s="451" t="s">
        <v>614</v>
      </c>
    </row>
    <row r="23">
      <c r="A23" s="453"/>
      <c r="B23" s="450"/>
      <c r="C23" s="450"/>
    </row>
    <row r="24">
      <c r="A24" s="453"/>
      <c r="B24" s="450"/>
      <c r="C24" s="450"/>
    </row>
    <row r="25">
      <c r="A25" s="453"/>
      <c r="B25" s="450"/>
      <c r="C25" s="450"/>
    </row>
    <row r="26">
      <c r="A26" s="453"/>
      <c r="B26" s="450"/>
      <c r="C26" s="450"/>
    </row>
    <row r="27">
      <c r="A27" s="453"/>
      <c r="B27" s="450"/>
      <c r="C27" s="450"/>
    </row>
    <row r="28">
      <c r="A28" s="453"/>
      <c r="B28" s="450"/>
      <c r="C28" s="450"/>
    </row>
    <row r="29">
      <c r="A29" s="453"/>
      <c r="B29" s="450"/>
      <c r="C29" s="450"/>
    </row>
  </sheetData>
  <hyperlinks>
    <hyperlink r:id="rId1" location="slide=id.g2fccbbacc54_0_0" ref="E4"/>
  </hyperlinks>
  <drawing r:id="rId2"/>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sheetData>
    <row r="1">
      <c r="A1" s="428" t="s">
        <v>531</v>
      </c>
      <c r="B1" s="429" t="s">
        <v>3</v>
      </c>
      <c r="C1" s="429" t="s">
        <v>532</v>
      </c>
      <c r="D1" s="429" t="s">
        <v>533</v>
      </c>
      <c r="E1" s="429" t="s">
        <v>6</v>
      </c>
    </row>
  </sheetData>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85.57"/>
    <col customWidth="1" min="2" max="2" width="63.86"/>
    <col customWidth="1" min="3" max="3" width="80.0"/>
    <col customWidth="1" min="4" max="4" width="43.14"/>
    <col customWidth="1" min="5" max="5" width="17.14"/>
    <col customWidth="1" min="6" max="6" width="37.57"/>
  </cols>
  <sheetData>
    <row r="1">
      <c r="A1" s="454" t="s">
        <v>615</v>
      </c>
      <c r="C1" s="455" t="s">
        <v>616</v>
      </c>
      <c r="E1" s="456"/>
      <c r="F1" s="456"/>
    </row>
    <row r="2">
      <c r="A2" s="457" t="s">
        <v>532</v>
      </c>
      <c r="B2" s="458" t="s">
        <v>617</v>
      </c>
      <c r="C2" s="458" t="s">
        <v>618</v>
      </c>
      <c r="D2" s="458" t="s">
        <v>619</v>
      </c>
      <c r="E2" s="458" t="s">
        <v>620</v>
      </c>
      <c r="F2" s="458" t="s">
        <v>6</v>
      </c>
    </row>
    <row r="3">
      <c r="A3" s="459" t="s">
        <v>621</v>
      </c>
      <c r="B3" s="459" t="s">
        <v>622</v>
      </c>
      <c r="C3" s="459" t="s">
        <v>623</v>
      </c>
      <c r="D3" s="456"/>
      <c r="E3" s="456"/>
      <c r="F3" s="456"/>
    </row>
    <row r="4">
      <c r="A4" s="459" t="s">
        <v>624</v>
      </c>
      <c r="B4" s="459" t="s">
        <v>625</v>
      </c>
      <c r="C4" s="459" t="s">
        <v>626</v>
      </c>
      <c r="D4" s="456"/>
      <c r="E4" s="456"/>
      <c r="F4" s="456"/>
    </row>
    <row r="5">
      <c r="A5" s="459" t="s">
        <v>627</v>
      </c>
      <c r="B5" s="459" t="s">
        <v>628</v>
      </c>
      <c r="C5" s="459" t="s">
        <v>629</v>
      </c>
      <c r="D5" s="459" t="s">
        <v>630</v>
      </c>
      <c r="E5" s="456"/>
      <c r="F5" s="456"/>
    </row>
    <row r="6">
      <c r="A6" s="459" t="s">
        <v>631</v>
      </c>
      <c r="B6" s="459" t="s">
        <v>632</v>
      </c>
      <c r="C6" s="459" t="s">
        <v>633</v>
      </c>
      <c r="D6" s="456"/>
      <c r="E6" s="456"/>
      <c r="F6" s="456"/>
    </row>
    <row r="7">
      <c r="A7" s="459" t="s">
        <v>634</v>
      </c>
      <c r="B7" s="459" t="s">
        <v>635</v>
      </c>
      <c r="C7" s="459" t="s">
        <v>636</v>
      </c>
      <c r="D7" s="456"/>
      <c r="E7" s="456"/>
      <c r="F7" s="456"/>
    </row>
    <row r="8">
      <c r="A8" s="459" t="s">
        <v>637</v>
      </c>
      <c r="B8" s="459" t="s">
        <v>638</v>
      </c>
      <c r="C8" s="459" t="s">
        <v>639</v>
      </c>
      <c r="D8" s="456"/>
      <c r="E8" s="456"/>
      <c r="F8" s="456"/>
    </row>
    <row r="9">
      <c r="A9" s="459" t="s">
        <v>640</v>
      </c>
      <c r="B9" s="459" t="s">
        <v>641</v>
      </c>
      <c r="C9" s="459" t="s">
        <v>642</v>
      </c>
      <c r="D9" s="456"/>
      <c r="E9" s="456"/>
      <c r="F9" s="456"/>
    </row>
    <row r="10">
      <c r="A10" s="459" t="s">
        <v>643</v>
      </c>
      <c r="B10" s="459" t="s">
        <v>644</v>
      </c>
      <c r="C10" s="459" t="s">
        <v>645</v>
      </c>
      <c r="D10" s="456"/>
      <c r="E10" s="456"/>
      <c r="F10" s="456"/>
    </row>
    <row r="11">
      <c r="A11" s="459" t="s">
        <v>646</v>
      </c>
      <c r="B11" s="459" t="s">
        <v>647</v>
      </c>
      <c r="C11" s="460" t="s">
        <v>648</v>
      </c>
      <c r="D11" s="456"/>
      <c r="E11" s="456"/>
      <c r="F11" s="461" t="s">
        <v>649</v>
      </c>
    </row>
    <row r="12">
      <c r="A12" s="459" t="s">
        <v>650</v>
      </c>
      <c r="B12" s="459" t="s">
        <v>651</v>
      </c>
      <c r="C12" s="459" t="s">
        <v>652</v>
      </c>
      <c r="D12" s="459" t="s">
        <v>653</v>
      </c>
      <c r="E12" s="456"/>
      <c r="F12" s="456"/>
    </row>
    <row r="13">
      <c r="A13" s="459" t="s">
        <v>654</v>
      </c>
      <c r="B13" s="459" t="s">
        <v>655</v>
      </c>
      <c r="C13" s="459" t="s">
        <v>656</v>
      </c>
      <c r="D13" s="456"/>
      <c r="E13" s="456"/>
      <c r="F13" s="456"/>
    </row>
    <row r="14">
      <c r="A14" s="459" t="s">
        <v>657</v>
      </c>
      <c r="B14" s="459" t="s">
        <v>647</v>
      </c>
      <c r="C14" s="459" t="s">
        <v>658</v>
      </c>
      <c r="D14" s="456"/>
      <c r="E14" s="456"/>
      <c r="F14" s="456"/>
    </row>
    <row r="15">
      <c r="A15" s="459" t="s">
        <v>659</v>
      </c>
      <c r="B15" s="459" t="s">
        <v>660</v>
      </c>
      <c r="C15" s="459" t="s">
        <v>661</v>
      </c>
      <c r="D15" s="456"/>
      <c r="E15" s="456"/>
      <c r="F15" s="456"/>
    </row>
    <row r="16">
      <c r="A16" s="459" t="s">
        <v>662</v>
      </c>
      <c r="B16" s="459" t="s">
        <v>663</v>
      </c>
      <c r="C16" s="459" t="s">
        <v>664</v>
      </c>
      <c r="D16" s="456"/>
      <c r="E16" s="456"/>
      <c r="F16" s="456"/>
    </row>
    <row r="17">
      <c r="A17" s="459" t="s">
        <v>665</v>
      </c>
      <c r="B17" s="459" t="s">
        <v>666</v>
      </c>
      <c r="C17" s="459" t="s">
        <v>667</v>
      </c>
      <c r="D17" s="456"/>
      <c r="E17" s="456"/>
      <c r="F17" s="456"/>
    </row>
    <row r="18">
      <c r="A18" s="459" t="s">
        <v>668</v>
      </c>
      <c r="B18" s="459" t="s">
        <v>669</v>
      </c>
      <c r="C18" s="459" t="s">
        <v>670</v>
      </c>
      <c r="D18" s="456"/>
      <c r="E18" s="456"/>
      <c r="F18" s="456"/>
    </row>
    <row r="19">
      <c r="A19" s="459" t="s">
        <v>671</v>
      </c>
      <c r="B19" s="459" t="s">
        <v>672</v>
      </c>
      <c r="C19" s="459" t="s">
        <v>673</v>
      </c>
      <c r="D19" s="456"/>
      <c r="E19" s="456"/>
      <c r="F19" s="456"/>
    </row>
    <row r="20">
      <c r="A20" s="459" t="s">
        <v>674</v>
      </c>
      <c r="B20" s="459" t="s">
        <v>675</v>
      </c>
      <c r="C20" s="459" t="s">
        <v>676</v>
      </c>
      <c r="D20" s="459" t="s">
        <v>677</v>
      </c>
      <c r="E20" s="456"/>
      <c r="F20" s="456"/>
    </row>
    <row r="21">
      <c r="A21" s="459" t="s">
        <v>678</v>
      </c>
      <c r="B21" s="459" t="s">
        <v>679</v>
      </c>
      <c r="C21" s="460" t="s">
        <v>680</v>
      </c>
      <c r="D21" s="456"/>
      <c r="E21" s="456"/>
      <c r="F21" s="461" t="s">
        <v>681</v>
      </c>
    </row>
    <row r="22">
      <c r="A22" s="459" t="s">
        <v>682</v>
      </c>
      <c r="B22" s="459" t="s">
        <v>683</v>
      </c>
      <c r="C22" s="459" t="s">
        <v>684</v>
      </c>
      <c r="D22" s="456"/>
      <c r="E22" s="456"/>
      <c r="F22" s="456"/>
    </row>
    <row r="23">
      <c r="A23" s="459" t="s">
        <v>685</v>
      </c>
      <c r="B23" s="459" t="s">
        <v>686</v>
      </c>
      <c r="C23" s="459" t="s">
        <v>687</v>
      </c>
      <c r="D23" s="456"/>
      <c r="E23" s="456"/>
      <c r="F23" s="456"/>
    </row>
    <row r="24">
      <c r="A24" s="459" t="s">
        <v>688</v>
      </c>
      <c r="B24" s="459" t="s">
        <v>689</v>
      </c>
      <c r="C24" s="459" t="s">
        <v>690</v>
      </c>
      <c r="D24" s="456"/>
      <c r="E24" s="456"/>
      <c r="F24" s="456"/>
    </row>
    <row r="25">
      <c r="A25" s="459" t="s">
        <v>691</v>
      </c>
      <c r="B25" s="459" t="s">
        <v>692</v>
      </c>
      <c r="C25" s="459" t="s">
        <v>693</v>
      </c>
      <c r="D25" s="456"/>
      <c r="E25" s="456"/>
      <c r="F25" s="456"/>
    </row>
    <row r="26">
      <c r="A26" s="459" t="s">
        <v>694</v>
      </c>
      <c r="B26" s="459" t="s">
        <v>695</v>
      </c>
      <c r="C26" s="460" t="s">
        <v>696</v>
      </c>
      <c r="D26" s="456"/>
      <c r="E26" s="456"/>
      <c r="F26" s="461" t="s">
        <v>681</v>
      </c>
    </row>
    <row r="27">
      <c r="A27" s="459" t="s">
        <v>697</v>
      </c>
      <c r="B27" s="459" t="s">
        <v>698</v>
      </c>
      <c r="C27" s="459" t="s">
        <v>699</v>
      </c>
      <c r="D27" s="456"/>
      <c r="E27" s="456"/>
      <c r="F27" s="456"/>
    </row>
    <row r="28">
      <c r="A28" s="459" t="s">
        <v>700</v>
      </c>
      <c r="B28" s="459" t="s">
        <v>701</v>
      </c>
      <c r="C28" s="459" t="s">
        <v>702</v>
      </c>
      <c r="D28" s="456"/>
      <c r="E28" s="456"/>
      <c r="F28" s="459" t="s">
        <v>703</v>
      </c>
    </row>
    <row r="29">
      <c r="A29" s="459" t="s">
        <v>704</v>
      </c>
      <c r="B29" s="459" t="s">
        <v>705</v>
      </c>
      <c r="C29" s="460" t="s">
        <v>706</v>
      </c>
      <c r="D29" s="456"/>
      <c r="E29" s="456"/>
      <c r="F29" s="461" t="s">
        <v>681</v>
      </c>
    </row>
    <row r="30">
      <c r="A30" s="459" t="s">
        <v>707</v>
      </c>
      <c r="B30" s="459" t="s">
        <v>708</v>
      </c>
      <c r="C30" s="459" t="s">
        <v>709</v>
      </c>
      <c r="D30" s="456"/>
      <c r="E30" s="456"/>
      <c r="F30" s="456"/>
    </row>
    <row r="31">
      <c r="A31" s="459" t="s">
        <v>710</v>
      </c>
      <c r="B31" s="459" t="s">
        <v>711</v>
      </c>
      <c r="C31" s="460" t="s">
        <v>712</v>
      </c>
      <c r="D31" s="456"/>
      <c r="E31" s="456"/>
      <c r="F31" s="461" t="s">
        <v>713</v>
      </c>
    </row>
    <row r="32">
      <c r="A32" s="459" t="s">
        <v>714</v>
      </c>
      <c r="B32" s="459" t="s">
        <v>715</v>
      </c>
      <c r="C32" s="459" t="s">
        <v>716</v>
      </c>
      <c r="D32" s="456"/>
      <c r="E32" s="456"/>
      <c r="F32" s="456"/>
    </row>
    <row r="33">
      <c r="A33" s="459" t="s">
        <v>717</v>
      </c>
      <c r="B33" s="459" t="s">
        <v>718</v>
      </c>
      <c r="C33" s="459" t="s">
        <v>719</v>
      </c>
      <c r="D33" s="456"/>
      <c r="E33" s="456"/>
      <c r="F33" s="456"/>
    </row>
    <row r="34">
      <c r="A34" s="459" t="s">
        <v>720</v>
      </c>
      <c r="B34" s="459" t="s">
        <v>638</v>
      </c>
      <c r="C34" s="459" t="s">
        <v>639</v>
      </c>
      <c r="D34" s="456"/>
      <c r="E34" s="456"/>
      <c r="F34" s="456"/>
    </row>
    <row r="35">
      <c r="A35" s="459" t="s">
        <v>721</v>
      </c>
      <c r="B35" s="459" t="s">
        <v>722</v>
      </c>
      <c r="C35" s="459" t="s">
        <v>723</v>
      </c>
      <c r="D35" s="456"/>
      <c r="E35" s="456"/>
      <c r="F35" s="456"/>
    </row>
    <row r="36">
      <c r="A36" s="459" t="s">
        <v>724</v>
      </c>
      <c r="B36" s="459" t="s">
        <v>725</v>
      </c>
      <c r="C36" s="459" t="s">
        <v>726</v>
      </c>
      <c r="D36" s="459" t="s">
        <v>727</v>
      </c>
      <c r="E36" s="456"/>
      <c r="F36" s="456"/>
    </row>
    <row r="37">
      <c r="A37" s="459" t="s">
        <v>728</v>
      </c>
      <c r="B37" s="459" t="s">
        <v>729</v>
      </c>
      <c r="C37" s="459" t="s">
        <v>730</v>
      </c>
      <c r="D37" s="456"/>
      <c r="E37" s="456"/>
      <c r="F37" s="456"/>
    </row>
    <row r="38">
      <c r="A38" s="459" t="s">
        <v>731</v>
      </c>
      <c r="B38" s="459" t="s">
        <v>732</v>
      </c>
      <c r="C38" s="459" t="s">
        <v>733</v>
      </c>
      <c r="D38" s="456"/>
      <c r="E38" s="456"/>
      <c r="F38" s="456"/>
    </row>
    <row r="39">
      <c r="A39" s="459" t="s">
        <v>734</v>
      </c>
      <c r="B39" s="459" t="s">
        <v>735</v>
      </c>
      <c r="C39" s="460" t="s">
        <v>736</v>
      </c>
      <c r="D39" s="456"/>
      <c r="E39" s="456"/>
      <c r="F39" s="461" t="s">
        <v>737</v>
      </c>
    </row>
    <row r="40">
      <c r="A40" s="459" t="s">
        <v>738</v>
      </c>
      <c r="B40" s="459" t="s">
        <v>739</v>
      </c>
      <c r="C40" s="459" t="s">
        <v>740</v>
      </c>
      <c r="D40" s="456"/>
      <c r="E40" s="456"/>
      <c r="F40" s="456"/>
    </row>
    <row r="41">
      <c r="A41" s="459" t="s">
        <v>741</v>
      </c>
      <c r="B41" s="459" t="s">
        <v>742</v>
      </c>
      <c r="C41" s="459" t="s">
        <v>743</v>
      </c>
      <c r="D41" s="456"/>
      <c r="E41" s="456"/>
      <c r="F41" s="456"/>
    </row>
    <row r="42">
      <c r="A42" s="459" t="s">
        <v>744</v>
      </c>
      <c r="B42" s="459" t="s">
        <v>745</v>
      </c>
      <c r="C42" s="459" t="s">
        <v>746</v>
      </c>
      <c r="D42" s="459" t="s">
        <v>747</v>
      </c>
      <c r="E42" s="456"/>
      <c r="F42" s="456"/>
    </row>
    <row r="43">
      <c r="A43" s="459" t="s">
        <v>748</v>
      </c>
      <c r="B43" s="459" t="s">
        <v>749</v>
      </c>
      <c r="C43" s="459" t="s">
        <v>750</v>
      </c>
      <c r="D43" s="456"/>
      <c r="E43" s="456"/>
      <c r="F43" s="456"/>
    </row>
    <row r="44">
      <c r="A44" s="459" t="s">
        <v>751</v>
      </c>
      <c r="B44" s="459" t="s">
        <v>752</v>
      </c>
      <c r="C44" s="459" t="s">
        <v>753</v>
      </c>
      <c r="D44" s="459" t="s">
        <v>754</v>
      </c>
      <c r="E44" s="456"/>
      <c r="F44" s="459" t="s">
        <v>755</v>
      </c>
    </row>
    <row r="45">
      <c r="A45" s="459" t="s">
        <v>756</v>
      </c>
      <c r="B45" s="459" t="s">
        <v>757</v>
      </c>
      <c r="C45" s="459" t="s">
        <v>758</v>
      </c>
      <c r="D45" s="459" t="s">
        <v>759</v>
      </c>
      <c r="E45" s="456"/>
      <c r="F45" s="456"/>
    </row>
    <row r="46">
      <c r="A46" s="459" t="s">
        <v>760</v>
      </c>
      <c r="B46" s="459" t="s">
        <v>705</v>
      </c>
      <c r="C46" s="459" t="s">
        <v>759</v>
      </c>
      <c r="D46" s="456"/>
      <c r="E46" s="456"/>
      <c r="F46" s="456"/>
    </row>
    <row r="47">
      <c r="A47" s="459" t="s">
        <v>761</v>
      </c>
      <c r="B47" s="459" t="s">
        <v>762</v>
      </c>
      <c r="C47" s="459" t="s">
        <v>763</v>
      </c>
      <c r="D47" s="456"/>
      <c r="E47" s="456"/>
      <c r="F47" s="456"/>
    </row>
    <row r="48">
      <c r="A48" s="459" t="s">
        <v>764</v>
      </c>
      <c r="B48" s="459" t="s">
        <v>765</v>
      </c>
      <c r="C48" s="459" t="s">
        <v>766</v>
      </c>
      <c r="D48" s="456"/>
      <c r="E48" s="456"/>
      <c r="F48" s="456"/>
    </row>
    <row r="49">
      <c r="A49" s="459" t="s">
        <v>767</v>
      </c>
      <c r="B49" s="459" t="s">
        <v>768</v>
      </c>
      <c r="C49" s="459" t="s">
        <v>769</v>
      </c>
      <c r="D49" s="456"/>
      <c r="E49" s="456"/>
      <c r="F49" s="456"/>
    </row>
    <row r="50">
      <c r="A50" s="459" t="s">
        <v>770</v>
      </c>
      <c r="B50" s="459" t="s">
        <v>771</v>
      </c>
      <c r="C50" s="459" t="s">
        <v>772</v>
      </c>
      <c r="D50" s="456"/>
      <c r="E50" s="456"/>
      <c r="F50" s="456"/>
    </row>
    <row r="51">
      <c r="A51" s="459" t="s">
        <v>773</v>
      </c>
      <c r="B51" s="459" t="s">
        <v>774</v>
      </c>
      <c r="C51" s="459" t="s">
        <v>775</v>
      </c>
      <c r="D51" s="456"/>
      <c r="E51" s="456"/>
      <c r="F51" s="456"/>
    </row>
    <row r="52">
      <c r="A52" s="459" t="s">
        <v>776</v>
      </c>
      <c r="B52" s="459" t="s">
        <v>777</v>
      </c>
      <c r="C52" s="459" t="s">
        <v>778</v>
      </c>
      <c r="D52" s="456"/>
      <c r="E52" s="456"/>
      <c r="F52" s="456"/>
    </row>
    <row r="53">
      <c r="A53" s="459" t="s">
        <v>779</v>
      </c>
      <c r="B53" s="459" t="s">
        <v>780</v>
      </c>
      <c r="C53" s="459" t="s">
        <v>781</v>
      </c>
      <c r="D53" s="459" t="s">
        <v>782</v>
      </c>
      <c r="E53" s="456"/>
      <c r="F53" s="456"/>
    </row>
    <row r="54">
      <c r="A54" s="459" t="s">
        <v>783</v>
      </c>
      <c r="B54" s="459" t="s">
        <v>784</v>
      </c>
      <c r="C54" s="459" t="s">
        <v>785</v>
      </c>
      <c r="D54" s="456"/>
      <c r="E54" s="456"/>
      <c r="F54" s="456"/>
    </row>
    <row r="55">
      <c r="A55" s="459" t="s">
        <v>786</v>
      </c>
      <c r="B55" s="459" t="s">
        <v>787</v>
      </c>
      <c r="C55" s="459" t="s">
        <v>788</v>
      </c>
      <c r="D55" s="459" t="s">
        <v>789</v>
      </c>
      <c r="E55" s="456"/>
      <c r="F55" s="456"/>
    </row>
    <row r="56">
      <c r="A56" s="459" t="s">
        <v>790</v>
      </c>
      <c r="B56" s="459" t="s">
        <v>791</v>
      </c>
      <c r="C56" s="459" t="s">
        <v>792</v>
      </c>
      <c r="D56" s="456"/>
      <c r="E56" s="456"/>
      <c r="F56" s="456"/>
    </row>
    <row r="57">
      <c r="A57" s="459" t="s">
        <v>793</v>
      </c>
      <c r="B57" s="459" t="s">
        <v>794</v>
      </c>
      <c r="C57" s="459" t="s">
        <v>795</v>
      </c>
      <c r="D57" s="456"/>
      <c r="E57" s="456"/>
      <c r="F57" s="456"/>
    </row>
    <row r="58">
      <c r="A58" s="459" t="s">
        <v>796</v>
      </c>
      <c r="B58" s="459" t="s">
        <v>797</v>
      </c>
      <c r="C58" s="459" t="s">
        <v>798</v>
      </c>
      <c r="D58" s="459" t="s">
        <v>799</v>
      </c>
      <c r="E58" s="456"/>
      <c r="F58" s="456"/>
    </row>
    <row r="59">
      <c r="A59" s="459" t="s">
        <v>800</v>
      </c>
      <c r="B59" s="459" t="s">
        <v>801</v>
      </c>
      <c r="C59" s="459" t="s">
        <v>802</v>
      </c>
      <c r="D59" s="459" t="s">
        <v>803</v>
      </c>
      <c r="E59" s="456"/>
      <c r="F59" s="456"/>
    </row>
    <row r="60">
      <c r="A60" s="459" t="s">
        <v>804</v>
      </c>
      <c r="B60" s="459" t="s">
        <v>805</v>
      </c>
      <c r="C60" s="459" t="s">
        <v>806</v>
      </c>
      <c r="D60" s="456"/>
      <c r="E60" s="456"/>
      <c r="F60" s="456"/>
    </row>
    <row r="61">
      <c r="A61" s="459" t="s">
        <v>807</v>
      </c>
      <c r="B61" s="459" t="s">
        <v>808</v>
      </c>
      <c r="C61" s="459" t="s">
        <v>809</v>
      </c>
      <c r="D61" s="456"/>
      <c r="E61" s="456"/>
      <c r="F61" s="456"/>
    </row>
    <row r="62">
      <c r="A62" s="459" t="s">
        <v>810</v>
      </c>
      <c r="B62" s="459" t="s">
        <v>811</v>
      </c>
      <c r="C62" s="459" t="s">
        <v>812</v>
      </c>
      <c r="D62" s="456"/>
      <c r="E62" s="456"/>
      <c r="F62" s="456"/>
    </row>
    <row r="63">
      <c r="A63" s="459" t="s">
        <v>813</v>
      </c>
      <c r="B63" s="459" t="s">
        <v>814</v>
      </c>
      <c r="C63" s="459" t="s">
        <v>815</v>
      </c>
      <c r="D63" s="456"/>
      <c r="E63" s="456"/>
      <c r="F63" s="456"/>
    </row>
    <row r="64">
      <c r="A64" s="459" t="s">
        <v>816</v>
      </c>
      <c r="B64" s="459" t="s">
        <v>817</v>
      </c>
      <c r="C64" s="459" t="s">
        <v>818</v>
      </c>
      <c r="D64" s="456"/>
      <c r="E64" s="456"/>
      <c r="F64" s="456"/>
    </row>
    <row r="65">
      <c r="A65" s="459" t="s">
        <v>819</v>
      </c>
      <c r="B65" s="459" t="s">
        <v>820</v>
      </c>
      <c r="C65" s="459" t="s">
        <v>821</v>
      </c>
      <c r="D65" s="456"/>
      <c r="E65" s="456"/>
      <c r="F65" s="456"/>
    </row>
    <row r="66">
      <c r="A66" s="459" t="s">
        <v>822</v>
      </c>
      <c r="B66" s="459" t="s">
        <v>823</v>
      </c>
      <c r="C66" s="459" t="s">
        <v>824</v>
      </c>
      <c r="D66" s="456"/>
      <c r="E66" s="456"/>
      <c r="F66" s="456"/>
    </row>
    <row r="67">
      <c r="A67" s="459" t="s">
        <v>825</v>
      </c>
      <c r="B67" s="459" t="s">
        <v>701</v>
      </c>
      <c r="C67" s="459" t="s">
        <v>702</v>
      </c>
      <c r="D67" s="456"/>
      <c r="E67" s="456"/>
      <c r="F67" s="456"/>
    </row>
    <row r="68">
      <c r="A68" s="459" t="s">
        <v>826</v>
      </c>
      <c r="B68" s="459" t="s">
        <v>827</v>
      </c>
      <c r="C68" s="459" t="s">
        <v>828</v>
      </c>
      <c r="D68" s="456"/>
      <c r="E68" s="456"/>
      <c r="F68" s="456"/>
    </row>
    <row r="69">
      <c r="A69" s="459" t="s">
        <v>829</v>
      </c>
      <c r="B69" s="459" t="s">
        <v>830</v>
      </c>
      <c r="C69" s="459" t="s">
        <v>831</v>
      </c>
      <c r="D69" s="456"/>
      <c r="E69" s="456"/>
      <c r="F69" s="456"/>
    </row>
    <row r="70">
      <c r="A70" s="459" t="s">
        <v>832</v>
      </c>
      <c r="B70" s="459" t="s">
        <v>833</v>
      </c>
      <c r="C70" s="459" t="s">
        <v>834</v>
      </c>
      <c r="D70" s="456"/>
      <c r="E70" s="456"/>
      <c r="F70" s="456"/>
    </row>
    <row r="71">
      <c r="A71" s="459" t="s">
        <v>835</v>
      </c>
      <c r="B71" s="459" t="s">
        <v>836</v>
      </c>
      <c r="C71" s="459" t="s">
        <v>837</v>
      </c>
      <c r="D71" s="456"/>
      <c r="E71" s="456"/>
      <c r="F71" s="456"/>
    </row>
    <row r="72">
      <c r="A72" s="459" t="s">
        <v>838</v>
      </c>
      <c r="B72" s="459" t="s">
        <v>839</v>
      </c>
      <c r="C72" s="459" t="s">
        <v>840</v>
      </c>
      <c r="D72" s="456"/>
      <c r="E72" s="456"/>
      <c r="F72" s="456"/>
    </row>
    <row r="73">
      <c r="A73" s="459" t="s">
        <v>841</v>
      </c>
      <c r="B73" s="459" t="s">
        <v>842</v>
      </c>
      <c r="C73" s="459" t="s">
        <v>843</v>
      </c>
      <c r="D73" s="456"/>
      <c r="E73" s="456"/>
      <c r="F73" s="456"/>
    </row>
    <row r="74">
      <c r="A74" s="459" t="s">
        <v>844</v>
      </c>
      <c r="B74" s="459" t="s">
        <v>845</v>
      </c>
      <c r="C74" s="459" t="s">
        <v>846</v>
      </c>
      <c r="D74" s="456"/>
      <c r="E74" s="456"/>
      <c r="F74" s="456"/>
    </row>
    <row r="75">
      <c r="A75" s="459" t="s">
        <v>847</v>
      </c>
      <c r="B75" s="459" t="s">
        <v>848</v>
      </c>
      <c r="C75" s="459" t="s">
        <v>849</v>
      </c>
      <c r="D75" s="456"/>
      <c r="E75" s="456"/>
      <c r="F75" s="456"/>
    </row>
    <row r="76">
      <c r="A76" s="459" t="s">
        <v>850</v>
      </c>
      <c r="B76" s="459" t="s">
        <v>851</v>
      </c>
      <c r="C76" s="459" t="s">
        <v>852</v>
      </c>
      <c r="D76" s="456"/>
      <c r="E76" s="456"/>
      <c r="F76" s="456"/>
    </row>
    <row r="77">
      <c r="A77" s="459" t="s">
        <v>853</v>
      </c>
      <c r="B77" s="459" t="s">
        <v>854</v>
      </c>
      <c r="C77" s="459" t="s">
        <v>855</v>
      </c>
      <c r="D77" s="459" t="s">
        <v>856</v>
      </c>
      <c r="E77" s="456"/>
      <c r="F77" s="456"/>
    </row>
    <row r="78">
      <c r="A78" s="459" t="s">
        <v>857</v>
      </c>
      <c r="B78" s="459" t="s">
        <v>858</v>
      </c>
      <c r="C78" s="459" t="s">
        <v>859</v>
      </c>
      <c r="D78" s="456"/>
      <c r="E78" s="456"/>
      <c r="F78" s="456"/>
    </row>
    <row r="79">
      <c r="A79" s="459" t="s">
        <v>860</v>
      </c>
      <c r="B79" s="459" t="s">
        <v>861</v>
      </c>
      <c r="C79" s="459" t="s">
        <v>862</v>
      </c>
      <c r="D79" s="459" t="s">
        <v>863</v>
      </c>
      <c r="E79" s="456"/>
      <c r="F79" s="456"/>
    </row>
    <row r="80">
      <c r="A80" s="459" t="s">
        <v>864</v>
      </c>
      <c r="B80" s="459" t="s">
        <v>865</v>
      </c>
      <c r="C80" s="459" t="s">
        <v>866</v>
      </c>
      <c r="D80" s="459" t="s">
        <v>867</v>
      </c>
      <c r="E80" s="456"/>
      <c r="F80" s="456"/>
    </row>
    <row r="81">
      <c r="A81" s="459" t="s">
        <v>868</v>
      </c>
      <c r="B81" s="459" t="s">
        <v>869</v>
      </c>
      <c r="C81" s="459" t="s">
        <v>870</v>
      </c>
      <c r="D81" s="456"/>
      <c r="E81" s="456"/>
      <c r="F81" s="456"/>
    </row>
    <row r="82">
      <c r="A82" s="459" t="s">
        <v>871</v>
      </c>
      <c r="B82" s="459" t="s">
        <v>869</v>
      </c>
      <c r="C82" s="459" t="s">
        <v>870</v>
      </c>
      <c r="D82" s="456"/>
      <c r="E82" s="456"/>
      <c r="F82" s="456"/>
    </row>
    <row r="83">
      <c r="A83" s="459" t="s">
        <v>872</v>
      </c>
      <c r="B83" s="459" t="s">
        <v>873</v>
      </c>
      <c r="C83" s="459" t="s">
        <v>874</v>
      </c>
      <c r="D83" s="459" t="s">
        <v>875</v>
      </c>
      <c r="E83" s="456"/>
      <c r="F83" s="456"/>
    </row>
    <row r="84">
      <c r="A84" s="459" t="s">
        <v>876</v>
      </c>
      <c r="B84" s="459" t="s">
        <v>679</v>
      </c>
      <c r="C84" s="459" t="s">
        <v>877</v>
      </c>
      <c r="D84" s="456"/>
      <c r="E84" s="456"/>
      <c r="F84" s="456"/>
    </row>
    <row r="85">
      <c r="A85" s="459" t="s">
        <v>878</v>
      </c>
      <c r="B85" s="459" t="s">
        <v>879</v>
      </c>
      <c r="C85" s="459" t="s">
        <v>880</v>
      </c>
      <c r="D85" s="456"/>
      <c r="E85" s="456"/>
      <c r="F85" s="456"/>
    </row>
    <row r="86">
      <c r="A86" s="459" t="s">
        <v>881</v>
      </c>
      <c r="B86" s="459" t="s">
        <v>882</v>
      </c>
      <c r="C86" s="459" t="s">
        <v>883</v>
      </c>
      <c r="D86" s="456"/>
      <c r="E86" s="456"/>
      <c r="F86" s="456"/>
    </row>
    <row r="87">
      <c r="A87" s="459" t="s">
        <v>884</v>
      </c>
      <c r="B87" s="459" t="s">
        <v>882</v>
      </c>
      <c r="C87" s="459" t="s">
        <v>883</v>
      </c>
      <c r="D87" s="456"/>
      <c r="E87" s="456"/>
      <c r="F87" s="456"/>
    </row>
    <row r="88">
      <c r="A88" s="459" t="s">
        <v>885</v>
      </c>
      <c r="B88" s="459" t="s">
        <v>886</v>
      </c>
      <c r="C88" s="459" t="s">
        <v>887</v>
      </c>
      <c r="D88" s="456"/>
      <c r="E88" s="456"/>
      <c r="F88" s="456"/>
    </row>
    <row r="89">
      <c r="A89" s="459" t="s">
        <v>888</v>
      </c>
      <c r="B89" s="459" t="s">
        <v>889</v>
      </c>
      <c r="C89" s="459" t="s">
        <v>890</v>
      </c>
      <c r="D89" s="459" t="s">
        <v>891</v>
      </c>
      <c r="E89" s="459" t="s">
        <v>892</v>
      </c>
      <c r="F89" s="456"/>
    </row>
    <row r="90">
      <c r="A90" s="459" t="s">
        <v>893</v>
      </c>
      <c r="B90" s="459" t="s">
        <v>894</v>
      </c>
      <c r="C90" s="459" t="s">
        <v>895</v>
      </c>
      <c r="D90" s="456"/>
      <c r="E90" s="456"/>
      <c r="F90" s="456"/>
    </row>
    <row r="91">
      <c r="A91" s="459" t="s">
        <v>896</v>
      </c>
      <c r="B91" s="459" t="s">
        <v>897</v>
      </c>
      <c r="C91" s="459" t="s">
        <v>898</v>
      </c>
      <c r="D91" s="456"/>
      <c r="E91" s="456"/>
      <c r="F91" s="456"/>
    </row>
    <row r="92">
      <c r="A92" s="459" t="s">
        <v>899</v>
      </c>
      <c r="B92" s="459" t="s">
        <v>900</v>
      </c>
      <c r="C92" s="459" t="s">
        <v>788</v>
      </c>
      <c r="D92" s="459" t="s">
        <v>789</v>
      </c>
      <c r="E92" s="456"/>
      <c r="F92" s="456"/>
    </row>
    <row r="93">
      <c r="A93" s="459" t="s">
        <v>901</v>
      </c>
      <c r="B93" s="459" t="s">
        <v>902</v>
      </c>
      <c r="C93" s="459" t="s">
        <v>746</v>
      </c>
      <c r="D93" s="459" t="s">
        <v>747</v>
      </c>
      <c r="E93" s="456"/>
      <c r="F93" s="456"/>
    </row>
    <row r="94">
      <c r="A94" s="459" t="s">
        <v>903</v>
      </c>
      <c r="B94" s="459" t="s">
        <v>904</v>
      </c>
      <c r="C94" s="462" t="s">
        <v>905</v>
      </c>
      <c r="D94" s="456"/>
      <c r="E94" s="456"/>
      <c r="F94" s="462" t="s">
        <v>906</v>
      </c>
    </row>
    <row r="95">
      <c r="A95" s="364" t="s">
        <v>907</v>
      </c>
      <c r="B95" s="364" t="s">
        <v>908</v>
      </c>
      <c r="C95" s="364" t="s">
        <v>909</v>
      </c>
    </row>
  </sheetData>
  <mergeCells count="2">
    <mergeCell ref="A1:B1"/>
    <mergeCell ref="C1:D1"/>
  </mergeCells>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0" topLeftCell="A11" activePane="bottomLeft" state="frozen"/>
      <selection activeCell="B12" sqref="B12" pane="bottomLeft"/>
    </sheetView>
  </sheetViews>
  <sheetFormatPr customHeight="1" defaultColWidth="14.43" defaultRowHeight="15.0"/>
  <cols>
    <col customWidth="1" min="2" max="2" width="8.71"/>
    <col customWidth="1" min="4" max="4" width="28.71"/>
    <col customWidth="1" min="5" max="5" width="43.86"/>
    <col customWidth="1" min="6" max="6" width="47.0"/>
    <col customWidth="1" min="7" max="7" width="41.57"/>
    <col customWidth="1" min="8" max="8" width="198.0"/>
  </cols>
  <sheetData>
    <row r="1">
      <c r="A1" s="463"/>
      <c r="B1" s="464" t="s">
        <v>910</v>
      </c>
      <c r="C1" s="465"/>
      <c r="D1" s="465"/>
      <c r="E1" s="466"/>
      <c r="F1" s="465"/>
      <c r="G1" s="466"/>
      <c r="H1" s="466"/>
    </row>
    <row r="2">
      <c r="A2" s="463"/>
      <c r="B2" s="467" t="s">
        <v>911</v>
      </c>
      <c r="C2" s="468"/>
      <c r="D2" s="468"/>
      <c r="E2" s="468"/>
      <c r="F2" s="468"/>
      <c r="G2" s="469"/>
      <c r="H2" s="470"/>
    </row>
    <row r="3">
      <c r="A3" s="463"/>
      <c r="B3" s="471"/>
      <c r="G3" s="252"/>
      <c r="H3" s="472"/>
    </row>
    <row r="4">
      <c r="A4" s="463"/>
      <c r="B4" s="471"/>
      <c r="G4" s="252"/>
      <c r="H4" s="472"/>
    </row>
    <row r="5">
      <c r="A5" s="463"/>
      <c r="B5" s="471"/>
      <c r="G5" s="252"/>
      <c r="H5" s="472"/>
    </row>
    <row r="6">
      <c r="A6" s="463"/>
      <c r="B6" s="471"/>
      <c r="G6" s="252"/>
      <c r="H6" s="472"/>
    </row>
    <row r="7">
      <c r="A7" s="463"/>
      <c r="B7" s="471"/>
      <c r="G7" s="252"/>
      <c r="H7" s="472"/>
    </row>
    <row r="8">
      <c r="A8" s="463"/>
      <c r="B8" s="471"/>
      <c r="G8" s="252"/>
      <c r="H8" s="472"/>
    </row>
    <row r="9">
      <c r="A9" s="473"/>
      <c r="B9" s="474"/>
      <c r="C9" s="475"/>
      <c r="D9" s="475"/>
      <c r="E9" s="475"/>
      <c r="F9" s="475"/>
      <c r="G9" s="476"/>
      <c r="H9" s="477"/>
    </row>
    <row r="10">
      <c r="A10" s="463"/>
      <c r="B10" s="478" t="s">
        <v>912</v>
      </c>
      <c r="C10" s="479" t="s">
        <v>913</v>
      </c>
      <c r="D10" s="478" t="s">
        <v>4</v>
      </c>
      <c r="E10" s="478" t="s">
        <v>914</v>
      </c>
      <c r="F10" s="478" t="s">
        <v>915</v>
      </c>
      <c r="G10" s="478" t="s">
        <v>916</v>
      </c>
      <c r="H10" s="478" t="s">
        <v>6</v>
      </c>
    </row>
    <row r="11">
      <c r="A11" s="463"/>
      <c r="B11" s="480">
        <v>1.0</v>
      </c>
      <c r="C11" s="481">
        <v>40980.0</v>
      </c>
      <c r="D11" s="480" t="s">
        <v>917</v>
      </c>
      <c r="E11" s="480" t="s">
        <v>918</v>
      </c>
      <c r="F11" s="480" t="s">
        <v>919</v>
      </c>
      <c r="G11" s="480" t="s">
        <v>920</v>
      </c>
      <c r="H11" s="465"/>
    </row>
    <row r="12">
      <c r="A12" s="463"/>
      <c r="B12" s="480">
        <v>2.0</v>
      </c>
      <c r="C12" s="481">
        <v>40980.0</v>
      </c>
      <c r="D12" s="480" t="s">
        <v>921</v>
      </c>
      <c r="E12" s="480" t="s">
        <v>922</v>
      </c>
      <c r="F12" s="480" t="s">
        <v>923</v>
      </c>
      <c r="G12" s="480" t="s">
        <v>924</v>
      </c>
      <c r="H12" s="465"/>
    </row>
    <row r="13">
      <c r="A13" s="463"/>
      <c r="B13" s="480">
        <v>3.0</v>
      </c>
      <c r="C13" s="481">
        <v>40980.0</v>
      </c>
      <c r="D13" s="480" t="s">
        <v>925</v>
      </c>
      <c r="E13" s="480" t="s">
        <v>926</v>
      </c>
      <c r="F13" s="480" t="s">
        <v>927</v>
      </c>
      <c r="G13" s="480" t="s">
        <v>928</v>
      </c>
      <c r="H13" s="482" t="s">
        <v>929</v>
      </c>
    </row>
    <row r="14">
      <c r="A14" s="463"/>
      <c r="B14" s="480">
        <v>4.0</v>
      </c>
      <c r="C14" s="481">
        <v>40980.0</v>
      </c>
      <c r="D14" s="480" t="s">
        <v>930</v>
      </c>
      <c r="E14" s="480" t="s">
        <v>931</v>
      </c>
      <c r="F14" s="480" t="s">
        <v>932</v>
      </c>
      <c r="G14" s="480" t="s">
        <v>933</v>
      </c>
      <c r="H14" s="482" t="s">
        <v>934</v>
      </c>
    </row>
    <row r="15">
      <c r="A15" s="463"/>
      <c r="B15" s="480">
        <v>5.0</v>
      </c>
      <c r="C15" s="481">
        <v>41796.0</v>
      </c>
      <c r="D15" s="480" t="s">
        <v>935</v>
      </c>
      <c r="E15" s="480" t="s">
        <v>922</v>
      </c>
      <c r="F15" s="480" t="s">
        <v>923</v>
      </c>
      <c r="G15" s="480" t="s">
        <v>924</v>
      </c>
      <c r="H15" s="465"/>
    </row>
    <row r="16">
      <c r="A16" s="463"/>
      <c r="B16" s="480">
        <v>6.0</v>
      </c>
      <c r="C16" s="481">
        <v>41117.0</v>
      </c>
      <c r="D16" s="480" t="s">
        <v>936</v>
      </c>
      <c r="E16" s="480" t="s">
        <v>937</v>
      </c>
      <c r="F16" s="480" t="s">
        <v>938</v>
      </c>
      <c r="G16" s="480" t="s">
        <v>939</v>
      </c>
      <c r="H16" s="465"/>
    </row>
    <row r="17">
      <c r="A17" s="463"/>
      <c r="B17" s="480">
        <v>7.0</v>
      </c>
      <c r="C17" s="481">
        <v>41614.0</v>
      </c>
      <c r="D17" s="480" t="s">
        <v>940</v>
      </c>
      <c r="E17" s="480" t="s">
        <v>941</v>
      </c>
      <c r="F17" s="480" t="s">
        <v>942</v>
      </c>
      <c r="G17" s="480" t="s">
        <v>943</v>
      </c>
      <c r="H17" s="465"/>
    </row>
    <row r="18">
      <c r="A18" s="463"/>
      <c r="B18" s="480">
        <v>8.0</v>
      </c>
      <c r="C18" s="481">
        <v>41278.0</v>
      </c>
      <c r="D18" s="480" t="s">
        <v>944</v>
      </c>
      <c r="E18" s="480" t="s">
        <v>945</v>
      </c>
      <c r="F18" s="480" t="s">
        <v>946</v>
      </c>
      <c r="G18" s="480" t="s">
        <v>947</v>
      </c>
      <c r="H18" s="465"/>
    </row>
    <row r="19">
      <c r="A19" s="463"/>
      <c r="B19" s="480">
        <v>9.0</v>
      </c>
      <c r="C19" s="481">
        <v>41278.0</v>
      </c>
      <c r="D19" s="480" t="s">
        <v>948</v>
      </c>
      <c r="E19" s="480" t="s">
        <v>949</v>
      </c>
      <c r="F19" s="480" t="s">
        <v>950</v>
      </c>
      <c r="G19" s="480" t="s">
        <v>951</v>
      </c>
      <c r="H19" s="465"/>
    </row>
    <row r="20">
      <c r="A20" s="463"/>
      <c r="B20" s="480">
        <v>10.0</v>
      </c>
      <c r="C20" s="481">
        <v>41278.0</v>
      </c>
      <c r="D20" s="480" t="s">
        <v>952</v>
      </c>
      <c r="E20" s="480" t="s">
        <v>953</v>
      </c>
      <c r="F20" s="480" t="s">
        <v>954</v>
      </c>
      <c r="G20" s="480" t="s">
        <v>955</v>
      </c>
      <c r="H20" s="465"/>
    </row>
    <row r="21">
      <c r="A21" s="463"/>
      <c r="B21" s="480">
        <v>11.0</v>
      </c>
      <c r="C21" s="481">
        <v>41278.0</v>
      </c>
      <c r="D21" s="480" t="s">
        <v>956</v>
      </c>
      <c r="E21" s="480" t="s">
        <v>957</v>
      </c>
      <c r="F21" s="480" t="s">
        <v>958</v>
      </c>
      <c r="G21" s="480" t="s">
        <v>947</v>
      </c>
      <c r="H21" s="465"/>
    </row>
    <row r="22">
      <c r="A22" s="463"/>
      <c r="B22" s="480">
        <v>12.0</v>
      </c>
      <c r="C22" s="481">
        <v>41278.0</v>
      </c>
      <c r="D22" s="480" t="s">
        <v>959</v>
      </c>
      <c r="E22" s="480" t="s">
        <v>960</v>
      </c>
      <c r="F22" s="480" t="s">
        <v>961</v>
      </c>
      <c r="G22" s="480" t="s">
        <v>962</v>
      </c>
      <c r="H22" s="465"/>
    </row>
    <row r="23">
      <c r="A23" s="463"/>
      <c r="B23" s="480">
        <v>13.0</v>
      </c>
      <c r="C23" s="481">
        <v>41061.0</v>
      </c>
      <c r="D23" s="480" t="s">
        <v>963</v>
      </c>
      <c r="E23" s="480" t="s">
        <v>964</v>
      </c>
      <c r="F23" s="480" t="s">
        <v>965</v>
      </c>
      <c r="G23" s="480" t="s">
        <v>966</v>
      </c>
      <c r="H23" s="465"/>
    </row>
    <row r="24">
      <c r="A24" s="463"/>
      <c r="B24" s="480">
        <v>14.0</v>
      </c>
      <c r="C24" s="481">
        <v>40980.0</v>
      </c>
      <c r="D24" s="480" t="s">
        <v>967</v>
      </c>
      <c r="E24" s="480" t="s">
        <v>968</v>
      </c>
      <c r="F24" s="480" t="s">
        <v>969</v>
      </c>
      <c r="G24" s="480" t="s">
        <v>970</v>
      </c>
      <c r="H24" s="465"/>
    </row>
    <row r="25">
      <c r="A25" s="463"/>
      <c r="B25" s="480">
        <v>15.0</v>
      </c>
      <c r="C25" s="481">
        <v>41390.0</v>
      </c>
      <c r="D25" s="480" t="s">
        <v>971</v>
      </c>
      <c r="E25" s="480" t="s">
        <v>972</v>
      </c>
      <c r="F25" s="480" t="s">
        <v>973</v>
      </c>
      <c r="G25" s="480" t="s">
        <v>974</v>
      </c>
      <c r="H25" s="465"/>
    </row>
    <row r="26">
      <c r="A26" s="463"/>
      <c r="B26" s="480">
        <v>16.0</v>
      </c>
      <c r="C26" s="481">
        <v>41390.0</v>
      </c>
      <c r="D26" s="480" t="s">
        <v>975</v>
      </c>
      <c r="E26" s="480" t="s">
        <v>976</v>
      </c>
      <c r="F26" s="480" t="s">
        <v>977</v>
      </c>
      <c r="G26" s="480" t="s">
        <v>978</v>
      </c>
      <c r="H26" s="465"/>
    </row>
    <row r="27">
      <c r="A27" s="463"/>
      <c r="B27" s="480">
        <v>17.0</v>
      </c>
      <c r="C27" s="481">
        <v>41173.0</v>
      </c>
      <c r="D27" s="480" t="s">
        <v>979</v>
      </c>
      <c r="E27" s="480" t="s">
        <v>980</v>
      </c>
      <c r="F27" s="480" t="s">
        <v>981</v>
      </c>
      <c r="G27" s="480" t="s">
        <v>982</v>
      </c>
      <c r="H27" s="465"/>
    </row>
    <row r="28">
      <c r="A28" s="463"/>
      <c r="B28" s="480">
        <v>20.0</v>
      </c>
      <c r="C28" s="481">
        <v>41390.0</v>
      </c>
      <c r="D28" s="480" t="s">
        <v>983</v>
      </c>
      <c r="E28" s="480" t="s">
        <v>976</v>
      </c>
      <c r="F28" s="480" t="s">
        <v>977</v>
      </c>
      <c r="G28" s="480" t="s">
        <v>978</v>
      </c>
      <c r="H28" s="465"/>
    </row>
    <row r="29">
      <c r="A29" s="463"/>
      <c r="B29" s="480">
        <v>21.0</v>
      </c>
      <c r="C29" s="481">
        <v>43945.0</v>
      </c>
      <c r="D29" s="480" t="s">
        <v>984</v>
      </c>
      <c r="E29" s="480" t="s">
        <v>985</v>
      </c>
      <c r="F29" s="480" t="s">
        <v>986</v>
      </c>
      <c r="G29" s="480" t="s">
        <v>987</v>
      </c>
      <c r="H29" s="465"/>
    </row>
    <row r="30">
      <c r="A30" s="463"/>
      <c r="B30" s="480">
        <v>22.0</v>
      </c>
      <c r="C30" s="481">
        <v>41117.0</v>
      </c>
      <c r="D30" s="480" t="s">
        <v>988</v>
      </c>
      <c r="E30" s="480" t="s">
        <v>937</v>
      </c>
      <c r="F30" s="480" t="s">
        <v>938</v>
      </c>
      <c r="G30" s="480" t="s">
        <v>939</v>
      </c>
      <c r="H30" s="465"/>
    </row>
    <row r="31">
      <c r="A31" s="463"/>
      <c r="B31" s="480">
        <v>23.0</v>
      </c>
      <c r="C31" s="481">
        <v>41180.0</v>
      </c>
      <c r="D31" s="480" t="s">
        <v>989</v>
      </c>
      <c r="E31" s="480" t="s">
        <v>980</v>
      </c>
      <c r="F31" s="480" t="s">
        <v>981</v>
      </c>
      <c r="G31" s="480" t="s">
        <v>982</v>
      </c>
      <c r="H31" s="465"/>
    </row>
    <row r="32">
      <c r="A32" s="463"/>
      <c r="B32" s="480">
        <v>24.0</v>
      </c>
      <c r="C32" s="481">
        <v>41166.0</v>
      </c>
      <c r="D32" s="480" t="s">
        <v>990</v>
      </c>
      <c r="E32" s="480" t="s">
        <v>991</v>
      </c>
      <c r="F32" s="480" t="s">
        <v>992</v>
      </c>
      <c r="G32" s="480" t="s">
        <v>993</v>
      </c>
      <c r="H32" s="482" t="s">
        <v>929</v>
      </c>
    </row>
    <row r="33">
      <c r="A33" s="463"/>
      <c r="B33" s="480">
        <v>25.0</v>
      </c>
      <c r="C33" s="481">
        <v>41390.0</v>
      </c>
      <c r="D33" s="480" t="s">
        <v>994</v>
      </c>
      <c r="E33" s="480" t="s">
        <v>972</v>
      </c>
      <c r="F33" s="480" t="s">
        <v>973</v>
      </c>
      <c r="G33" s="480" t="s">
        <v>974</v>
      </c>
      <c r="H33" s="465"/>
    </row>
    <row r="34">
      <c r="A34" s="463"/>
      <c r="B34" s="480">
        <v>26.0</v>
      </c>
      <c r="C34" s="481">
        <v>41166.0</v>
      </c>
      <c r="D34" s="480" t="s">
        <v>995</v>
      </c>
      <c r="E34" s="480" t="s">
        <v>996</v>
      </c>
      <c r="F34" s="480" t="s">
        <v>997</v>
      </c>
      <c r="G34" s="480" t="s">
        <v>998</v>
      </c>
      <c r="H34" s="482" t="s">
        <v>929</v>
      </c>
    </row>
    <row r="35">
      <c r="A35" s="463"/>
      <c r="B35" s="480">
        <v>27.0</v>
      </c>
      <c r="C35" s="481">
        <v>41166.0</v>
      </c>
      <c r="D35" s="480" t="s">
        <v>999</v>
      </c>
      <c r="E35" s="480" t="s">
        <v>1000</v>
      </c>
      <c r="F35" s="480" t="s">
        <v>1001</v>
      </c>
      <c r="G35" s="480" t="s">
        <v>1002</v>
      </c>
      <c r="H35" s="482" t="s">
        <v>929</v>
      </c>
    </row>
    <row r="36">
      <c r="A36" s="463"/>
      <c r="B36" s="480">
        <v>28.0</v>
      </c>
      <c r="C36" s="481">
        <v>41922.0</v>
      </c>
      <c r="D36" s="480" t="s">
        <v>1003</v>
      </c>
      <c r="E36" s="480" t="s">
        <v>1004</v>
      </c>
      <c r="F36" s="480" t="s">
        <v>1005</v>
      </c>
      <c r="G36" s="480" t="s">
        <v>947</v>
      </c>
      <c r="H36" s="465"/>
    </row>
    <row r="37">
      <c r="A37" s="463"/>
      <c r="B37" s="480">
        <v>29.0</v>
      </c>
      <c r="C37" s="481">
        <v>44204.0</v>
      </c>
      <c r="D37" s="480" t="s">
        <v>1006</v>
      </c>
      <c r="E37" s="480" t="s">
        <v>1007</v>
      </c>
      <c r="F37" s="480" t="s">
        <v>1008</v>
      </c>
      <c r="G37" s="480" t="s">
        <v>939</v>
      </c>
      <c r="H37" s="465"/>
    </row>
    <row r="38">
      <c r="A38" s="463"/>
      <c r="B38" s="480">
        <v>30.0</v>
      </c>
      <c r="C38" s="481">
        <v>40980.0</v>
      </c>
      <c r="D38" s="480" t="s">
        <v>1009</v>
      </c>
      <c r="E38" s="480" t="s">
        <v>1010</v>
      </c>
      <c r="F38" s="480" t="s">
        <v>1011</v>
      </c>
      <c r="G38" s="480" t="s">
        <v>1012</v>
      </c>
      <c r="H38" s="465"/>
    </row>
    <row r="39">
      <c r="A39" s="463"/>
      <c r="B39" s="480">
        <v>31.0</v>
      </c>
      <c r="C39" s="481">
        <v>40980.0</v>
      </c>
      <c r="D39" s="480" t="s">
        <v>1013</v>
      </c>
      <c r="E39" s="480" t="s">
        <v>1014</v>
      </c>
      <c r="F39" s="480" t="s">
        <v>1015</v>
      </c>
      <c r="G39" s="480" t="s">
        <v>1016</v>
      </c>
      <c r="H39" s="482" t="s">
        <v>1017</v>
      </c>
    </row>
    <row r="40">
      <c r="A40" s="463"/>
      <c r="B40" s="480">
        <v>32.0</v>
      </c>
      <c r="C40" s="481">
        <v>40998.0</v>
      </c>
      <c r="D40" s="480" t="s">
        <v>1018</v>
      </c>
      <c r="E40" s="480" t="s">
        <v>1019</v>
      </c>
      <c r="F40" s="480" t="s">
        <v>1020</v>
      </c>
      <c r="G40" s="480" t="s">
        <v>1021</v>
      </c>
      <c r="H40" s="465"/>
    </row>
    <row r="41">
      <c r="A41" s="463"/>
      <c r="B41" s="480">
        <v>33.0</v>
      </c>
      <c r="C41" s="481">
        <v>41089.0</v>
      </c>
      <c r="D41" s="480" t="s">
        <v>1022</v>
      </c>
      <c r="E41" s="480" t="s">
        <v>1023</v>
      </c>
      <c r="F41" s="480" t="s">
        <v>1024</v>
      </c>
      <c r="G41" s="480" t="s">
        <v>1025</v>
      </c>
      <c r="H41" s="465"/>
    </row>
    <row r="42">
      <c r="A42" s="463"/>
      <c r="B42" s="480">
        <v>34.0</v>
      </c>
      <c r="C42" s="481">
        <v>41159.0</v>
      </c>
      <c r="D42" s="480" t="s">
        <v>1026</v>
      </c>
      <c r="E42" s="480" t="s">
        <v>1027</v>
      </c>
      <c r="F42" s="480" t="s">
        <v>1028</v>
      </c>
      <c r="G42" s="480" t="s">
        <v>1029</v>
      </c>
      <c r="H42" s="465"/>
    </row>
    <row r="43">
      <c r="A43" s="463"/>
      <c r="B43" s="480">
        <v>35.0</v>
      </c>
      <c r="C43" s="481">
        <v>41271.0</v>
      </c>
      <c r="D43" s="480" t="s">
        <v>1030</v>
      </c>
      <c r="E43" s="480" t="s">
        <v>1031</v>
      </c>
      <c r="F43" s="480" t="s">
        <v>1032</v>
      </c>
      <c r="G43" s="480" t="s">
        <v>1033</v>
      </c>
      <c r="H43" s="465"/>
    </row>
    <row r="44">
      <c r="A44" s="463"/>
      <c r="B44" s="480">
        <v>37.0</v>
      </c>
      <c r="C44" s="481">
        <v>41810.0</v>
      </c>
      <c r="D44" s="480" t="s">
        <v>1034</v>
      </c>
      <c r="E44" s="480" t="s">
        <v>1035</v>
      </c>
      <c r="F44" s="480" t="s">
        <v>1036</v>
      </c>
      <c r="G44" s="480" t="s">
        <v>1037</v>
      </c>
      <c r="H44" s="465"/>
    </row>
    <row r="45">
      <c r="A45" s="463"/>
      <c r="B45" s="480">
        <v>38.0</v>
      </c>
      <c r="C45" s="481">
        <v>40980.0</v>
      </c>
      <c r="D45" s="480" t="s">
        <v>1038</v>
      </c>
      <c r="E45" s="480" t="s">
        <v>1039</v>
      </c>
      <c r="F45" s="480" t="s">
        <v>1040</v>
      </c>
      <c r="G45" s="480" t="s">
        <v>1041</v>
      </c>
      <c r="H45" s="465"/>
    </row>
    <row r="46">
      <c r="A46" s="463"/>
      <c r="B46" s="480">
        <v>39.0</v>
      </c>
      <c r="C46" s="481">
        <v>41978.0</v>
      </c>
      <c r="D46" s="480" t="s">
        <v>1042</v>
      </c>
      <c r="E46" s="480" t="s">
        <v>1043</v>
      </c>
      <c r="F46" s="480" t="s">
        <v>1044</v>
      </c>
      <c r="G46" s="480" t="s">
        <v>1045</v>
      </c>
      <c r="H46" s="465"/>
    </row>
    <row r="47">
      <c r="A47" s="463"/>
      <c r="B47" s="480">
        <v>40.0</v>
      </c>
      <c r="C47" s="481">
        <v>40998.0</v>
      </c>
      <c r="D47" s="480" t="s">
        <v>1046</v>
      </c>
      <c r="E47" s="480" t="s">
        <v>1047</v>
      </c>
      <c r="F47" s="480" t="s">
        <v>1048</v>
      </c>
      <c r="G47" s="480" t="s">
        <v>978</v>
      </c>
      <c r="H47" s="465"/>
    </row>
    <row r="48">
      <c r="A48" s="463"/>
      <c r="B48" s="480">
        <v>41.0</v>
      </c>
      <c r="C48" s="481">
        <v>41166.0</v>
      </c>
      <c r="D48" s="480" t="s">
        <v>1049</v>
      </c>
      <c r="E48" s="480" t="s">
        <v>1050</v>
      </c>
      <c r="F48" s="480" t="s">
        <v>1051</v>
      </c>
      <c r="G48" s="480" t="s">
        <v>1052</v>
      </c>
      <c r="H48" s="482" t="s">
        <v>929</v>
      </c>
    </row>
    <row r="49">
      <c r="A49" s="463"/>
      <c r="B49" s="480">
        <v>42.0</v>
      </c>
      <c r="C49" s="481">
        <v>41152.0</v>
      </c>
      <c r="D49" s="480" t="s">
        <v>1053</v>
      </c>
      <c r="E49" s="480" t="s">
        <v>1054</v>
      </c>
      <c r="F49" s="480" t="s">
        <v>1055</v>
      </c>
      <c r="G49" s="480" t="s">
        <v>1056</v>
      </c>
      <c r="H49" s="465"/>
    </row>
    <row r="50">
      <c r="A50" s="463"/>
      <c r="B50" s="480">
        <v>43.0</v>
      </c>
      <c r="C50" s="481">
        <v>41341.0</v>
      </c>
      <c r="D50" s="480" t="s">
        <v>1057</v>
      </c>
      <c r="E50" s="480" t="s">
        <v>1058</v>
      </c>
      <c r="F50" s="480" t="s">
        <v>1059</v>
      </c>
      <c r="G50" s="480" t="s">
        <v>1060</v>
      </c>
      <c r="H50" s="465"/>
    </row>
    <row r="51">
      <c r="A51" s="463"/>
      <c r="B51" s="480">
        <v>44.0</v>
      </c>
      <c r="C51" s="481">
        <v>41236.0</v>
      </c>
      <c r="D51" s="480" t="s">
        <v>1061</v>
      </c>
      <c r="E51" s="480" t="s">
        <v>1062</v>
      </c>
      <c r="F51" s="480" t="s">
        <v>1063</v>
      </c>
      <c r="G51" s="480" t="s">
        <v>1064</v>
      </c>
      <c r="H51" s="465"/>
    </row>
    <row r="52">
      <c r="A52" s="463"/>
      <c r="B52" s="480">
        <v>45.0</v>
      </c>
      <c r="C52" s="481">
        <v>41320.0</v>
      </c>
      <c r="D52" s="480" t="s">
        <v>1065</v>
      </c>
      <c r="E52" s="480" t="s">
        <v>1066</v>
      </c>
      <c r="F52" s="480" t="s">
        <v>1067</v>
      </c>
      <c r="G52" s="480" t="s">
        <v>1068</v>
      </c>
      <c r="H52" s="465"/>
    </row>
    <row r="53">
      <c r="A53" s="463"/>
      <c r="B53" s="480">
        <v>46.0</v>
      </c>
      <c r="C53" s="481">
        <v>41089.0</v>
      </c>
      <c r="D53" s="480" t="s">
        <v>1069</v>
      </c>
      <c r="E53" s="480" t="s">
        <v>1070</v>
      </c>
      <c r="F53" s="480" t="s">
        <v>1071</v>
      </c>
      <c r="G53" s="480" t="s">
        <v>1072</v>
      </c>
      <c r="H53" s="465"/>
    </row>
    <row r="54">
      <c r="A54" s="463"/>
      <c r="B54" s="480">
        <v>47.0</v>
      </c>
      <c r="C54" s="481">
        <v>41355.0</v>
      </c>
      <c r="D54" s="480" t="s">
        <v>1073</v>
      </c>
      <c r="E54" s="480" t="s">
        <v>1074</v>
      </c>
      <c r="F54" s="480" t="s">
        <v>1075</v>
      </c>
      <c r="G54" s="480" t="s">
        <v>1076</v>
      </c>
      <c r="H54" s="465"/>
    </row>
    <row r="55">
      <c r="A55" s="463"/>
      <c r="B55" s="480">
        <v>48.0</v>
      </c>
      <c r="C55" s="481">
        <v>41873.0</v>
      </c>
      <c r="D55" s="480" t="s">
        <v>1077</v>
      </c>
      <c r="E55" s="480" t="s">
        <v>1043</v>
      </c>
      <c r="F55" s="480" t="s">
        <v>1044</v>
      </c>
      <c r="G55" s="480" t="s">
        <v>1045</v>
      </c>
      <c r="H55" s="465"/>
    </row>
    <row r="56">
      <c r="A56" s="463"/>
      <c r="B56" s="480">
        <v>49.0</v>
      </c>
      <c r="C56" s="481">
        <v>41152.0</v>
      </c>
      <c r="D56" s="480" t="s">
        <v>1078</v>
      </c>
      <c r="E56" s="480" t="s">
        <v>1079</v>
      </c>
      <c r="F56" s="480" t="s">
        <v>1080</v>
      </c>
      <c r="G56" s="480" t="s">
        <v>1081</v>
      </c>
      <c r="H56" s="465"/>
    </row>
    <row r="57">
      <c r="A57" s="463"/>
      <c r="B57" s="480">
        <v>50.0</v>
      </c>
      <c r="C57" s="481">
        <v>41229.0</v>
      </c>
      <c r="D57" s="480" t="s">
        <v>1082</v>
      </c>
      <c r="E57" s="480" t="s">
        <v>1083</v>
      </c>
      <c r="F57" s="480" t="s">
        <v>1084</v>
      </c>
      <c r="G57" s="480" t="s">
        <v>1085</v>
      </c>
      <c r="H57" s="465"/>
    </row>
    <row r="58">
      <c r="A58" s="463"/>
      <c r="B58" s="480">
        <v>51.0</v>
      </c>
      <c r="C58" s="481">
        <v>41250.0</v>
      </c>
      <c r="D58" s="480" t="s">
        <v>1086</v>
      </c>
      <c r="E58" s="480" t="s">
        <v>1087</v>
      </c>
      <c r="F58" s="480" t="s">
        <v>1088</v>
      </c>
      <c r="G58" s="480" t="s">
        <v>1089</v>
      </c>
      <c r="H58" s="465"/>
    </row>
    <row r="59">
      <c r="A59" s="463"/>
      <c r="B59" s="480">
        <v>52.0</v>
      </c>
      <c r="C59" s="481">
        <v>41026.0</v>
      </c>
      <c r="D59" s="480" t="s">
        <v>1090</v>
      </c>
      <c r="E59" s="480" t="s">
        <v>1091</v>
      </c>
      <c r="F59" s="480" t="s">
        <v>1092</v>
      </c>
      <c r="G59" s="480" t="s">
        <v>1093</v>
      </c>
      <c r="H59" s="465"/>
    </row>
    <row r="60">
      <c r="A60" s="463"/>
      <c r="B60" s="480">
        <v>53.0</v>
      </c>
      <c r="C60" s="481">
        <v>40980.0</v>
      </c>
      <c r="D60" s="480" t="s">
        <v>1094</v>
      </c>
      <c r="E60" s="480" t="s">
        <v>1095</v>
      </c>
      <c r="F60" s="480" t="s">
        <v>1096</v>
      </c>
      <c r="G60" s="480" t="s">
        <v>1097</v>
      </c>
      <c r="H60" s="465"/>
    </row>
    <row r="61">
      <c r="A61" s="463"/>
      <c r="B61" s="480">
        <v>54.0</v>
      </c>
      <c r="C61" s="481">
        <v>41026.0</v>
      </c>
      <c r="D61" s="480" t="s">
        <v>1098</v>
      </c>
      <c r="E61" s="480" t="s">
        <v>1099</v>
      </c>
      <c r="F61" s="480" t="s">
        <v>1100</v>
      </c>
      <c r="G61" s="480" t="s">
        <v>1101</v>
      </c>
      <c r="H61" s="465"/>
    </row>
    <row r="62">
      <c r="A62" s="463"/>
      <c r="B62" s="483" t="s">
        <v>1102</v>
      </c>
      <c r="C62" s="481">
        <v>42754.0</v>
      </c>
      <c r="D62" s="480" t="s">
        <v>1103</v>
      </c>
      <c r="E62" s="480" t="s">
        <v>1104</v>
      </c>
      <c r="F62" s="480" t="s">
        <v>1105</v>
      </c>
      <c r="G62" s="480" t="s">
        <v>1106</v>
      </c>
      <c r="H62" s="465"/>
    </row>
    <row r="63">
      <c r="A63" s="463"/>
      <c r="B63" s="480">
        <v>56.0</v>
      </c>
      <c r="C63" s="481">
        <v>41439.0</v>
      </c>
      <c r="D63" s="480" t="s">
        <v>1107</v>
      </c>
      <c r="E63" s="480" t="s">
        <v>1108</v>
      </c>
      <c r="F63" s="480" t="s">
        <v>1109</v>
      </c>
      <c r="G63" s="480" t="s">
        <v>1110</v>
      </c>
      <c r="H63" s="465"/>
    </row>
    <row r="64">
      <c r="A64" s="463"/>
      <c r="B64" s="480">
        <v>57.0</v>
      </c>
      <c r="C64" s="481">
        <v>41313.0</v>
      </c>
      <c r="D64" s="480" t="s">
        <v>1111</v>
      </c>
      <c r="E64" s="480" t="s">
        <v>1112</v>
      </c>
      <c r="F64" s="480" t="s">
        <v>1113</v>
      </c>
      <c r="G64" s="480" t="s">
        <v>1114</v>
      </c>
      <c r="H64" s="465"/>
    </row>
    <row r="65">
      <c r="A65" s="463"/>
      <c r="B65" s="480">
        <v>58.0</v>
      </c>
      <c r="C65" s="481">
        <v>40998.0</v>
      </c>
      <c r="D65" s="480" t="s">
        <v>1115</v>
      </c>
      <c r="E65" s="480" t="s">
        <v>1116</v>
      </c>
      <c r="F65" s="480" t="s">
        <v>1117</v>
      </c>
      <c r="G65" s="480" t="s">
        <v>1118</v>
      </c>
      <c r="H65" s="465"/>
    </row>
    <row r="66">
      <c r="A66" s="463"/>
      <c r="B66" s="480">
        <v>59.0</v>
      </c>
      <c r="C66" s="481">
        <v>41257.0</v>
      </c>
      <c r="D66" s="480" t="s">
        <v>1119</v>
      </c>
      <c r="E66" s="480" t="s">
        <v>1120</v>
      </c>
      <c r="F66" s="480" t="s">
        <v>1121</v>
      </c>
      <c r="G66" s="480" t="s">
        <v>1122</v>
      </c>
      <c r="H66" s="465"/>
    </row>
    <row r="67">
      <c r="A67" s="463"/>
      <c r="B67" s="480">
        <v>61.0</v>
      </c>
      <c r="C67" s="481">
        <v>41264.0</v>
      </c>
      <c r="D67" s="480" t="s">
        <v>1123</v>
      </c>
      <c r="E67" s="480" t="s">
        <v>1124</v>
      </c>
      <c r="F67" s="480" t="s">
        <v>1125</v>
      </c>
      <c r="G67" s="480" t="s">
        <v>1126</v>
      </c>
      <c r="H67" s="465"/>
    </row>
    <row r="68">
      <c r="A68" s="463"/>
      <c r="B68" s="480">
        <v>62.0</v>
      </c>
      <c r="C68" s="481">
        <v>41089.0</v>
      </c>
      <c r="D68" s="480" t="s">
        <v>1127</v>
      </c>
      <c r="E68" s="480" t="s">
        <v>1128</v>
      </c>
      <c r="F68" s="480" t="s">
        <v>1129</v>
      </c>
      <c r="G68" s="480" t="s">
        <v>1130</v>
      </c>
      <c r="H68" s="482" t="s">
        <v>1131</v>
      </c>
    </row>
    <row r="69">
      <c r="A69" s="463"/>
      <c r="B69" s="480">
        <v>63.0</v>
      </c>
      <c r="C69" s="481">
        <v>41096.0</v>
      </c>
      <c r="D69" s="480" t="s">
        <v>1132</v>
      </c>
      <c r="E69" s="480" t="s">
        <v>1133</v>
      </c>
      <c r="F69" s="480" t="s">
        <v>1134</v>
      </c>
      <c r="G69" s="480" t="s">
        <v>1135</v>
      </c>
      <c r="H69" s="482" t="s">
        <v>1131</v>
      </c>
    </row>
    <row r="70">
      <c r="A70" s="463"/>
      <c r="B70" s="480">
        <v>64.0</v>
      </c>
      <c r="C70" s="481">
        <v>41103.0</v>
      </c>
      <c r="D70" s="480" t="s">
        <v>1136</v>
      </c>
      <c r="E70" s="480" t="s">
        <v>1137</v>
      </c>
      <c r="F70" s="480" t="s">
        <v>1138</v>
      </c>
      <c r="G70" s="480" t="s">
        <v>1139</v>
      </c>
      <c r="H70" s="482" t="s">
        <v>1131</v>
      </c>
    </row>
    <row r="71">
      <c r="A71" s="463"/>
      <c r="B71" s="480">
        <v>65.0</v>
      </c>
      <c r="C71" s="481">
        <v>41110.0</v>
      </c>
      <c r="D71" s="480" t="s">
        <v>1140</v>
      </c>
      <c r="E71" s="480" t="s">
        <v>1141</v>
      </c>
      <c r="F71" s="480" t="s">
        <v>1142</v>
      </c>
      <c r="G71" s="480" t="s">
        <v>1143</v>
      </c>
      <c r="H71" s="482" t="s">
        <v>1131</v>
      </c>
    </row>
    <row r="72">
      <c r="A72" s="463"/>
      <c r="B72" s="480">
        <v>66.0</v>
      </c>
      <c r="C72" s="481">
        <v>41117.0</v>
      </c>
      <c r="D72" s="480" t="s">
        <v>1144</v>
      </c>
      <c r="E72" s="480" t="s">
        <v>1145</v>
      </c>
      <c r="F72" s="480" t="s">
        <v>1146</v>
      </c>
      <c r="G72" s="480" t="s">
        <v>1147</v>
      </c>
      <c r="H72" s="482" t="s">
        <v>1131</v>
      </c>
    </row>
    <row r="73">
      <c r="A73" s="463"/>
      <c r="B73" s="480">
        <v>67.0</v>
      </c>
      <c r="C73" s="481">
        <v>41187.0</v>
      </c>
      <c r="D73" s="480" t="s">
        <v>1148</v>
      </c>
      <c r="E73" s="480" t="s">
        <v>1149</v>
      </c>
      <c r="F73" s="480" t="s">
        <v>1134</v>
      </c>
      <c r="G73" s="480" t="s">
        <v>1135</v>
      </c>
      <c r="H73" s="482" t="s">
        <v>1131</v>
      </c>
    </row>
    <row r="74">
      <c r="A74" s="463"/>
      <c r="B74" s="480">
        <v>68.0</v>
      </c>
      <c r="C74" s="481">
        <v>41194.0</v>
      </c>
      <c r="D74" s="480" t="s">
        <v>1150</v>
      </c>
      <c r="E74" s="480" t="s">
        <v>1151</v>
      </c>
      <c r="F74" s="480" t="s">
        <v>1129</v>
      </c>
      <c r="G74" s="480" t="s">
        <v>1130</v>
      </c>
      <c r="H74" s="482" t="s">
        <v>1131</v>
      </c>
    </row>
    <row r="75">
      <c r="A75" s="463"/>
      <c r="B75" s="480">
        <v>69.0</v>
      </c>
      <c r="C75" s="481">
        <v>41201.0</v>
      </c>
      <c r="D75" s="480" t="s">
        <v>1152</v>
      </c>
      <c r="E75" s="480" t="s">
        <v>1153</v>
      </c>
      <c r="F75" s="480" t="s">
        <v>1154</v>
      </c>
      <c r="G75" s="480" t="s">
        <v>1155</v>
      </c>
      <c r="H75" s="482" t="s">
        <v>1131</v>
      </c>
    </row>
    <row r="76">
      <c r="A76" s="463"/>
      <c r="B76" s="480">
        <v>70.0</v>
      </c>
      <c r="C76" s="481">
        <v>41208.0</v>
      </c>
      <c r="D76" s="480" t="s">
        <v>1156</v>
      </c>
      <c r="E76" s="480" t="s">
        <v>1151</v>
      </c>
      <c r="F76" s="480" t="s">
        <v>1129</v>
      </c>
      <c r="G76" s="480" t="s">
        <v>1130</v>
      </c>
      <c r="H76" s="482" t="s">
        <v>1131</v>
      </c>
    </row>
    <row r="77">
      <c r="A77" s="463"/>
      <c r="B77" s="480">
        <v>71.0</v>
      </c>
      <c r="C77" s="481">
        <v>41208.0</v>
      </c>
      <c r="D77" s="480" t="s">
        <v>1157</v>
      </c>
      <c r="E77" s="480" t="s">
        <v>1151</v>
      </c>
      <c r="F77" s="480" t="s">
        <v>1129</v>
      </c>
      <c r="G77" s="480" t="s">
        <v>1130</v>
      </c>
      <c r="H77" s="482" t="s">
        <v>1131</v>
      </c>
    </row>
    <row r="78">
      <c r="A78" s="463"/>
      <c r="B78" s="480">
        <v>72.0</v>
      </c>
      <c r="C78" s="481">
        <v>41208.0</v>
      </c>
      <c r="D78" s="480" t="s">
        <v>1158</v>
      </c>
      <c r="E78" s="480" t="s">
        <v>1159</v>
      </c>
      <c r="F78" s="480" t="s">
        <v>1160</v>
      </c>
      <c r="G78" s="480" t="s">
        <v>1161</v>
      </c>
      <c r="H78" s="482" t="s">
        <v>1131</v>
      </c>
    </row>
    <row r="79">
      <c r="A79" s="463"/>
      <c r="B79" s="480">
        <v>73.0</v>
      </c>
      <c r="C79" s="481">
        <v>41306.0</v>
      </c>
      <c r="D79" s="480" t="s">
        <v>1162</v>
      </c>
      <c r="E79" s="480" t="s">
        <v>1163</v>
      </c>
      <c r="F79" s="480" t="s">
        <v>1164</v>
      </c>
      <c r="G79" s="480" t="s">
        <v>1165</v>
      </c>
      <c r="H79" s="482" t="s">
        <v>1131</v>
      </c>
    </row>
    <row r="80">
      <c r="A80" s="463"/>
      <c r="B80" s="480">
        <v>74.0</v>
      </c>
      <c r="C80" s="481">
        <v>41313.0</v>
      </c>
      <c r="D80" s="480" t="s">
        <v>1166</v>
      </c>
      <c r="E80" s="480" t="s">
        <v>1167</v>
      </c>
      <c r="F80" s="480" t="s">
        <v>1138</v>
      </c>
      <c r="G80" s="480" t="s">
        <v>1168</v>
      </c>
      <c r="H80" s="482" t="s">
        <v>1131</v>
      </c>
    </row>
    <row r="81">
      <c r="A81" s="463"/>
      <c r="B81" s="480">
        <v>75.0</v>
      </c>
      <c r="C81" s="481">
        <v>41320.0</v>
      </c>
      <c r="D81" s="480" t="s">
        <v>1169</v>
      </c>
      <c r="E81" s="480" t="s">
        <v>1163</v>
      </c>
      <c r="F81" s="480" t="s">
        <v>1164</v>
      </c>
      <c r="G81" s="480" t="s">
        <v>1165</v>
      </c>
      <c r="H81" s="482" t="s">
        <v>1131</v>
      </c>
    </row>
    <row r="82">
      <c r="A82" s="463"/>
      <c r="B82" s="480">
        <v>76.0</v>
      </c>
      <c r="C82" s="481">
        <v>41327.0</v>
      </c>
      <c r="D82" s="480" t="s">
        <v>1170</v>
      </c>
      <c r="E82" s="480" t="s">
        <v>1171</v>
      </c>
      <c r="F82" s="480" t="s">
        <v>1172</v>
      </c>
      <c r="G82" s="480" t="s">
        <v>1173</v>
      </c>
      <c r="H82" s="482" t="s">
        <v>1131</v>
      </c>
    </row>
    <row r="83">
      <c r="A83" s="463"/>
      <c r="B83" s="480">
        <v>77.0</v>
      </c>
      <c r="C83" s="481">
        <v>41334.0</v>
      </c>
      <c r="D83" s="480" t="s">
        <v>1174</v>
      </c>
      <c r="E83" s="480" t="s">
        <v>1175</v>
      </c>
      <c r="F83" s="480" t="s">
        <v>1176</v>
      </c>
      <c r="G83" s="480" t="s">
        <v>1177</v>
      </c>
      <c r="H83" s="482" t="s">
        <v>1131</v>
      </c>
    </row>
    <row r="84">
      <c r="A84" s="463"/>
      <c r="B84" s="480">
        <v>78.0</v>
      </c>
      <c r="C84" s="481">
        <v>41341.0</v>
      </c>
      <c r="D84" s="480" t="s">
        <v>1178</v>
      </c>
      <c r="E84" s="480" t="s">
        <v>1153</v>
      </c>
      <c r="F84" s="480" t="s">
        <v>1154</v>
      </c>
      <c r="G84" s="480" t="s">
        <v>1155</v>
      </c>
      <c r="H84" s="482" t="s">
        <v>1131</v>
      </c>
    </row>
    <row r="85">
      <c r="A85" s="463"/>
      <c r="B85" s="480">
        <v>79.0</v>
      </c>
      <c r="C85" s="481">
        <v>41348.0</v>
      </c>
      <c r="D85" s="480" t="s">
        <v>1179</v>
      </c>
      <c r="E85" s="480" t="s">
        <v>1180</v>
      </c>
      <c r="F85" s="480" t="s">
        <v>1181</v>
      </c>
      <c r="G85" s="480" t="s">
        <v>1182</v>
      </c>
      <c r="H85" s="482" t="s">
        <v>1131</v>
      </c>
    </row>
    <row r="86">
      <c r="A86" s="463"/>
      <c r="B86" s="480">
        <v>80.0</v>
      </c>
      <c r="C86" s="481">
        <v>41348.0</v>
      </c>
      <c r="D86" s="480" t="s">
        <v>1183</v>
      </c>
      <c r="E86" s="480" t="s">
        <v>1163</v>
      </c>
      <c r="F86" s="480" t="s">
        <v>1164</v>
      </c>
      <c r="G86" s="480" t="s">
        <v>1165</v>
      </c>
      <c r="H86" s="482" t="s">
        <v>1131</v>
      </c>
    </row>
    <row r="87">
      <c r="A87" s="463"/>
      <c r="B87" s="480">
        <v>81.0</v>
      </c>
      <c r="C87" s="481">
        <v>41271.0</v>
      </c>
      <c r="D87" s="480" t="s">
        <v>1184</v>
      </c>
      <c r="E87" s="480" t="s">
        <v>1185</v>
      </c>
      <c r="F87" s="480" t="s">
        <v>1186</v>
      </c>
      <c r="G87" s="480" t="s">
        <v>1187</v>
      </c>
      <c r="H87" s="465"/>
    </row>
    <row r="88">
      <c r="A88" s="463"/>
      <c r="B88" s="480">
        <v>83.0</v>
      </c>
      <c r="C88" s="481">
        <v>41068.0</v>
      </c>
      <c r="D88" s="480" t="s">
        <v>1188</v>
      </c>
      <c r="E88" s="480" t="s">
        <v>1189</v>
      </c>
      <c r="F88" s="480" t="s">
        <v>1190</v>
      </c>
      <c r="G88" s="480" t="s">
        <v>1191</v>
      </c>
      <c r="H88" s="465"/>
    </row>
    <row r="89">
      <c r="A89" s="463"/>
      <c r="B89" s="480">
        <v>84.0</v>
      </c>
      <c r="C89" s="481">
        <v>41166.0</v>
      </c>
      <c r="D89" s="480" t="s">
        <v>1192</v>
      </c>
      <c r="E89" s="480" t="s">
        <v>926</v>
      </c>
      <c r="F89" s="480" t="s">
        <v>1193</v>
      </c>
      <c r="G89" s="480" t="s">
        <v>1194</v>
      </c>
      <c r="H89" s="482" t="s">
        <v>929</v>
      </c>
    </row>
    <row r="90">
      <c r="A90" s="463"/>
      <c r="B90" s="480">
        <v>85.0</v>
      </c>
      <c r="C90" s="481">
        <v>41215.0</v>
      </c>
      <c r="D90" s="480" t="s">
        <v>1195</v>
      </c>
      <c r="E90" s="480" t="s">
        <v>1091</v>
      </c>
      <c r="F90" s="480" t="s">
        <v>1092</v>
      </c>
      <c r="G90" s="480" t="s">
        <v>1196</v>
      </c>
      <c r="H90" s="465"/>
    </row>
    <row r="91">
      <c r="A91" s="463"/>
      <c r="B91" s="480">
        <v>86.0</v>
      </c>
      <c r="C91" s="481">
        <v>41243.0</v>
      </c>
      <c r="D91" s="480" t="s">
        <v>1197</v>
      </c>
      <c r="E91" s="480" t="s">
        <v>1198</v>
      </c>
      <c r="F91" s="480" t="s">
        <v>1199</v>
      </c>
      <c r="G91" s="480" t="s">
        <v>1200</v>
      </c>
      <c r="H91" s="465"/>
    </row>
    <row r="92">
      <c r="A92" s="463"/>
      <c r="B92" s="480">
        <v>87.0</v>
      </c>
      <c r="C92" s="481">
        <v>41201.0</v>
      </c>
      <c r="D92" s="480" t="s">
        <v>1201</v>
      </c>
      <c r="E92" s="480" t="s">
        <v>1202</v>
      </c>
      <c r="F92" s="480" t="s">
        <v>1203</v>
      </c>
      <c r="G92" s="480" t="s">
        <v>1204</v>
      </c>
      <c r="H92" s="482" t="s">
        <v>1205</v>
      </c>
    </row>
    <row r="93">
      <c r="A93" s="463"/>
      <c r="B93" s="480">
        <v>88.0</v>
      </c>
      <c r="C93" s="481">
        <v>41264.0</v>
      </c>
      <c r="D93" s="480" t="s">
        <v>1206</v>
      </c>
      <c r="E93" s="480" t="s">
        <v>1207</v>
      </c>
      <c r="F93" s="480" t="s">
        <v>1208</v>
      </c>
      <c r="G93" s="480" t="s">
        <v>1209</v>
      </c>
      <c r="H93" s="465"/>
    </row>
    <row r="94">
      <c r="A94" s="463"/>
      <c r="B94" s="480">
        <v>89.0</v>
      </c>
      <c r="C94" s="481">
        <v>41306.0</v>
      </c>
      <c r="D94" s="480" t="s">
        <v>1210</v>
      </c>
      <c r="E94" s="480" t="s">
        <v>1211</v>
      </c>
      <c r="F94" s="480" t="s">
        <v>1212</v>
      </c>
      <c r="G94" s="480" t="s">
        <v>1213</v>
      </c>
      <c r="H94" s="465"/>
    </row>
    <row r="95">
      <c r="A95" s="463"/>
      <c r="B95" s="480">
        <v>90.0</v>
      </c>
      <c r="C95" s="481">
        <v>41488.0</v>
      </c>
      <c r="D95" s="480" t="s">
        <v>1214</v>
      </c>
      <c r="E95" s="480" t="s">
        <v>1039</v>
      </c>
      <c r="F95" s="480" t="s">
        <v>1040</v>
      </c>
      <c r="G95" s="480" t="s">
        <v>1041</v>
      </c>
      <c r="H95" s="465"/>
    </row>
    <row r="96">
      <c r="A96" s="463"/>
      <c r="B96" s="480">
        <v>91.0</v>
      </c>
      <c r="C96" s="481">
        <v>41355.0</v>
      </c>
      <c r="D96" s="480" t="s">
        <v>1215</v>
      </c>
      <c r="E96" s="480" t="s">
        <v>1216</v>
      </c>
      <c r="F96" s="480" t="s">
        <v>1217</v>
      </c>
      <c r="G96" s="480" t="s">
        <v>1218</v>
      </c>
      <c r="H96" s="465"/>
    </row>
    <row r="97">
      <c r="A97" s="463"/>
      <c r="B97" s="480">
        <v>92.0</v>
      </c>
      <c r="C97" s="481">
        <v>41327.0</v>
      </c>
      <c r="D97" s="480" t="s">
        <v>1219</v>
      </c>
      <c r="E97" s="480" t="s">
        <v>1220</v>
      </c>
      <c r="F97" s="480" t="s">
        <v>1221</v>
      </c>
      <c r="G97" s="480" t="s">
        <v>1222</v>
      </c>
      <c r="H97" s="465"/>
    </row>
    <row r="98">
      <c r="A98" s="463"/>
      <c r="B98" s="480">
        <v>93.0</v>
      </c>
      <c r="C98" s="481">
        <v>41348.0</v>
      </c>
      <c r="D98" s="480" t="s">
        <v>1223</v>
      </c>
      <c r="E98" s="480" t="s">
        <v>1224</v>
      </c>
      <c r="F98" s="480" t="s">
        <v>1225</v>
      </c>
      <c r="G98" s="480" t="s">
        <v>1226</v>
      </c>
      <c r="H98" s="482" t="s">
        <v>1131</v>
      </c>
    </row>
    <row r="99">
      <c r="A99" s="463"/>
      <c r="B99" s="480">
        <v>94.0</v>
      </c>
      <c r="C99" s="481">
        <v>41705.0</v>
      </c>
      <c r="D99" s="480" t="s">
        <v>1227</v>
      </c>
      <c r="E99" s="480" t="s">
        <v>1228</v>
      </c>
      <c r="F99" s="480" t="s">
        <v>1229</v>
      </c>
      <c r="G99" s="480" t="s">
        <v>1230</v>
      </c>
      <c r="H99" s="482" t="s">
        <v>1231</v>
      </c>
    </row>
    <row r="100">
      <c r="A100" s="463"/>
      <c r="B100" s="480">
        <v>95.0</v>
      </c>
      <c r="C100" s="481">
        <v>41313.0</v>
      </c>
      <c r="D100" s="480" t="s">
        <v>1232</v>
      </c>
      <c r="E100" s="480" t="s">
        <v>1233</v>
      </c>
      <c r="F100" s="480" t="s">
        <v>1234</v>
      </c>
      <c r="G100" s="480" t="s">
        <v>1235</v>
      </c>
      <c r="H100" s="482" t="s">
        <v>1236</v>
      </c>
    </row>
    <row r="101">
      <c r="A101" s="463"/>
      <c r="B101" s="480">
        <v>96.0</v>
      </c>
      <c r="C101" s="481">
        <v>41313.0</v>
      </c>
      <c r="D101" s="480" t="s">
        <v>1237</v>
      </c>
      <c r="E101" s="480" t="s">
        <v>1238</v>
      </c>
      <c r="F101" s="480" t="s">
        <v>1239</v>
      </c>
      <c r="G101" s="480" t="s">
        <v>1240</v>
      </c>
      <c r="H101" s="482" t="s">
        <v>1241</v>
      </c>
    </row>
    <row r="102">
      <c r="A102" s="463"/>
      <c r="B102" s="480">
        <v>98.0</v>
      </c>
      <c r="C102" s="481">
        <v>41313.0</v>
      </c>
      <c r="D102" s="480" t="s">
        <v>1242</v>
      </c>
      <c r="E102" s="480" t="s">
        <v>1243</v>
      </c>
      <c r="F102" s="480" t="s">
        <v>1244</v>
      </c>
      <c r="G102" s="480" t="s">
        <v>1245</v>
      </c>
      <c r="H102" s="482" t="s">
        <v>1241</v>
      </c>
    </row>
    <row r="103">
      <c r="A103" s="463"/>
      <c r="B103" s="480">
        <v>99.0</v>
      </c>
      <c r="C103" s="481">
        <v>41257.0</v>
      </c>
      <c r="D103" s="480" t="s">
        <v>1246</v>
      </c>
      <c r="E103" s="480" t="s">
        <v>1247</v>
      </c>
      <c r="F103" s="480" t="s">
        <v>1248</v>
      </c>
      <c r="G103" s="480" t="s">
        <v>1249</v>
      </c>
      <c r="H103" s="482" t="s">
        <v>1250</v>
      </c>
    </row>
    <row r="104">
      <c r="A104" s="463"/>
      <c r="B104" s="480">
        <v>100.0</v>
      </c>
      <c r="C104" s="481">
        <v>41376.0</v>
      </c>
      <c r="D104" s="480" t="s">
        <v>1251</v>
      </c>
      <c r="E104" s="480" t="s">
        <v>1252</v>
      </c>
      <c r="F104" s="480" t="s">
        <v>1253</v>
      </c>
      <c r="G104" s="480" t="s">
        <v>1254</v>
      </c>
      <c r="H104" s="482" t="s">
        <v>1131</v>
      </c>
    </row>
    <row r="105">
      <c r="A105" s="463"/>
      <c r="B105" s="480">
        <v>101.0</v>
      </c>
      <c r="C105" s="481">
        <v>41390.0</v>
      </c>
      <c r="D105" s="480" t="s">
        <v>1255</v>
      </c>
      <c r="E105" s="480" t="s">
        <v>968</v>
      </c>
      <c r="F105" s="480" t="s">
        <v>969</v>
      </c>
      <c r="G105" s="480" t="s">
        <v>970</v>
      </c>
      <c r="H105" s="465"/>
    </row>
    <row r="106">
      <c r="A106" s="463"/>
      <c r="B106" s="480">
        <v>102.0</v>
      </c>
      <c r="C106" s="481">
        <v>41411.0</v>
      </c>
      <c r="D106" s="480" t="s">
        <v>1256</v>
      </c>
      <c r="E106" s="480" t="s">
        <v>1257</v>
      </c>
      <c r="F106" s="480" t="s">
        <v>1258</v>
      </c>
      <c r="G106" s="480" t="s">
        <v>1259</v>
      </c>
      <c r="H106" s="482" t="s">
        <v>1260</v>
      </c>
    </row>
    <row r="107">
      <c r="A107" s="463"/>
      <c r="B107" s="480">
        <v>103.0</v>
      </c>
      <c r="C107" s="481">
        <v>41418.0</v>
      </c>
      <c r="D107" s="480" t="s">
        <v>1261</v>
      </c>
      <c r="E107" s="480" t="s">
        <v>1262</v>
      </c>
      <c r="F107" s="480" t="s">
        <v>1263</v>
      </c>
      <c r="G107" s="480" t="s">
        <v>1264</v>
      </c>
      <c r="H107" s="465"/>
    </row>
    <row r="108">
      <c r="A108" s="463"/>
      <c r="B108" s="480">
        <v>104.0</v>
      </c>
      <c r="C108" s="481">
        <v>41411.0</v>
      </c>
      <c r="D108" s="480" t="s">
        <v>1265</v>
      </c>
      <c r="E108" s="480" t="s">
        <v>1266</v>
      </c>
      <c r="F108" s="480" t="s">
        <v>1267</v>
      </c>
      <c r="G108" s="480" t="s">
        <v>1268</v>
      </c>
      <c r="H108" s="465"/>
    </row>
    <row r="109">
      <c r="A109" s="463"/>
      <c r="B109" s="480">
        <v>105.0</v>
      </c>
      <c r="C109" s="481">
        <v>41418.0</v>
      </c>
      <c r="D109" s="480" t="s">
        <v>1269</v>
      </c>
      <c r="E109" s="480" t="s">
        <v>1270</v>
      </c>
      <c r="F109" s="480" t="s">
        <v>1271</v>
      </c>
      <c r="G109" s="480" t="s">
        <v>1272</v>
      </c>
      <c r="H109" s="465"/>
    </row>
    <row r="110">
      <c r="A110" s="463"/>
      <c r="B110" s="480">
        <v>106.0</v>
      </c>
      <c r="C110" s="481">
        <v>41404.0</v>
      </c>
      <c r="D110" s="480" t="s">
        <v>1273</v>
      </c>
      <c r="E110" s="480" t="s">
        <v>1274</v>
      </c>
      <c r="F110" s="480" t="s">
        <v>1275</v>
      </c>
      <c r="G110" s="480" t="s">
        <v>1275</v>
      </c>
      <c r="H110" s="482" t="s">
        <v>1276</v>
      </c>
    </row>
    <row r="111">
      <c r="A111" s="463"/>
      <c r="B111" s="480">
        <v>107.0</v>
      </c>
      <c r="C111" s="481">
        <v>41404.0</v>
      </c>
      <c r="D111" s="480" t="s">
        <v>1277</v>
      </c>
      <c r="E111" s="480" t="s">
        <v>1278</v>
      </c>
      <c r="F111" s="480" t="s">
        <v>1279</v>
      </c>
      <c r="G111" s="480" t="s">
        <v>1280</v>
      </c>
      <c r="H111" s="482" t="s">
        <v>1276</v>
      </c>
    </row>
    <row r="112">
      <c r="A112" s="463"/>
      <c r="B112" s="480">
        <v>108.0</v>
      </c>
      <c r="C112" s="481">
        <v>41348.0</v>
      </c>
      <c r="D112" s="480" t="s">
        <v>1281</v>
      </c>
      <c r="E112" s="480" t="s">
        <v>1043</v>
      </c>
      <c r="F112" s="480" t="s">
        <v>1044</v>
      </c>
      <c r="G112" s="480" t="s">
        <v>1045</v>
      </c>
      <c r="H112" s="465"/>
    </row>
    <row r="113">
      <c r="A113" s="463"/>
      <c r="B113" s="480">
        <v>109.0</v>
      </c>
      <c r="C113" s="481">
        <v>41425.0</v>
      </c>
      <c r="D113" s="480" t="s">
        <v>1282</v>
      </c>
      <c r="E113" s="480" t="s">
        <v>1283</v>
      </c>
      <c r="F113" s="480" t="s">
        <v>1284</v>
      </c>
      <c r="G113" s="480" t="s">
        <v>1285</v>
      </c>
      <c r="H113" s="465"/>
    </row>
    <row r="114">
      <c r="A114" s="463"/>
      <c r="B114" s="480">
        <v>110.0</v>
      </c>
      <c r="C114" s="481">
        <v>41432.0</v>
      </c>
      <c r="D114" s="480" t="s">
        <v>1286</v>
      </c>
      <c r="E114" s="480" t="s">
        <v>1124</v>
      </c>
      <c r="F114" s="480" t="s">
        <v>1125</v>
      </c>
      <c r="G114" s="480" t="s">
        <v>1126</v>
      </c>
      <c r="H114" s="465"/>
    </row>
    <row r="115">
      <c r="A115" s="463"/>
      <c r="B115" s="480">
        <v>111.0</v>
      </c>
      <c r="C115" s="481">
        <v>41432.0</v>
      </c>
      <c r="D115" s="480" t="s">
        <v>1287</v>
      </c>
      <c r="E115" s="480" t="s">
        <v>1288</v>
      </c>
      <c r="F115" s="480" t="s">
        <v>1289</v>
      </c>
      <c r="G115" s="480" t="s">
        <v>1290</v>
      </c>
      <c r="H115" s="465"/>
    </row>
    <row r="116">
      <c r="A116" s="463"/>
      <c r="B116" s="480">
        <v>112.0</v>
      </c>
      <c r="C116" s="481">
        <v>41425.0</v>
      </c>
      <c r="D116" s="480" t="s">
        <v>1291</v>
      </c>
      <c r="E116" s="480" t="s">
        <v>1292</v>
      </c>
      <c r="F116" s="480" t="s">
        <v>1293</v>
      </c>
      <c r="G116" s="480" t="s">
        <v>1294</v>
      </c>
      <c r="H116" s="465"/>
    </row>
    <row r="117">
      <c r="A117" s="463"/>
      <c r="B117" s="480">
        <v>113.0</v>
      </c>
      <c r="C117" s="481">
        <v>41446.0</v>
      </c>
      <c r="D117" s="480" t="s">
        <v>1295</v>
      </c>
      <c r="E117" s="480" t="s">
        <v>869</v>
      </c>
      <c r="F117" s="480" t="s">
        <v>1296</v>
      </c>
      <c r="G117" s="480" t="s">
        <v>1297</v>
      </c>
      <c r="H117" s="465"/>
    </row>
    <row r="118">
      <c r="A118" s="463"/>
      <c r="B118" s="480">
        <v>114.0</v>
      </c>
      <c r="C118" s="481">
        <v>41453.0</v>
      </c>
      <c r="D118" s="480" t="s">
        <v>1298</v>
      </c>
      <c r="E118" s="480" t="s">
        <v>1299</v>
      </c>
      <c r="F118" s="480" t="s">
        <v>1300</v>
      </c>
      <c r="G118" s="480" t="s">
        <v>1301</v>
      </c>
      <c r="H118" s="482" t="s">
        <v>1302</v>
      </c>
    </row>
    <row r="119">
      <c r="A119" s="463"/>
      <c r="B119" s="480">
        <v>115.0</v>
      </c>
      <c r="C119" s="481">
        <v>41453.0</v>
      </c>
      <c r="D119" s="480" t="s">
        <v>1303</v>
      </c>
      <c r="E119" s="480" t="s">
        <v>1304</v>
      </c>
      <c r="F119" s="480" t="s">
        <v>1305</v>
      </c>
      <c r="G119" s="480" t="s">
        <v>920</v>
      </c>
      <c r="H119" s="465"/>
    </row>
    <row r="120">
      <c r="A120" s="463"/>
      <c r="B120" s="480">
        <v>116.0</v>
      </c>
      <c r="C120" s="481">
        <v>41460.0</v>
      </c>
      <c r="D120" s="480" t="s">
        <v>1306</v>
      </c>
      <c r="E120" s="480" t="s">
        <v>1307</v>
      </c>
      <c r="F120" s="480" t="s">
        <v>1308</v>
      </c>
      <c r="G120" s="480" t="s">
        <v>955</v>
      </c>
      <c r="H120" s="482" t="s">
        <v>1309</v>
      </c>
    </row>
    <row r="121">
      <c r="A121" s="463"/>
      <c r="B121" s="480">
        <v>117.0</v>
      </c>
      <c r="C121" s="481">
        <v>41460.0</v>
      </c>
      <c r="D121" s="480" t="s">
        <v>1310</v>
      </c>
      <c r="E121" s="480" t="s">
        <v>1311</v>
      </c>
      <c r="F121" s="480" t="s">
        <v>1312</v>
      </c>
      <c r="G121" s="480" t="s">
        <v>1313</v>
      </c>
      <c r="H121" s="465"/>
    </row>
    <row r="122">
      <c r="A122" s="463"/>
      <c r="B122" s="480">
        <v>118.0</v>
      </c>
      <c r="C122" s="481">
        <v>41467.0</v>
      </c>
      <c r="D122" s="480" t="s">
        <v>1314</v>
      </c>
      <c r="E122" s="480" t="s">
        <v>1315</v>
      </c>
      <c r="F122" s="480" t="s">
        <v>1316</v>
      </c>
      <c r="G122" s="480" t="s">
        <v>1317</v>
      </c>
      <c r="H122" s="465"/>
    </row>
    <row r="123">
      <c r="A123" s="463"/>
      <c r="B123" s="480">
        <v>119.0</v>
      </c>
      <c r="C123" s="481">
        <v>41467.0</v>
      </c>
      <c r="D123" s="480" t="s">
        <v>1318</v>
      </c>
      <c r="E123" s="480" t="s">
        <v>1319</v>
      </c>
      <c r="F123" s="480" t="s">
        <v>1320</v>
      </c>
      <c r="G123" s="480" t="s">
        <v>1321</v>
      </c>
      <c r="H123" s="465"/>
    </row>
    <row r="124">
      <c r="A124" s="463"/>
      <c r="B124" s="480">
        <v>120.0</v>
      </c>
      <c r="C124" s="481">
        <v>41474.0</v>
      </c>
      <c r="D124" s="480" t="s">
        <v>1322</v>
      </c>
      <c r="E124" s="480" t="s">
        <v>1323</v>
      </c>
      <c r="F124" s="480" t="s">
        <v>1324</v>
      </c>
      <c r="G124" s="480" t="s">
        <v>1325</v>
      </c>
      <c r="H124" s="465"/>
    </row>
    <row r="125">
      <c r="A125" s="463"/>
      <c r="B125" s="480">
        <v>121.0</v>
      </c>
      <c r="C125" s="481">
        <v>41474.0</v>
      </c>
      <c r="D125" s="480" t="s">
        <v>1326</v>
      </c>
      <c r="E125" s="480" t="s">
        <v>1327</v>
      </c>
      <c r="F125" s="480" t="s">
        <v>1328</v>
      </c>
      <c r="G125" s="480" t="s">
        <v>1329</v>
      </c>
      <c r="H125" s="465"/>
    </row>
    <row r="126">
      <c r="A126" s="463"/>
      <c r="B126" s="480">
        <v>122.0</v>
      </c>
      <c r="C126" s="481">
        <v>41481.0</v>
      </c>
      <c r="D126" s="480" t="s">
        <v>1330</v>
      </c>
      <c r="E126" s="480" t="s">
        <v>1331</v>
      </c>
      <c r="F126" s="480" t="s">
        <v>1332</v>
      </c>
      <c r="G126" s="480" t="s">
        <v>1333</v>
      </c>
      <c r="H126" s="465"/>
    </row>
    <row r="127">
      <c r="A127" s="463"/>
      <c r="B127" s="480">
        <v>123.0</v>
      </c>
      <c r="C127" s="481">
        <v>41481.0</v>
      </c>
      <c r="D127" s="480" t="s">
        <v>1334</v>
      </c>
      <c r="E127" s="480" t="s">
        <v>976</v>
      </c>
      <c r="F127" s="480" t="s">
        <v>977</v>
      </c>
      <c r="G127" s="480" t="s">
        <v>978</v>
      </c>
      <c r="H127" s="465"/>
    </row>
    <row r="128">
      <c r="A128" s="463"/>
      <c r="B128" s="480">
        <v>124.0</v>
      </c>
      <c r="C128" s="481">
        <v>41481.0</v>
      </c>
      <c r="D128" s="480" t="s">
        <v>1335</v>
      </c>
      <c r="E128" s="480" t="s">
        <v>1336</v>
      </c>
      <c r="F128" s="480" t="s">
        <v>1337</v>
      </c>
      <c r="G128" s="480" t="s">
        <v>1338</v>
      </c>
      <c r="H128" s="482" t="s">
        <v>1339</v>
      </c>
    </row>
    <row r="129">
      <c r="A129" s="463"/>
      <c r="B129" s="480">
        <v>125.0</v>
      </c>
      <c r="C129" s="481">
        <v>41529.0</v>
      </c>
      <c r="D129" s="480" t="s">
        <v>1340</v>
      </c>
      <c r="E129" s="480" t="s">
        <v>1341</v>
      </c>
      <c r="F129" s="480" t="s">
        <v>1342</v>
      </c>
      <c r="G129" s="480" t="s">
        <v>1343</v>
      </c>
      <c r="H129" s="482" t="s">
        <v>1241</v>
      </c>
    </row>
    <row r="130">
      <c r="A130" s="463"/>
      <c r="B130" s="480">
        <v>126.0</v>
      </c>
      <c r="C130" s="481">
        <v>41509.0</v>
      </c>
      <c r="D130" s="480" t="s">
        <v>1344</v>
      </c>
      <c r="E130" s="480" t="s">
        <v>1345</v>
      </c>
      <c r="F130" s="480" t="s">
        <v>1346</v>
      </c>
      <c r="G130" s="480" t="s">
        <v>1085</v>
      </c>
      <c r="H130" s="465"/>
    </row>
    <row r="131">
      <c r="A131" s="463"/>
      <c r="B131" s="480">
        <v>127.0</v>
      </c>
      <c r="C131" s="481">
        <v>41509.0</v>
      </c>
      <c r="D131" s="480" t="s">
        <v>1347</v>
      </c>
      <c r="E131" s="480" t="s">
        <v>1062</v>
      </c>
      <c r="F131" s="480" t="s">
        <v>1063</v>
      </c>
      <c r="G131" s="480" t="s">
        <v>1064</v>
      </c>
      <c r="H131" s="465"/>
    </row>
    <row r="132">
      <c r="A132" s="463"/>
      <c r="B132" s="480">
        <v>128.0</v>
      </c>
      <c r="C132" s="481">
        <v>41516.0</v>
      </c>
      <c r="D132" s="480" t="s">
        <v>1348</v>
      </c>
      <c r="E132" s="480" t="s">
        <v>1349</v>
      </c>
      <c r="F132" s="480" t="s">
        <v>1350</v>
      </c>
      <c r="G132" s="480" t="s">
        <v>939</v>
      </c>
      <c r="H132" s="465"/>
    </row>
    <row r="133">
      <c r="A133" s="463"/>
      <c r="B133" s="480">
        <v>129.0</v>
      </c>
      <c r="C133" s="481">
        <v>41516.0</v>
      </c>
      <c r="D133" s="480" t="s">
        <v>1351</v>
      </c>
      <c r="E133" s="480" t="s">
        <v>1352</v>
      </c>
      <c r="F133" s="480" t="s">
        <v>1353</v>
      </c>
      <c r="G133" s="480" t="s">
        <v>1354</v>
      </c>
      <c r="H133" s="465"/>
    </row>
    <row r="134">
      <c r="A134" s="463"/>
      <c r="B134" s="480">
        <v>130.0</v>
      </c>
      <c r="C134" s="481">
        <v>41670.0</v>
      </c>
      <c r="D134" s="480" t="s">
        <v>1355</v>
      </c>
      <c r="E134" s="480" t="s">
        <v>1356</v>
      </c>
      <c r="F134" s="480" t="s">
        <v>1357</v>
      </c>
      <c r="G134" s="480" t="s">
        <v>1358</v>
      </c>
      <c r="H134" s="465"/>
    </row>
    <row r="135">
      <c r="A135" s="463"/>
      <c r="B135" s="480">
        <v>131.0</v>
      </c>
      <c r="C135" s="481">
        <v>41516.0</v>
      </c>
      <c r="D135" s="480" t="s">
        <v>1359</v>
      </c>
      <c r="E135" s="480" t="s">
        <v>1360</v>
      </c>
      <c r="F135" s="480" t="s">
        <v>1361</v>
      </c>
      <c r="G135" s="480" t="s">
        <v>1196</v>
      </c>
      <c r="H135" s="465"/>
    </row>
    <row r="136">
      <c r="A136" s="463"/>
      <c r="B136" s="480">
        <v>132.0</v>
      </c>
      <c r="C136" s="481">
        <v>41502.0</v>
      </c>
      <c r="D136" s="480" t="s">
        <v>1362</v>
      </c>
      <c r="E136" s="480" t="s">
        <v>1363</v>
      </c>
      <c r="F136" s="480" t="s">
        <v>1364</v>
      </c>
      <c r="G136" s="480" t="s">
        <v>1365</v>
      </c>
      <c r="H136" s="465"/>
    </row>
    <row r="137">
      <c r="A137" s="463"/>
      <c r="B137" s="480">
        <v>133.0</v>
      </c>
      <c r="C137" s="481">
        <v>41516.0</v>
      </c>
      <c r="D137" s="480" t="s">
        <v>1366</v>
      </c>
      <c r="E137" s="480" t="s">
        <v>1367</v>
      </c>
      <c r="F137" s="480" t="s">
        <v>1368</v>
      </c>
      <c r="G137" s="480" t="s">
        <v>1369</v>
      </c>
      <c r="H137" s="465"/>
    </row>
    <row r="138">
      <c r="A138" s="463"/>
      <c r="B138" s="480">
        <v>134.0</v>
      </c>
      <c r="C138" s="481">
        <v>41516.0</v>
      </c>
      <c r="D138" s="480" t="s">
        <v>1370</v>
      </c>
      <c r="E138" s="480" t="s">
        <v>1371</v>
      </c>
      <c r="F138" s="480" t="s">
        <v>1372</v>
      </c>
      <c r="G138" s="480" t="s">
        <v>978</v>
      </c>
      <c r="H138" s="465"/>
    </row>
    <row r="139">
      <c r="A139" s="463"/>
      <c r="B139" s="483" t="s">
        <v>1373</v>
      </c>
      <c r="C139" s="480" t="s">
        <v>1374</v>
      </c>
      <c r="D139" s="480" t="s">
        <v>1375</v>
      </c>
      <c r="E139" s="480" t="s">
        <v>1376</v>
      </c>
      <c r="F139" s="480" t="s">
        <v>1377</v>
      </c>
      <c r="G139" s="480" t="s">
        <v>1378</v>
      </c>
      <c r="H139" s="465"/>
    </row>
    <row r="140">
      <c r="A140" s="463"/>
      <c r="B140" s="480">
        <v>136.0</v>
      </c>
      <c r="C140" s="481">
        <v>42083.0</v>
      </c>
      <c r="D140" s="480" t="s">
        <v>1379</v>
      </c>
      <c r="E140" s="480" t="s">
        <v>1380</v>
      </c>
      <c r="F140" s="480" t="s">
        <v>1381</v>
      </c>
      <c r="G140" s="480" t="s">
        <v>1382</v>
      </c>
      <c r="H140" s="465"/>
    </row>
    <row r="141">
      <c r="A141" s="463"/>
      <c r="B141" s="480">
        <v>137.0</v>
      </c>
      <c r="C141" s="481">
        <v>41502.0</v>
      </c>
      <c r="D141" s="480" t="s">
        <v>1383</v>
      </c>
      <c r="E141" s="480" t="s">
        <v>1380</v>
      </c>
      <c r="F141" s="480" t="s">
        <v>1381</v>
      </c>
      <c r="G141" s="480" t="s">
        <v>1382</v>
      </c>
      <c r="H141" s="465"/>
    </row>
    <row r="142">
      <c r="A142" s="463"/>
      <c r="B142" s="480">
        <v>138.0</v>
      </c>
      <c r="C142" s="481">
        <v>42083.0</v>
      </c>
      <c r="D142" s="480" t="s">
        <v>1384</v>
      </c>
      <c r="E142" s="480" t="s">
        <v>1380</v>
      </c>
      <c r="F142" s="480" t="s">
        <v>1381</v>
      </c>
      <c r="G142" s="480" t="s">
        <v>1382</v>
      </c>
      <c r="H142" s="465"/>
    </row>
    <row r="143">
      <c r="A143" s="463"/>
      <c r="B143" s="480">
        <v>139.0</v>
      </c>
      <c r="C143" s="481">
        <v>42160.0</v>
      </c>
      <c r="D143" s="480" t="s">
        <v>1385</v>
      </c>
      <c r="E143" s="480" t="s">
        <v>1386</v>
      </c>
      <c r="F143" s="480" t="s">
        <v>1387</v>
      </c>
      <c r="G143" s="480" t="s">
        <v>1388</v>
      </c>
      <c r="H143" s="482" t="s">
        <v>1389</v>
      </c>
    </row>
    <row r="144">
      <c r="A144" s="463"/>
      <c r="B144" s="480">
        <v>140.0</v>
      </c>
      <c r="C144" s="481">
        <v>42160.0</v>
      </c>
      <c r="D144" s="480" t="s">
        <v>1390</v>
      </c>
      <c r="E144" s="480" t="s">
        <v>1391</v>
      </c>
      <c r="F144" s="480" t="s">
        <v>1392</v>
      </c>
      <c r="G144" s="480" t="s">
        <v>1393</v>
      </c>
      <c r="H144" s="482" t="s">
        <v>1389</v>
      </c>
    </row>
    <row r="145">
      <c r="A145" s="463"/>
      <c r="B145" s="480">
        <v>141.0</v>
      </c>
      <c r="C145" s="481">
        <v>42160.0</v>
      </c>
      <c r="D145" s="480" t="s">
        <v>1394</v>
      </c>
      <c r="E145" s="480" t="s">
        <v>1395</v>
      </c>
      <c r="F145" s="480" t="s">
        <v>1396</v>
      </c>
      <c r="G145" s="480" t="s">
        <v>1397</v>
      </c>
      <c r="H145" s="482" t="s">
        <v>1389</v>
      </c>
    </row>
    <row r="146">
      <c r="A146" s="463"/>
      <c r="B146" s="480">
        <v>142.0</v>
      </c>
      <c r="C146" s="481">
        <v>41502.0</v>
      </c>
      <c r="D146" s="480" t="s">
        <v>1398</v>
      </c>
      <c r="E146" s="480" t="s">
        <v>1399</v>
      </c>
      <c r="F146" s="480" t="s">
        <v>1400</v>
      </c>
      <c r="G146" s="480" t="s">
        <v>1401</v>
      </c>
      <c r="H146" s="465"/>
    </row>
    <row r="147">
      <c r="A147" s="463"/>
      <c r="B147" s="480">
        <v>143.0</v>
      </c>
      <c r="C147" s="481">
        <v>41509.0</v>
      </c>
      <c r="D147" s="480" t="s">
        <v>1402</v>
      </c>
      <c r="E147" s="480" t="s">
        <v>1403</v>
      </c>
      <c r="F147" s="480" t="s">
        <v>1404</v>
      </c>
      <c r="G147" s="480" t="s">
        <v>1405</v>
      </c>
      <c r="H147" s="482" t="s">
        <v>1406</v>
      </c>
    </row>
    <row r="148">
      <c r="A148" s="463"/>
      <c r="B148" s="480">
        <v>144.0</v>
      </c>
      <c r="C148" s="481">
        <v>41502.0</v>
      </c>
      <c r="D148" s="480" t="s">
        <v>1407</v>
      </c>
      <c r="E148" s="480" t="s">
        <v>1023</v>
      </c>
      <c r="F148" s="480" t="s">
        <v>1024</v>
      </c>
      <c r="G148" s="480" t="s">
        <v>1025</v>
      </c>
      <c r="H148" s="465"/>
    </row>
    <row r="149">
      <c r="A149" s="463"/>
      <c r="B149" s="480">
        <v>145.0</v>
      </c>
      <c r="C149" s="481">
        <v>41502.0</v>
      </c>
      <c r="D149" s="480" t="s">
        <v>1408</v>
      </c>
      <c r="E149" s="480" t="s">
        <v>1409</v>
      </c>
      <c r="F149" s="480" t="s">
        <v>1410</v>
      </c>
      <c r="G149" s="480" t="s">
        <v>1411</v>
      </c>
      <c r="H149" s="465"/>
    </row>
    <row r="150">
      <c r="A150" s="463"/>
      <c r="B150" s="480">
        <v>146.0</v>
      </c>
      <c r="C150" s="481">
        <v>41446.0</v>
      </c>
      <c r="D150" s="480" t="s">
        <v>1412</v>
      </c>
      <c r="E150" s="480" t="s">
        <v>1413</v>
      </c>
      <c r="F150" s="480" t="s">
        <v>1414</v>
      </c>
      <c r="G150" s="480" t="s">
        <v>1415</v>
      </c>
      <c r="H150" s="465"/>
    </row>
    <row r="151">
      <c r="A151" s="463"/>
      <c r="B151" s="480">
        <v>147.0</v>
      </c>
      <c r="C151" s="481">
        <v>41530.0</v>
      </c>
      <c r="D151" s="480" t="s">
        <v>1416</v>
      </c>
      <c r="E151" s="480" t="s">
        <v>1417</v>
      </c>
      <c r="F151" s="480" t="s">
        <v>1418</v>
      </c>
      <c r="G151" s="480" t="s">
        <v>1419</v>
      </c>
      <c r="H151" s="465"/>
    </row>
    <row r="152">
      <c r="A152" s="463"/>
      <c r="B152" s="480">
        <v>148.0</v>
      </c>
      <c r="C152" s="481">
        <v>41530.0</v>
      </c>
      <c r="D152" s="480" t="s">
        <v>1420</v>
      </c>
      <c r="E152" s="480" t="s">
        <v>1417</v>
      </c>
      <c r="F152" s="480" t="s">
        <v>1421</v>
      </c>
      <c r="G152" s="480" t="s">
        <v>1419</v>
      </c>
      <c r="H152" s="465"/>
    </row>
    <row r="153">
      <c r="A153" s="463"/>
      <c r="B153" s="480">
        <v>149.0</v>
      </c>
      <c r="C153" s="481">
        <v>41530.0</v>
      </c>
      <c r="D153" s="480" t="s">
        <v>1422</v>
      </c>
      <c r="E153" s="480" t="s">
        <v>1423</v>
      </c>
      <c r="F153" s="480" t="s">
        <v>1424</v>
      </c>
      <c r="G153" s="480" t="s">
        <v>1419</v>
      </c>
      <c r="H153" s="465"/>
    </row>
    <row r="154">
      <c r="A154" s="463"/>
      <c r="B154" s="480">
        <v>150.0</v>
      </c>
      <c r="C154" s="481">
        <v>41530.0</v>
      </c>
      <c r="D154" s="480" t="s">
        <v>1425</v>
      </c>
      <c r="E154" s="480" t="s">
        <v>1423</v>
      </c>
      <c r="F154" s="480" t="s">
        <v>1418</v>
      </c>
      <c r="G154" s="480" t="s">
        <v>1419</v>
      </c>
      <c r="H154" s="465"/>
    </row>
    <row r="155">
      <c r="A155" s="463"/>
      <c r="B155" s="480">
        <v>151.0</v>
      </c>
      <c r="C155" s="481">
        <v>41460.0</v>
      </c>
      <c r="D155" s="480" t="s">
        <v>1426</v>
      </c>
      <c r="E155" s="480" t="s">
        <v>1427</v>
      </c>
      <c r="F155" s="480" t="s">
        <v>1428</v>
      </c>
      <c r="G155" s="480" t="s">
        <v>1429</v>
      </c>
      <c r="H155" s="465"/>
    </row>
    <row r="156">
      <c r="A156" s="463"/>
      <c r="B156" s="480">
        <v>152.0</v>
      </c>
      <c r="C156" s="481">
        <v>41530.0</v>
      </c>
      <c r="D156" s="480" t="s">
        <v>1430</v>
      </c>
      <c r="E156" s="480" t="s">
        <v>1431</v>
      </c>
      <c r="F156" s="480" t="s">
        <v>1432</v>
      </c>
      <c r="G156" s="480" t="s">
        <v>1433</v>
      </c>
      <c r="H156" s="482" t="s">
        <v>929</v>
      </c>
    </row>
    <row r="157">
      <c r="A157" s="463"/>
      <c r="B157" s="480">
        <v>153.0</v>
      </c>
      <c r="C157" s="481">
        <v>41530.0</v>
      </c>
      <c r="D157" s="480" t="s">
        <v>1434</v>
      </c>
      <c r="E157" s="480" t="s">
        <v>1435</v>
      </c>
      <c r="F157" s="480" t="s">
        <v>1436</v>
      </c>
      <c r="G157" s="480" t="s">
        <v>1437</v>
      </c>
      <c r="H157" s="465"/>
    </row>
    <row r="158">
      <c r="A158" s="463"/>
      <c r="B158" s="480">
        <v>154.0</v>
      </c>
      <c r="C158" s="481">
        <v>41530.0</v>
      </c>
      <c r="D158" s="480" t="s">
        <v>1438</v>
      </c>
      <c r="E158" s="480" t="s">
        <v>1439</v>
      </c>
      <c r="F158" s="480" t="s">
        <v>1440</v>
      </c>
      <c r="G158" s="480" t="s">
        <v>1441</v>
      </c>
      <c r="H158" s="465"/>
    </row>
    <row r="159">
      <c r="A159" s="463"/>
      <c r="B159" s="480">
        <v>156.0</v>
      </c>
      <c r="C159" s="481">
        <v>41530.0</v>
      </c>
      <c r="D159" s="480" t="s">
        <v>1442</v>
      </c>
      <c r="E159" s="480" t="s">
        <v>1443</v>
      </c>
      <c r="F159" s="480" t="s">
        <v>1444</v>
      </c>
      <c r="G159" s="480" t="s">
        <v>1445</v>
      </c>
      <c r="H159" s="465"/>
    </row>
    <row r="160">
      <c r="A160" s="463"/>
      <c r="B160" s="480">
        <v>157.0</v>
      </c>
      <c r="C160" s="481">
        <v>41523.0</v>
      </c>
      <c r="D160" s="480" t="s">
        <v>1446</v>
      </c>
      <c r="E160" s="480" t="s">
        <v>1447</v>
      </c>
      <c r="F160" s="480" t="s">
        <v>1448</v>
      </c>
      <c r="G160" s="480" t="s">
        <v>1449</v>
      </c>
      <c r="H160" s="465"/>
    </row>
    <row r="161">
      <c r="A161" s="463"/>
      <c r="B161" s="480">
        <v>158.0</v>
      </c>
      <c r="C161" s="481">
        <v>41502.0</v>
      </c>
      <c r="D161" s="480" t="s">
        <v>1450</v>
      </c>
      <c r="E161" s="480" t="s">
        <v>1451</v>
      </c>
      <c r="F161" s="480" t="s">
        <v>1452</v>
      </c>
      <c r="G161" s="480" t="s">
        <v>1453</v>
      </c>
      <c r="H161" s="482" t="s">
        <v>1454</v>
      </c>
    </row>
    <row r="162">
      <c r="A162" s="463"/>
      <c r="B162" s="480">
        <v>159.0</v>
      </c>
      <c r="C162" s="481">
        <v>41537.0</v>
      </c>
      <c r="D162" s="480" t="s">
        <v>1455</v>
      </c>
      <c r="E162" s="480" t="s">
        <v>1456</v>
      </c>
      <c r="F162" s="480" t="s">
        <v>1457</v>
      </c>
      <c r="G162" s="480" t="s">
        <v>1458</v>
      </c>
      <c r="H162" s="465"/>
    </row>
    <row r="163">
      <c r="A163" s="463"/>
      <c r="B163" s="480">
        <v>160.0</v>
      </c>
      <c r="C163" s="481">
        <v>41537.0</v>
      </c>
      <c r="D163" s="480" t="s">
        <v>1459</v>
      </c>
      <c r="E163" s="480" t="s">
        <v>1062</v>
      </c>
      <c r="F163" s="480" t="s">
        <v>1063</v>
      </c>
      <c r="G163" s="480" t="s">
        <v>1064</v>
      </c>
      <c r="H163" s="465"/>
    </row>
    <row r="164">
      <c r="A164" s="463"/>
      <c r="B164" s="480">
        <v>161.0</v>
      </c>
      <c r="C164" s="481">
        <v>41537.0</v>
      </c>
      <c r="D164" s="480" t="s">
        <v>1460</v>
      </c>
      <c r="E164" s="480" t="s">
        <v>1461</v>
      </c>
      <c r="F164" s="480" t="s">
        <v>1462</v>
      </c>
      <c r="G164" s="480" t="s">
        <v>1463</v>
      </c>
      <c r="H164" s="465"/>
    </row>
    <row r="165">
      <c r="A165" s="463"/>
      <c r="B165" s="480">
        <v>162.0</v>
      </c>
      <c r="C165" s="481">
        <v>41537.0</v>
      </c>
      <c r="D165" s="480" t="s">
        <v>1464</v>
      </c>
      <c r="E165" s="480" t="s">
        <v>1465</v>
      </c>
      <c r="F165" s="480" t="s">
        <v>1466</v>
      </c>
      <c r="G165" s="480" t="s">
        <v>1033</v>
      </c>
      <c r="H165" s="465"/>
    </row>
    <row r="166">
      <c r="A166" s="463"/>
      <c r="B166" s="480">
        <v>163.0</v>
      </c>
      <c r="C166" s="481">
        <v>41537.0</v>
      </c>
      <c r="D166" s="480" t="s">
        <v>1467</v>
      </c>
      <c r="E166" s="480" t="s">
        <v>1468</v>
      </c>
      <c r="F166" s="480" t="s">
        <v>1469</v>
      </c>
      <c r="G166" s="480" t="s">
        <v>1470</v>
      </c>
      <c r="H166" s="465"/>
    </row>
    <row r="167">
      <c r="A167" s="463"/>
      <c r="B167" s="480">
        <v>164.0</v>
      </c>
      <c r="C167" s="481">
        <v>41537.0</v>
      </c>
      <c r="D167" s="480" t="s">
        <v>1471</v>
      </c>
      <c r="E167" s="480" t="s">
        <v>1472</v>
      </c>
      <c r="F167" s="480" t="s">
        <v>1473</v>
      </c>
      <c r="G167" s="480" t="s">
        <v>1474</v>
      </c>
      <c r="H167" s="465"/>
    </row>
    <row r="168">
      <c r="A168" s="463"/>
      <c r="B168" s="480">
        <v>165.0</v>
      </c>
      <c r="C168" s="481">
        <v>41537.0</v>
      </c>
      <c r="D168" s="480" t="s">
        <v>1475</v>
      </c>
      <c r="E168" s="480" t="s">
        <v>1476</v>
      </c>
      <c r="F168" s="480" t="s">
        <v>1477</v>
      </c>
      <c r="G168" s="480" t="s">
        <v>1478</v>
      </c>
      <c r="H168" s="465"/>
    </row>
    <row r="169">
      <c r="A169" s="463"/>
      <c r="B169" s="480">
        <v>166.0</v>
      </c>
      <c r="C169" s="481">
        <v>41537.0</v>
      </c>
      <c r="D169" s="480" t="s">
        <v>1479</v>
      </c>
      <c r="E169" s="480" t="s">
        <v>1480</v>
      </c>
      <c r="F169" s="480" t="s">
        <v>1481</v>
      </c>
      <c r="G169" s="480" t="s">
        <v>1482</v>
      </c>
      <c r="H169" s="465"/>
    </row>
    <row r="170">
      <c r="A170" s="463"/>
      <c r="B170" s="480">
        <v>167.0</v>
      </c>
      <c r="C170" s="481">
        <v>41513.0</v>
      </c>
      <c r="D170" s="480" t="s">
        <v>1483</v>
      </c>
      <c r="E170" s="480" t="s">
        <v>1484</v>
      </c>
      <c r="F170" s="480" t="s">
        <v>1485</v>
      </c>
      <c r="G170" s="480" t="s">
        <v>1486</v>
      </c>
      <c r="H170" s="465"/>
    </row>
    <row r="171">
      <c r="A171" s="463"/>
      <c r="B171" s="480">
        <v>168.0</v>
      </c>
      <c r="C171" s="481">
        <v>41474.0</v>
      </c>
      <c r="D171" s="480" t="s">
        <v>1487</v>
      </c>
      <c r="E171" s="480" t="s">
        <v>1488</v>
      </c>
      <c r="F171" s="480" t="s">
        <v>1489</v>
      </c>
      <c r="G171" s="480" t="s">
        <v>1268</v>
      </c>
      <c r="H171" s="465"/>
    </row>
    <row r="172">
      <c r="A172" s="463"/>
      <c r="B172" s="480">
        <v>169.0</v>
      </c>
      <c r="C172" s="481">
        <v>41460.0</v>
      </c>
      <c r="D172" s="480" t="s">
        <v>1490</v>
      </c>
      <c r="E172" s="480" t="s">
        <v>1491</v>
      </c>
      <c r="F172" s="480" t="s">
        <v>1492</v>
      </c>
      <c r="G172" s="480" t="s">
        <v>1493</v>
      </c>
      <c r="H172" s="465"/>
    </row>
    <row r="173">
      <c r="A173" s="463"/>
      <c r="B173" s="480">
        <v>170.0</v>
      </c>
      <c r="C173" s="481">
        <v>41477.0</v>
      </c>
      <c r="D173" s="480" t="s">
        <v>1494</v>
      </c>
      <c r="E173" s="480" t="s">
        <v>968</v>
      </c>
      <c r="F173" s="480" t="s">
        <v>969</v>
      </c>
      <c r="G173" s="480" t="s">
        <v>970</v>
      </c>
      <c r="H173" s="465"/>
    </row>
    <row r="174">
      <c r="A174" s="463"/>
      <c r="B174" s="480">
        <v>171.0</v>
      </c>
      <c r="C174" s="481">
        <v>41502.0</v>
      </c>
      <c r="D174" s="480" t="s">
        <v>1495</v>
      </c>
      <c r="E174" s="480" t="s">
        <v>1496</v>
      </c>
      <c r="F174" s="480" t="s">
        <v>1497</v>
      </c>
      <c r="G174" s="480" t="s">
        <v>1498</v>
      </c>
      <c r="H174" s="465"/>
    </row>
    <row r="175">
      <c r="A175" s="463"/>
      <c r="B175" s="480">
        <v>172.0</v>
      </c>
      <c r="C175" s="481">
        <v>41495.0</v>
      </c>
      <c r="D175" s="480" t="s">
        <v>1499</v>
      </c>
      <c r="E175" s="480" t="s">
        <v>1500</v>
      </c>
      <c r="F175" s="480" t="s">
        <v>1501</v>
      </c>
      <c r="G175" s="480" t="s">
        <v>1502</v>
      </c>
      <c r="H175" s="465"/>
    </row>
    <row r="176">
      <c r="A176" s="463"/>
      <c r="B176" s="480">
        <v>173.0</v>
      </c>
      <c r="C176" s="481">
        <v>41502.0</v>
      </c>
      <c r="D176" s="480" t="s">
        <v>1503</v>
      </c>
      <c r="E176" s="480" t="s">
        <v>949</v>
      </c>
      <c r="F176" s="480" t="s">
        <v>950</v>
      </c>
      <c r="G176" s="480" t="s">
        <v>951</v>
      </c>
      <c r="H176" s="465"/>
    </row>
    <row r="177">
      <c r="A177" s="463"/>
      <c r="B177" s="480">
        <v>174.0</v>
      </c>
      <c r="C177" s="481">
        <v>41495.0</v>
      </c>
      <c r="D177" s="480" t="s">
        <v>1504</v>
      </c>
      <c r="E177" s="480" t="s">
        <v>1505</v>
      </c>
      <c r="F177" s="480" t="s">
        <v>1506</v>
      </c>
      <c r="G177" s="480" t="s">
        <v>1507</v>
      </c>
      <c r="H177" s="465"/>
    </row>
    <row r="178">
      <c r="A178" s="463"/>
      <c r="B178" s="480">
        <v>175.0</v>
      </c>
      <c r="C178" s="481">
        <v>41502.0</v>
      </c>
      <c r="D178" s="480" t="s">
        <v>1508</v>
      </c>
      <c r="E178" s="480" t="s">
        <v>1509</v>
      </c>
      <c r="F178" s="480" t="s">
        <v>1510</v>
      </c>
      <c r="G178" s="480" t="s">
        <v>1511</v>
      </c>
      <c r="H178" s="465"/>
    </row>
    <row r="179">
      <c r="A179" s="463"/>
      <c r="B179" s="480">
        <v>176.0</v>
      </c>
      <c r="C179" s="481">
        <v>41523.0</v>
      </c>
      <c r="D179" s="480" t="s">
        <v>1512</v>
      </c>
      <c r="E179" s="480" t="s">
        <v>1513</v>
      </c>
      <c r="F179" s="480" t="s">
        <v>1514</v>
      </c>
      <c r="G179" s="480" t="s">
        <v>1515</v>
      </c>
      <c r="H179" s="465"/>
    </row>
    <row r="180">
      <c r="A180" s="463"/>
      <c r="B180" s="480">
        <v>177.0</v>
      </c>
      <c r="C180" s="481">
        <v>41544.0</v>
      </c>
      <c r="D180" s="480" t="s">
        <v>1516</v>
      </c>
      <c r="E180" s="480" t="s">
        <v>1517</v>
      </c>
      <c r="F180" s="480" t="s">
        <v>1518</v>
      </c>
      <c r="G180" s="480" t="s">
        <v>1519</v>
      </c>
      <c r="H180" s="465"/>
    </row>
    <row r="181">
      <c r="A181" s="463"/>
      <c r="B181" s="480">
        <v>178.0</v>
      </c>
      <c r="C181" s="481">
        <v>41537.0</v>
      </c>
      <c r="D181" s="480" t="s">
        <v>1520</v>
      </c>
      <c r="E181" s="480" t="s">
        <v>1521</v>
      </c>
      <c r="F181" s="480" t="s">
        <v>1522</v>
      </c>
      <c r="G181" s="480" t="s">
        <v>1523</v>
      </c>
      <c r="H181" s="465"/>
    </row>
    <row r="182">
      <c r="A182" s="463"/>
      <c r="B182" s="480">
        <v>179.0</v>
      </c>
      <c r="C182" s="481">
        <v>42271.0</v>
      </c>
      <c r="D182" s="480" t="s">
        <v>1524</v>
      </c>
      <c r="E182" s="480" t="s">
        <v>1525</v>
      </c>
      <c r="F182" s="480" t="s">
        <v>1526</v>
      </c>
      <c r="G182" s="480" t="s">
        <v>1527</v>
      </c>
      <c r="H182" s="465"/>
    </row>
    <row r="183">
      <c r="A183" s="463"/>
      <c r="B183" s="480">
        <v>180.0</v>
      </c>
      <c r="C183" s="481">
        <v>41544.0</v>
      </c>
      <c r="D183" s="480" t="s">
        <v>1528</v>
      </c>
      <c r="E183" s="480" t="s">
        <v>1529</v>
      </c>
      <c r="F183" s="480" t="s">
        <v>1530</v>
      </c>
      <c r="G183" s="480" t="s">
        <v>1531</v>
      </c>
      <c r="H183" s="465"/>
    </row>
    <row r="184">
      <c r="A184" s="463"/>
      <c r="B184" s="480">
        <v>181.0</v>
      </c>
      <c r="C184" s="481">
        <v>41544.0</v>
      </c>
      <c r="D184" s="480" t="s">
        <v>1532</v>
      </c>
      <c r="E184" s="480" t="s">
        <v>1533</v>
      </c>
      <c r="F184" s="480" t="s">
        <v>1534</v>
      </c>
      <c r="G184" s="480" t="s">
        <v>1535</v>
      </c>
      <c r="H184" s="465"/>
    </row>
    <row r="185">
      <c r="A185" s="463"/>
      <c r="B185" s="480">
        <v>182.0</v>
      </c>
      <c r="C185" s="481">
        <v>41544.0</v>
      </c>
      <c r="D185" s="480" t="s">
        <v>1536</v>
      </c>
      <c r="E185" s="480" t="s">
        <v>1537</v>
      </c>
      <c r="F185" s="480" t="s">
        <v>1538</v>
      </c>
      <c r="G185" s="480" t="s">
        <v>1539</v>
      </c>
      <c r="H185" s="465"/>
    </row>
    <row r="186">
      <c r="A186" s="463"/>
      <c r="B186" s="480">
        <v>183.0</v>
      </c>
      <c r="C186" s="481">
        <v>41565.0</v>
      </c>
      <c r="D186" s="480" t="s">
        <v>1540</v>
      </c>
      <c r="E186" s="480" t="s">
        <v>1541</v>
      </c>
      <c r="F186" s="480" t="s">
        <v>1542</v>
      </c>
      <c r="G186" s="480" t="s">
        <v>1543</v>
      </c>
      <c r="H186" s="465"/>
    </row>
    <row r="187">
      <c r="A187" s="463"/>
      <c r="B187" s="480">
        <v>184.0</v>
      </c>
      <c r="C187" s="481">
        <v>41565.0</v>
      </c>
      <c r="D187" s="480" t="s">
        <v>1544</v>
      </c>
      <c r="E187" s="480" t="s">
        <v>1545</v>
      </c>
      <c r="F187" s="480" t="s">
        <v>1546</v>
      </c>
      <c r="G187" s="480" t="s">
        <v>1482</v>
      </c>
      <c r="H187" s="465"/>
    </row>
    <row r="188">
      <c r="A188" s="463"/>
      <c r="B188" s="480">
        <v>185.0</v>
      </c>
      <c r="C188" s="481">
        <v>41565.0</v>
      </c>
      <c r="D188" s="480" t="s">
        <v>1547</v>
      </c>
      <c r="E188" s="480" t="s">
        <v>1548</v>
      </c>
      <c r="F188" s="480" t="s">
        <v>1549</v>
      </c>
      <c r="G188" s="480" t="s">
        <v>1550</v>
      </c>
      <c r="H188" s="482" t="s">
        <v>929</v>
      </c>
    </row>
    <row r="189">
      <c r="A189" s="463"/>
      <c r="B189" s="480">
        <v>186.0</v>
      </c>
      <c r="C189" s="481">
        <v>41551.0</v>
      </c>
      <c r="D189" s="480" t="s">
        <v>1551</v>
      </c>
      <c r="E189" s="480" t="s">
        <v>1552</v>
      </c>
      <c r="F189" s="480" t="s">
        <v>1553</v>
      </c>
      <c r="G189" s="480" t="s">
        <v>1554</v>
      </c>
      <c r="H189" s="465"/>
    </row>
    <row r="190">
      <c r="A190" s="463"/>
      <c r="B190" s="480">
        <v>187.0</v>
      </c>
      <c r="C190" s="481">
        <v>41551.0</v>
      </c>
      <c r="D190" s="480" t="s">
        <v>1555</v>
      </c>
      <c r="E190" s="480" t="s">
        <v>1556</v>
      </c>
      <c r="F190" s="480" t="s">
        <v>1557</v>
      </c>
      <c r="G190" s="480" t="s">
        <v>1558</v>
      </c>
      <c r="H190" s="465"/>
    </row>
    <row r="191">
      <c r="A191" s="463"/>
      <c r="B191" s="480">
        <v>188.0</v>
      </c>
      <c r="C191" s="481">
        <v>41558.0</v>
      </c>
      <c r="D191" s="480" t="s">
        <v>1559</v>
      </c>
      <c r="E191" s="480" t="s">
        <v>1560</v>
      </c>
      <c r="F191" s="480" t="s">
        <v>1561</v>
      </c>
      <c r="G191" s="480" t="s">
        <v>1562</v>
      </c>
      <c r="H191" s="465"/>
    </row>
    <row r="192">
      <c r="A192" s="463"/>
      <c r="B192" s="480">
        <v>189.0</v>
      </c>
      <c r="C192" s="481">
        <v>41551.0</v>
      </c>
      <c r="D192" s="480" t="s">
        <v>1563</v>
      </c>
      <c r="E192" s="480" t="s">
        <v>1299</v>
      </c>
      <c r="F192" s="480" t="s">
        <v>1300</v>
      </c>
      <c r="G192" s="480" t="s">
        <v>1301</v>
      </c>
      <c r="H192" s="465"/>
    </row>
    <row r="193">
      <c r="A193" s="463"/>
      <c r="B193" s="480">
        <v>190.0</v>
      </c>
      <c r="C193" s="481">
        <v>41572.0</v>
      </c>
      <c r="D193" s="480" t="s">
        <v>1564</v>
      </c>
      <c r="E193" s="480" t="s">
        <v>1565</v>
      </c>
      <c r="F193" s="480" t="s">
        <v>1566</v>
      </c>
      <c r="G193" s="480" t="s">
        <v>1567</v>
      </c>
      <c r="H193" s="482" t="s">
        <v>1568</v>
      </c>
    </row>
    <row r="194">
      <c r="A194" s="463"/>
      <c r="B194" s="480">
        <v>191.0</v>
      </c>
      <c r="C194" s="481">
        <v>41572.0</v>
      </c>
      <c r="D194" s="480" t="s">
        <v>1569</v>
      </c>
      <c r="E194" s="480" t="s">
        <v>1570</v>
      </c>
      <c r="F194" s="480" t="s">
        <v>1571</v>
      </c>
      <c r="G194" s="480" t="s">
        <v>1567</v>
      </c>
      <c r="H194" s="482" t="s">
        <v>1568</v>
      </c>
    </row>
    <row r="195">
      <c r="A195" s="463"/>
      <c r="B195" s="480">
        <v>192.0</v>
      </c>
      <c r="C195" s="481">
        <v>41656.0</v>
      </c>
      <c r="D195" s="480" t="s">
        <v>1572</v>
      </c>
      <c r="E195" s="480" t="s">
        <v>1573</v>
      </c>
      <c r="F195" s="480" t="s">
        <v>1574</v>
      </c>
      <c r="G195" s="480" t="s">
        <v>1575</v>
      </c>
      <c r="H195" s="465"/>
    </row>
    <row r="196">
      <c r="A196" s="463"/>
      <c r="B196" s="483" t="s">
        <v>1576</v>
      </c>
      <c r="C196" s="481">
        <v>42811.0</v>
      </c>
      <c r="D196" s="480" t="s">
        <v>1577</v>
      </c>
      <c r="E196" s="480" t="s">
        <v>1578</v>
      </c>
      <c r="F196" s="480" t="s">
        <v>1579</v>
      </c>
      <c r="G196" s="480" t="s">
        <v>1580</v>
      </c>
      <c r="H196" s="465"/>
    </row>
    <row r="197">
      <c r="A197" s="463"/>
      <c r="B197" s="480">
        <v>194.0</v>
      </c>
      <c r="C197" s="481">
        <v>42272.0</v>
      </c>
      <c r="D197" s="480" t="s">
        <v>1581</v>
      </c>
      <c r="E197" s="480" t="s">
        <v>1582</v>
      </c>
      <c r="F197" s="480" t="s">
        <v>1583</v>
      </c>
      <c r="G197" s="480" t="s">
        <v>1584</v>
      </c>
      <c r="H197" s="465"/>
    </row>
    <row r="198">
      <c r="A198" s="463"/>
      <c r="B198" s="480">
        <v>195.0</v>
      </c>
      <c r="C198" s="481">
        <v>41740.0</v>
      </c>
      <c r="D198" s="480" t="s">
        <v>1585</v>
      </c>
      <c r="E198" s="480" t="s">
        <v>1586</v>
      </c>
      <c r="F198" s="480" t="s">
        <v>1587</v>
      </c>
      <c r="G198" s="480" t="s">
        <v>1588</v>
      </c>
      <c r="H198" s="465"/>
    </row>
    <row r="199">
      <c r="A199" s="463"/>
      <c r="B199" s="480">
        <v>197.0</v>
      </c>
      <c r="C199" s="481">
        <v>41725.0</v>
      </c>
      <c r="D199" s="480" t="s">
        <v>1589</v>
      </c>
      <c r="E199" s="480" t="s">
        <v>1590</v>
      </c>
      <c r="F199" s="480" t="s">
        <v>1591</v>
      </c>
      <c r="G199" s="480" t="s">
        <v>1562</v>
      </c>
      <c r="H199" s="465"/>
    </row>
    <row r="200">
      <c r="A200" s="463"/>
      <c r="B200" s="480">
        <v>198.0</v>
      </c>
      <c r="C200" s="481">
        <v>41642.0</v>
      </c>
      <c r="D200" s="480" t="s">
        <v>1592</v>
      </c>
      <c r="E200" s="480" t="s">
        <v>1593</v>
      </c>
      <c r="F200" s="480" t="s">
        <v>1594</v>
      </c>
      <c r="G200" s="480" t="s">
        <v>1595</v>
      </c>
      <c r="H200" s="465"/>
    </row>
    <row r="201">
      <c r="A201" s="463"/>
      <c r="B201" s="480">
        <v>199.0</v>
      </c>
      <c r="C201" s="481">
        <v>41725.0</v>
      </c>
      <c r="D201" s="480" t="s">
        <v>1596</v>
      </c>
      <c r="E201" s="480" t="s">
        <v>1590</v>
      </c>
      <c r="F201" s="480" t="s">
        <v>1591</v>
      </c>
      <c r="G201" s="480" t="s">
        <v>1562</v>
      </c>
      <c r="H201" s="465"/>
    </row>
    <row r="202">
      <c r="A202" s="463"/>
      <c r="B202" s="480">
        <v>200.0</v>
      </c>
      <c r="C202" s="481">
        <v>41664.0</v>
      </c>
      <c r="D202" s="480" t="s">
        <v>1597</v>
      </c>
      <c r="E202" s="480" t="s">
        <v>1598</v>
      </c>
      <c r="F202" s="480" t="s">
        <v>1599</v>
      </c>
      <c r="G202" s="480" t="s">
        <v>1600</v>
      </c>
      <c r="H202" s="482" t="s">
        <v>1601</v>
      </c>
    </row>
    <row r="203">
      <c r="A203" s="463"/>
      <c r="B203" s="480">
        <v>201.0</v>
      </c>
      <c r="C203" s="481">
        <v>41664.0</v>
      </c>
      <c r="D203" s="480" t="s">
        <v>1602</v>
      </c>
      <c r="E203" s="480" t="s">
        <v>1603</v>
      </c>
      <c r="F203" s="480" t="s">
        <v>1604</v>
      </c>
      <c r="G203" s="480" t="s">
        <v>1605</v>
      </c>
      <c r="H203" s="482" t="s">
        <v>1601</v>
      </c>
    </row>
    <row r="204">
      <c r="A204" s="463"/>
      <c r="B204" s="483" t="s">
        <v>1606</v>
      </c>
      <c r="C204" s="480" t="s">
        <v>1607</v>
      </c>
      <c r="D204" s="480" t="s">
        <v>1608</v>
      </c>
      <c r="E204" s="480" t="s">
        <v>1609</v>
      </c>
      <c r="F204" s="480" t="s">
        <v>1610</v>
      </c>
      <c r="G204" s="480" t="s">
        <v>1301</v>
      </c>
      <c r="H204" s="465"/>
    </row>
    <row r="205">
      <c r="A205" s="463"/>
      <c r="B205" s="480">
        <v>203.0</v>
      </c>
      <c r="C205" s="481">
        <v>41523.0</v>
      </c>
      <c r="D205" s="480" t="s">
        <v>1611</v>
      </c>
      <c r="E205" s="480" t="s">
        <v>1612</v>
      </c>
      <c r="F205" s="480" t="s">
        <v>1613</v>
      </c>
      <c r="G205" s="480" t="s">
        <v>1614</v>
      </c>
      <c r="H205" s="465"/>
    </row>
    <row r="206">
      <c r="A206" s="463"/>
      <c r="B206" s="480">
        <v>204.0</v>
      </c>
      <c r="C206" s="481">
        <v>41537.0</v>
      </c>
      <c r="D206" s="480" t="s">
        <v>1615</v>
      </c>
      <c r="E206" s="480" t="s">
        <v>1616</v>
      </c>
      <c r="F206" s="480" t="s">
        <v>1617</v>
      </c>
      <c r="G206" s="480" t="s">
        <v>1618</v>
      </c>
      <c r="H206" s="465"/>
    </row>
    <row r="207">
      <c r="A207" s="463"/>
      <c r="B207" s="480">
        <v>205.0</v>
      </c>
      <c r="C207" s="481">
        <v>41523.0</v>
      </c>
      <c r="D207" s="480" t="s">
        <v>1619</v>
      </c>
      <c r="E207" s="480" t="s">
        <v>1620</v>
      </c>
      <c r="F207" s="480" t="s">
        <v>1621</v>
      </c>
      <c r="G207" s="480" t="s">
        <v>1622</v>
      </c>
      <c r="H207" s="465"/>
    </row>
    <row r="208">
      <c r="A208" s="463"/>
      <c r="B208" s="480">
        <v>206.0</v>
      </c>
      <c r="C208" s="481">
        <v>41572.0</v>
      </c>
      <c r="D208" s="480" t="s">
        <v>1623</v>
      </c>
      <c r="E208" s="480" t="s">
        <v>1171</v>
      </c>
      <c r="F208" s="480" t="s">
        <v>1172</v>
      </c>
      <c r="G208" s="480" t="s">
        <v>1173</v>
      </c>
      <c r="H208" s="482" t="s">
        <v>1131</v>
      </c>
    </row>
    <row r="209">
      <c r="A209" s="463"/>
      <c r="B209" s="480">
        <v>207.0</v>
      </c>
      <c r="C209" s="481">
        <v>41572.0</v>
      </c>
      <c r="D209" s="480" t="s">
        <v>1624</v>
      </c>
      <c r="E209" s="480" t="s">
        <v>1625</v>
      </c>
      <c r="F209" s="480" t="s">
        <v>1626</v>
      </c>
      <c r="G209" s="480" t="s">
        <v>1627</v>
      </c>
      <c r="H209" s="482" t="s">
        <v>1131</v>
      </c>
    </row>
    <row r="210">
      <c r="A210" s="463"/>
      <c r="B210" s="480">
        <v>208.0</v>
      </c>
      <c r="C210" s="481">
        <v>41572.0</v>
      </c>
      <c r="D210" s="480" t="s">
        <v>1628</v>
      </c>
      <c r="E210" s="480" t="s">
        <v>1629</v>
      </c>
      <c r="F210" s="480" t="s">
        <v>1630</v>
      </c>
      <c r="G210" s="480" t="s">
        <v>1631</v>
      </c>
      <c r="H210" s="482" t="s">
        <v>1131</v>
      </c>
    </row>
    <row r="211">
      <c r="A211" s="463"/>
      <c r="B211" s="480">
        <v>209.0</v>
      </c>
      <c r="C211" s="481">
        <v>41569.0</v>
      </c>
      <c r="D211" s="480" t="s">
        <v>1632</v>
      </c>
      <c r="E211" s="480" t="s">
        <v>1633</v>
      </c>
      <c r="F211" s="480" t="s">
        <v>1634</v>
      </c>
      <c r="G211" s="480" t="s">
        <v>1245</v>
      </c>
      <c r="H211" s="482" t="s">
        <v>1241</v>
      </c>
    </row>
    <row r="212">
      <c r="A212" s="463"/>
      <c r="B212" s="480">
        <v>210.0</v>
      </c>
      <c r="C212" s="481">
        <v>41558.0</v>
      </c>
      <c r="D212" s="480" t="s">
        <v>1635</v>
      </c>
      <c r="E212" s="480" t="s">
        <v>1636</v>
      </c>
      <c r="F212" s="480" t="s">
        <v>1637</v>
      </c>
      <c r="G212" s="480" t="s">
        <v>1554</v>
      </c>
      <c r="H212" s="465"/>
    </row>
    <row r="213">
      <c r="A213" s="463"/>
      <c r="B213" s="480">
        <v>211.0</v>
      </c>
      <c r="C213" s="481">
        <v>41558.0</v>
      </c>
      <c r="D213" s="480" t="s">
        <v>1638</v>
      </c>
      <c r="E213" s="480" t="s">
        <v>1639</v>
      </c>
      <c r="F213" s="480" t="s">
        <v>1640</v>
      </c>
      <c r="G213" s="480" t="s">
        <v>1641</v>
      </c>
      <c r="H213" s="465"/>
    </row>
    <row r="214">
      <c r="A214" s="463"/>
      <c r="B214" s="480">
        <v>212.0</v>
      </c>
      <c r="C214" s="481">
        <v>41551.0</v>
      </c>
      <c r="D214" s="480" t="s">
        <v>1642</v>
      </c>
      <c r="E214" s="480" t="s">
        <v>1643</v>
      </c>
      <c r="F214" s="480" t="s">
        <v>1644</v>
      </c>
      <c r="G214" s="480" t="s">
        <v>1645</v>
      </c>
      <c r="H214" s="465"/>
    </row>
    <row r="215">
      <c r="A215" s="463"/>
      <c r="B215" s="480">
        <v>213.0</v>
      </c>
      <c r="C215" s="481">
        <v>41530.0</v>
      </c>
      <c r="D215" s="480" t="s">
        <v>1646</v>
      </c>
      <c r="E215" s="480" t="s">
        <v>1647</v>
      </c>
      <c r="F215" s="480" t="s">
        <v>1648</v>
      </c>
      <c r="G215" s="480" t="s">
        <v>1449</v>
      </c>
      <c r="H215" s="465"/>
    </row>
    <row r="216">
      <c r="A216" s="463"/>
      <c r="B216" s="480">
        <v>214.0</v>
      </c>
      <c r="C216" s="481">
        <v>41537.0</v>
      </c>
      <c r="D216" s="480" t="s">
        <v>1649</v>
      </c>
      <c r="E216" s="480" t="s">
        <v>1650</v>
      </c>
      <c r="F216" s="480" t="s">
        <v>1651</v>
      </c>
      <c r="G216" s="480" t="s">
        <v>1652</v>
      </c>
      <c r="H216" s="465"/>
    </row>
    <row r="217">
      <c r="A217" s="463"/>
      <c r="B217" s="480">
        <v>215.0</v>
      </c>
      <c r="C217" s="481">
        <v>41537.0</v>
      </c>
      <c r="D217" s="480" t="s">
        <v>1653</v>
      </c>
      <c r="E217" s="480" t="s">
        <v>1099</v>
      </c>
      <c r="F217" s="480" t="s">
        <v>1100</v>
      </c>
      <c r="G217" s="480" t="s">
        <v>1101</v>
      </c>
      <c r="H217" s="465"/>
    </row>
    <row r="218">
      <c r="A218" s="463"/>
      <c r="B218" s="480">
        <v>216.0</v>
      </c>
      <c r="C218" s="481">
        <v>41538.0</v>
      </c>
      <c r="D218" s="480" t="s">
        <v>1654</v>
      </c>
      <c r="E218" s="480" t="s">
        <v>1655</v>
      </c>
      <c r="F218" s="480" t="s">
        <v>1656</v>
      </c>
      <c r="G218" s="480" t="s">
        <v>1285</v>
      </c>
      <c r="H218" s="465"/>
    </row>
    <row r="219">
      <c r="A219" s="463"/>
      <c r="B219" s="480">
        <v>217.0</v>
      </c>
      <c r="C219" s="481">
        <v>41538.0</v>
      </c>
      <c r="D219" s="480" t="s">
        <v>1657</v>
      </c>
      <c r="E219" s="480" t="s">
        <v>1658</v>
      </c>
      <c r="F219" s="480" t="s">
        <v>1659</v>
      </c>
      <c r="G219" s="480" t="s">
        <v>1294</v>
      </c>
      <c r="H219" s="482" t="s">
        <v>1660</v>
      </c>
    </row>
    <row r="220">
      <c r="A220" s="463"/>
      <c r="B220" s="480">
        <v>218.0</v>
      </c>
      <c r="C220" s="481">
        <v>41558.0</v>
      </c>
      <c r="D220" s="480" t="s">
        <v>1661</v>
      </c>
      <c r="E220" s="480" t="s">
        <v>1573</v>
      </c>
      <c r="F220" s="480" t="s">
        <v>1574</v>
      </c>
      <c r="G220" s="480" t="s">
        <v>1575</v>
      </c>
      <c r="H220" s="465"/>
    </row>
    <row r="221">
      <c r="A221" s="463"/>
      <c r="B221" s="480">
        <v>219.0</v>
      </c>
      <c r="C221" s="481">
        <v>41572.0</v>
      </c>
      <c r="D221" s="480" t="s">
        <v>1662</v>
      </c>
      <c r="E221" s="480" t="s">
        <v>1663</v>
      </c>
      <c r="F221" s="480" t="s">
        <v>1664</v>
      </c>
      <c r="G221" s="480" t="s">
        <v>1665</v>
      </c>
      <c r="H221" s="465"/>
    </row>
    <row r="222">
      <c r="A222" s="463"/>
      <c r="B222" s="480">
        <v>220.0</v>
      </c>
      <c r="C222" s="481">
        <v>41572.0</v>
      </c>
      <c r="D222" s="480" t="s">
        <v>1666</v>
      </c>
      <c r="E222" s="480" t="s">
        <v>1667</v>
      </c>
      <c r="F222" s="480" t="s">
        <v>1668</v>
      </c>
      <c r="G222" s="480" t="s">
        <v>1669</v>
      </c>
      <c r="H222" s="465"/>
    </row>
    <row r="223">
      <c r="A223" s="463"/>
      <c r="B223" s="480">
        <v>221.0</v>
      </c>
      <c r="C223" s="481">
        <v>41565.0</v>
      </c>
      <c r="D223" s="480" t="s">
        <v>1670</v>
      </c>
      <c r="E223" s="480" t="s">
        <v>976</v>
      </c>
      <c r="F223" s="480" t="s">
        <v>977</v>
      </c>
      <c r="G223" s="480" t="s">
        <v>978</v>
      </c>
      <c r="H223" s="465"/>
    </row>
    <row r="224">
      <c r="A224" s="463"/>
      <c r="B224" s="480">
        <v>222.0</v>
      </c>
      <c r="C224" s="481">
        <v>41565.0</v>
      </c>
      <c r="D224" s="480" t="s">
        <v>1671</v>
      </c>
      <c r="E224" s="480" t="s">
        <v>976</v>
      </c>
      <c r="F224" s="480" t="s">
        <v>977</v>
      </c>
      <c r="G224" s="480" t="s">
        <v>978</v>
      </c>
      <c r="H224" s="465"/>
    </row>
    <row r="225">
      <c r="A225" s="463"/>
      <c r="B225" s="480">
        <v>223.0</v>
      </c>
      <c r="C225" s="481">
        <v>41572.0</v>
      </c>
      <c r="D225" s="480" t="s">
        <v>1672</v>
      </c>
      <c r="E225" s="480" t="s">
        <v>1673</v>
      </c>
      <c r="F225" s="480" t="s">
        <v>1674</v>
      </c>
      <c r="G225" s="480" t="s">
        <v>1675</v>
      </c>
      <c r="H225" s="482" t="s">
        <v>1676</v>
      </c>
    </row>
    <row r="226">
      <c r="A226" s="463"/>
      <c r="B226" s="480">
        <v>224.0</v>
      </c>
      <c r="C226" s="481">
        <v>41572.0</v>
      </c>
      <c r="D226" s="480" t="s">
        <v>1677</v>
      </c>
      <c r="E226" s="480" t="s">
        <v>976</v>
      </c>
      <c r="F226" s="480" t="s">
        <v>977</v>
      </c>
      <c r="G226" s="480" t="s">
        <v>978</v>
      </c>
      <c r="H226" s="465"/>
    </row>
    <row r="227">
      <c r="A227" s="463"/>
      <c r="B227" s="480">
        <v>225.0</v>
      </c>
      <c r="C227" s="481">
        <v>41572.0</v>
      </c>
      <c r="D227" s="480" t="s">
        <v>1678</v>
      </c>
      <c r="E227" s="480" t="s">
        <v>1679</v>
      </c>
      <c r="F227" s="480" t="s">
        <v>1680</v>
      </c>
      <c r="G227" s="480" t="s">
        <v>1681</v>
      </c>
      <c r="H227" s="465"/>
    </row>
    <row r="228">
      <c r="A228" s="463"/>
      <c r="B228" s="480">
        <v>226.0</v>
      </c>
      <c r="C228" s="481">
        <v>41573.0</v>
      </c>
      <c r="D228" s="480" t="s">
        <v>1682</v>
      </c>
      <c r="E228" s="480" t="s">
        <v>1683</v>
      </c>
      <c r="F228" s="480" t="s">
        <v>1015</v>
      </c>
      <c r="G228" s="480" t="s">
        <v>1016</v>
      </c>
      <c r="H228" s="482" t="s">
        <v>1017</v>
      </c>
    </row>
    <row r="229">
      <c r="A229" s="463"/>
      <c r="B229" s="480">
        <v>229.0</v>
      </c>
      <c r="C229" s="481">
        <v>41627.0</v>
      </c>
      <c r="D229" s="480" t="s">
        <v>1684</v>
      </c>
      <c r="E229" s="480" t="s">
        <v>1685</v>
      </c>
      <c r="F229" s="480" t="s">
        <v>1686</v>
      </c>
      <c r="G229" s="480" t="s">
        <v>1687</v>
      </c>
      <c r="H229" s="482" t="s">
        <v>929</v>
      </c>
    </row>
    <row r="230">
      <c r="A230" s="463"/>
      <c r="B230" s="480">
        <v>230.0</v>
      </c>
      <c r="C230" s="481">
        <v>41627.0</v>
      </c>
      <c r="D230" s="480" t="s">
        <v>1688</v>
      </c>
      <c r="E230" s="480" t="s">
        <v>1689</v>
      </c>
      <c r="F230" s="480" t="s">
        <v>1690</v>
      </c>
      <c r="G230" s="480" t="s">
        <v>1691</v>
      </c>
      <c r="H230" s="482" t="s">
        <v>929</v>
      </c>
    </row>
    <row r="231">
      <c r="A231" s="463"/>
      <c r="B231" s="480">
        <v>231.0</v>
      </c>
      <c r="C231" s="481">
        <v>41572.0</v>
      </c>
      <c r="D231" s="480" t="s">
        <v>1692</v>
      </c>
      <c r="E231" s="480" t="s">
        <v>1693</v>
      </c>
      <c r="F231" s="480" t="s">
        <v>1694</v>
      </c>
      <c r="G231" s="480" t="s">
        <v>1695</v>
      </c>
      <c r="H231" s="465"/>
    </row>
    <row r="232">
      <c r="A232" s="463"/>
      <c r="B232" s="480">
        <v>232.0</v>
      </c>
      <c r="C232" s="481">
        <v>41579.0</v>
      </c>
      <c r="D232" s="480" t="s">
        <v>1696</v>
      </c>
      <c r="E232" s="480" t="s">
        <v>1697</v>
      </c>
      <c r="F232" s="480" t="s">
        <v>1698</v>
      </c>
      <c r="G232" s="480" t="s">
        <v>1699</v>
      </c>
      <c r="H232" s="465"/>
    </row>
    <row r="233">
      <c r="A233" s="463"/>
      <c r="B233" s="480">
        <v>233.0</v>
      </c>
      <c r="C233" s="481">
        <v>41579.0</v>
      </c>
      <c r="D233" s="480" t="s">
        <v>1700</v>
      </c>
      <c r="E233" s="480" t="s">
        <v>1701</v>
      </c>
      <c r="F233" s="480" t="s">
        <v>1702</v>
      </c>
      <c r="G233" s="480" t="s">
        <v>1703</v>
      </c>
      <c r="H233" s="465"/>
    </row>
    <row r="234">
      <c r="A234" s="463"/>
      <c r="B234" s="480">
        <v>236.0</v>
      </c>
      <c r="C234" s="481">
        <v>41796.0</v>
      </c>
      <c r="D234" s="480" t="s">
        <v>1704</v>
      </c>
      <c r="E234" s="480" t="s">
        <v>922</v>
      </c>
      <c r="F234" s="480" t="s">
        <v>923</v>
      </c>
      <c r="G234" s="480" t="s">
        <v>924</v>
      </c>
      <c r="H234" s="465"/>
    </row>
    <row r="235">
      <c r="A235" s="463"/>
      <c r="B235" s="480">
        <v>237.0</v>
      </c>
      <c r="C235" s="481">
        <v>41600.0</v>
      </c>
      <c r="D235" s="480" t="s">
        <v>1705</v>
      </c>
      <c r="E235" s="480" t="s">
        <v>1706</v>
      </c>
      <c r="F235" s="480" t="s">
        <v>1707</v>
      </c>
      <c r="G235" s="480" t="s">
        <v>1708</v>
      </c>
      <c r="H235" s="465"/>
    </row>
    <row r="236">
      <c r="A236" s="463"/>
      <c r="B236" s="480">
        <v>238.0</v>
      </c>
      <c r="C236" s="481">
        <v>41600.0</v>
      </c>
      <c r="D236" s="480" t="s">
        <v>1709</v>
      </c>
      <c r="E236" s="480" t="s">
        <v>1710</v>
      </c>
      <c r="F236" s="480" t="s">
        <v>1711</v>
      </c>
      <c r="G236" s="480" t="s">
        <v>1712</v>
      </c>
      <c r="H236" s="465"/>
    </row>
    <row r="237">
      <c r="A237" s="463"/>
      <c r="B237" s="480">
        <v>239.0</v>
      </c>
      <c r="C237" s="481">
        <v>41600.0</v>
      </c>
      <c r="D237" s="480" t="s">
        <v>1713</v>
      </c>
      <c r="E237" s="480" t="s">
        <v>1714</v>
      </c>
      <c r="F237" s="480" t="s">
        <v>1715</v>
      </c>
      <c r="G237" s="480" t="s">
        <v>1285</v>
      </c>
      <c r="H237" s="465"/>
    </row>
    <row r="238">
      <c r="A238" s="463"/>
      <c r="B238" s="480">
        <v>240.0</v>
      </c>
      <c r="C238" s="481">
        <v>41600.0</v>
      </c>
      <c r="D238" s="480" t="s">
        <v>1716</v>
      </c>
      <c r="E238" s="480" t="s">
        <v>1717</v>
      </c>
      <c r="F238" s="480" t="s">
        <v>1718</v>
      </c>
      <c r="G238" s="480" t="s">
        <v>1719</v>
      </c>
      <c r="H238" s="465"/>
    </row>
    <row r="239">
      <c r="A239" s="463"/>
      <c r="B239" s="480">
        <v>241.0</v>
      </c>
      <c r="C239" s="481">
        <v>41600.0</v>
      </c>
      <c r="D239" s="480" t="s">
        <v>1720</v>
      </c>
      <c r="E239" s="480" t="s">
        <v>1721</v>
      </c>
      <c r="F239" s="480" t="s">
        <v>1722</v>
      </c>
      <c r="G239" s="480" t="s">
        <v>1723</v>
      </c>
      <c r="H239" s="465"/>
    </row>
    <row r="240">
      <c r="A240" s="463"/>
      <c r="B240" s="480">
        <v>242.0</v>
      </c>
      <c r="C240" s="481">
        <v>42160.0</v>
      </c>
      <c r="D240" s="480" t="s">
        <v>1724</v>
      </c>
      <c r="E240" s="480" t="s">
        <v>1725</v>
      </c>
      <c r="F240" s="480" t="s">
        <v>1726</v>
      </c>
      <c r="G240" s="480" t="s">
        <v>1727</v>
      </c>
      <c r="H240" s="482" t="s">
        <v>1389</v>
      </c>
    </row>
    <row r="241">
      <c r="A241" s="463"/>
      <c r="B241" s="480">
        <v>243.0</v>
      </c>
      <c r="C241" s="481">
        <v>41603.0</v>
      </c>
      <c r="D241" s="480" t="s">
        <v>1728</v>
      </c>
      <c r="E241" s="480" t="s">
        <v>1729</v>
      </c>
      <c r="F241" s="480" t="s">
        <v>1730</v>
      </c>
      <c r="G241" s="480" t="s">
        <v>1731</v>
      </c>
      <c r="H241" s="465"/>
    </row>
    <row r="242">
      <c r="A242" s="463"/>
      <c r="B242" s="480">
        <v>244.0</v>
      </c>
      <c r="C242" s="481">
        <v>41603.0</v>
      </c>
      <c r="D242" s="480" t="s">
        <v>1732</v>
      </c>
      <c r="E242" s="480" t="s">
        <v>1733</v>
      </c>
      <c r="F242" s="480" t="s">
        <v>1734</v>
      </c>
      <c r="G242" s="480" t="s">
        <v>1735</v>
      </c>
      <c r="H242" s="465"/>
    </row>
    <row r="243">
      <c r="A243" s="463"/>
      <c r="B243" s="480">
        <v>245.0</v>
      </c>
      <c r="C243" s="481">
        <v>42160.0</v>
      </c>
      <c r="D243" s="480" t="s">
        <v>1736</v>
      </c>
      <c r="E243" s="480" t="s">
        <v>1737</v>
      </c>
      <c r="F243" s="480" t="s">
        <v>1738</v>
      </c>
      <c r="G243" s="480" t="s">
        <v>1739</v>
      </c>
      <c r="H243" s="482" t="s">
        <v>1389</v>
      </c>
    </row>
    <row r="244">
      <c r="A244" s="463"/>
      <c r="B244" s="480">
        <v>246.0</v>
      </c>
      <c r="C244" s="481">
        <v>41603.0</v>
      </c>
      <c r="D244" s="480" t="s">
        <v>1740</v>
      </c>
      <c r="E244" s="480" t="s">
        <v>1741</v>
      </c>
      <c r="F244" s="480" t="s">
        <v>1742</v>
      </c>
      <c r="G244" s="480" t="s">
        <v>1743</v>
      </c>
      <c r="H244" s="465"/>
    </row>
    <row r="245">
      <c r="A245" s="463"/>
      <c r="B245" s="480">
        <v>247.0</v>
      </c>
      <c r="C245" s="481">
        <v>41572.0</v>
      </c>
      <c r="D245" s="480" t="s">
        <v>1744</v>
      </c>
      <c r="E245" s="480" t="s">
        <v>1745</v>
      </c>
      <c r="F245" s="480" t="s">
        <v>1746</v>
      </c>
      <c r="G245" s="480" t="s">
        <v>1747</v>
      </c>
      <c r="H245" s="465"/>
    </row>
    <row r="246">
      <c r="A246" s="463"/>
      <c r="B246" s="480">
        <v>248.0</v>
      </c>
      <c r="C246" s="481">
        <v>41614.0</v>
      </c>
      <c r="D246" s="480" t="s">
        <v>1748</v>
      </c>
      <c r="E246" s="480" t="s">
        <v>1749</v>
      </c>
      <c r="F246" s="480" t="s">
        <v>1750</v>
      </c>
      <c r="G246" s="480" t="s">
        <v>1751</v>
      </c>
      <c r="H246" s="465"/>
    </row>
    <row r="247">
      <c r="A247" s="463"/>
      <c r="B247" s="480">
        <v>249.0</v>
      </c>
      <c r="C247" s="481">
        <v>41613.0</v>
      </c>
      <c r="D247" s="480" t="s">
        <v>1752</v>
      </c>
      <c r="E247" s="480" t="s">
        <v>1753</v>
      </c>
      <c r="F247" s="480" t="s">
        <v>1754</v>
      </c>
      <c r="G247" s="480" t="s">
        <v>1755</v>
      </c>
      <c r="H247" s="482" t="s">
        <v>1756</v>
      </c>
    </row>
    <row r="248">
      <c r="A248" s="463"/>
      <c r="B248" s="480">
        <v>250.0</v>
      </c>
      <c r="C248" s="481">
        <v>41621.0</v>
      </c>
      <c r="D248" s="480" t="s">
        <v>1757</v>
      </c>
      <c r="E248" s="480" t="s">
        <v>1758</v>
      </c>
      <c r="F248" s="480" t="s">
        <v>1759</v>
      </c>
      <c r="G248" s="480" t="s">
        <v>1760</v>
      </c>
      <c r="H248" s="482" t="s">
        <v>1241</v>
      </c>
    </row>
    <row r="249">
      <c r="A249" s="463"/>
      <c r="B249" s="480">
        <v>251.0</v>
      </c>
      <c r="C249" s="481">
        <v>41629.0</v>
      </c>
      <c r="D249" s="480" t="s">
        <v>1761</v>
      </c>
      <c r="E249" s="480" t="s">
        <v>1762</v>
      </c>
      <c r="F249" s="480" t="s">
        <v>1763</v>
      </c>
      <c r="G249" s="480" t="s">
        <v>1764</v>
      </c>
      <c r="H249" s="465"/>
    </row>
    <row r="250">
      <c r="A250" s="463"/>
      <c r="B250" s="480">
        <v>252.0</v>
      </c>
      <c r="C250" s="481">
        <v>41629.0</v>
      </c>
      <c r="D250" s="480" t="s">
        <v>1765</v>
      </c>
      <c r="E250" s="480" t="s">
        <v>1762</v>
      </c>
      <c r="F250" s="480" t="s">
        <v>1766</v>
      </c>
      <c r="G250" s="480" t="s">
        <v>1764</v>
      </c>
      <c r="H250" s="465"/>
    </row>
    <row r="251">
      <c r="A251" s="463"/>
      <c r="B251" s="480">
        <v>253.0</v>
      </c>
      <c r="C251" s="481">
        <v>41664.0</v>
      </c>
      <c r="D251" s="480" t="s">
        <v>1767</v>
      </c>
      <c r="E251" s="480" t="s">
        <v>1768</v>
      </c>
      <c r="F251" s="480" t="s">
        <v>1769</v>
      </c>
      <c r="G251" s="480" t="s">
        <v>1770</v>
      </c>
      <c r="H251" s="482" t="s">
        <v>929</v>
      </c>
    </row>
    <row r="252">
      <c r="A252" s="463"/>
      <c r="B252" s="480">
        <v>254.0</v>
      </c>
      <c r="C252" s="481">
        <v>41633.0</v>
      </c>
      <c r="D252" s="480" t="s">
        <v>1771</v>
      </c>
      <c r="E252" s="480" t="s">
        <v>964</v>
      </c>
      <c r="F252" s="480" t="s">
        <v>965</v>
      </c>
      <c r="G252" s="480" t="s">
        <v>1772</v>
      </c>
      <c r="H252" s="465"/>
    </row>
    <row r="253">
      <c r="A253" s="463"/>
      <c r="B253" s="480">
        <v>255.0</v>
      </c>
      <c r="C253" s="481">
        <v>41649.0</v>
      </c>
      <c r="D253" s="480" t="s">
        <v>1773</v>
      </c>
      <c r="E253" s="480" t="s">
        <v>1774</v>
      </c>
      <c r="F253" s="480" t="s">
        <v>1775</v>
      </c>
      <c r="G253" s="480" t="s">
        <v>1776</v>
      </c>
      <c r="H253" s="465"/>
    </row>
    <row r="254">
      <c r="A254" s="463"/>
      <c r="B254" s="480">
        <v>256.0</v>
      </c>
      <c r="C254" s="481">
        <v>41649.0</v>
      </c>
      <c r="D254" s="480" t="s">
        <v>1777</v>
      </c>
      <c r="E254" s="480" t="s">
        <v>1778</v>
      </c>
      <c r="F254" s="480" t="s">
        <v>1779</v>
      </c>
      <c r="G254" s="480" t="s">
        <v>1780</v>
      </c>
      <c r="H254" s="465"/>
    </row>
    <row r="255">
      <c r="A255" s="463"/>
      <c r="B255" s="480">
        <v>257.0</v>
      </c>
      <c r="C255" s="481">
        <v>41661.0</v>
      </c>
      <c r="D255" s="480" t="s">
        <v>1781</v>
      </c>
      <c r="E255" s="480" t="s">
        <v>1782</v>
      </c>
      <c r="F255" s="480" t="s">
        <v>1783</v>
      </c>
      <c r="G255" s="480" t="s">
        <v>974</v>
      </c>
      <c r="H255" s="465"/>
    </row>
    <row r="256">
      <c r="A256" s="463"/>
      <c r="B256" s="480">
        <v>258.0</v>
      </c>
      <c r="C256" s="481">
        <v>41666.0</v>
      </c>
      <c r="D256" s="480" t="s">
        <v>1784</v>
      </c>
      <c r="E256" s="480" t="s">
        <v>1785</v>
      </c>
      <c r="F256" s="480" t="s">
        <v>1786</v>
      </c>
      <c r="G256" s="480" t="s">
        <v>1787</v>
      </c>
      <c r="H256" s="465"/>
    </row>
    <row r="257">
      <c r="A257" s="463"/>
      <c r="B257" s="480">
        <v>259.0</v>
      </c>
      <c r="C257" s="481">
        <v>41664.0</v>
      </c>
      <c r="D257" s="480" t="s">
        <v>1788</v>
      </c>
      <c r="E257" s="480" t="s">
        <v>1789</v>
      </c>
      <c r="F257" s="480" t="s">
        <v>1790</v>
      </c>
      <c r="G257" s="480" t="s">
        <v>1791</v>
      </c>
      <c r="H257" s="465"/>
    </row>
    <row r="258">
      <c r="A258" s="463"/>
      <c r="B258" s="480">
        <v>260.0</v>
      </c>
      <c r="C258" s="481">
        <v>41664.0</v>
      </c>
      <c r="D258" s="480" t="s">
        <v>1792</v>
      </c>
      <c r="E258" s="480" t="s">
        <v>1793</v>
      </c>
      <c r="F258" s="480" t="s">
        <v>1794</v>
      </c>
      <c r="G258" s="480" t="s">
        <v>1795</v>
      </c>
      <c r="H258" s="465"/>
    </row>
    <row r="259">
      <c r="A259" s="463"/>
      <c r="B259" s="480">
        <v>261.0</v>
      </c>
      <c r="C259" s="481">
        <v>41655.0</v>
      </c>
      <c r="D259" s="480" t="s">
        <v>1796</v>
      </c>
      <c r="E259" s="480" t="s">
        <v>1797</v>
      </c>
      <c r="F259" s="480" t="s">
        <v>1798</v>
      </c>
      <c r="G259" s="480" t="s">
        <v>1799</v>
      </c>
      <c r="H259" s="482" t="s">
        <v>1241</v>
      </c>
    </row>
    <row r="260">
      <c r="A260" s="463"/>
      <c r="B260" s="480">
        <v>262.0</v>
      </c>
      <c r="C260" s="481">
        <v>41661.0</v>
      </c>
      <c r="D260" s="480" t="s">
        <v>1800</v>
      </c>
      <c r="E260" s="480" t="s">
        <v>1801</v>
      </c>
      <c r="F260" s="480" t="s">
        <v>1802</v>
      </c>
      <c r="G260" s="480" t="s">
        <v>1803</v>
      </c>
      <c r="H260" s="465"/>
    </row>
    <row r="261">
      <c r="A261" s="463"/>
      <c r="B261" s="480">
        <v>263.0</v>
      </c>
      <c r="C261" s="481">
        <v>41684.0</v>
      </c>
      <c r="D261" s="480" t="s">
        <v>1804</v>
      </c>
      <c r="E261" s="480" t="s">
        <v>1805</v>
      </c>
      <c r="F261" s="480" t="s">
        <v>1806</v>
      </c>
      <c r="G261" s="480" t="s">
        <v>1807</v>
      </c>
      <c r="H261" s="465"/>
    </row>
    <row r="262">
      <c r="A262" s="463"/>
      <c r="B262" s="480">
        <v>264.0</v>
      </c>
      <c r="C262" s="481">
        <v>41684.0</v>
      </c>
      <c r="D262" s="480" t="s">
        <v>1808</v>
      </c>
      <c r="E262" s="480" t="s">
        <v>1805</v>
      </c>
      <c r="F262" s="480" t="s">
        <v>1806</v>
      </c>
      <c r="G262" s="480" t="s">
        <v>1807</v>
      </c>
      <c r="H262" s="465"/>
    </row>
    <row r="263">
      <c r="A263" s="463"/>
      <c r="B263" s="480">
        <v>265.0</v>
      </c>
      <c r="C263" s="481">
        <v>41677.0</v>
      </c>
      <c r="D263" s="480" t="s">
        <v>1809</v>
      </c>
      <c r="E263" s="480" t="s">
        <v>1655</v>
      </c>
      <c r="F263" s="480" t="s">
        <v>1656</v>
      </c>
      <c r="G263" s="480" t="s">
        <v>1285</v>
      </c>
      <c r="H263" s="465"/>
    </row>
    <row r="264">
      <c r="A264" s="463"/>
      <c r="B264" s="480">
        <v>267.0</v>
      </c>
      <c r="C264" s="481">
        <v>41692.0</v>
      </c>
      <c r="D264" s="480" t="s">
        <v>1810</v>
      </c>
      <c r="E264" s="480" t="s">
        <v>1811</v>
      </c>
      <c r="F264" s="480" t="s">
        <v>1812</v>
      </c>
      <c r="G264" s="480" t="s">
        <v>1523</v>
      </c>
      <c r="H264" s="465"/>
    </row>
    <row r="265">
      <c r="A265" s="463"/>
      <c r="B265" s="480">
        <v>268.0</v>
      </c>
      <c r="C265" s="481">
        <v>41692.0</v>
      </c>
      <c r="D265" s="480" t="s">
        <v>1813</v>
      </c>
      <c r="E265" s="480" t="s">
        <v>1814</v>
      </c>
      <c r="F265" s="480" t="s">
        <v>1815</v>
      </c>
      <c r="G265" s="480" t="s">
        <v>1816</v>
      </c>
      <c r="H265" s="482" t="s">
        <v>934</v>
      </c>
    </row>
    <row r="266">
      <c r="A266" s="463"/>
      <c r="B266" s="480">
        <v>269.0</v>
      </c>
      <c r="C266" s="481">
        <v>41692.0</v>
      </c>
      <c r="D266" s="480" t="s">
        <v>1817</v>
      </c>
      <c r="E266" s="480" t="s">
        <v>1818</v>
      </c>
      <c r="F266" s="480" t="s">
        <v>1819</v>
      </c>
      <c r="G266" s="480" t="s">
        <v>1820</v>
      </c>
      <c r="H266" s="465"/>
    </row>
    <row r="267">
      <c r="A267" s="463"/>
      <c r="B267" s="480">
        <v>270.0</v>
      </c>
      <c r="C267" s="481">
        <v>41695.0</v>
      </c>
      <c r="D267" s="480" t="s">
        <v>1821</v>
      </c>
      <c r="E267" s="480" t="s">
        <v>1822</v>
      </c>
      <c r="F267" s="480" t="s">
        <v>1823</v>
      </c>
      <c r="G267" s="480" t="s">
        <v>1824</v>
      </c>
      <c r="H267" s="465"/>
    </row>
    <row r="268">
      <c r="A268" s="463"/>
      <c r="B268" s="483" t="s">
        <v>1825</v>
      </c>
      <c r="C268" s="481">
        <v>42685.0</v>
      </c>
      <c r="D268" s="480" t="s">
        <v>1826</v>
      </c>
      <c r="E268" s="480" t="s">
        <v>1058</v>
      </c>
      <c r="F268" s="480" t="s">
        <v>1059</v>
      </c>
      <c r="G268" s="480" t="s">
        <v>1060</v>
      </c>
      <c r="H268" s="465"/>
    </row>
    <row r="269">
      <c r="A269" s="463"/>
      <c r="B269" s="483" t="s">
        <v>1827</v>
      </c>
      <c r="C269" s="480" t="s">
        <v>1374</v>
      </c>
      <c r="D269" s="480" t="s">
        <v>1828</v>
      </c>
      <c r="E269" s="480" t="s">
        <v>968</v>
      </c>
      <c r="F269" s="480" t="s">
        <v>969</v>
      </c>
      <c r="G269" s="480" t="s">
        <v>970</v>
      </c>
      <c r="H269" s="465"/>
    </row>
    <row r="270">
      <c r="A270" s="463"/>
      <c r="B270" s="483" t="s">
        <v>1829</v>
      </c>
      <c r="C270" s="481">
        <v>42713.0</v>
      </c>
      <c r="D270" s="480" t="s">
        <v>1830</v>
      </c>
      <c r="E270" s="480" t="s">
        <v>1185</v>
      </c>
      <c r="F270" s="480" t="s">
        <v>1186</v>
      </c>
      <c r="G270" s="480" t="s">
        <v>1187</v>
      </c>
      <c r="H270" s="465"/>
    </row>
    <row r="271">
      <c r="A271" s="463"/>
      <c r="B271" s="480">
        <v>276.0</v>
      </c>
      <c r="C271" s="481">
        <v>41712.0</v>
      </c>
      <c r="D271" s="480" t="s">
        <v>1831</v>
      </c>
      <c r="E271" s="480" t="s">
        <v>1832</v>
      </c>
      <c r="F271" s="480" t="s">
        <v>1320</v>
      </c>
      <c r="G271" s="480" t="s">
        <v>1321</v>
      </c>
      <c r="H271" s="465"/>
    </row>
    <row r="272">
      <c r="A272" s="463"/>
      <c r="B272" s="480">
        <v>277.0</v>
      </c>
      <c r="C272" s="481">
        <v>41712.0</v>
      </c>
      <c r="D272" s="480" t="s">
        <v>1833</v>
      </c>
      <c r="E272" s="480" t="s">
        <v>1832</v>
      </c>
      <c r="F272" s="480" t="s">
        <v>1320</v>
      </c>
      <c r="G272" s="480" t="s">
        <v>1321</v>
      </c>
      <c r="H272" s="465"/>
    </row>
    <row r="273">
      <c r="A273" s="463"/>
      <c r="B273" s="480">
        <v>278.0</v>
      </c>
      <c r="C273" s="481">
        <v>41712.0</v>
      </c>
      <c r="D273" s="480" t="s">
        <v>1834</v>
      </c>
      <c r="E273" s="480" t="s">
        <v>1832</v>
      </c>
      <c r="F273" s="480" t="s">
        <v>1320</v>
      </c>
      <c r="G273" s="480" t="s">
        <v>1321</v>
      </c>
      <c r="H273" s="465"/>
    </row>
    <row r="274">
      <c r="A274" s="463"/>
      <c r="B274" s="480">
        <v>279.0</v>
      </c>
      <c r="C274" s="481">
        <v>41705.0</v>
      </c>
      <c r="D274" s="480" t="s">
        <v>1835</v>
      </c>
      <c r="E274" s="480" t="s">
        <v>1207</v>
      </c>
      <c r="F274" s="480" t="s">
        <v>1208</v>
      </c>
      <c r="G274" s="480" t="s">
        <v>1209</v>
      </c>
      <c r="H274" s="465"/>
    </row>
    <row r="275">
      <c r="A275" s="463"/>
      <c r="B275" s="480">
        <v>280.0</v>
      </c>
      <c r="C275" s="481">
        <v>41781.0</v>
      </c>
      <c r="D275" s="480" t="s">
        <v>1836</v>
      </c>
      <c r="E275" s="480" t="s">
        <v>937</v>
      </c>
      <c r="F275" s="480" t="s">
        <v>938</v>
      </c>
      <c r="G275" s="480" t="s">
        <v>939</v>
      </c>
      <c r="H275" s="465"/>
    </row>
    <row r="276">
      <c r="A276" s="463"/>
      <c r="B276" s="480">
        <v>281.0</v>
      </c>
      <c r="C276" s="481">
        <v>41720.0</v>
      </c>
      <c r="D276" s="480" t="s">
        <v>1837</v>
      </c>
      <c r="E276" s="480" t="s">
        <v>1838</v>
      </c>
      <c r="F276" s="480" t="s">
        <v>1839</v>
      </c>
      <c r="G276" s="480" t="s">
        <v>1840</v>
      </c>
      <c r="H276" s="465"/>
    </row>
    <row r="277">
      <c r="A277" s="463"/>
      <c r="B277" s="480">
        <v>282.0</v>
      </c>
      <c r="C277" s="481">
        <v>41720.0</v>
      </c>
      <c r="D277" s="480" t="s">
        <v>1841</v>
      </c>
      <c r="E277" s="480" t="s">
        <v>1842</v>
      </c>
      <c r="F277" s="480" t="s">
        <v>1843</v>
      </c>
      <c r="G277" s="480" t="s">
        <v>1523</v>
      </c>
      <c r="H277" s="465"/>
    </row>
    <row r="278">
      <c r="A278" s="463"/>
      <c r="B278" s="480">
        <v>283.0</v>
      </c>
      <c r="C278" s="481">
        <v>41720.0</v>
      </c>
      <c r="D278" s="480" t="s">
        <v>1844</v>
      </c>
      <c r="E278" s="480" t="s">
        <v>1845</v>
      </c>
      <c r="F278" s="480" t="s">
        <v>1846</v>
      </c>
      <c r="G278" s="480" t="s">
        <v>1847</v>
      </c>
      <c r="H278" s="465"/>
    </row>
    <row r="279">
      <c r="A279" s="463"/>
      <c r="B279" s="480">
        <v>284.0</v>
      </c>
      <c r="C279" s="481">
        <v>41723.0</v>
      </c>
      <c r="D279" s="480" t="s">
        <v>1848</v>
      </c>
      <c r="E279" s="480" t="s">
        <v>1849</v>
      </c>
      <c r="F279" s="480" t="s">
        <v>1850</v>
      </c>
      <c r="G279" s="480" t="s">
        <v>1851</v>
      </c>
      <c r="H279" s="465"/>
    </row>
    <row r="280">
      <c r="A280" s="463"/>
      <c r="B280" s="480">
        <v>285.0</v>
      </c>
      <c r="C280" s="481">
        <v>41723.0</v>
      </c>
      <c r="D280" s="480" t="s">
        <v>1852</v>
      </c>
      <c r="E280" s="480" t="s">
        <v>1853</v>
      </c>
      <c r="F280" s="480" t="s">
        <v>1854</v>
      </c>
      <c r="G280" s="480" t="s">
        <v>1855</v>
      </c>
      <c r="H280" s="465"/>
    </row>
    <row r="281">
      <c r="A281" s="463"/>
      <c r="B281" s="480">
        <v>286.0</v>
      </c>
      <c r="C281" s="481">
        <v>41725.0</v>
      </c>
      <c r="D281" s="480" t="s">
        <v>1856</v>
      </c>
      <c r="E281" s="480" t="s">
        <v>1857</v>
      </c>
      <c r="F281" s="480" t="s">
        <v>1858</v>
      </c>
      <c r="G281" s="480" t="s">
        <v>1859</v>
      </c>
      <c r="H281" s="465"/>
    </row>
    <row r="282">
      <c r="A282" s="463"/>
      <c r="B282" s="480">
        <v>289.0</v>
      </c>
      <c r="C282" s="481">
        <v>41747.0</v>
      </c>
      <c r="D282" s="480" t="s">
        <v>1860</v>
      </c>
      <c r="E282" s="480" t="s">
        <v>1861</v>
      </c>
      <c r="F282" s="480" t="s">
        <v>1862</v>
      </c>
      <c r="G282" s="480" t="s">
        <v>1863</v>
      </c>
      <c r="H282" s="465"/>
    </row>
    <row r="283">
      <c r="A283" s="463"/>
      <c r="B283" s="480">
        <v>291.0</v>
      </c>
      <c r="C283" s="481">
        <v>41733.0</v>
      </c>
      <c r="D283" s="480" t="s">
        <v>1864</v>
      </c>
      <c r="E283" s="480" t="s">
        <v>1865</v>
      </c>
      <c r="F283" s="480" t="s">
        <v>1866</v>
      </c>
      <c r="G283" s="480" t="s">
        <v>1045</v>
      </c>
      <c r="H283" s="465"/>
    </row>
    <row r="284">
      <c r="A284" s="463"/>
      <c r="B284" s="480">
        <v>292.0</v>
      </c>
      <c r="C284" s="481">
        <v>41761.0</v>
      </c>
      <c r="D284" s="480" t="s">
        <v>1867</v>
      </c>
      <c r="E284" s="480" t="s">
        <v>1868</v>
      </c>
      <c r="F284" s="480" t="s">
        <v>1869</v>
      </c>
      <c r="G284" s="480" t="s">
        <v>1870</v>
      </c>
      <c r="H284" s="465"/>
    </row>
    <row r="285">
      <c r="A285" s="463"/>
      <c r="B285" s="480">
        <v>294.0</v>
      </c>
      <c r="C285" s="481">
        <v>41810.0</v>
      </c>
      <c r="D285" s="480" t="s">
        <v>1871</v>
      </c>
      <c r="E285" s="480" t="s">
        <v>1872</v>
      </c>
      <c r="F285" s="480" t="s">
        <v>1873</v>
      </c>
      <c r="G285" s="480" t="s">
        <v>1045</v>
      </c>
      <c r="H285" s="465"/>
    </row>
    <row r="286">
      <c r="A286" s="463"/>
      <c r="B286" s="480">
        <v>295.0</v>
      </c>
      <c r="C286" s="481">
        <v>41775.0</v>
      </c>
      <c r="D286" s="480" t="s">
        <v>1874</v>
      </c>
      <c r="E286" s="480" t="s">
        <v>1875</v>
      </c>
      <c r="F286" s="480" t="s">
        <v>1876</v>
      </c>
      <c r="G286" s="480" t="s">
        <v>1877</v>
      </c>
      <c r="H286" s="465"/>
    </row>
    <row r="287">
      <c r="A287" s="463"/>
      <c r="B287" s="480">
        <v>296.0</v>
      </c>
      <c r="C287" s="481">
        <v>41768.0</v>
      </c>
      <c r="D287" s="480" t="s">
        <v>1878</v>
      </c>
      <c r="E287" s="480" t="s">
        <v>1879</v>
      </c>
      <c r="F287" s="480" t="s">
        <v>1880</v>
      </c>
      <c r="G287" s="480" t="s">
        <v>1881</v>
      </c>
      <c r="H287" s="465"/>
    </row>
    <row r="288">
      <c r="A288" s="463"/>
      <c r="B288" s="480">
        <v>297.0</v>
      </c>
      <c r="C288" s="481">
        <v>41768.0</v>
      </c>
      <c r="D288" s="480" t="s">
        <v>1882</v>
      </c>
      <c r="E288" s="480" t="s">
        <v>1883</v>
      </c>
      <c r="F288" s="480" t="s">
        <v>1884</v>
      </c>
      <c r="G288" s="480" t="s">
        <v>1885</v>
      </c>
      <c r="H288" s="465"/>
    </row>
    <row r="289">
      <c r="A289" s="463"/>
      <c r="B289" s="480">
        <v>298.0</v>
      </c>
      <c r="C289" s="481">
        <v>41789.0</v>
      </c>
      <c r="D289" s="480" t="s">
        <v>1886</v>
      </c>
      <c r="E289" s="480" t="s">
        <v>1832</v>
      </c>
      <c r="F289" s="480" t="s">
        <v>1320</v>
      </c>
      <c r="G289" s="480" t="s">
        <v>1321</v>
      </c>
      <c r="H289" s="465"/>
    </row>
    <row r="290">
      <c r="A290" s="463"/>
      <c r="B290" s="480">
        <v>299.0</v>
      </c>
      <c r="C290" s="481">
        <v>41803.0</v>
      </c>
      <c r="D290" s="480" t="s">
        <v>1887</v>
      </c>
      <c r="E290" s="480" t="s">
        <v>1832</v>
      </c>
      <c r="F290" s="480" t="s">
        <v>1320</v>
      </c>
      <c r="G290" s="480" t="s">
        <v>1321</v>
      </c>
      <c r="H290" s="465"/>
    </row>
    <row r="291">
      <c r="A291" s="463"/>
      <c r="B291" s="480">
        <v>300.0</v>
      </c>
      <c r="C291" s="481">
        <v>41803.0</v>
      </c>
      <c r="D291" s="480" t="s">
        <v>1888</v>
      </c>
      <c r="E291" s="480" t="s">
        <v>1889</v>
      </c>
      <c r="F291" s="480" t="s">
        <v>1890</v>
      </c>
      <c r="G291" s="480" t="s">
        <v>1891</v>
      </c>
      <c r="H291" s="465"/>
    </row>
    <row r="292">
      <c r="A292" s="463"/>
      <c r="B292" s="480">
        <v>301.0</v>
      </c>
      <c r="C292" s="481">
        <v>41739.0</v>
      </c>
      <c r="D292" s="480" t="s">
        <v>1892</v>
      </c>
      <c r="E292" s="480" t="s">
        <v>1893</v>
      </c>
      <c r="F292" s="480" t="s">
        <v>1894</v>
      </c>
      <c r="G292" s="480" t="s">
        <v>1895</v>
      </c>
      <c r="H292" s="465"/>
    </row>
    <row r="293">
      <c r="A293" s="463"/>
      <c r="B293" s="480">
        <v>302.0</v>
      </c>
      <c r="C293" s="481">
        <v>41739.0</v>
      </c>
      <c r="D293" s="480" t="s">
        <v>1896</v>
      </c>
      <c r="E293" s="480" t="s">
        <v>1897</v>
      </c>
      <c r="F293" s="480" t="s">
        <v>1898</v>
      </c>
      <c r="G293" s="480" t="s">
        <v>1899</v>
      </c>
      <c r="H293" s="465"/>
    </row>
    <row r="294">
      <c r="A294" s="463"/>
      <c r="B294" s="480">
        <v>303.0</v>
      </c>
      <c r="C294" s="481">
        <v>41755.0</v>
      </c>
      <c r="D294" s="480" t="s">
        <v>1900</v>
      </c>
      <c r="E294" s="480" t="s">
        <v>1901</v>
      </c>
      <c r="F294" s="480" t="s">
        <v>1902</v>
      </c>
      <c r="G294" s="480" t="s">
        <v>1903</v>
      </c>
      <c r="H294" s="465"/>
    </row>
    <row r="295">
      <c r="A295" s="463"/>
      <c r="B295" s="480">
        <v>304.0</v>
      </c>
      <c r="C295" s="481">
        <v>41754.0</v>
      </c>
      <c r="D295" s="480" t="s">
        <v>1904</v>
      </c>
      <c r="E295" s="480" t="s">
        <v>1905</v>
      </c>
      <c r="F295" s="480" t="s">
        <v>1906</v>
      </c>
      <c r="G295" s="480" t="s">
        <v>1907</v>
      </c>
      <c r="H295" s="465"/>
    </row>
    <row r="296">
      <c r="A296" s="463"/>
      <c r="B296" s="480">
        <v>305.0</v>
      </c>
      <c r="C296" s="481">
        <v>41748.0</v>
      </c>
      <c r="D296" s="480" t="s">
        <v>1908</v>
      </c>
      <c r="E296" s="480" t="s">
        <v>1909</v>
      </c>
      <c r="F296" s="480" t="s">
        <v>1910</v>
      </c>
      <c r="G296" s="480" t="s">
        <v>1911</v>
      </c>
      <c r="H296" s="465"/>
    </row>
    <row r="297">
      <c r="A297" s="463"/>
      <c r="B297" s="480">
        <v>306.0</v>
      </c>
      <c r="C297" s="481">
        <v>41751.0</v>
      </c>
      <c r="D297" s="480" t="s">
        <v>1912</v>
      </c>
      <c r="E297" s="480" t="s">
        <v>1095</v>
      </c>
      <c r="F297" s="480" t="s">
        <v>1096</v>
      </c>
      <c r="G297" s="480" t="s">
        <v>1097</v>
      </c>
      <c r="H297" s="465"/>
    </row>
    <row r="298">
      <c r="A298" s="463"/>
      <c r="B298" s="480">
        <v>307.0</v>
      </c>
      <c r="C298" s="481">
        <v>41751.0</v>
      </c>
      <c r="D298" s="480" t="s">
        <v>1913</v>
      </c>
      <c r="E298" s="480" t="s">
        <v>1914</v>
      </c>
      <c r="F298" s="480" t="s">
        <v>1915</v>
      </c>
      <c r="G298" s="480" t="s">
        <v>1916</v>
      </c>
      <c r="H298" s="482" t="s">
        <v>1131</v>
      </c>
    </row>
    <row r="299">
      <c r="A299" s="463"/>
      <c r="B299" s="480">
        <v>308.0</v>
      </c>
      <c r="C299" s="481">
        <v>41751.0</v>
      </c>
      <c r="D299" s="480" t="s">
        <v>1917</v>
      </c>
      <c r="E299" s="480" t="s">
        <v>1918</v>
      </c>
      <c r="F299" s="480" t="s">
        <v>1919</v>
      </c>
      <c r="G299" s="480" t="s">
        <v>1803</v>
      </c>
      <c r="H299" s="465"/>
    </row>
    <row r="300">
      <c r="A300" s="463"/>
      <c r="B300" s="480">
        <v>309.0</v>
      </c>
      <c r="C300" s="481">
        <v>41755.0</v>
      </c>
      <c r="D300" s="480" t="s">
        <v>1920</v>
      </c>
      <c r="E300" s="480" t="s">
        <v>1513</v>
      </c>
      <c r="F300" s="480" t="s">
        <v>1514</v>
      </c>
      <c r="G300" s="480" t="s">
        <v>1515</v>
      </c>
      <c r="H300" s="465"/>
    </row>
    <row r="301">
      <c r="A301" s="463"/>
      <c r="B301" s="480">
        <v>310.0</v>
      </c>
      <c r="C301" s="481">
        <v>41754.0</v>
      </c>
      <c r="D301" s="480" t="s">
        <v>1921</v>
      </c>
      <c r="E301" s="480" t="s">
        <v>1922</v>
      </c>
      <c r="F301" s="480" t="s">
        <v>1923</v>
      </c>
      <c r="G301" s="480" t="s">
        <v>1924</v>
      </c>
      <c r="H301" s="465"/>
    </row>
    <row r="302">
      <c r="A302" s="463"/>
      <c r="B302" s="480">
        <v>311.0</v>
      </c>
      <c r="C302" s="481">
        <v>41783.0</v>
      </c>
      <c r="D302" s="480" t="s">
        <v>1925</v>
      </c>
      <c r="E302" s="480" t="s">
        <v>1926</v>
      </c>
      <c r="F302" s="480" t="s">
        <v>1927</v>
      </c>
      <c r="G302" s="480" t="s">
        <v>1928</v>
      </c>
      <c r="H302" s="465"/>
    </row>
    <row r="303">
      <c r="A303" s="463"/>
      <c r="B303" s="480">
        <v>312.0</v>
      </c>
      <c r="C303" s="481">
        <v>41783.0</v>
      </c>
      <c r="D303" s="480" t="s">
        <v>1929</v>
      </c>
      <c r="E303" s="480" t="s">
        <v>1926</v>
      </c>
      <c r="F303" s="480" t="s">
        <v>1927</v>
      </c>
      <c r="G303" s="480" t="s">
        <v>1928</v>
      </c>
      <c r="H303" s="465"/>
    </row>
    <row r="304">
      <c r="A304" s="463"/>
      <c r="B304" s="480">
        <v>313.0</v>
      </c>
      <c r="C304" s="481">
        <v>41794.0</v>
      </c>
      <c r="D304" s="480" t="s">
        <v>1930</v>
      </c>
      <c r="E304" s="480" t="s">
        <v>1590</v>
      </c>
      <c r="F304" s="480" t="s">
        <v>1591</v>
      </c>
      <c r="G304" s="480" t="s">
        <v>1562</v>
      </c>
      <c r="H304" s="465"/>
    </row>
    <row r="305">
      <c r="A305" s="463"/>
      <c r="B305" s="480">
        <v>314.0</v>
      </c>
      <c r="C305" s="481">
        <v>41811.0</v>
      </c>
      <c r="D305" s="480" t="s">
        <v>1931</v>
      </c>
      <c r="E305" s="480" t="s">
        <v>1932</v>
      </c>
      <c r="F305" s="480" t="s">
        <v>1933</v>
      </c>
      <c r="G305" s="480" t="s">
        <v>1780</v>
      </c>
      <c r="H305" s="465"/>
    </row>
    <row r="306">
      <c r="A306" s="463"/>
      <c r="B306" s="480">
        <v>315.0</v>
      </c>
      <c r="C306" s="481">
        <v>41811.0</v>
      </c>
      <c r="D306" s="480" t="s">
        <v>1934</v>
      </c>
      <c r="E306" s="480" t="s">
        <v>1091</v>
      </c>
      <c r="F306" s="480" t="s">
        <v>1092</v>
      </c>
      <c r="G306" s="480" t="s">
        <v>1935</v>
      </c>
      <c r="H306" s="465"/>
    </row>
    <row r="307">
      <c r="A307" s="463"/>
      <c r="B307" s="480">
        <v>316.0</v>
      </c>
      <c r="C307" s="481">
        <v>41811.0</v>
      </c>
      <c r="D307" s="480" t="s">
        <v>1936</v>
      </c>
      <c r="E307" s="480" t="s">
        <v>1937</v>
      </c>
      <c r="F307" s="480" t="s">
        <v>1938</v>
      </c>
      <c r="G307" s="480" t="s">
        <v>1939</v>
      </c>
      <c r="H307" s="465"/>
    </row>
    <row r="308">
      <c r="A308" s="463"/>
      <c r="B308" s="480">
        <v>318.0</v>
      </c>
      <c r="C308" s="481">
        <v>42230.0</v>
      </c>
      <c r="D308" s="480" t="s">
        <v>1940</v>
      </c>
      <c r="E308" s="480" t="s">
        <v>1941</v>
      </c>
      <c r="F308" s="480" t="s">
        <v>1942</v>
      </c>
      <c r="G308" s="480" t="s">
        <v>1943</v>
      </c>
      <c r="H308" s="465"/>
    </row>
    <row r="309">
      <c r="A309" s="463"/>
      <c r="B309" s="480">
        <v>319.0</v>
      </c>
      <c r="C309" s="481">
        <v>42230.0</v>
      </c>
      <c r="D309" s="480" t="s">
        <v>1944</v>
      </c>
      <c r="E309" s="480" t="s">
        <v>1945</v>
      </c>
      <c r="F309" s="480" t="s">
        <v>1946</v>
      </c>
      <c r="G309" s="480" t="s">
        <v>1947</v>
      </c>
      <c r="H309" s="465"/>
    </row>
    <row r="310">
      <c r="A310" s="463"/>
      <c r="B310" s="480">
        <v>320.0</v>
      </c>
      <c r="C310" s="481">
        <v>41817.0</v>
      </c>
      <c r="D310" s="480" t="s">
        <v>1948</v>
      </c>
      <c r="E310" s="480" t="s">
        <v>1304</v>
      </c>
      <c r="F310" s="480" t="s">
        <v>1305</v>
      </c>
      <c r="G310" s="480" t="s">
        <v>920</v>
      </c>
      <c r="H310" s="465"/>
    </row>
    <row r="311">
      <c r="A311" s="463"/>
      <c r="B311" s="480">
        <v>321.0</v>
      </c>
      <c r="C311" s="481">
        <v>41815.0</v>
      </c>
      <c r="D311" s="480" t="s">
        <v>1949</v>
      </c>
      <c r="E311" s="480" t="s">
        <v>1066</v>
      </c>
      <c r="F311" s="480" t="s">
        <v>1067</v>
      </c>
      <c r="G311" s="480" t="s">
        <v>1068</v>
      </c>
      <c r="H311" s="465"/>
    </row>
    <row r="312">
      <c r="A312" s="463"/>
      <c r="B312" s="480">
        <v>322.0</v>
      </c>
      <c r="C312" s="481">
        <v>41824.0</v>
      </c>
      <c r="D312" s="480" t="s">
        <v>1950</v>
      </c>
      <c r="E312" s="480" t="s">
        <v>1104</v>
      </c>
      <c r="F312" s="480" t="s">
        <v>1105</v>
      </c>
      <c r="G312" s="480" t="s">
        <v>1106</v>
      </c>
      <c r="H312" s="465"/>
    </row>
    <row r="313">
      <c r="A313" s="463"/>
      <c r="B313" s="480">
        <v>323.0</v>
      </c>
      <c r="C313" s="481">
        <v>41824.0</v>
      </c>
      <c r="D313" s="480" t="s">
        <v>1951</v>
      </c>
      <c r="E313" s="480" t="s">
        <v>1104</v>
      </c>
      <c r="F313" s="480" t="s">
        <v>1105</v>
      </c>
      <c r="G313" s="480" t="s">
        <v>1106</v>
      </c>
      <c r="H313" s="465"/>
    </row>
    <row r="314">
      <c r="A314" s="463"/>
      <c r="B314" s="480">
        <v>324.0</v>
      </c>
      <c r="C314" s="481">
        <v>41824.0</v>
      </c>
      <c r="D314" s="480" t="s">
        <v>1952</v>
      </c>
      <c r="E314" s="480" t="s">
        <v>1104</v>
      </c>
      <c r="F314" s="480" t="s">
        <v>1105</v>
      </c>
      <c r="G314" s="480" t="s">
        <v>1106</v>
      </c>
      <c r="H314" s="465"/>
    </row>
    <row r="315">
      <c r="A315" s="463"/>
      <c r="B315" s="480">
        <v>325.0</v>
      </c>
      <c r="C315" s="481">
        <v>41831.0</v>
      </c>
      <c r="D315" s="480" t="s">
        <v>1953</v>
      </c>
      <c r="E315" s="480" t="s">
        <v>1710</v>
      </c>
      <c r="F315" s="480" t="s">
        <v>1711</v>
      </c>
      <c r="G315" s="480" t="s">
        <v>1712</v>
      </c>
      <c r="H315" s="465"/>
    </row>
    <row r="316">
      <c r="A316" s="463"/>
      <c r="B316" s="480">
        <v>326.0</v>
      </c>
      <c r="C316" s="481">
        <v>41831.0</v>
      </c>
      <c r="D316" s="480" t="s">
        <v>1954</v>
      </c>
      <c r="E316" s="480" t="s">
        <v>1955</v>
      </c>
      <c r="F316" s="480" t="s">
        <v>1956</v>
      </c>
      <c r="G316" s="480" t="s">
        <v>974</v>
      </c>
      <c r="H316" s="465"/>
    </row>
    <row r="317">
      <c r="A317" s="463"/>
      <c r="B317" s="480">
        <v>327.0</v>
      </c>
      <c r="C317" s="481">
        <v>41838.0</v>
      </c>
      <c r="D317" s="480" t="s">
        <v>1957</v>
      </c>
      <c r="E317" s="480" t="s">
        <v>1958</v>
      </c>
      <c r="F317" s="480" t="s">
        <v>1959</v>
      </c>
      <c r="G317" s="480" t="s">
        <v>1122</v>
      </c>
      <c r="H317" s="465"/>
    </row>
    <row r="318">
      <c r="A318" s="463"/>
      <c r="B318" s="480">
        <v>328.0</v>
      </c>
      <c r="C318" s="481">
        <v>41838.0</v>
      </c>
      <c r="D318" s="480" t="s">
        <v>1960</v>
      </c>
      <c r="E318" s="480" t="s">
        <v>1958</v>
      </c>
      <c r="F318" s="480" t="s">
        <v>1959</v>
      </c>
      <c r="G318" s="480" t="s">
        <v>1122</v>
      </c>
      <c r="H318" s="465"/>
    </row>
    <row r="319">
      <c r="A319" s="463"/>
      <c r="B319" s="480">
        <v>329.0</v>
      </c>
      <c r="C319" s="481">
        <v>41838.0</v>
      </c>
      <c r="D319" s="480" t="s">
        <v>1961</v>
      </c>
      <c r="E319" s="480" t="s">
        <v>1958</v>
      </c>
      <c r="F319" s="480" t="s">
        <v>1959</v>
      </c>
      <c r="G319" s="480" t="s">
        <v>1122</v>
      </c>
      <c r="H319" s="465"/>
    </row>
    <row r="320">
      <c r="A320" s="463"/>
      <c r="B320" s="480">
        <v>330.0</v>
      </c>
      <c r="C320" s="481">
        <v>41842.0</v>
      </c>
      <c r="D320" s="480" t="s">
        <v>1962</v>
      </c>
      <c r="E320" s="480" t="s">
        <v>1413</v>
      </c>
      <c r="F320" s="480" t="s">
        <v>1414</v>
      </c>
      <c r="G320" s="480" t="s">
        <v>1415</v>
      </c>
      <c r="H320" s="465"/>
    </row>
    <row r="321">
      <c r="A321" s="463"/>
      <c r="B321" s="480">
        <v>331.0</v>
      </c>
      <c r="C321" s="481">
        <v>41842.0</v>
      </c>
      <c r="D321" s="480" t="s">
        <v>1963</v>
      </c>
      <c r="E321" s="480" t="s">
        <v>1964</v>
      </c>
      <c r="F321" s="480" t="s">
        <v>1965</v>
      </c>
      <c r="G321" s="480" t="s">
        <v>1470</v>
      </c>
      <c r="H321" s="465"/>
    </row>
    <row r="322">
      <c r="A322" s="463"/>
      <c r="B322" s="480">
        <v>332.0</v>
      </c>
      <c r="C322" s="481">
        <v>41843.0</v>
      </c>
      <c r="D322" s="480" t="s">
        <v>1966</v>
      </c>
      <c r="E322" s="480" t="s">
        <v>1031</v>
      </c>
      <c r="F322" s="480" t="s">
        <v>1032</v>
      </c>
      <c r="G322" s="480" t="s">
        <v>1033</v>
      </c>
      <c r="H322" s="465"/>
    </row>
    <row r="323">
      <c r="A323" s="463"/>
      <c r="B323" s="480">
        <v>333.0</v>
      </c>
      <c r="C323" s="481">
        <v>41852.0</v>
      </c>
      <c r="D323" s="480" t="s">
        <v>1967</v>
      </c>
      <c r="E323" s="480" t="s">
        <v>1968</v>
      </c>
      <c r="F323" s="480" t="s">
        <v>1969</v>
      </c>
      <c r="G323" s="480" t="s">
        <v>1268</v>
      </c>
      <c r="H323" s="465"/>
    </row>
    <row r="324">
      <c r="A324" s="463"/>
      <c r="B324" s="480">
        <v>334.0</v>
      </c>
      <c r="C324" s="481">
        <v>41866.0</v>
      </c>
      <c r="D324" s="480" t="s">
        <v>1970</v>
      </c>
      <c r="E324" s="480" t="s">
        <v>1971</v>
      </c>
      <c r="F324" s="480" t="s">
        <v>1972</v>
      </c>
      <c r="G324" s="480" t="s">
        <v>1973</v>
      </c>
      <c r="H324" s="465"/>
    </row>
    <row r="325">
      <c r="A325" s="463"/>
      <c r="B325" s="480">
        <v>335.0</v>
      </c>
      <c r="C325" s="481">
        <v>41866.0</v>
      </c>
      <c r="D325" s="480" t="s">
        <v>1974</v>
      </c>
      <c r="E325" s="480" t="s">
        <v>1971</v>
      </c>
      <c r="F325" s="480" t="s">
        <v>1972</v>
      </c>
      <c r="G325" s="480" t="s">
        <v>1973</v>
      </c>
      <c r="H325" s="465"/>
    </row>
    <row r="326">
      <c r="A326" s="463"/>
      <c r="B326" s="480">
        <v>339.0</v>
      </c>
      <c r="C326" s="481">
        <v>41874.0</v>
      </c>
      <c r="D326" s="480" t="s">
        <v>1975</v>
      </c>
      <c r="E326" s="480" t="s">
        <v>1976</v>
      </c>
      <c r="F326" s="480" t="s">
        <v>1977</v>
      </c>
      <c r="G326" s="480" t="s">
        <v>1978</v>
      </c>
      <c r="H326" s="465"/>
    </row>
    <row r="327">
      <c r="A327" s="463"/>
      <c r="B327" s="480">
        <v>341.0</v>
      </c>
      <c r="C327" s="481">
        <v>41901.0</v>
      </c>
      <c r="D327" s="480" t="s">
        <v>1979</v>
      </c>
      <c r="E327" s="480" t="s">
        <v>1980</v>
      </c>
      <c r="F327" s="480" t="s">
        <v>1981</v>
      </c>
      <c r="G327" s="480" t="s">
        <v>1982</v>
      </c>
      <c r="H327" s="465"/>
    </row>
    <row r="328">
      <c r="A328" s="463"/>
      <c r="B328" s="480">
        <v>342.0</v>
      </c>
      <c r="C328" s="481">
        <v>41887.0</v>
      </c>
      <c r="D328" s="480" t="s">
        <v>1983</v>
      </c>
      <c r="E328" s="480" t="s">
        <v>1367</v>
      </c>
      <c r="F328" s="480" t="s">
        <v>1368</v>
      </c>
      <c r="G328" s="480" t="s">
        <v>1369</v>
      </c>
      <c r="H328" s="465"/>
    </row>
    <row r="329">
      <c r="A329" s="463"/>
      <c r="B329" s="480">
        <v>343.0</v>
      </c>
      <c r="C329" s="481">
        <v>41887.0</v>
      </c>
      <c r="D329" s="480" t="s">
        <v>1984</v>
      </c>
      <c r="E329" s="480" t="s">
        <v>1367</v>
      </c>
      <c r="F329" s="480" t="s">
        <v>1368</v>
      </c>
      <c r="G329" s="480" t="s">
        <v>1369</v>
      </c>
      <c r="H329" s="465"/>
    </row>
    <row r="330">
      <c r="A330" s="463"/>
      <c r="B330" s="480">
        <v>344.0</v>
      </c>
      <c r="C330" s="481">
        <v>41894.0</v>
      </c>
      <c r="D330" s="480" t="s">
        <v>1985</v>
      </c>
      <c r="E330" s="480" t="s">
        <v>1367</v>
      </c>
      <c r="F330" s="480" t="s">
        <v>1368</v>
      </c>
      <c r="G330" s="480" t="s">
        <v>1369</v>
      </c>
      <c r="H330" s="465"/>
    </row>
    <row r="331">
      <c r="A331" s="463"/>
      <c r="B331" s="480">
        <v>345.0</v>
      </c>
      <c r="C331" s="481">
        <v>41901.0</v>
      </c>
      <c r="D331" s="480" t="s">
        <v>1986</v>
      </c>
      <c r="E331" s="480" t="s">
        <v>1987</v>
      </c>
      <c r="F331" s="480" t="s">
        <v>1988</v>
      </c>
      <c r="G331" s="480" t="s">
        <v>1989</v>
      </c>
      <c r="H331" s="465"/>
    </row>
    <row r="332">
      <c r="A332" s="463"/>
      <c r="B332" s="480">
        <v>346.0</v>
      </c>
      <c r="C332" s="481">
        <v>41901.0</v>
      </c>
      <c r="D332" s="480" t="s">
        <v>1990</v>
      </c>
      <c r="E332" s="480" t="s">
        <v>1987</v>
      </c>
      <c r="F332" s="480" t="s">
        <v>1988</v>
      </c>
      <c r="G332" s="480" t="s">
        <v>1989</v>
      </c>
      <c r="H332" s="465"/>
    </row>
    <row r="333">
      <c r="A333" s="463"/>
      <c r="B333" s="480">
        <v>347.0</v>
      </c>
      <c r="C333" s="481">
        <v>41873.0</v>
      </c>
      <c r="D333" s="480" t="s">
        <v>1991</v>
      </c>
      <c r="E333" s="480" t="s">
        <v>1992</v>
      </c>
      <c r="F333" s="480" t="s">
        <v>1993</v>
      </c>
      <c r="G333" s="480" t="s">
        <v>1994</v>
      </c>
      <c r="H333" s="465"/>
    </row>
    <row r="334">
      <c r="A334" s="463"/>
      <c r="B334" s="480">
        <v>348.0</v>
      </c>
      <c r="C334" s="481">
        <v>41929.0</v>
      </c>
      <c r="D334" s="480" t="s">
        <v>1995</v>
      </c>
      <c r="E334" s="480" t="s">
        <v>1996</v>
      </c>
      <c r="F334" s="480" t="s">
        <v>1997</v>
      </c>
      <c r="G334" s="480" t="s">
        <v>1998</v>
      </c>
      <c r="H334" s="465"/>
    </row>
    <row r="335">
      <c r="A335" s="463"/>
      <c r="B335" s="480">
        <v>349.0</v>
      </c>
      <c r="C335" s="481">
        <v>41929.0</v>
      </c>
      <c r="D335" s="480" t="s">
        <v>1999</v>
      </c>
      <c r="E335" s="480" t="s">
        <v>1996</v>
      </c>
      <c r="F335" s="480" t="s">
        <v>1997</v>
      </c>
      <c r="G335" s="480" t="s">
        <v>1998</v>
      </c>
      <c r="H335" s="465"/>
    </row>
    <row r="336">
      <c r="A336" s="463"/>
      <c r="B336" s="480">
        <v>350.0</v>
      </c>
      <c r="C336" s="481">
        <v>41929.0</v>
      </c>
      <c r="D336" s="480" t="s">
        <v>2000</v>
      </c>
      <c r="E336" s="480" t="s">
        <v>2001</v>
      </c>
      <c r="F336" s="480" t="s">
        <v>2002</v>
      </c>
      <c r="G336" s="480" t="s">
        <v>2003</v>
      </c>
      <c r="H336" s="465"/>
    </row>
    <row r="337">
      <c r="A337" s="463"/>
      <c r="B337" s="480">
        <v>351.0</v>
      </c>
      <c r="C337" s="481">
        <v>41909.0</v>
      </c>
      <c r="D337" s="480" t="s">
        <v>2004</v>
      </c>
      <c r="E337" s="480" t="s">
        <v>2005</v>
      </c>
      <c r="F337" s="480" t="s">
        <v>2006</v>
      </c>
      <c r="G337" s="480" t="s">
        <v>2007</v>
      </c>
      <c r="H337" s="465"/>
    </row>
    <row r="338">
      <c r="A338" s="463"/>
      <c r="B338" s="480">
        <v>352.0</v>
      </c>
      <c r="C338" s="481">
        <v>41907.0</v>
      </c>
      <c r="D338" s="480" t="s">
        <v>2008</v>
      </c>
      <c r="E338" s="480" t="s">
        <v>2009</v>
      </c>
      <c r="F338" s="480" t="s">
        <v>2010</v>
      </c>
      <c r="G338" s="480" t="s">
        <v>2011</v>
      </c>
      <c r="H338" s="465"/>
    </row>
    <row r="339">
      <c r="A339" s="463"/>
      <c r="B339" s="480">
        <v>353.0</v>
      </c>
      <c r="C339" s="481">
        <v>41904.0</v>
      </c>
      <c r="D339" s="480" t="s">
        <v>2012</v>
      </c>
      <c r="E339" s="480" t="s">
        <v>2013</v>
      </c>
      <c r="F339" s="480" t="s">
        <v>2014</v>
      </c>
      <c r="G339" s="480" t="s">
        <v>1795</v>
      </c>
      <c r="H339" s="465"/>
    </row>
    <row r="340">
      <c r="A340" s="463"/>
      <c r="B340" s="480">
        <v>354.0</v>
      </c>
      <c r="C340" s="481">
        <v>41985.0</v>
      </c>
      <c r="D340" s="480" t="s">
        <v>2015</v>
      </c>
      <c r="E340" s="480" t="s">
        <v>2016</v>
      </c>
      <c r="F340" s="480" t="s">
        <v>2017</v>
      </c>
      <c r="G340" s="480" t="s">
        <v>978</v>
      </c>
      <c r="H340" s="465"/>
    </row>
    <row r="341">
      <c r="A341" s="463"/>
      <c r="B341" s="480">
        <v>355.0</v>
      </c>
      <c r="C341" s="481">
        <v>41985.0</v>
      </c>
      <c r="D341" s="480" t="s">
        <v>2018</v>
      </c>
      <c r="E341" s="480" t="s">
        <v>2016</v>
      </c>
      <c r="F341" s="480" t="s">
        <v>2017</v>
      </c>
      <c r="G341" s="480" t="s">
        <v>978</v>
      </c>
      <c r="H341" s="465"/>
    </row>
    <row r="342">
      <c r="A342" s="463"/>
      <c r="B342" s="480">
        <v>356.0</v>
      </c>
      <c r="C342" s="481">
        <v>41957.0</v>
      </c>
      <c r="D342" s="480" t="s">
        <v>2019</v>
      </c>
      <c r="E342" s="480" t="s">
        <v>2020</v>
      </c>
      <c r="F342" s="480" t="s">
        <v>2021</v>
      </c>
      <c r="G342" s="480" t="s">
        <v>1301</v>
      </c>
      <c r="H342" s="465"/>
    </row>
    <row r="343">
      <c r="A343" s="463"/>
      <c r="B343" s="480">
        <v>357.0</v>
      </c>
      <c r="C343" s="481">
        <v>41957.0</v>
      </c>
      <c r="D343" s="480" t="s">
        <v>2022</v>
      </c>
      <c r="E343" s="480" t="s">
        <v>2020</v>
      </c>
      <c r="F343" s="480" t="s">
        <v>2021</v>
      </c>
      <c r="G343" s="480" t="s">
        <v>1301</v>
      </c>
      <c r="H343" s="465"/>
    </row>
    <row r="344">
      <c r="A344" s="463"/>
      <c r="B344" s="480">
        <v>358.0</v>
      </c>
      <c r="C344" s="481">
        <v>41978.0</v>
      </c>
      <c r="D344" s="480" t="s">
        <v>2023</v>
      </c>
      <c r="E344" s="480" t="s">
        <v>2024</v>
      </c>
      <c r="F344" s="480" t="s">
        <v>2025</v>
      </c>
      <c r="G344" s="480" t="s">
        <v>1502</v>
      </c>
      <c r="H344" s="465"/>
    </row>
    <row r="345">
      <c r="A345" s="463"/>
      <c r="B345" s="480">
        <v>359.0</v>
      </c>
      <c r="C345" s="481">
        <v>41978.0</v>
      </c>
      <c r="D345" s="480" t="s">
        <v>2026</v>
      </c>
      <c r="E345" s="480" t="s">
        <v>2024</v>
      </c>
      <c r="F345" s="480" t="s">
        <v>2025</v>
      </c>
      <c r="G345" s="480" t="s">
        <v>1502</v>
      </c>
      <c r="H345" s="465"/>
    </row>
    <row r="346">
      <c r="A346" s="463"/>
      <c r="B346" s="480">
        <v>360.0</v>
      </c>
      <c r="C346" s="481">
        <v>41950.0</v>
      </c>
      <c r="D346" s="480" t="s">
        <v>2027</v>
      </c>
      <c r="E346" s="480" t="s">
        <v>2028</v>
      </c>
      <c r="F346" s="480" t="s">
        <v>2029</v>
      </c>
      <c r="G346" s="480" t="s">
        <v>1196</v>
      </c>
      <c r="H346" s="465"/>
    </row>
    <row r="347">
      <c r="A347" s="463"/>
      <c r="B347" s="480">
        <v>361.0</v>
      </c>
      <c r="C347" s="481">
        <v>41950.0</v>
      </c>
      <c r="D347" s="480" t="s">
        <v>2030</v>
      </c>
      <c r="E347" s="480" t="s">
        <v>2028</v>
      </c>
      <c r="F347" s="480" t="s">
        <v>2029</v>
      </c>
      <c r="G347" s="480" t="s">
        <v>1196</v>
      </c>
      <c r="H347" s="465"/>
    </row>
    <row r="348">
      <c r="A348" s="463"/>
      <c r="B348" s="480">
        <v>362.0</v>
      </c>
      <c r="C348" s="481">
        <v>41970.0</v>
      </c>
      <c r="D348" s="480" t="s">
        <v>2031</v>
      </c>
      <c r="E348" s="480" t="s">
        <v>2032</v>
      </c>
      <c r="F348" s="480" t="s">
        <v>2033</v>
      </c>
      <c r="G348" s="480" t="s">
        <v>2034</v>
      </c>
      <c r="H348" s="465"/>
    </row>
    <row r="349">
      <c r="A349" s="463"/>
      <c r="B349" s="480">
        <v>363.0</v>
      </c>
      <c r="C349" s="481">
        <v>41934.0</v>
      </c>
      <c r="D349" s="480" t="s">
        <v>2035</v>
      </c>
      <c r="E349" s="480" t="s">
        <v>2036</v>
      </c>
      <c r="F349" s="480" t="s">
        <v>2037</v>
      </c>
      <c r="G349" s="480" t="s">
        <v>2038</v>
      </c>
      <c r="H349" s="465"/>
    </row>
    <row r="350">
      <c r="A350" s="463"/>
      <c r="B350" s="480">
        <v>364.0</v>
      </c>
      <c r="C350" s="481">
        <v>41939.0</v>
      </c>
      <c r="D350" s="480" t="s">
        <v>2039</v>
      </c>
      <c r="E350" s="480" t="s">
        <v>1185</v>
      </c>
      <c r="F350" s="480" t="s">
        <v>1186</v>
      </c>
      <c r="G350" s="480" t="s">
        <v>1187</v>
      </c>
      <c r="H350" s="465"/>
    </row>
    <row r="351">
      <c r="A351" s="463"/>
      <c r="B351" s="480">
        <v>365.0</v>
      </c>
      <c r="C351" s="481">
        <v>41934.0</v>
      </c>
      <c r="D351" s="480" t="s">
        <v>2040</v>
      </c>
      <c r="E351" s="480" t="s">
        <v>1500</v>
      </c>
      <c r="F351" s="480" t="s">
        <v>1501</v>
      </c>
      <c r="G351" s="480" t="s">
        <v>1502</v>
      </c>
      <c r="H351" s="465"/>
    </row>
    <row r="352">
      <c r="A352" s="463"/>
      <c r="B352" s="480">
        <v>366.0</v>
      </c>
      <c r="C352" s="481">
        <v>41937.0</v>
      </c>
      <c r="D352" s="480" t="s">
        <v>2041</v>
      </c>
      <c r="E352" s="480" t="s">
        <v>2042</v>
      </c>
      <c r="F352" s="480" t="s">
        <v>2043</v>
      </c>
      <c r="G352" s="480" t="s">
        <v>2044</v>
      </c>
      <c r="H352" s="465"/>
    </row>
    <row r="353">
      <c r="A353" s="463"/>
      <c r="B353" s="480">
        <v>367.0</v>
      </c>
      <c r="C353" s="481">
        <v>41904.0</v>
      </c>
      <c r="D353" s="480" t="s">
        <v>2045</v>
      </c>
      <c r="E353" s="480" t="s">
        <v>1283</v>
      </c>
      <c r="F353" s="480" t="s">
        <v>1284</v>
      </c>
      <c r="G353" s="480" t="s">
        <v>1285</v>
      </c>
      <c r="H353" s="465"/>
    </row>
    <row r="354">
      <c r="A354" s="463"/>
      <c r="B354" s="480">
        <v>368.0</v>
      </c>
      <c r="C354" s="481">
        <v>41995.0</v>
      </c>
      <c r="D354" s="480" t="s">
        <v>2046</v>
      </c>
      <c r="E354" s="480" t="s">
        <v>2047</v>
      </c>
      <c r="F354" s="480" t="s">
        <v>1212</v>
      </c>
      <c r="G354" s="480" t="s">
        <v>1213</v>
      </c>
      <c r="H354" s="465"/>
    </row>
    <row r="355">
      <c r="A355" s="463"/>
      <c r="B355" s="480">
        <v>370.0</v>
      </c>
      <c r="C355" s="481">
        <v>41970.0</v>
      </c>
      <c r="D355" s="480" t="s">
        <v>2048</v>
      </c>
      <c r="E355" s="480" t="s">
        <v>2049</v>
      </c>
      <c r="F355" s="480" t="s">
        <v>2050</v>
      </c>
      <c r="G355" s="480" t="s">
        <v>2051</v>
      </c>
      <c r="H355" s="465"/>
    </row>
    <row r="356">
      <c r="A356" s="463"/>
      <c r="B356" s="480">
        <v>371.0</v>
      </c>
      <c r="C356" s="481">
        <v>41992.0</v>
      </c>
      <c r="D356" s="484">
        <v>45569.0</v>
      </c>
      <c r="E356" s="480" t="s">
        <v>2052</v>
      </c>
      <c r="F356" s="480" t="s">
        <v>2053</v>
      </c>
      <c r="G356" s="480" t="s">
        <v>1449</v>
      </c>
      <c r="H356" s="482" t="s">
        <v>2054</v>
      </c>
    </row>
    <row r="357">
      <c r="A357" s="463"/>
      <c r="B357" s="480">
        <v>372.0</v>
      </c>
      <c r="C357" s="481">
        <v>41965.0</v>
      </c>
      <c r="D357" s="480" t="s">
        <v>2055</v>
      </c>
      <c r="E357" s="480" t="s">
        <v>2056</v>
      </c>
      <c r="F357" s="480" t="s">
        <v>2057</v>
      </c>
      <c r="G357" s="480" t="s">
        <v>2058</v>
      </c>
      <c r="H357" s="465"/>
    </row>
    <row r="358">
      <c r="A358" s="463"/>
      <c r="B358" s="480">
        <v>373.0</v>
      </c>
      <c r="C358" s="481">
        <v>41965.0</v>
      </c>
      <c r="D358" s="480" t="s">
        <v>2059</v>
      </c>
      <c r="E358" s="480" t="s">
        <v>2060</v>
      </c>
      <c r="F358" s="480" t="s">
        <v>2061</v>
      </c>
      <c r="G358" s="480" t="s">
        <v>2062</v>
      </c>
      <c r="H358" s="465"/>
    </row>
    <row r="359">
      <c r="A359" s="463"/>
      <c r="B359" s="480">
        <v>374.0</v>
      </c>
      <c r="C359" s="481">
        <v>41970.0</v>
      </c>
      <c r="D359" s="480" t="s">
        <v>2063</v>
      </c>
      <c r="E359" s="480" t="s">
        <v>2064</v>
      </c>
      <c r="F359" s="480" t="s">
        <v>2065</v>
      </c>
      <c r="G359" s="480" t="s">
        <v>2065</v>
      </c>
      <c r="H359" s="465"/>
    </row>
    <row r="360">
      <c r="A360" s="463"/>
      <c r="B360" s="480">
        <v>375.0</v>
      </c>
      <c r="C360" s="481">
        <v>41948.0</v>
      </c>
      <c r="D360" s="480" t="s">
        <v>2066</v>
      </c>
      <c r="E360" s="480" t="s">
        <v>2067</v>
      </c>
      <c r="F360" s="480" t="s">
        <v>2068</v>
      </c>
      <c r="G360" s="480" t="s">
        <v>2069</v>
      </c>
      <c r="H360" s="482" t="s">
        <v>2070</v>
      </c>
    </row>
    <row r="361">
      <c r="A361" s="463"/>
      <c r="B361" s="480">
        <v>376.0</v>
      </c>
      <c r="C361" s="481">
        <v>41968.0</v>
      </c>
      <c r="D361" s="480" t="s">
        <v>2071</v>
      </c>
      <c r="E361" s="480" t="s">
        <v>2072</v>
      </c>
      <c r="F361" s="480" t="s">
        <v>2073</v>
      </c>
      <c r="G361" s="480" t="s">
        <v>2074</v>
      </c>
      <c r="H361" s="482" t="s">
        <v>2075</v>
      </c>
    </row>
    <row r="362">
      <c r="A362" s="463"/>
      <c r="B362" s="480">
        <v>377.0</v>
      </c>
      <c r="C362" s="481">
        <v>41970.0</v>
      </c>
      <c r="D362" s="480" t="s">
        <v>2076</v>
      </c>
      <c r="E362" s="480" t="s">
        <v>2077</v>
      </c>
      <c r="F362" s="480" t="s">
        <v>1462</v>
      </c>
      <c r="G362" s="480" t="s">
        <v>2078</v>
      </c>
      <c r="H362" s="482" t="s">
        <v>2079</v>
      </c>
    </row>
    <row r="363">
      <c r="A363" s="463"/>
      <c r="B363" s="480">
        <v>378.0</v>
      </c>
      <c r="C363" s="481">
        <v>41968.0</v>
      </c>
      <c r="D363" s="480" t="s">
        <v>2080</v>
      </c>
      <c r="E363" s="480" t="s">
        <v>2081</v>
      </c>
      <c r="F363" s="480" t="s">
        <v>2082</v>
      </c>
      <c r="G363" s="480" t="s">
        <v>2083</v>
      </c>
      <c r="H363" s="465"/>
    </row>
    <row r="364">
      <c r="A364" s="463"/>
      <c r="B364" s="480">
        <v>379.0</v>
      </c>
      <c r="C364" s="481">
        <v>41965.0</v>
      </c>
      <c r="D364" s="480" t="s">
        <v>2084</v>
      </c>
      <c r="E364" s="480" t="s">
        <v>2085</v>
      </c>
      <c r="F364" s="480" t="s">
        <v>2086</v>
      </c>
      <c r="G364" s="480" t="s">
        <v>2087</v>
      </c>
      <c r="H364" s="465"/>
    </row>
    <row r="365">
      <c r="A365" s="463"/>
      <c r="B365" s="480">
        <v>380.0</v>
      </c>
      <c r="C365" s="481">
        <v>41956.0</v>
      </c>
      <c r="D365" s="480" t="s">
        <v>2088</v>
      </c>
      <c r="E365" s="480" t="s">
        <v>2089</v>
      </c>
      <c r="F365" s="480" t="s">
        <v>2090</v>
      </c>
      <c r="G365" s="480" t="s">
        <v>2091</v>
      </c>
      <c r="H365" s="482" t="s">
        <v>1241</v>
      </c>
    </row>
    <row r="366">
      <c r="A366" s="463"/>
      <c r="B366" s="480">
        <v>381.0</v>
      </c>
      <c r="C366" s="481">
        <v>41965.0</v>
      </c>
      <c r="D366" s="480" t="s">
        <v>2092</v>
      </c>
      <c r="E366" s="480" t="s">
        <v>2093</v>
      </c>
      <c r="F366" s="480" t="s">
        <v>2094</v>
      </c>
      <c r="G366" s="480" t="s">
        <v>2095</v>
      </c>
      <c r="H366" s="465"/>
    </row>
    <row r="367">
      <c r="A367" s="463"/>
      <c r="B367" s="480">
        <v>382.0</v>
      </c>
      <c r="C367" s="481">
        <v>41999.0</v>
      </c>
      <c r="D367" s="480" t="s">
        <v>2096</v>
      </c>
      <c r="E367" s="480" t="s">
        <v>2097</v>
      </c>
      <c r="F367" s="480" t="s">
        <v>2098</v>
      </c>
      <c r="G367" s="480" t="s">
        <v>2099</v>
      </c>
      <c r="H367" s="482" t="s">
        <v>929</v>
      </c>
    </row>
    <row r="368">
      <c r="A368" s="463"/>
      <c r="B368" s="480">
        <v>383.0</v>
      </c>
      <c r="C368" s="481">
        <v>41998.0</v>
      </c>
      <c r="D368" s="480" t="s">
        <v>2100</v>
      </c>
      <c r="E368" s="480" t="s">
        <v>1043</v>
      </c>
      <c r="F368" s="480" t="s">
        <v>1044</v>
      </c>
      <c r="G368" s="480" t="s">
        <v>1045</v>
      </c>
      <c r="H368" s="465"/>
    </row>
    <row r="369">
      <c r="A369" s="463"/>
      <c r="B369" s="480">
        <v>384.0</v>
      </c>
      <c r="C369" s="481">
        <v>41982.0</v>
      </c>
      <c r="D369" s="480" t="s">
        <v>2101</v>
      </c>
      <c r="E369" s="480" t="s">
        <v>1116</v>
      </c>
      <c r="F369" s="480" t="s">
        <v>1117</v>
      </c>
      <c r="G369" s="480" t="s">
        <v>1118</v>
      </c>
      <c r="H369" s="465"/>
    </row>
    <row r="370">
      <c r="A370" s="463"/>
      <c r="B370" s="480">
        <v>385.0</v>
      </c>
      <c r="C370" s="481">
        <v>41998.0</v>
      </c>
      <c r="D370" s="480" t="s">
        <v>2102</v>
      </c>
      <c r="E370" s="480" t="s">
        <v>1043</v>
      </c>
      <c r="F370" s="480" t="s">
        <v>1044</v>
      </c>
      <c r="G370" s="480" t="s">
        <v>1045</v>
      </c>
      <c r="H370" s="465"/>
    </row>
    <row r="371">
      <c r="A371" s="463"/>
      <c r="B371" s="480">
        <v>386.0</v>
      </c>
      <c r="C371" s="481">
        <v>41985.0</v>
      </c>
      <c r="D371" s="480" t="s">
        <v>2103</v>
      </c>
      <c r="E371" s="480" t="s">
        <v>2104</v>
      </c>
      <c r="F371" s="480" t="s">
        <v>2105</v>
      </c>
      <c r="G371" s="480" t="s">
        <v>2106</v>
      </c>
      <c r="H371" s="482" t="s">
        <v>1241</v>
      </c>
    </row>
    <row r="372">
      <c r="A372" s="463"/>
      <c r="B372" s="480">
        <v>387.0</v>
      </c>
      <c r="C372" s="481">
        <v>41985.0</v>
      </c>
      <c r="D372" s="480" t="s">
        <v>2107</v>
      </c>
      <c r="E372" s="480" t="s">
        <v>2108</v>
      </c>
      <c r="F372" s="480" t="s">
        <v>2109</v>
      </c>
      <c r="G372" s="480" t="s">
        <v>2110</v>
      </c>
      <c r="H372" s="482" t="s">
        <v>1241</v>
      </c>
    </row>
    <row r="373">
      <c r="A373" s="463"/>
      <c r="B373" s="480">
        <v>388.0</v>
      </c>
      <c r="C373" s="481">
        <v>41991.0</v>
      </c>
      <c r="D373" s="480" t="s">
        <v>2111</v>
      </c>
      <c r="E373" s="480" t="s">
        <v>2112</v>
      </c>
      <c r="F373" s="480" t="s">
        <v>2113</v>
      </c>
      <c r="G373" s="480" t="s">
        <v>2114</v>
      </c>
      <c r="H373" s="465"/>
    </row>
    <row r="374">
      <c r="A374" s="463"/>
      <c r="B374" s="480">
        <v>389.0</v>
      </c>
      <c r="C374" s="481">
        <v>41995.0</v>
      </c>
      <c r="D374" s="480" t="s">
        <v>2115</v>
      </c>
      <c r="E374" s="480" t="s">
        <v>2116</v>
      </c>
      <c r="F374" s="480" t="s">
        <v>2117</v>
      </c>
      <c r="G374" s="480" t="s">
        <v>2118</v>
      </c>
      <c r="H374" s="482" t="s">
        <v>2119</v>
      </c>
    </row>
    <row r="375">
      <c r="A375" s="463"/>
      <c r="B375" s="480">
        <v>390.0</v>
      </c>
      <c r="C375" s="481">
        <v>42020.0</v>
      </c>
      <c r="D375" s="480" t="s">
        <v>2120</v>
      </c>
      <c r="E375" s="480" t="s">
        <v>2121</v>
      </c>
      <c r="F375" s="480" t="s">
        <v>2122</v>
      </c>
      <c r="G375" s="480" t="s">
        <v>1978</v>
      </c>
      <c r="H375" s="465"/>
    </row>
    <row r="376">
      <c r="A376" s="463"/>
      <c r="B376" s="480">
        <v>391.0</v>
      </c>
      <c r="C376" s="481">
        <v>42020.0</v>
      </c>
      <c r="D376" s="480" t="s">
        <v>2123</v>
      </c>
      <c r="E376" s="480" t="s">
        <v>2121</v>
      </c>
      <c r="F376" s="480" t="s">
        <v>2122</v>
      </c>
      <c r="G376" s="480" t="s">
        <v>1978</v>
      </c>
      <c r="H376" s="465"/>
    </row>
    <row r="377">
      <c r="A377" s="463"/>
      <c r="B377" s="480">
        <v>392.0</v>
      </c>
      <c r="C377" s="481">
        <v>42026.0</v>
      </c>
      <c r="D377" s="480" t="s">
        <v>2124</v>
      </c>
      <c r="E377" s="480" t="s">
        <v>1292</v>
      </c>
      <c r="F377" s="480" t="s">
        <v>1293</v>
      </c>
      <c r="G377" s="480" t="s">
        <v>1294</v>
      </c>
      <c r="H377" s="465"/>
    </row>
    <row r="378">
      <c r="A378" s="463"/>
      <c r="B378" s="480">
        <v>393.0</v>
      </c>
      <c r="C378" s="481">
        <v>42026.0</v>
      </c>
      <c r="D378" s="480" t="s">
        <v>2125</v>
      </c>
      <c r="E378" s="480" t="s">
        <v>2126</v>
      </c>
      <c r="F378" s="480" t="s">
        <v>2127</v>
      </c>
      <c r="G378" s="480" t="s">
        <v>2128</v>
      </c>
      <c r="H378" s="465"/>
    </row>
    <row r="379">
      <c r="A379" s="463"/>
      <c r="B379" s="480">
        <v>394.0</v>
      </c>
      <c r="C379" s="481">
        <v>42041.0</v>
      </c>
      <c r="D379" s="480" t="s">
        <v>2129</v>
      </c>
      <c r="E379" s="480" t="s">
        <v>1120</v>
      </c>
      <c r="F379" s="480" t="s">
        <v>1121</v>
      </c>
      <c r="G379" s="480" t="s">
        <v>1122</v>
      </c>
      <c r="H379" s="465"/>
    </row>
    <row r="380">
      <c r="A380" s="463"/>
      <c r="B380" s="480">
        <v>395.0</v>
      </c>
      <c r="C380" s="481">
        <v>42048.0</v>
      </c>
      <c r="D380" s="480" t="s">
        <v>2130</v>
      </c>
      <c r="E380" s="480" t="s">
        <v>1853</v>
      </c>
      <c r="F380" s="480" t="s">
        <v>1854</v>
      </c>
      <c r="G380" s="480" t="s">
        <v>1855</v>
      </c>
      <c r="H380" s="465"/>
    </row>
    <row r="381">
      <c r="A381" s="463"/>
      <c r="B381" s="480">
        <v>396.0</v>
      </c>
      <c r="C381" s="481">
        <v>42048.0</v>
      </c>
      <c r="D381" s="480" t="s">
        <v>2131</v>
      </c>
      <c r="E381" s="480" t="s">
        <v>2132</v>
      </c>
      <c r="F381" s="480" t="s">
        <v>2133</v>
      </c>
      <c r="G381" s="480" t="s">
        <v>2134</v>
      </c>
      <c r="H381" s="465"/>
    </row>
    <row r="382">
      <c r="A382" s="463"/>
      <c r="B382" s="480">
        <v>397.0</v>
      </c>
      <c r="C382" s="481">
        <v>42055.0</v>
      </c>
      <c r="D382" s="480" t="s">
        <v>2135</v>
      </c>
      <c r="E382" s="480" t="s">
        <v>2136</v>
      </c>
      <c r="F382" s="480" t="s">
        <v>2137</v>
      </c>
      <c r="G382" s="480" t="s">
        <v>2138</v>
      </c>
      <c r="H382" s="465"/>
    </row>
    <row r="383">
      <c r="A383" s="463"/>
      <c r="B383" s="480">
        <v>398.0</v>
      </c>
      <c r="C383" s="481">
        <v>42055.0</v>
      </c>
      <c r="D383" s="480" t="s">
        <v>2139</v>
      </c>
      <c r="E383" s="480" t="s">
        <v>2140</v>
      </c>
      <c r="F383" s="480" t="s">
        <v>2141</v>
      </c>
      <c r="G383" s="480" t="s">
        <v>2142</v>
      </c>
      <c r="H383" s="465"/>
    </row>
    <row r="384">
      <c r="A384" s="463"/>
      <c r="B384" s="480">
        <v>399.0</v>
      </c>
      <c r="C384" s="481">
        <v>42056.0</v>
      </c>
      <c r="D384" s="480" t="s">
        <v>2143</v>
      </c>
      <c r="E384" s="480" t="s">
        <v>2144</v>
      </c>
      <c r="F384" s="480" t="s">
        <v>2145</v>
      </c>
      <c r="G384" s="480" t="s">
        <v>1449</v>
      </c>
      <c r="H384" s="465"/>
    </row>
    <row r="385">
      <c r="A385" s="463"/>
      <c r="B385" s="480">
        <v>400.0</v>
      </c>
      <c r="C385" s="481">
        <v>42060.0</v>
      </c>
      <c r="D385" s="480" t="s">
        <v>2146</v>
      </c>
      <c r="E385" s="480" t="s">
        <v>2147</v>
      </c>
      <c r="F385" s="480" t="s">
        <v>2148</v>
      </c>
      <c r="G385" s="480" t="s">
        <v>2149</v>
      </c>
      <c r="H385" s="465"/>
    </row>
    <row r="386">
      <c r="A386" s="463"/>
      <c r="B386" s="480">
        <v>401.0</v>
      </c>
      <c r="C386" s="481">
        <v>42060.0</v>
      </c>
      <c r="D386" s="480" t="s">
        <v>2150</v>
      </c>
      <c r="E386" s="480" t="s">
        <v>2151</v>
      </c>
      <c r="F386" s="480" t="s">
        <v>2152</v>
      </c>
      <c r="G386" s="480" t="s">
        <v>2153</v>
      </c>
      <c r="H386" s="465"/>
    </row>
    <row r="387">
      <c r="A387" s="463"/>
      <c r="B387" s="480">
        <v>402.0</v>
      </c>
      <c r="C387" s="481">
        <v>42076.0</v>
      </c>
      <c r="D387" s="480" t="s">
        <v>2154</v>
      </c>
      <c r="E387" s="480" t="s">
        <v>2155</v>
      </c>
      <c r="F387" s="480" t="s">
        <v>2156</v>
      </c>
      <c r="G387" s="480" t="s">
        <v>2157</v>
      </c>
      <c r="H387" s="465"/>
    </row>
    <row r="388">
      <c r="A388" s="463"/>
      <c r="B388" s="480">
        <v>403.0</v>
      </c>
      <c r="C388" s="481">
        <v>42076.0</v>
      </c>
      <c r="D388" s="480" t="s">
        <v>2158</v>
      </c>
      <c r="E388" s="480" t="s">
        <v>2159</v>
      </c>
      <c r="F388" s="480" t="s">
        <v>2160</v>
      </c>
      <c r="G388" s="480" t="s">
        <v>2161</v>
      </c>
      <c r="H388" s="465"/>
    </row>
    <row r="389">
      <c r="A389" s="463"/>
      <c r="B389" s="480">
        <v>404.0</v>
      </c>
      <c r="C389" s="481">
        <v>42083.0</v>
      </c>
      <c r="D389" s="480" t="s">
        <v>2162</v>
      </c>
      <c r="E389" s="480" t="s">
        <v>2163</v>
      </c>
      <c r="F389" s="480" t="s">
        <v>2164</v>
      </c>
      <c r="G389" s="480" t="s">
        <v>2165</v>
      </c>
      <c r="H389" s="482" t="s">
        <v>929</v>
      </c>
    </row>
    <row r="390">
      <c r="A390" s="463"/>
      <c r="B390" s="480">
        <v>405.0</v>
      </c>
      <c r="C390" s="481">
        <v>42083.0</v>
      </c>
      <c r="D390" s="480" t="s">
        <v>2166</v>
      </c>
      <c r="E390" s="480" t="s">
        <v>2167</v>
      </c>
      <c r="F390" s="480" t="s">
        <v>2168</v>
      </c>
      <c r="G390" s="480" t="s">
        <v>2169</v>
      </c>
      <c r="H390" s="465"/>
    </row>
    <row r="391">
      <c r="A391" s="463"/>
      <c r="B391" s="480">
        <v>406.0</v>
      </c>
      <c r="C391" s="481">
        <v>42083.0</v>
      </c>
      <c r="D391" s="480" t="s">
        <v>2170</v>
      </c>
      <c r="E391" s="480" t="s">
        <v>2171</v>
      </c>
      <c r="F391" s="480" t="s">
        <v>2172</v>
      </c>
      <c r="G391" s="480" t="s">
        <v>939</v>
      </c>
      <c r="H391" s="465"/>
    </row>
    <row r="392">
      <c r="A392" s="463"/>
      <c r="B392" s="480">
        <v>407.0</v>
      </c>
      <c r="C392" s="481">
        <v>42086.0</v>
      </c>
      <c r="D392" s="480" t="s">
        <v>2173</v>
      </c>
      <c r="E392" s="480" t="s">
        <v>2174</v>
      </c>
      <c r="F392" s="480" t="s">
        <v>2175</v>
      </c>
      <c r="G392" s="480" t="s">
        <v>2176</v>
      </c>
      <c r="H392" s="465"/>
    </row>
    <row r="393">
      <c r="A393" s="463"/>
      <c r="B393" s="480">
        <v>408.0</v>
      </c>
      <c r="C393" s="481">
        <v>42083.0</v>
      </c>
      <c r="D393" s="480" t="s">
        <v>2177</v>
      </c>
      <c r="E393" s="480" t="s">
        <v>2178</v>
      </c>
      <c r="F393" s="480" t="s">
        <v>2179</v>
      </c>
      <c r="G393" s="480" t="s">
        <v>2180</v>
      </c>
      <c r="H393" s="465"/>
    </row>
    <row r="394">
      <c r="A394" s="463"/>
      <c r="B394" s="480">
        <v>409.0</v>
      </c>
      <c r="C394" s="481">
        <v>42088.0</v>
      </c>
      <c r="D394" s="480" t="s">
        <v>2181</v>
      </c>
      <c r="E394" s="480" t="s">
        <v>976</v>
      </c>
      <c r="F394" s="480" t="s">
        <v>2182</v>
      </c>
      <c r="G394" s="480" t="s">
        <v>2183</v>
      </c>
      <c r="H394" s="482" t="s">
        <v>2184</v>
      </c>
    </row>
    <row r="395">
      <c r="A395" s="463"/>
      <c r="B395" s="480">
        <v>410.0</v>
      </c>
      <c r="C395" s="481">
        <v>42088.0</v>
      </c>
      <c r="D395" s="480" t="s">
        <v>2185</v>
      </c>
      <c r="E395" s="480" t="s">
        <v>2186</v>
      </c>
      <c r="F395" s="480" t="s">
        <v>2187</v>
      </c>
      <c r="G395" s="480" t="s">
        <v>2188</v>
      </c>
      <c r="H395" s="465"/>
    </row>
    <row r="396">
      <c r="A396" s="463"/>
      <c r="B396" s="480">
        <v>411.0</v>
      </c>
      <c r="C396" s="481">
        <v>42104.0</v>
      </c>
      <c r="D396" s="480" t="s">
        <v>2189</v>
      </c>
      <c r="E396" s="480" t="s">
        <v>2190</v>
      </c>
      <c r="F396" s="480" t="s">
        <v>2191</v>
      </c>
      <c r="G396" s="480" t="s">
        <v>2192</v>
      </c>
      <c r="H396" s="465"/>
    </row>
    <row r="397">
      <c r="A397" s="463"/>
      <c r="B397" s="480">
        <v>412.0</v>
      </c>
      <c r="C397" s="481">
        <v>42116.0</v>
      </c>
      <c r="D397" s="480" t="s">
        <v>2193</v>
      </c>
      <c r="E397" s="480" t="s">
        <v>1447</v>
      </c>
      <c r="F397" s="480" t="s">
        <v>1448</v>
      </c>
      <c r="G397" s="480" t="s">
        <v>1449</v>
      </c>
      <c r="H397" s="465"/>
    </row>
    <row r="398">
      <c r="A398" s="463"/>
      <c r="B398" s="480">
        <v>413.0</v>
      </c>
      <c r="C398" s="481">
        <v>42132.0</v>
      </c>
      <c r="D398" s="480" t="s">
        <v>2194</v>
      </c>
      <c r="E398" s="480" t="s">
        <v>2013</v>
      </c>
      <c r="F398" s="480" t="s">
        <v>2014</v>
      </c>
      <c r="G398" s="480" t="s">
        <v>1795</v>
      </c>
      <c r="H398" s="465"/>
    </row>
    <row r="399">
      <c r="A399" s="463"/>
      <c r="B399" s="480">
        <v>414.0</v>
      </c>
      <c r="C399" s="481">
        <v>42132.0</v>
      </c>
      <c r="D399" s="480" t="s">
        <v>2195</v>
      </c>
      <c r="E399" s="480" t="s">
        <v>2013</v>
      </c>
      <c r="F399" s="480" t="s">
        <v>2014</v>
      </c>
      <c r="G399" s="480" t="s">
        <v>1795</v>
      </c>
      <c r="H399" s="465"/>
    </row>
    <row r="400">
      <c r="A400" s="463"/>
      <c r="B400" s="480">
        <v>417.0</v>
      </c>
      <c r="C400" s="481">
        <v>42409.0</v>
      </c>
      <c r="D400" s="480" t="s">
        <v>2196</v>
      </c>
      <c r="E400" s="480" t="s">
        <v>2197</v>
      </c>
      <c r="F400" s="480" t="s">
        <v>2198</v>
      </c>
      <c r="G400" s="480" t="s">
        <v>2199</v>
      </c>
      <c r="H400" s="465"/>
    </row>
    <row r="401">
      <c r="A401" s="463"/>
      <c r="B401" s="480">
        <v>418.0</v>
      </c>
      <c r="C401" s="481">
        <v>42328.0</v>
      </c>
      <c r="D401" s="480" t="s">
        <v>2200</v>
      </c>
      <c r="E401" s="480" t="s">
        <v>2201</v>
      </c>
      <c r="F401" s="480" t="s">
        <v>2202</v>
      </c>
      <c r="G401" s="480" t="s">
        <v>1441</v>
      </c>
      <c r="H401" s="465"/>
    </row>
    <row r="402">
      <c r="A402" s="463"/>
      <c r="B402" s="480">
        <v>419.0</v>
      </c>
      <c r="C402" s="481">
        <v>42482.0</v>
      </c>
      <c r="D402" s="480" t="s">
        <v>2203</v>
      </c>
      <c r="E402" s="480" t="s">
        <v>2204</v>
      </c>
      <c r="F402" s="480" t="s">
        <v>2205</v>
      </c>
      <c r="G402" s="480" t="s">
        <v>2206</v>
      </c>
      <c r="H402" s="465"/>
    </row>
    <row r="403">
      <c r="A403" s="463"/>
      <c r="B403" s="480">
        <v>421.0</v>
      </c>
      <c r="C403" s="481">
        <v>42116.0</v>
      </c>
      <c r="D403" s="480" t="s">
        <v>2207</v>
      </c>
      <c r="E403" s="480" t="s">
        <v>2208</v>
      </c>
      <c r="F403" s="480" t="s">
        <v>2209</v>
      </c>
      <c r="G403" s="480" t="s">
        <v>2210</v>
      </c>
      <c r="H403" s="465"/>
    </row>
    <row r="404">
      <c r="A404" s="463"/>
      <c r="B404" s="480">
        <v>422.0</v>
      </c>
      <c r="C404" s="481">
        <v>42116.0</v>
      </c>
      <c r="D404" s="480" t="s">
        <v>2211</v>
      </c>
      <c r="E404" s="480" t="s">
        <v>2212</v>
      </c>
      <c r="F404" s="480" t="s">
        <v>2213</v>
      </c>
      <c r="G404" s="480" t="s">
        <v>2214</v>
      </c>
      <c r="H404" s="482" t="s">
        <v>929</v>
      </c>
    </row>
    <row r="405">
      <c r="A405" s="463"/>
      <c r="B405" s="480">
        <v>423.0</v>
      </c>
      <c r="C405" s="481">
        <v>42139.0</v>
      </c>
      <c r="D405" s="480" t="s">
        <v>2215</v>
      </c>
      <c r="E405" s="480" t="s">
        <v>2216</v>
      </c>
      <c r="F405" s="480" t="s">
        <v>2217</v>
      </c>
      <c r="G405" s="480" t="s">
        <v>2218</v>
      </c>
      <c r="H405" s="482" t="s">
        <v>1241</v>
      </c>
    </row>
    <row r="406">
      <c r="A406" s="463"/>
      <c r="B406" s="480">
        <v>424.0</v>
      </c>
      <c r="C406" s="481">
        <v>42144.0</v>
      </c>
      <c r="D406" s="480" t="s">
        <v>2219</v>
      </c>
      <c r="E406" s="480" t="s">
        <v>2220</v>
      </c>
      <c r="F406" s="480" t="s">
        <v>2221</v>
      </c>
      <c r="G406" s="480" t="s">
        <v>2222</v>
      </c>
      <c r="H406" s="465"/>
    </row>
    <row r="407">
      <c r="A407" s="463"/>
      <c r="B407" s="480">
        <v>425.0</v>
      </c>
      <c r="C407" s="481">
        <v>42146.0</v>
      </c>
      <c r="D407" s="480" t="s">
        <v>2223</v>
      </c>
      <c r="E407" s="480" t="s">
        <v>2224</v>
      </c>
      <c r="F407" s="480" t="s">
        <v>2225</v>
      </c>
      <c r="G407" s="480" t="s">
        <v>2226</v>
      </c>
      <c r="H407" s="465"/>
    </row>
    <row r="408">
      <c r="A408" s="463"/>
      <c r="B408" s="480">
        <v>426.0</v>
      </c>
      <c r="C408" s="481">
        <v>42146.0</v>
      </c>
      <c r="D408" s="480" t="s">
        <v>2227</v>
      </c>
      <c r="E408" s="480" t="s">
        <v>2228</v>
      </c>
      <c r="F408" s="480" t="s">
        <v>2229</v>
      </c>
      <c r="G408" s="480" t="s">
        <v>2230</v>
      </c>
      <c r="H408" s="465"/>
    </row>
    <row r="409">
      <c r="A409" s="463"/>
      <c r="B409" s="480">
        <v>427.0</v>
      </c>
      <c r="C409" s="481">
        <v>42146.0</v>
      </c>
      <c r="D409" s="480" t="s">
        <v>2231</v>
      </c>
      <c r="E409" s="480" t="s">
        <v>2232</v>
      </c>
      <c r="F409" s="480" t="s">
        <v>2233</v>
      </c>
      <c r="G409" s="480" t="s">
        <v>2234</v>
      </c>
      <c r="H409" s="465"/>
    </row>
    <row r="410">
      <c r="A410" s="463"/>
      <c r="B410" s="480">
        <v>428.0</v>
      </c>
      <c r="C410" s="481">
        <v>42146.0</v>
      </c>
      <c r="D410" s="480" t="s">
        <v>2235</v>
      </c>
      <c r="E410" s="480" t="s">
        <v>2236</v>
      </c>
      <c r="F410" s="480" t="s">
        <v>2237</v>
      </c>
      <c r="G410" s="480" t="s">
        <v>2238</v>
      </c>
      <c r="H410" s="465"/>
    </row>
    <row r="411">
      <c r="A411" s="463"/>
      <c r="B411" s="480">
        <v>429.0</v>
      </c>
      <c r="C411" s="481">
        <v>42146.0</v>
      </c>
      <c r="D411" s="480" t="s">
        <v>2239</v>
      </c>
      <c r="E411" s="480" t="s">
        <v>2240</v>
      </c>
      <c r="F411" s="480" t="s">
        <v>2241</v>
      </c>
      <c r="G411" s="480" t="s">
        <v>2242</v>
      </c>
      <c r="H411" s="465"/>
    </row>
    <row r="412">
      <c r="A412" s="463"/>
      <c r="B412" s="480">
        <v>430.0</v>
      </c>
      <c r="C412" s="481">
        <v>42180.0</v>
      </c>
      <c r="D412" s="480" t="s">
        <v>2243</v>
      </c>
      <c r="E412" s="480" t="s">
        <v>2244</v>
      </c>
      <c r="F412" s="480" t="s">
        <v>2245</v>
      </c>
      <c r="G412" s="480" t="s">
        <v>2246</v>
      </c>
      <c r="H412" s="465"/>
    </row>
    <row r="413">
      <c r="A413" s="463"/>
      <c r="B413" s="480">
        <v>431.0</v>
      </c>
      <c r="C413" s="481">
        <v>42180.0</v>
      </c>
      <c r="D413" s="480" t="s">
        <v>2247</v>
      </c>
      <c r="E413" s="480" t="s">
        <v>2248</v>
      </c>
      <c r="F413" s="480" t="s">
        <v>2249</v>
      </c>
      <c r="G413" s="480" t="s">
        <v>2250</v>
      </c>
      <c r="H413" s="482" t="s">
        <v>1241</v>
      </c>
    </row>
    <row r="414">
      <c r="A414" s="463"/>
      <c r="B414" s="480">
        <v>432.0</v>
      </c>
      <c r="C414" s="481">
        <v>42180.0</v>
      </c>
      <c r="D414" s="480" t="s">
        <v>2251</v>
      </c>
      <c r="E414" s="480" t="s">
        <v>1043</v>
      </c>
      <c r="F414" s="480" t="s">
        <v>1044</v>
      </c>
      <c r="G414" s="480" t="s">
        <v>1045</v>
      </c>
      <c r="H414" s="465"/>
    </row>
    <row r="415">
      <c r="A415" s="463"/>
      <c r="B415" s="480">
        <v>433.0</v>
      </c>
      <c r="C415" s="481">
        <v>42210.0</v>
      </c>
      <c r="D415" s="480" t="s">
        <v>2252</v>
      </c>
      <c r="E415" s="480" t="s">
        <v>1043</v>
      </c>
      <c r="F415" s="480" t="s">
        <v>1044</v>
      </c>
      <c r="G415" s="480" t="s">
        <v>1045</v>
      </c>
      <c r="H415" s="465"/>
    </row>
    <row r="416">
      <c r="A416" s="463"/>
      <c r="B416" s="480">
        <v>434.0</v>
      </c>
      <c r="C416" s="481">
        <v>42207.0</v>
      </c>
      <c r="D416" s="480" t="s">
        <v>2253</v>
      </c>
      <c r="E416" s="480" t="s">
        <v>2254</v>
      </c>
      <c r="F416" s="480" t="s">
        <v>2255</v>
      </c>
      <c r="G416" s="480" t="s">
        <v>1531</v>
      </c>
      <c r="H416" s="465"/>
    </row>
    <row r="417">
      <c r="A417" s="463"/>
      <c r="B417" s="480">
        <v>435.0</v>
      </c>
      <c r="C417" s="481">
        <v>42182.0</v>
      </c>
      <c r="D417" s="480" t="s">
        <v>2256</v>
      </c>
      <c r="E417" s="480" t="s">
        <v>2257</v>
      </c>
      <c r="F417" s="480" t="s">
        <v>2258</v>
      </c>
      <c r="G417" s="480" t="s">
        <v>2259</v>
      </c>
      <c r="H417" s="465"/>
    </row>
    <row r="418">
      <c r="A418" s="463"/>
      <c r="B418" s="480">
        <v>436.0</v>
      </c>
      <c r="C418" s="481">
        <v>42177.0</v>
      </c>
      <c r="D418" s="480" t="s">
        <v>2260</v>
      </c>
      <c r="E418" s="480" t="s">
        <v>2261</v>
      </c>
      <c r="F418" s="480" t="s">
        <v>2262</v>
      </c>
      <c r="G418" s="480" t="s">
        <v>2263</v>
      </c>
      <c r="H418" s="465"/>
    </row>
    <row r="419">
      <c r="A419" s="463"/>
      <c r="B419" s="480">
        <v>437.0</v>
      </c>
      <c r="C419" s="481">
        <v>42272.0</v>
      </c>
      <c r="D419" s="480" t="s">
        <v>2264</v>
      </c>
      <c r="E419" s="480" t="s">
        <v>1582</v>
      </c>
      <c r="F419" s="480" t="s">
        <v>1583</v>
      </c>
      <c r="G419" s="480" t="s">
        <v>1583</v>
      </c>
      <c r="H419" s="465"/>
    </row>
    <row r="420">
      <c r="A420" s="463"/>
      <c r="B420" s="480">
        <v>438.0</v>
      </c>
      <c r="C420" s="481">
        <v>42215.0</v>
      </c>
      <c r="D420" s="480" t="s">
        <v>2265</v>
      </c>
      <c r="E420" s="480" t="s">
        <v>1004</v>
      </c>
      <c r="F420" s="480" t="s">
        <v>1005</v>
      </c>
      <c r="G420" s="480" t="s">
        <v>947</v>
      </c>
      <c r="H420" s="465"/>
    </row>
    <row r="421">
      <c r="A421" s="463"/>
      <c r="B421" s="480">
        <v>439.0</v>
      </c>
      <c r="C421" s="481">
        <v>42207.0</v>
      </c>
      <c r="D421" s="480" t="s">
        <v>2266</v>
      </c>
      <c r="E421" s="480" t="s">
        <v>2267</v>
      </c>
      <c r="F421" s="480" t="s">
        <v>2268</v>
      </c>
      <c r="G421" s="480" t="s">
        <v>2269</v>
      </c>
      <c r="H421" s="465"/>
    </row>
    <row r="422">
      <c r="A422" s="463"/>
      <c r="B422" s="480">
        <v>440.0</v>
      </c>
      <c r="C422" s="481">
        <v>42251.0</v>
      </c>
      <c r="D422" s="480" t="s">
        <v>2270</v>
      </c>
      <c r="E422" s="480" t="s">
        <v>2271</v>
      </c>
      <c r="F422" s="480" t="s">
        <v>2272</v>
      </c>
      <c r="G422" s="480" t="s">
        <v>2273</v>
      </c>
      <c r="H422" s="482" t="s">
        <v>1017</v>
      </c>
    </row>
    <row r="423">
      <c r="A423" s="463"/>
      <c r="B423" s="480">
        <v>441.0</v>
      </c>
      <c r="C423" s="481">
        <v>42329.0</v>
      </c>
      <c r="D423" s="480" t="s">
        <v>2274</v>
      </c>
      <c r="E423" s="480" t="s">
        <v>2275</v>
      </c>
      <c r="F423" s="480" t="s">
        <v>2276</v>
      </c>
      <c r="G423" s="480" t="s">
        <v>2277</v>
      </c>
      <c r="H423" s="482" t="s">
        <v>934</v>
      </c>
    </row>
    <row r="424">
      <c r="A424" s="463"/>
      <c r="B424" s="480">
        <v>442.0</v>
      </c>
      <c r="C424" s="481">
        <v>42364.0</v>
      </c>
      <c r="D424" s="480" t="s">
        <v>2278</v>
      </c>
      <c r="E424" s="480" t="s">
        <v>2279</v>
      </c>
      <c r="F424" s="480" t="s">
        <v>1946</v>
      </c>
      <c r="G424" s="480" t="s">
        <v>2280</v>
      </c>
      <c r="H424" s="465"/>
    </row>
    <row r="425">
      <c r="A425" s="463"/>
      <c r="B425" s="480">
        <v>443.0</v>
      </c>
      <c r="C425" s="481">
        <v>42517.0</v>
      </c>
      <c r="D425" s="480" t="s">
        <v>2281</v>
      </c>
      <c r="E425" s="480" t="s">
        <v>1367</v>
      </c>
      <c r="F425" s="480" t="s">
        <v>1368</v>
      </c>
      <c r="G425" s="480" t="s">
        <v>1369</v>
      </c>
      <c r="H425" s="465"/>
    </row>
    <row r="426">
      <c r="A426" s="463"/>
      <c r="B426" s="480">
        <v>444.0</v>
      </c>
      <c r="C426" s="481">
        <v>42548.0</v>
      </c>
      <c r="D426" s="480" t="s">
        <v>2282</v>
      </c>
      <c r="E426" s="480" t="s">
        <v>1552</v>
      </c>
      <c r="F426" s="480" t="s">
        <v>1553</v>
      </c>
      <c r="G426" s="480" t="s">
        <v>1554</v>
      </c>
      <c r="H426" s="465"/>
    </row>
    <row r="427">
      <c r="A427" s="463"/>
      <c r="B427" s="480">
        <v>445.0</v>
      </c>
      <c r="C427" s="481">
        <v>42273.0</v>
      </c>
      <c r="D427" s="480" t="s">
        <v>2283</v>
      </c>
      <c r="E427" s="480" t="s">
        <v>2284</v>
      </c>
      <c r="F427" s="480" t="s">
        <v>2285</v>
      </c>
      <c r="G427" s="480" t="s">
        <v>2286</v>
      </c>
      <c r="H427" s="465"/>
    </row>
    <row r="428">
      <c r="A428" s="463"/>
      <c r="B428" s="480">
        <v>446.0</v>
      </c>
      <c r="C428" s="481">
        <v>42238.0</v>
      </c>
      <c r="D428" s="480" t="s">
        <v>2287</v>
      </c>
      <c r="E428" s="480" t="s">
        <v>1207</v>
      </c>
      <c r="F428" s="480" t="s">
        <v>1208</v>
      </c>
      <c r="G428" s="480" t="s">
        <v>1209</v>
      </c>
      <c r="H428" s="465"/>
    </row>
    <row r="429">
      <c r="A429" s="463"/>
      <c r="B429" s="480">
        <v>447.0</v>
      </c>
      <c r="C429" s="481">
        <v>42238.0</v>
      </c>
      <c r="D429" s="480" t="s">
        <v>2288</v>
      </c>
      <c r="E429" s="480" t="s">
        <v>2289</v>
      </c>
      <c r="F429" s="480" t="s">
        <v>2290</v>
      </c>
      <c r="G429" s="480" t="s">
        <v>2291</v>
      </c>
      <c r="H429" s="482" t="s">
        <v>1131</v>
      </c>
    </row>
    <row r="430">
      <c r="A430" s="463"/>
      <c r="B430" s="480">
        <v>448.0</v>
      </c>
      <c r="C430" s="481">
        <v>42241.0</v>
      </c>
      <c r="D430" s="480" t="s">
        <v>2292</v>
      </c>
      <c r="E430" s="480" t="s">
        <v>2293</v>
      </c>
      <c r="F430" s="480" t="s">
        <v>2294</v>
      </c>
      <c r="G430" s="480" t="s">
        <v>2295</v>
      </c>
      <c r="H430" s="465"/>
    </row>
    <row r="431">
      <c r="A431" s="463"/>
      <c r="B431" s="480">
        <v>449.0</v>
      </c>
      <c r="C431" s="481">
        <v>42241.0</v>
      </c>
      <c r="D431" s="480" t="s">
        <v>2296</v>
      </c>
      <c r="E431" s="480" t="s">
        <v>2297</v>
      </c>
      <c r="F431" s="480" t="s">
        <v>2298</v>
      </c>
      <c r="G431" s="480" t="s">
        <v>1249</v>
      </c>
      <c r="H431" s="465"/>
    </row>
    <row r="432">
      <c r="A432" s="463"/>
      <c r="B432" s="480">
        <v>450.0</v>
      </c>
      <c r="C432" s="481">
        <v>42243.0</v>
      </c>
      <c r="D432" s="480" t="s">
        <v>2299</v>
      </c>
      <c r="E432" s="485"/>
      <c r="F432" s="480" t="s">
        <v>2300</v>
      </c>
      <c r="G432" s="480" t="s">
        <v>2300</v>
      </c>
      <c r="H432" s="482" t="s">
        <v>929</v>
      </c>
    </row>
    <row r="433">
      <c r="A433" s="463"/>
      <c r="B433" s="480">
        <v>451.0</v>
      </c>
      <c r="C433" s="481">
        <v>42272.0</v>
      </c>
      <c r="D433" s="480" t="s">
        <v>2301</v>
      </c>
      <c r="E433" s="480" t="s">
        <v>2302</v>
      </c>
      <c r="F433" s="480" t="s">
        <v>2303</v>
      </c>
      <c r="G433" s="480" t="s">
        <v>2303</v>
      </c>
      <c r="H433" s="465"/>
    </row>
    <row r="434">
      <c r="A434" s="463"/>
      <c r="B434" s="480">
        <v>452.0</v>
      </c>
      <c r="C434" s="481">
        <v>42451.0</v>
      </c>
      <c r="D434" s="480" t="s">
        <v>2304</v>
      </c>
      <c r="E434" s="480" t="s">
        <v>953</v>
      </c>
      <c r="F434" s="480" t="s">
        <v>954</v>
      </c>
      <c r="G434" s="480" t="s">
        <v>955</v>
      </c>
      <c r="H434" s="465"/>
    </row>
    <row r="435">
      <c r="A435" s="463"/>
      <c r="B435" s="480">
        <v>453.0</v>
      </c>
      <c r="C435" s="481">
        <v>42441.0</v>
      </c>
      <c r="D435" s="480" t="s">
        <v>2305</v>
      </c>
      <c r="E435" s="480" t="s">
        <v>1509</v>
      </c>
      <c r="F435" s="480" t="s">
        <v>1510</v>
      </c>
      <c r="G435" s="480" t="s">
        <v>1511</v>
      </c>
      <c r="H435" s="465"/>
    </row>
    <row r="436">
      <c r="A436" s="463"/>
      <c r="B436" s="483" t="s">
        <v>2306</v>
      </c>
      <c r="C436" s="481">
        <v>42767.0</v>
      </c>
      <c r="D436" s="480" t="s">
        <v>2307</v>
      </c>
      <c r="E436" s="480" t="s">
        <v>2308</v>
      </c>
      <c r="F436" s="480" t="s">
        <v>1591</v>
      </c>
      <c r="G436" s="480" t="s">
        <v>1562</v>
      </c>
      <c r="H436" s="465"/>
    </row>
    <row r="437">
      <c r="A437" s="463"/>
      <c r="B437" s="480">
        <v>455.0</v>
      </c>
      <c r="C437" s="481">
        <v>42515.0</v>
      </c>
      <c r="D437" s="480" t="s">
        <v>2309</v>
      </c>
      <c r="E437" s="480" t="s">
        <v>1331</v>
      </c>
      <c r="F437" s="480" t="s">
        <v>1332</v>
      </c>
      <c r="G437" s="480" t="s">
        <v>1333</v>
      </c>
      <c r="H437" s="465"/>
    </row>
    <row r="438">
      <c r="A438" s="463"/>
      <c r="B438" s="480">
        <v>456.0</v>
      </c>
      <c r="C438" s="481">
        <v>42301.0</v>
      </c>
      <c r="D438" s="480" t="s">
        <v>2310</v>
      </c>
      <c r="E438" s="480" t="s">
        <v>2311</v>
      </c>
      <c r="F438" s="480" t="s">
        <v>2312</v>
      </c>
      <c r="G438" s="480" t="s">
        <v>2313</v>
      </c>
      <c r="H438" s="465"/>
    </row>
    <row r="439">
      <c r="A439" s="463"/>
      <c r="B439" s="480">
        <v>457.0</v>
      </c>
      <c r="C439" s="481">
        <v>42448.0</v>
      </c>
      <c r="D439" s="480" t="s">
        <v>2314</v>
      </c>
      <c r="E439" s="480" t="s">
        <v>2315</v>
      </c>
      <c r="F439" s="480" t="s">
        <v>2316</v>
      </c>
      <c r="G439" s="480" t="s">
        <v>2317</v>
      </c>
      <c r="H439" s="465"/>
    </row>
    <row r="440">
      <c r="A440" s="463"/>
      <c r="B440" s="480">
        <v>458.0</v>
      </c>
      <c r="C440" s="481">
        <v>42360.0</v>
      </c>
      <c r="D440" s="480" t="s">
        <v>2318</v>
      </c>
      <c r="E440" s="480" t="s">
        <v>2319</v>
      </c>
      <c r="F440" s="480" t="s">
        <v>2320</v>
      </c>
      <c r="G440" s="480" t="s">
        <v>2321</v>
      </c>
      <c r="H440" s="465"/>
    </row>
    <row r="441">
      <c r="A441" s="463"/>
      <c r="B441" s="480">
        <v>459.0</v>
      </c>
      <c r="C441" s="481">
        <v>42299.0</v>
      </c>
      <c r="D441" s="480" t="s">
        <v>2322</v>
      </c>
      <c r="E441" s="480" t="s">
        <v>1099</v>
      </c>
      <c r="F441" s="480" t="s">
        <v>1100</v>
      </c>
      <c r="G441" s="480" t="s">
        <v>1101</v>
      </c>
      <c r="H441" s="465"/>
    </row>
    <row r="442">
      <c r="A442" s="463"/>
      <c r="B442" s="480">
        <v>460.0</v>
      </c>
      <c r="C442" s="481">
        <v>42266.0</v>
      </c>
      <c r="D442" s="480" t="s">
        <v>2323</v>
      </c>
      <c r="E442" s="485"/>
      <c r="F442" s="480" t="s">
        <v>2324</v>
      </c>
      <c r="G442" s="480" t="s">
        <v>2214</v>
      </c>
      <c r="H442" s="465"/>
    </row>
    <row r="443">
      <c r="A443" s="463"/>
      <c r="B443" s="480">
        <v>461.0</v>
      </c>
      <c r="C443" s="481">
        <v>42266.0</v>
      </c>
      <c r="D443" s="480" t="s">
        <v>2325</v>
      </c>
      <c r="E443" s="480" t="s">
        <v>2326</v>
      </c>
      <c r="F443" s="480" t="s">
        <v>2327</v>
      </c>
      <c r="G443" s="480" t="s">
        <v>2328</v>
      </c>
      <c r="H443" s="465"/>
    </row>
    <row r="444">
      <c r="A444" s="463"/>
      <c r="B444" s="480">
        <v>462.0</v>
      </c>
      <c r="C444" s="481">
        <v>42299.0</v>
      </c>
      <c r="D444" s="480" t="s">
        <v>2329</v>
      </c>
      <c r="E444" s="480" t="s">
        <v>1270</v>
      </c>
      <c r="F444" s="480" t="s">
        <v>1271</v>
      </c>
      <c r="G444" s="480" t="s">
        <v>1272</v>
      </c>
      <c r="H444" s="465"/>
    </row>
    <row r="445">
      <c r="A445" s="463"/>
      <c r="B445" s="480">
        <v>463.0</v>
      </c>
      <c r="C445" s="481">
        <v>42391.0</v>
      </c>
      <c r="D445" s="480" t="s">
        <v>2330</v>
      </c>
      <c r="E445" s="480" t="s">
        <v>2331</v>
      </c>
      <c r="F445" s="480" t="s">
        <v>2332</v>
      </c>
      <c r="G445" s="480" t="s">
        <v>2333</v>
      </c>
      <c r="H445" s="465"/>
    </row>
    <row r="446">
      <c r="A446" s="463"/>
      <c r="B446" s="480">
        <v>464.0</v>
      </c>
      <c r="C446" s="481">
        <v>42299.0</v>
      </c>
      <c r="D446" s="480" t="s">
        <v>2334</v>
      </c>
      <c r="E446" s="480" t="s">
        <v>2335</v>
      </c>
      <c r="F446" s="480" t="s">
        <v>2336</v>
      </c>
      <c r="G446" s="480" t="s">
        <v>1795</v>
      </c>
      <c r="H446" s="465"/>
    </row>
    <row r="447">
      <c r="A447" s="463"/>
      <c r="B447" s="480">
        <v>465.0</v>
      </c>
      <c r="C447" s="481">
        <v>42299.0</v>
      </c>
      <c r="D447" s="480" t="s">
        <v>2337</v>
      </c>
      <c r="E447" s="480" t="s">
        <v>1266</v>
      </c>
      <c r="F447" s="480" t="s">
        <v>1267</v>
      </c>
      <c r="G447" s="480" t="s">
        <v>1268</v>
      </c>
      <c r="H447" s="465"/>
    </row>
    <row r="448">
      <c r="A448" s="463"/>
      <c r="B448" s="480">
        <v>466.0</v>
      </c>
      <c r="C448" s="481">
        <v>42299.0</v>
      </c>
      <c r="D448" s="480" t="s">
        <v>2338</v>
      </c>
      <c r="E448" s="480" t="s">
        <v>1413</v>
      </c>
      <c r="F448" s="480" t="s">
        <v>1414</v>
      </c>
      <c r="G448" s="480" t="s">
        <v>1415</v>
      </c>
      <c r="H448" s="465"/>
    </row>
    <row r="449">
      <c r="A449" s="463"/>
      <c r="B449" s="480">
        <v>467.0</v>
      </c>
      <c r="C449" s="481">
        <v>42299.0</v>
      </c>
      <c r="D449" s="480" t="s">
        <v>2339</v>
      </c>
      <c r="E449" s="480" t="s">
        <v>2340</v>
      </c>
      <c r="F449" s="480" t="s">
        <v>2341</v>
      </c>
      <c r="G449" s="480" t="s">
        <v>2342</v>
      </c>
      <c r="H449" s="465"/>
    </row>
    <row r="450">
      <c r="A450" s="463"/>
      <c r="B450" s="480">
        <v>468.0</v>
      </c>
      <c r="C450" s="481">
        <v>42299.0</v>
      </c>
      <c r="D450" s="480" t="s">
        <v>2343</v>
      </c>
      <c r="E450" s="480" t="s">
        <v>1658</v>
      </c>
      <c r="F450" s="480" t="s">
        <v>1659</v>
      </c>
      <c r="G450" s="480" t="s">
        <v>1294</v>
      </c>
      <c r="H450" s="482" t="s">
        <v>1660</v>
      </c>
    </row>
    <row r="451">
      <c r="A451" s="463"/>
      <c r="B451" s="480">
        <v>469.0</v>
      </c>
      <c r="C451" s="481">
        <v>42301.0</v>
      </c>
      <c r="D451" s="480" t="s">
        <v>2344</v>
      </c>
      <c r="E451" s="480" t="s">
        <v>2345</v>
      </c>
      <c r="F451" s="480" t="s">
        <v>2346</v>
      </c>
      <c r="G451" s="480" t="s">
        <v>2347</v>
      </c>
      <c r="H451" s="465"/>
    </row>
    <row r="452">
      <c r="A452" s="463"/>
      <c r="B452" s="480">
        <v>470.0</v>
      </c>
      <c r="C452" s="481">
        <v>42301.0</v>
      </c>
      <c r="D452" s="480" t="s">
        <v>2348</v>
      </c>
      <c r="E452" s="480" t="s">
        <v>2349</v>
      </c>
      <c r="F452" s="480" t="s">
        <v>2350</v>
      </c>
      <c r="G452" s="480" t="s">
        <v>2192</v>
      </c>
      <c r="H452" s="465"/>
    </row>
    <row r="453">
      <c r="A453" s="463"/>
      <c r="B453" s="480">
        <v>471.0</v>
      </c>
      <c r="C453" s="481">
        <v>42301.0</v>
      </c>
      <c r="D453" s="480" t="s">
        <v>2351</v>
      </c>
      <c r="E453" s="480" t="s">
        <v>2352</v>
      </c>
      <c r="F453" s="480" t="s">
        <v>2353</v>
      </c>
      <c r="G453" s="480" t="s">
        <v>1449</v>
      </c>
      <c r="H453" s="465"/>
    </row>
    <row r="454">
      <c r="A454" s="463"/>
      <c r="B454" s="480">
        <v>472.0</v>
      </c>
      <c r="C454" s="481">
        <v>42329.0</v>
      </c>
      <c r="D454" s="480" t="s">
        <v>2354</v>
      </c>
      <c r="E454" s="480" t="s">
        <v>2355</v>
      </c>
      <c r="F454" s="480" t="s">
        <v>2356</v>
      </c>
      <c r="G454" s="480" t="s">
        <v>2357</v>
      </c>
      <c r="H454" s="465"/>
    </row>
    <row r="455">
      <c r="A455" s="463"/>
      <c r="B455" s="480">
        <v>473.0</v>
      </c>
      <c r="C455" s="481">
        <v>42515.0</v>
      </c>
      <c r="D455" s="480" t="s">
        <v>2358</v>
      </c>
      <c r="E455" s="480" t="s">
        <v>2359</v>
      </c>
      <c r="F455" s="480" t="s">
        <v>2360</v>
      </c>
      <c r="G455" s="480" t="s">
        <v>2361</v>
      </c>
      <c r="H455" s="465"/>
    </row>
    <row r="456">
      <c r="A456" s="463"/>
      <c r="B456" s="480">
        <v>474.0</v>
      </c>
      <c r="C456" s="481">
        <v>42425.0</v>
      </c>
      <c r="D456" s="480" t="s">
        <v>2362</v>
      </c>
      <c r="E456" s="480" t="s">
        <v>2363</v>
      </c>
      <c r="F456" s="480" t="s">
        <v>2364</v>
      </c>
      <c r="G456" s="480" t="s">
        <v>2364</v>
      </c>
      <c r="H456" s="465"/>
    </row>
    <row r="457">
      <c r="A457" s="463"/>
      <c r="B457" s="480">
        <v>475.0</v>
      </c>
      <c r="C457" s="481">
        <v>42485.0</v>
      </c>
      <c r="D457" s="480" t="s">
        <v>2365</v>
      </c>
      <c r="E457" s="480" t="s">
        <v>2366</v>
      </c>
      <c r="F457" s="480" t="s">
        <v>2367</v>
      </c>
      <c r="G457" s="480" t="s">
        <v>2368</v>
      </c>
      <c r="H457" s="465"/>
    </row>
    <row r="458">
      <c r="A458" s="463"/>
      <c r="B458" s="480">
        <v>476.0</v>
      </c>
      <c r="C458" s="481">
        <v>42441.0</v>
      </c>
      <c r="D458" s="480" t="s">
        <v>2369</v>
      </c>
      <c r="E458" s="480" t="s">
        <v>2370</v>
      </c>
      <c r="F458" s="480" t="s">
        <v>2371</v>
      </c>
      <c r="G458" s="480" t="s">
        <v>2372</v>
      </c>
      <c r="H458" s="465"/>
    </row>
    <row r="459">
      <c r="A459" s="463"/>
      <c r="B459" s="480">
        <v>477.0</v>
      </c>
      <c r="C459" s="481">
        <v>42412.0</v>
      </c>
      <c r="D459" s="480" t="s">
        <v>2373</v>
      </c>
      <c r="E459" s="480" t="s">
        <v>1443</v>
      </c>
      <c r="F459" s="480" t="s">
        <v>2374</v>
      </c>
      <c r="G459" s="480" t="s">
        <v>1445</v>
      </c>
      <c r="H459" s="465"/>
    </row>
    <row r="460">
      <c r="A460" s="463"/>
      <c r="B460" s="480">
        <v>478.0</v>
      </c>
      <c r="C460" s="481">
        <v>42364.0</v>
      </c>
      <c r="D460" s="480" t="s">
        <v>2375</v>
      </c>
      <c r="E460" s="480" t="s">
        <v>2376</v>
      </c>
      <c r="F460" s="480" t="s">
        <v>2377</v>
      </c>
      <c r="G460" s="480" t="s">
        <v>2378</v>
      </c>
      <c r="H460" s="465"/>
    </row>
    <row r="461">
      <c r="A461" s="463"/>
      <c r="B461" s="480">
        <v>479.0</v>
      </c>
      <c r="C461" s="481">
        <v>42360.0</v>
      </c>
      <c r="D461" s="480" t="s">
        <v>2379</v>
      </c>
      <c r="E461" s="480" t="s">
        <v>2380</v>
      </c>
      <c r="F461" s="480" t="s">
        <v>2381</v>
      </c>
      <c r="G461" s="480" t="s">
        <v>2382</v>
      </c>
      <c r="H461" s="465"/>
    </row>
    <row r="462">
      <c r="A462" s="463"/>
      <c r="B462" s="480">
        <v>480.0</v>
      </c>
      <c r="C462" s="481">
        <v>42511.0</v>
      </c>
      <c r="D462" s="480" t="s">
        <v>2383</v>
      </c>
      <c r="E462" s="480" t="s">
        <v>2384</v>
      </c>
      <c r="F462" s="480" t="s">
        <v>2385</v>
      </c>
      <c r="G462" s="480" t="s">
        <v>2386</v>
      </c>
      <c r="H462" s="465"/>
    </row>
    <row r="463">
      <c r="A463" s="463"/>
      <c r="B463" s="483" t="s">
        <v>2387</v>
      </c>
      <c r="C463" s="481">
        <v>42816.0</v>
      </c>
      <c r="D463" s="480" t="s">
        <v>2388</v>
      </c>
      <c r="E463" s="480" t="s">
        <v>2389</v>
      </c>
      <c r="F463" s="480" t="s">
        <v>2390</v>
      </c>
      <c r="G463" s="480" t="s">
        <v>2386</v>
      </c>
      <c r="H463" s="465"/>
    </row>
    <row r="464">
      <c r="A464" s="463"/>
      <c r="B464" s="480">
        <v>482.0</v>
      </c>
      <c r="C464" s="481">
        <v>42398.0</v>
      </c>
      <c r="D464" s="480" t="s">
        <v>2391</v>
      </c>
      <c r="E464" s="480" t="s">
        <v>2392</v>
      </c>
      <c r="F464" s="480" t="s">
        <v>2393</v>
      </c>
      <c r="G464" s="480" t="s">
        <v>2394</v>
      </c>
      <c r="H464" s="482" t="s">
        <v>2395</v>
      </c>
    </row>
    <row r="465">
      <c r="A465" s="463"/>
      <c r="B465" s="480">
        <v>483.0</v>
      </c>
      <c r="C465" s="481">
        <v>42382.0</v>
      </c>
      <c r="D465" s="480" t="s">
        <v>2396</v>
      </c>
      <c r="E465" s="480" t="s">
        <v>2397</v>
      </c>
      <c r="F465" s="480" t="s">
        <v>2398</v>
      </c>
      <c r="G465" s="480" t="s">
        <v>2399</v>
      </c>
      <c r="H465" s="482" t="s">
        <v>1241</v>
      </c>
    </row>
    <row r="466">
      <c r="A466" s="463"/>
      <c r="B466" s="480">
        <v>484.0</v>
      </c>
      <c r="C466" s="481">
        <v>42333.0</v>
      </c>
      <c r="D466" s="480" t="s">
        <v>2400</v>
      </c>
      <c r="E466" s="480" t="s">
        <v>2401</v>
      </c>
      <c r="F466" s="480" t="s">
        <v>2402</v>
      </c>
      <c r="G466" s="480" t="s">
        <v>939</v>
      </c>
      <c r="H466" s="465"/>
    </row>
    <row r="467">
      <c r="A467" s="463"/>
      <c r="B467" s="480">
        <v>485.0</v>
      </c>
      <c r="C467" s="481">
        <v>42333.0</v>
      </c>
      <c r="D467" s="480" t="s">
        <v>2403</v>
      </c>
      <c r="E467" s="480" t="s">
        <v>1861</v>
      </c>
      <c r="F467" s="480" t="s">
        <v>1862</v>
      </c>
      <c r="G467" s="480" t="s">
        <v>1863</v>
      </c>
      <c r="H467" s="465"/>
    </row>
    <row r="468">
      <c r="A468" s="463"/>
      <c r="B468" s="480">
        <v>486.0</v>
      </c>
      <c r="C468" s="481">
        <v>42360.0</v>
      </c>
      <c r="D468" s="480" t="s">
        <v>2404</v>
      </c>
      <c r="E468" s="480">
        <v>310.0</v>
      </c>
      <c r="F468" s="480" t="s">
        <v>2405</v>
      </c>
      <c r="G468" s="480" t="s">
        <v>2406</v>
      </c>
      <c r="H468" s="465"/>
    </row>
    <row r="469">
      <c r="A469" s="463"/>
      <c r="B469" s="480">
        <v>487.0</v>
      </c>
      <c r="C469" s="481">
        <v>42360.0</v>
      </c>
      <c r="D469" s="480" t="s">
        <v>2407</v>
      </c>
      <c r="E469" s="480" t="s">
        <v>2408</v>
      </c>
      <c r="F469" s="480" t="s">
        <v>2409</v>
      </c>
      <c r="G469" s="480" t="s">
        <v>2410</v>
      </c>
      <c r="H469" s="465"/>
    </row>
    <row r="470">
      <c r="A470" s="463"/>
      <c r="B470" s="480">
        <v>488.0</v>
      </c>
      <c r="C470" s="481">
        <v>42360.0</v>
      </c>
      <c r="D470" s="480" t="s">
        <v>2411</v>
      </c>
      <c r="E470" s="480" t="s">
        <v>908</v>
      </c>
      <c r="F470" s="480" t="s">
        <v>2412</v>
      </c>
      <c r="G470" s="480" t="s">
        <v>2413</v>
      </c>
      <c r="H470" s="465"/>
    </row>
    <row r="471">
      <c r="A471" s="463"/>
      <c r="B471" s="480">
        <v>489.0</v>
      </c>
      <c r="C471" s="481">
        <v>42360.0</v>
      </c>
      <c r="D471" s="480" t="s">
        <v>2414</v>
      </c>
      <c r="E471" s="480" t="s">
        <v>2415</v>
      </c>
      <c r="F471" s="480" t="s">
        <v>2416</v>
      </c>
      <c r="G471" s="480" t="s">
        <v>2417</v>
      </c>
      <c r="H471" s="465"/>
    </row>
    <row r="472">
      <c r="A472" s="463"/>
      <c r="B472" s="480">
        <v>495.0</v>
      </c>
      <c r="C472" s="481">
        <v>42422.0</v>
      </c>
      <c r="D472" s="480" t="s">
        <v>2418</v>
      </c>
      <c r="E472" s="480" t="s">
        <v>2419</v>
      </c>
      <c r="F472" s="480" t="s">
        <v>2420</v>
      </c>
      <c r="G472" s="480" t="s">
        <v>2421</v>
      </c>
      <c r="H472" s="465"/>
    </row>
    <row r="473">
      <c r="A473" s="463"/>
      <c r="B473" s="480">
        <v>496.0</v>
      </c>
      <c r="C473" s="481">
        <v>42604.0</v>
      </c>
      <c r="D473" s="480" t="s">
        <v>2422</v>
      </c>
      <c r="E473" s="480" t="s">
        <v>1058</v>
      </c>
      <c r="F473" s="480" t="s">
        <v>1059</v>
      </c>
      <c r="G473" s="480" t="s">
        <v>1060</v>
      </c>
      <c r="H473" s="465"/>
    </row>
    <row r="474">
      <c r="A474" s="463"/>
      <c r="B474" s="480">
        <v>497.0</v>
      </c>
      <c r="C474" s="486">
        <v>42571.0</v>
      </c>
      <c r="D474" s="480" t="s">
        <v>2423</v>
      </c>
      <c r="E474" s="480" t="s">
        <v>2424</v>
      </c>
      <c r="F474" s="480" t="s">
        <v>2425</v>
      </c>
      <c r="G474" s="480" t="s">
        <v>2426</v>
      </c>
      <c r="H474" s="465"/>
    </row>
    <row r="475">
      <c r="A475" s="463"/>
      <c r="B475" s="480">
        <v>498.0</v>
      </c>
      <c r="C475" s="481">
        <v>42363.0</v>
      </c>
      <c r="D475" s="480" t="s">
        <v>2427</v>
      </c>
      <c r="E475" s="480" t="s">
        <v>2428</v>
      </c>
      <c r="F475" s="480" t="s">
        <v>2429</v>
      </c>
      <c r="G475" s="480" t="s">
        <v>2430</v>
      </c>
      <c r="H475" s="465"/>
    </row>
    <row r="476">
      <c r="A476" s="463"/>
      <c r="B476" s="483" t="s">
        <v>2431</v>
      </c>
      <c r="C476" s="487">
        <v>42634.0</v>
      </c>
      <c r="D476" s="480" t="s">
        <v>2432</v>
      </c>
      <c r="E476" s="480" t="s">
        <v>1741</v>
      </c>
      <c r="F476" s="480" t="s">
        <v>1742</v>
      </c>
      <c r="G476" s="480" t="s">
        <v>1743</v>
      </c>
      <c r="H476" s="465"/>
    </row>
    <row r="477">
      <c r="A477" s="463"/>
      <c r="B477" s="483" t="s">
        <v>2433</v>
      </c>
      <c r="C477" s="481">
        <v>42819.0</v>
      </c>
      <c r="D477" s="480" t="s">
        <v>2434</v>
      </c>
      <c r="E477" s="480" t="s">
        <v>2435</v>
      </c>
      <c r="F477" s="480" t="s">
        <v>2436</v>
      </c>
      <c r="G477" s="480" t="s">
        <v>2437</v>
      </c>
      <c r="H477" s="482" t="s">
        <v>2438</v>
      </c>
    </row>
    <row r="478">
      <c r="A478" s="463"/>
      <c r="B478" s="480">
        <v>501.0</v>
      </c>
      <c r="C478" s="481">
        <v>42454.0</v>
      </c>
      <c r="D478" s="480" t="s">
        <v>2439</v>
      </c>
      <c r="E478" s="480" t="s">
        <v>2440</v>
      </c>
      <c r="F478" s="480" t="s">
        <v>2441</v>
      </c>
      <c r="G478" s="480" t="s">
        <v>1301</v>
      </c>
      <c r="H478" s="465"/>
    </row>
    <row r="479">
      <c r="A479" s="463"/>
      <c r="B479" s="480">
        <v>502.0</v>
      </c>
      <c r="C479" s="481">
        <v>42454.0</v>
      </c>
      <c r="D479" s="480" t="s">
        <v>2442</v>
      </c>
      <c r="E479" s="480" t="s">
        <v>2443</v>
      </c>
      <c r="F479" s="480" t="s">
        <v>2444</v>
      </c>
      <c r="G479" s="480" t="s">
        <v>2445</v>
      </c>
      <c r="H479" s="465"/>
    </row>
    <row r="480">
      <c r="A480" s="463"/>
      <c r="B480" s="480">
        <v>503.0</v>
      </c>
      <c r="C480" s="481">
        <v>42482.0</v>
      </c>
      <c r="D480" s="480" t="s">
        <v>2446</v>
      </c>
      <c r="E480" s="480" t="s">
        <v>1710</v>
      </c>
      <c r="F480" s="480" t="s">
        <v>1711</v>
      </c>
      <c r="G480" s="480" t="s">
        <v>1712</v>
      </c>
      <c r="H480" s="465"/>
    </row>
    <row r="481">
      <c r="A481" s="463"/>
      <c r="B481" s="480">
        <v>504.0</v>
      </c>
      <c r="C481" s="481">
        <v>42482.0</v>
      </c>
      <c r="D481" s="480" t="s">
        <v>2447</v>
      </c>
      <c r="E481" s="480" t="s">
        <v>2448</v>
      </c>
      <c r="F481" s="480" t="s">
        <v>2449</v>
      </c>
      <c r="G481" s="480" t="s">
        <v>2450</v>
      </c>
      <c r="H481" s="465"/>
    </row>
    <row r="482">
      <c r="A482" s="463"/>
      <c r="B482" s="480">
        <v>505.0</v>
      </c>
      <c r="C482" s="481">
        <v>42454.0</v>
      </c>
      <c r="D482" s="480" t="s">
        <v>2451</v>
      </c>
      <c r="E482" s="480" t="s">
        <v>1793</v>
      </c>
      <c r="F482" s="480" t="s">
        <v>1794</v>
      </c>
      <c r="G482" s="480" t="s">
        <v>1795</v>
      </c>
      <c r="H482" s="465"/>
    </row>
    <row r="483">
      <c r="A483" s="463"/>
      <c r="B483" s="480">
        <v>506.0</v>
      </c>
      <c r="C483" s="481">
        <v>42483.0</v>
      </c>
      <c r="D483" s="480" t="s">
        <v>2452</v>
      </c>
      <c r="E483" s="480" t="s">
        <v>2453</v>
      </c>
      <c r="F483" s="480" t="s">
        <v>2454</v>
      </c>
      <c r="G483" s="480" t="s">
        <v>2455</v>
      </c>
      <c r="H483" s="482" t="s">
        <v>2456</v>
      </c>
    </row>
    <row r="484">
      <c r="A484" s="463"/>
      <c r="B484" s="480">
        <v>507.0</v>
      </c>
      <c r="C484" s="481">
        <v>42482.0</v>
      </c>
      <c r="D484" s="480" t="s">
        <v>2457</v>
      </c>
      <c r="E484" s="480" t="s">
        <v>2458</v>
      </c>
      <c r="F484" s="480" t="s">
        <v>2459</v>
      </c>
      <c r="G484" s="480" t="s">
        <v>1021</v>
      </c>
      <c r="H484" s="465"/>
    </row>
    <row r="485">
      <c r="A485" s="463"/>
      <c r="B485" s="480">
        <v>508.0</v>
      </c>
      <c r="C485" s="481">
        <v>42485.0</v>
      </c>
      <c r="D485" s="480" t="s">
        <v>2460</v>
      </c>
      <c r="E485" s="480" t="s">
        <v>1062</v>
      </c>
      <c r="F485" s="480" t="s">
        <v>1063</v>
      </c>
      <c r="G485" s="480" t="s">
        <v>1064</v>
      </c>
      <c r="H485" s="465"/>
    </row>
    <row r="486">
      <c r="A486" s="463"/>
      <c r="B486" s="480">
        <v>509.0</v>
      </c>
      <c r="C486" s="481">
        <v>42548.0</v>
      </c>
      <c r="D486" s="480" t="s">
        <v>2461</v>
      </c>
      <c r="E486" s="480" t="s">
        <v>2462</v>
      </c>
      <c r="F486" s="480" t="s">
        <v>2285</v>
      </c>
      <c r="G486" s="480" t="s">
        <v>2286</v>
      </c>
      <c r="H486" s="465"/>
    </row>
    <row r="487">
      <c r="A487" s="463"/>
      <c r="B487" s="480">
        <v>510.0</v>
      </c>
      <c r="C487" s="481">
        <v>42356.0</v>
      </c>
      <c r="D487" s="480" t="s">
        <v>2463</v>
      </c>
      <c r="E487" s="480" t="s">
        <v>1124</v>
      </c>
      <c r="F487" s="480" t="s">
        <v>1125</v>
      </c>
      <c r="G487" s="480" t="s">
        <v>1126</v>
      </c>
      <c r="H487" s="465"/>
    </row>
    <row r="488">
      <c r="A488" s="463"/>
      <c r="B488" s="480">
        <v>511.0</v>
      </c>
      <c r="C488" s="481">
        <v>42475.0</v>
      </c>
      <c r="D488" s="480" t="s">
        <v>2464</v>
      </c>
      <c r="E488" s="480" t="s">
        <v>2465</v>
      </c>
      <c r="F488" s="480" t="s">
        <v>2466</v>
      </c>
      <c r="G488" s="480" t="s">
        <v>1060</v>
      </c>
      <c r="H488" s="465"/>
    </row>
    <row r="489">
      <c r="A489" s="463"/>
      <c r="B489" s="480">
        <v>512.0</v>
      </c>
      <c r="C489" s="481">
        <v>42475.0</v>
      </c>
      <c r="D489" s="480" t="s">
        <v>2467</v>
      </c>
      <c r="E489" s="480" t="s">
        <v>2465</v>
      </c>
      <c r="F489" s="480" t="s">
        <v>2466</v>
      </c>
      <c r="G489" s="480" t="s">
        <v>1060</v>
      </c>
      <c r="H489" s="465"/>
    </row>
    <row r="490">
      <c r="A490" s="463"/>
      <c r="B490" s="480">
        <v>513.0</v>
      </c>
      <c r="C490" s="481">
        <v>42475.0</v>
      </c>
      <c r="D490" s="480" t="s">
        <v>2468</v>
      </c>
      <c r="E490" s="480" t="s">
        <v>2465</v>
      </c>
      <c r="F490" s="480" t="s">
        <v>2466</v>
      </c>
      <c r="G490" s="480" t="s">
        <v>1060</v>
      </c>
      <c r="H490" s="465"/>
    </row>
    <row r="491">
      <c r="A491" s="463"/>
      <c r="B491" s="480">
        <v>514.0</v>
      </c>
      <c r="C491" s="481">
        <v>42475.0</v>
      </c>
      <c r="D491" s="480" t="s">
        <v>2469</v>
      </c>
      <c r="E491" s="480" t="s">
        <v>2465</v>
      </c>
      <c r="F491" s="480" t="s">
        <v>2466</v>
      </c>
      <c r="G491" s="480" t="s">
        <v>1060</v>
      </c>
      <c r="H491" s="465"/>
    </row>
    <row r="492">
      <c r="A492" s="463"/>
      <c r="B492" s="480">
        <v>515.0</v>
      </c>
      <c r="C492" s="486">
        <v>42563.0</v>
      </c>
      <c r="D492" s="480" t="s">
        <v>2470</v>
      </c>
      <c r="E492" s="480" t="s">
        <v>2471</v>
      </c>
      <c r="F492" s="480" t="s">
        <v>2472</v>
      </c>
      <c r="G492" s="480" t="s">
        <v>2473</v>
      </c>
      <c r="H492" s="465"/>
    </row>
    <row r="493">
      <c r="A493" s="463"/>
      <c r="B493" s="480">
        <v>516.0</v>
      </c>
      <c r="C493" s="481">
        <v>42543.0</v>
      </c>
      <c r="D493" s="480" t="s">
        <v>2474</v>
      </c>
      <c r="E493" s="480" t="s">
        <v>2475</v>
      </c>
      <c r="F493" s="480" t="s">
        <v>2476</v>
      </c>
      <c r="G493" s="480" t="s">
        <v>2206</v>
      </c>
      <c r="H493" s="465"/>
    </row>
    <row r="494">
      <c r="A494" s="463"/>
      <c r="B494" s="483" t="s">
        <v>2477</v>
      </c>
      <c r="C494" s="481">
        <v>42788.0</v>
      </c>
      <c r="D494" s="480" t="s">
        <v>2478</v>
      </c>
      <c r="E494" s="480" t="s">
        <v>2479</v>
      </c>
      <c r="F494" s="480" t="s">
        <v>2480</v>
      </c>
      <c r="G494" s="480" t="s">
        <v>2481</v>
      </c>
      <c r="H494" s="465"/>
    </row>
    <row r="495">
      <c r="A495" s="463"/>
      <c r="B495" s="480">
        <v>518.0</v>
      </c>
      <c r="C495" s="481">
        <v>42482.0</v>
      </c>
      <c r="D495" s="480" t="s">
        <v>2482</v>
      </c>
      <c r="E495" s="480" t="s">
        <v>1447</v>
      </c>
      <c r="F495" s="480" t="s">
        <v>1448</v>
      </c>
      <c r="G495" s="480" t="s">
        <v>1449</v>
      </c>
      <c r="H495" s="465"/>
    </row>
    <row r="496">
      <c r="A496" s="463"/>
      <c r="B496" s="480">
        <v>519.0</v>
      </c>
      <c r="C496" s="481">
        <v>42546.0</v>
      </c>
      <c r="D496" s="480" t="s">
        <v>2483</v>
      </c>
      <c r="E496" s="480" t="s">
        <v>1035</v>
      </c>
      <c r="F496" s="480" t="s">
        <v>1036</v>
      </c>
      <c r="G496" s="480" t="s">
        <v>1037</v>
      </c>
      <c r="H496" s="465"/>
    </row>
    <row r="497">
      <c r="A497" s="463"/>
      <c r="B497" s="480">
        <v>520.0</v>
      </c>
      <c r="C497" s="486">
        <v>42576.0</v>
      </c>
      <c r="D497" s="480" t="s">
        <v>2484</v>
      </c>
      <c r="E497" s="480" t="s">
        <v>1853</v>
      </c>
      <c r="F497" s="480" t="s">
        <v>1854</v>
      </c>
      <c r="G497" s="480" t="s">
        <v>1855</v>
      </c>
      <c r="H497" s="465"/>
    </row>
    <row r="498">
      <c r="A498" s="463"/>
      <c r="B498" s="480">
        <v>521.0</v>
      </c>
      <c r="C498" s="481">
        <v>42515.0</v>
      </c>
      <c r="D498" s="480" t="s">
        <v>2485</v>
      </c>
      <c r="E498" s="480" t="s">
        <v>1697</v>
      </c>
      <c r="F498" s="480" t="s">
        <v>1698</v>
      </c>
      <c r="G498" s="480" t="s">
        <v>1699</v>
      </c>
      <c r="H498" s="465"/>
    </row>
    <row r="499">
      <c r="A499" s="463"/>
      <c r="B499" s="483" t="s">
        <v>2486</v>
      </c>
      <c r="C499" s="487">
        <v>42637.0</v>
      </c>
      <c r="D499" s="480" t="s">
        <v>2487</v>
      </c>
      <c r="E499" s="480" t="s">
        <v>2488</v>
      </c>
      <c r="F499" s="480" t="s">
        <v>2489</v>
      </c>
      <c r="G499" s="480" t="s">
        <v>2490</v>
      </c>
      <c r="H499" s="465"/>
    </row>
    <row r="500">
      <c r="A500" s="463"/>
      <c r="B500" s="480">
        <v>523.0</v>
      </c>
      <c r="C500" s="481">
        <v>42410.0</v>
      </c>
      <c r="D500" s="480" t="s">
        <v>2491</v>
      </c>
      <c r="E500" s="480" t="s">
        <v>2492</v>
      </c>
      <c r="F500" s="480" t="s">
        <v>2493</v>
      </c>
      <c r="G500" s="480" t="s">
        <v>2494</v>
      </c>
      <c r="H500" s="482" t="s">
        <v>1017</v>
      </c>
    </row>
    <row r="501">
      <c r="A501" s="463"/>
      <c r="B501" s="480">
        <v>524.0</v>
      </c>
      <c r="C501" s="486">
        <v>42563.0</v>
      </c>
      <c r="D501" s="480" t="s">
        <v>2495</v>
      </c>
      <c r="E501" s="480" t="s">
        <v>2496</v>
      </c>
      <c r="F501" s="480" t="s">
        <v>2497</v>
      </c>
      <c r="G501" s="480" t="s">
        <v>2498</v>
      </c>
      <c r="H501" s="465"/>
    </row>
    <row r="502">
      <c r="A502" s="463"/>
      <c r="B502" s="480">
        <v>525.0</v>
      </c>
      <c r="C502" s="486">
        <v>42576.0</v>
      </c>
      <c r="D502" s="480" t="s">
        <v>2499</v>
      </c>
      <c r="E502" s="480" t="s">
        <v>2500</v>
      </c>
      <c r="F502" s="480" t="s">
        <v>2501</v>
      </c>
      <c r="G502" s="480" t="s">
        <v>2502</v>
      </c>
      <c r="H502" s="465"/>
    </row>
    <row r="503">
      <c r="A503" s="463"/>
      <c r="B503" s="480">
        <v>526.0</v>
      </c>
      <c r="C503" s="481">
        <v>42409.0</v>
      </c>
      <c r="D503" s="480" t="s">
        <v>2503</v>
      </c>
      <c r="E503" s="480" t="s">
        <v>2197</v>
      </c>
      <c r="F503" s="480" t="s">
        <v>2504</v>
      </c>
      <c r="G503" s="480" t="s">
        <v>2199</v>
      </c>
      <c r="H503" s="465"/>
    </row>
    <row r="504">
      <c r="A504" s="463"/>
      <c r="B504" s="480">
        <v>527.0</v>
      </c>
      <c r="C504" s="488">
        <v>42511.0</v>
      </c>
      <c r="D504" s="480" t="s">
        <v>2505</v>
      </c>
      <c r="E504" s="480" t="s">
        <v>2335</v>
      </c>
      <c r="F504" s="480" t="s">
        <v>2336</v>
      </c>
      <c r="G504" s="480" t="s">
        <v>1795</v>
      </c>
      <c r="H504" s="465"/>
    </row>
    <row r="505">
      <c r="A505" s="463"/>
      <c r="B505" s="480">
        <v>528.0</v>
      </c>
      <c r="C505" s="481">
        <v>42391.0</v>
      </c>
      <c r="D505" s="480" t="s">
        <v>2506</v>
      </c>
      <c r="E505" s="480" t="s">
        <v>2507</v>
      </c>
      <c r="F505" s="480" t="s">
        <v>2508</v>
      </c>
      <c r="G505" s="480" t="s">
        <v>1470</v>
      </c>
      <c r="H505" s="465"/>
    </row>
    <row r="506">
      <c r="A506" s="463"/>
      <c r="B506" s="480">
        <v>529.0</v>
      </c>
      <c r="C506" s="486">
        <v>42563.0</v>
      </c>
      <c r="D506" s="480" t="s">
        <v>2509</v>
      </c>
      <c r="E506" s="480" t="s">
        <v>1274</v>
      </c>
      <c r="F506" s="480" t="s">
        <v>1275</v>
      </c>
      <c r="G506" s="480" t="s">
        <v>1275</v>
      </c>
      <c r="H506" s="482" t="s">
        <v>1276</v>
      </c>
    </row>
    <row r="507">
      <c r="A507" s="463"/>
      <c r="B507" s="480">
        <v>530.0</v>
      </c>
      <c r="C507" s="486">
        <v>42563.0</v>
      </c>
      <c r="D507" s="480" t="s">
        <v>2510</v>
      </c>
      <c r="E507" s="480" t="s">
        <v>2511</v>
      </c>
      <c r="F507" s="480" t="s">
        <v>2512</v>
      </c>
      <c r="G507" s="480" t="s">
        <v>2513</v>
      </c>
      <c r="H507" s="465"/>
    </row>
    <row r="508">
      <c r="A508" s="463"/>
      <c r="B508" s="480">
        <v>531.0</v>
      </c>
      <c r="C508" s="481">
        <v>42482.0</v>
      </c>
      <c r="D508" s="480" t="s">
        <v>2514</v>
      </c>
      <c r="E508" s="480" t="s">
        <v>1010</v>
      </c>
      <c r="F508" s="480" t="s">
        <v>1011</v>
      </c>
      <c r="G508" s="480" t="s">
        <v>1012</v>
      </c>
      <c r="H508" s="465"/>
    </row>
    <row r="509">
      <c r="A509" s="463"/>
      <c r="B509" s="480">
        <v>532.0</v>
      </c>
      <c r="C509" s="481">
        <v>42511.0</v>
      </c>
      <c r="D509" s="480" t="s">
        <v>2515</v>
      </c>
      <c r="E509" s="480" t="s">
        <v>2516</v>
      </c>
      <c r="F509" s="480" t="s">
        <v>2517</v>
      </c>
      <c r="G509" s="480" t="s">
        <v>2518</v>
      </c>
      <c r="H509" s="465"/>
    </row>
    <row r="510">
      <c r="A510" s="463"/>
      <c r="B510" s="480">
        <v>533.0</v>
      </c>
      <c r="C510" s="486">
        <v>42563.0</v>
      </c>
      <c r="D510" s="480" t="s">
        <v>2519</v>
      </c>
      <c r="E510" s="480" t="s">
        <v>2520</v>
      </c>
      <c r="F510" s="480" t="s">
        <v>2521</v>
      </c>
      <c r="G510" s="480" t="s">
        <v>1033</v>
      </c>
      <c r="H510" s="465"/>
    </row>
    <row r="511">
      <c r="A511" s="463"/>
      <c r="B511" s="480">
        <v>535.0</v>
      </c>
      <c r="C511" s="481">
        <v>42482.0</v>
      </c>
      <c r="D511" s="480" t="s">
        <v>2522</v>
      </c>
      <c r="E511" s="480" t="s">
        <v>2523</v>
      </c>
      <c r="F511" s="480" t="s">
        <v>2524</v>
      </c>
      <c r="G511" s="480" t="s">
        <v>1441</v>
      </c>
      <c r="H511" s="465"/>
    </row>
    <row r="512">
      <c r="A512" s="463"/>
      <c r="B512" s="480">
        <v>536.0</v>
      </c>
      <c r="C512" s="486">
        <v>42578.0</v>
      </c>
      <c r="D512" s="480" t="s">
        <v>2525</v>
      </c>
      <c r="E512" s="480" t="s">
        <v>2526</v>
      </c>
      <c r="F512" s="480" t="s">
        <v>2527</v>
      </c>
      <c r="G512" s="480" t="s">
        <v>2528</v>
      </c>
      <c r="H512" s="465"/>
    </row>
    <row r="513">
      <c r="A513" s="463"/>
      <c r="B513" s="483" t="s">
        <v>2529</v>
      </c>
      <c r="C513" s="487">
        <v>42625.0</v>
      </c>
      <c r="D513" s="480" t="s">
        <v>2530</v>
      </c>
      <c r="E513" s="480" t="s">
        <v>2531</v>
      </c>
      <c r="F513" s="480" t="s">
        <v>2532</v>
      </c>
      <c r="G513" s="480" t="s">
        <v>1045</v>
      </c>
      <c r="H513" s="465"/>
    </row>
    <row r="514">
      <c r="A514" s="463"/>
      <c r="B514" s="480">
        <v>538.0</v>
      </c>
      <c r="C514" s="486">
        <v>42576.0</v>
      </c>
      <c r="D514" s="480" t="s">
        <v>2533</v>
      </c>
      <c r="E514" s="480" t="s">
        <v>2534</v>
      </c>
      <c r="F514" s="480" t="s">
        <v>2535</v>
      </c>
      <c r="G514" s="480" t="s">
        <v>2536</v>
      </c>
      <c r="H514" s="465"/>
    </row>
    <row r="515">
      <c r="A515" s="463"/>
      <c r="B515" s="480">
        <v>539.0</v>
      </c>
      <c r="C515" s="481">
        <v>42482.0</v>
      </c>
      <c r="D515" s="480" t="s">
        <v>2537</v>
      </c>
      <c r="E515" s="480" t="s">
        <v>2538</v>
      </c>
      <c r="F515" s="480" t="s">
        <v>1514</v>
      </c>
      <c r="G515" s="480" t="s">
        <v>1515</v>
      </c>
      <c r="H515" s="465"/>
    </row>
    <row r="516">
      <c r="A516" s="463"/>
      <c r="B516" s="480">
        <v>540.0</v>
      </c>
      <c r="C516" s="481">
        <v>42448.0</v>
      </c>
      <c r="D516" s="480" t="s">
        <v>2539</v>
      </c>
      <c r="E516" s="480" t="s">
        <v>2540</v>
      </c>
      <c r="F516" s="480" t="s">
        <v>2541</v>
      </c>
      <c r="G516" s="480" t="s">
        <v>2542</v>
      </c>
      <c r="H516" s="465"/>
    </row>
    <row r="517">
      <c r="A517" s="463"/>
      <c r="B517" s="480">
        <v>541.0</v>
      </c>
      <c r="C517" s="486">
        <v>42563.0</v>
      </c>
      <c r="D517" s="480" t="s">
        <v>2543</v>
      </c>
      <c r="E517" s="480" t="s">
        <v>2544</v>
      </c>
      <c r="F517" s="480" t="s">
        <v>1092</v>
      </c>
      <c r="G517" s="480" t="s">
        <v>1935</v>
      </c>
      <c r="H517" s="465"/>
    </row>
    <row r="518">
      <c r="A518" s="463"/>
      <c r="B518" s="483" t="s">
        <v>2545</v>
      </c>
      <c r="C518" s="487">
        <v>42637.0</v>
      </c>
      <c r="D518" s="480" t="s">
        <v>2546</v>
      </c>
      <c r="E518" s="480" t="s">
        <v>2547</v>
      </c>
      <c r="F518" s="480" t="s">
        <v>2548</v>
      </c>
      <c r="G518" s="480" t="s">
        <v>2549</v>
      </c>
      <c r="H518" s="465"/>
    </row>
    <row r="519">
      <c r="A519" s="463"/>
      <c r="B519" s="483" t="s">
        <v>2550</v>
      </c>
      <c r="C519" s="487">
        <v>42637.0</v>
      </c>
      <c r="D519" s="480" t="s">
        <v>2551</v>
      </c>
      <c r="E519" s="480" t="s">
        <v>2552</v>
      </c>
      <c r="F519" s="480" t="s">
        <v>2553</v>
      </c>
      <c r="G519" s="480" t="s">
        <v>2087</v>
      </c>
      <c r="H519" s="465"/>
    </row>
    <row r="520">
      <c r="A520" s="463"/>
      <c r="B520" s="483" t="s">
        <v>2554</v>
      </c>
      <c r="C520" s="481">
        <v>42788.0</v>
      </c>
      <c r="D520" s="480" t="s">
        <v>2555</v>
      </c>
      <c r="E520" s="480" t="s">
        <v>945</v>
      </c>
      <c r="F520" s="480" t="s">
        <v>946</v>
      </c>
      <c r="G520" s="480" t="s">
        <v>947</v>
      </c>
      <c r="H520" s="465"/>
    </row>
    <row r="521">
      <c r="A521" s="463"/>
      <c r="B521" s="480">
        <v>545.0</v>
      </c>
      <c r="C521" s="486">
        <v>42563.0</v>
      </c>
      <c r="D521" s="480" t="s">
        <v>2556</v>
      </c>
      <c r="E521" s="480" t="s">
        <v>2557</v>
      </c>
      <c r="F521" s="480" t="s">
        <v>2558</v>
      </c>
      <c r="G521" s="480" t="s">
        <v>2559</v>
      </c>
      <c r="H521" s="465"/>
    </row>
    <row r="522">
      <c r="A522" s="463"/>
      <c r="B522" s="483" t="s">
        <v>2560</v>
      </c>
      <c r="C522" s="481">
        <v>42762.0</v>
      </c>
      <c r="D522" s="480" t="s">
        <v>2561</v>
      </c>
      <c r="E522" s="480" t="s">
        <v>2562</v>
      </c>
      <c r="F522" s="480" t="s">
        <v>2563</v>
      </c>
      <c r="G522" s="480" t="s">
        <v>2206</v>
      </c>
      <c r="H522" s="465"/>
    </row>
    <row r="523">
      <c r="A523" s="463"/>
      <c r="B523" s="483" t="s">
        <v>2564</v>
      </c>
      <c r="C523" s="481">
        <v>42726.0</v>
      </c>
      <c r="D523" s="480" t="s">
        <v>2565</v>
      </c>
      <c r="E523" s="480" t="s">
        <v>2566</v>
      </c>
      <c r="F523" s="480" t="s">
        <v>2567</v>
      </c>
      <c r="G523" s="480" t="s">
        <v>2568</v>
      </c>
      <c r="H523" s="482" t="s">
        <v>1017</v>
      </c>
    </row>
    <row r="524">
      <c r="A524" s="463"/>
      <c r="B524" s="480">
        <v>548.0</v>
      </c>
      <c r="C524" s="481">
        <v>42538.0</v>
      </c>
      <c r="D524" s="480" t="s">
        <v>2569</v>
      </c>
      <c r="E524" s="480" t="s">
        <v>1805</v>
      </c>
      <c r="F524" s="480" t="s">
        <v>1806</v>
      </c>
      <c r="G524" s="480" t="s">
        <v>1807</v>
      </c>
      <c r="H524" s="465"/>
    </row>
    <row r="525">
      <c r="A525" s="463"/>
      <c r="B525" s="480">
        <v>549.0</v>
      </c>
      <c r="C525" s="486">
        <v>42563.0</v>
      </c>
      <c r="D525" s="480" t="s">
        <v>2570</v>
      </c>
      <c r="E525" s="480" t="s">
        <v>1439</v>
      </c>
      <c r="F525" s="480" t="s">
        <v>1440</v>
      </c>
      <c r="G525" s="480" t="s">
        <v>1441</v>
      </c>
      <c r="H525" s="465"/>
    </row>
    <row r="526">
      <c r="A526" s="463"/>
      <c r="B526" s="480">
        <v>550.0</v>
      </c>
      <c r="C526" s="481">
        <v>42607.0</v>
      </c>
      <c r="D526" s="480" t="s">
        <v>2571</v>
      </c>
      <c r="E526" s="480" t="s">
        <v>2572</v>
      </c>
      <c r="F526" s="480" t="s">
        <v>2573</v>
      </c>
      <c r="G526" s="480" t="s">
        <v>2574</v>
      </c>
      <c r="H526" s="465"/>
    </row>
    <row r="527">
      <c r="A527" s="463"/>
      <c r="B527" s="483" t="s">
        <v>2575</v>
      </c>
      <c r="C527" s="487">
        <v>42626.0</v>
      </c>
      <c r="D527" s="480" t="s">
        <v>2576</v>
      </c>
      <c r="E527" s="480" t="s">
        <v>2577</v>
      </c>
      <c r="F527" s="480" t="s">
        <v>2578</v>
      </c>
      <c r="G527" s="480" t="s">
        <v>2579</v>
      </c>
      <c r="H527" s="482" t="s">
        <v>1241</v>
      </c>
    </row>
    <row r="528">
      <c r="A528" s="463"/>
      <c r="B528" s="483" t="s">
        <v>2580</v>
      </c>
      <c r="C528" s="487">
        <v>42637.0</v>
      </c>
      <c r="D528" s="480" t="s">
        <v>2581</v>
      </c>
      <c r="E528" s="480" t="s">
        <v>2582</v>
      </c>
      <c r="F528" s="480" t="s">
        <v>2583</v>
      </c>
      <c r="G528" s="480" t="s">
        <v>2584</v>
      </c>
      <c r="H528" s="482" t="s">
        <v>2585</v>
      </c>
    </row>
    <row r="529">
      <c r="A529" s="463"/>
      <c r="B529" s="483" t="s">
        <v>2586</v>
      </c>
      <c r="C529" s="481">
        <v>42656.0</v>
      </c>
      <c r="D529" s="480" t="s">
        <v>2587</v>
      </c>
      <c r="E529" s="480" t="s">
        <v>2588</v>
      </c>
      <c r="F529" s="480" t="s">
        <v>2589</v>
      </c>
      <c r="G529" s="480" t="s">
        <v>2590</v>
      </c>
      <c r="H529" s="482" t="s">
        <v>1241</v>
      </c>
    </row>
    <row r="530">
      <c r="A530" s="463"/>
      <c r="B530" s="483" t="s">
        <v>2591</v>
      </c>
      <c r="C530" s="481">
        <v>42729.0</v>
      </c>
      <c r="D530" s="480" t="s">
        <v>2592</v>
      </c>
      <c r="E530" s="480" t="s">
        <v>1043</v>
      </c>
      <c r="F530" s="480" t="s">
        <v>1044</v>
      </c>
      <c r="G530" s="480" t="s">
        <v>1045</v>
      </c>
      <c r="H530" s="465"/>
    </row>
    <row r="531">
      <c r="A531" s="463"/>
      <c r="B531" s="480">
        <v>555.0</v>
      </c>
      <c r="C531" s="481">
        <v>42511.0</v>
      </c>
      <c r="D531" s="480" t="s">
        <v>2593</v>
      </c>
      <c r="E531" s="480" t="s">
        <v>2594</v>
      </c>
      <c r="F531" s="480" t="s">
        <v>1843</v>
      </c>
      <c r="G531" s="480" t="s">
        <v>1523</v>
      </c>
      <c r="H531" s="465"/>
    </row>
    <row r="532">
      <c r="A532" s="463"/>
      <c r="B532" s="483" t="s">
        <v>2595</v>
      </c>
      <c r="C532" s="481">
        <v>42801.0</v>
      </c>
      <c r="D532" s="480" t="s">
        <v>2596</v>
      </c>
      <c r="E532" s="480" t="s">
        <v>2597</v>
      </c>
      <c r="F532" s="480" t="s">
        <v>2598</v>
      </c>
      <c r="G532" s="480" t="s">
        <v>1235</v>
      </c>
      <c r="H532" s="465"/>
    </row>
    <row r="533">
      <c r="A533" s="463"/>
      <c r="B533" s="483" t="s">
        <v>2599</v>
      </c>
      <c r="C533" s="481">
        <v>42729.0</v>
      </c>
      <c r="D533" s="480" t="s">
        <v>2600</v>
      </c>
      <c r="E533" s="480" t="s">
        <v>2601</v>
      </c>
      <c r="F533" s="480" t="s">
        <v>2602</v>
      </c>
      <c r="G533" s="480" t="s">
        <v>2603</v>
      </c>
      <c r="H533" s="465"/>
    </row>
    <row r="534">
      <c r="A534" s="463"/>
      <c r="B534" s="480">
        <v>558.0</v>
      </c>
      <c r="C534" s="486">
        <v>42563.0</v>
      </c>
      <c r="D534" s="480" t="s">
        <v>2604</v>
      </c>
      <c r="E534" s="480" t="s">
        <v>2605</v>
      </c>
      <c r="F534" s="480" t="s">
        <v>2606</v>
      </c>
      <c r="G534" s="480" t="s">
        <v>2606</v>
      </c>
      <c r="H534" s="465"/>
    </row>
    <row r="535">
      <c r="A535" s="463"/>
      <c r="B535" s="483" t="s">
        <v>2607</v>
      </c>
      <c r="C535" s="481">
        <v>42788.0</v>
      </c>
      <c r="D535" s="480" t="s">
        <v>2608</v>
      </c>
      <c r="E535" s="480" t="s">
        <v>2609</v>
      </c>
      <c r="F535" s="480" t="s">
        <v>2610</v>
      </c>
      <c r="G535" s="480" t="s">
        <v>1470</v>
      </c>
      <c r="H535" s="465"/>
    </row>
    <row r="536">
      <c r="A536" s="463"/>
      <c r="B536" s="483" t="s">
        <v>2611</v>
      </c>
      <c r="C536" s="480" t="s">
        <v>1374</v>
      </c>
      <c r="D536" s="480" t="s">
        <v>2612</v>
      </c>
      <c r="E536" s="480" t="s">
        <v>2613</v>
      </c>
      <c r="F536" s="480" t="s">
        <v>2614</v>
      </c>
      <c r="G536" s="480" t="s">
        <v>2615</v>
      </c>
      <c r="H536" s="465"/>
    </row>
    <row r="537">
      <c r="A537" s="463"/>
      <c r="B537" s="483" t="s">
        <v>2616</v>
      </c>
      <c r="C537" s="480" t="s">
        <v>1374</v>
      </c>
      <c r="D537" s="480" t="s">
        <v>2617</v>
      </c>
      <c r="E537" s="480" t="s">
        <v>2618</v>
      </c>
      <c r="F537" s="480" t="s">
        <v>2619</v>
      </c>
      <c r="G537" s="480" t="s">
        <v>1470</v>
      </c>
      <c r="H537" s="465"/>
    </row>
    <row r="538">
      <c r="A538" s="463"/>
      <c r="B538" s="483" t="s">
        <v>2620</v>
      </c>
      <c r="C538" s="480" t="s">
        <v>1374</v>
      </c>
      <c r="D538" s="480" t="s">
        <v>2621</v>
      </c>
      <c r="E538" s="480" t="s">
        <v>2496</v>
      </c>
      <c r="F538" s="480" t="s">
        <v>2497</v>
      </c>
      <c r="G538" s="480" t="s">
        <v>2498</v>
      </c>
      <c r="H538" s="465"/>
    </row>
    <row r="539">
      <c r="A539" s="463"/>
      <c r="B539" s="480">
        <v>587.0</v>
      </c>
      <c r="C539" s="481">
        <v>43881.0</v>
      </c>
      <c r="D539" s="480" t="s">
        <v>2622</v>
      </c>
      <c r="E539" s="480" t="s">
        <v>2623</v>
      </c>
      <c r="F539" s="480" t="s">
        <v>2624</v>
      </c>
      <c r="G539" s="480" t="s">
        <v>1935</v>
      </c>
      <c r="H539" s="465"/>
    </row>
    <row r="540">
      <c r="A540" s="463"/>
      <c r="B540" s="483" t="s">
        <v>2625</v>
      </c>
      <c r="C540" s="481">
        <v>42713.0</v>
      </c>
      <c r="D540" s="480" t="s">
        <v>2626</v>
      </c>
      <c r="E540" s="480" t="s">
        <v>1023</v>
      </c>
      <c r="F540" s="480" t="s">
        <v>1024</v>
      </c>
      <c r="G540" s="480" t="s">
        <v>1025</v>
      </c>
      <c r="H540" s="465"/>
    </row>
    <row r="541">
      <c r="A541" s="463"/>
      <c r="B541" s="483" t="s">
        <v>2627</v>
      </c>
      <c r="C541" s="480" t="s">
        <v>1374</v>
      </c>
      <c r="D541" s="480" t="s">
        <v>2628</v>
      </c>
      <c r="E541" s="480" t="s">
        <v>2629</v>
      </c>
      <c r="F541" s="480" t="s">
        <v>2630</v>
      </c>
      <c r="G541" s="480" t="s">
        <v>1989</v>
      </c>
      <c r="H541" s="465"/>
    </row>
    <row r="542">
      <c r="A542" s="463"/>
      <c r="B542" s="483" t="s">
        <v>2631</v>
      </c>
      <c r="C542" s="480" t="s">
        <v>1374</v>
      </c>
      <c r="D542" s="480" t="s">
        <v>2632</v>
      </c>
      <c r="E542" s="480" t="s">
        <v>2633</v>
      </c>
      <c r="F542" s="480" t="s">
        <v>2634</v>
      </c>
      <c r="G542" s="480" t="s">
        <v>2635</v>
      </c>
      <c r="H542" s="465"/>
    </row>
    <row r="543">
      <c r="A543" s="463"/>
      <c r="B543" s="480">
        <v>616.0</v>
      </c>
      <c r="C543" s="480" t="s">
        <v>2636</v>
      </c>
      <c r="D543" s="480" t="s">
        <v>2637</v>
      </c>
      <c r="E543" s="480" t="s">
        <v>2638</v>
      </c>
      <c r="F543" s="480" t="s">
        <v>2639</v>
      </c>
      <c r="G543" s="480" t="s">
        <v>2640</v>
      </c>
      <c r="H543" s="465"/>
    </row>
    <row r="544">
      <c r="A544" s="463"/>
      <c r="B544" s="480">
        <v>625.0</v>
      </c>
      <c r="C544" s="483" t="s">
        <v>2641</v>
      </c>
      <c r="D544" s="480" t="s">
        <v>2642</v>
      </c>
      <c r="E544" s="480" t="s">
        <v>2609</v>
      </c>
      <c r="F544" s="480" t="s">
        <v>2610</v>
      </c>
      <c r="G544" s="480" t="s">
        <v>1470</v>
      </c>
      <c r="H544" s="465"/>
    </row>
    <row r="545">
      <c r="A545" s="463"/>
      <c r="B545" s="480">
        <v>635.0</v>
      </c>
      <c r="C545" s="481">
        <v>44106.0</v>
      </c>
      <c r="D545" s="480" t="s">
        <v>2643</v>
      </c>
      <c r="E545" s="480" t="s">
        <v>1108</v>
      </c>
      <c r="F545" s="480" t="s">
        <v>1109</v>
      </c>
      <c r="G545" s="480" t="s">
        <v>1110</v>
      </c>
      <c r="H545" s="465"/>
    </row>
    <row r="546">
      <c r="A546" s="463"/>
      <c r="B546" s="480">
        <v>657.0</v>
      </c>
      <c r="C546" s="481">
        <v>44204.0</v>
      </c>
      <c r="D546" s="480" t="s">
        <v>2644</v>
      </c>
      <c r="E546" s="480" t="s">
        <v>1007</v>
      </c>
      <c r="F546" s="480" t="s">
        <v>1008</v>
      </c>
      <c r="G546" s="480" t="s">
        <v>939</v>
      </c>
      <c r="H546" s="465"/>
    </row>
    <row r="547">
      <c r="A547" s="463"/>
      <c r="B547" s="480">
        <v>662.0</v>
      </c>
      <c r="C547" s="481">
        <v>42566.0</v>
      </c>
      <c r="D547" s="480" t="s">
        <v>2645</v>
      </c>
      <c r="E547" s="480" t="s">
        <v>2646</v>
      </c>
      <c r="F547" s="480" t="s">
        <v>2647</v>
      </c>
      <c r="G547" s="480" t="s">
        <v>2648</v>
      </c>
      <c r="H547" s="465"/>
    </row>
    <row r="548">
      <c r="A548" s="463"/>
      <c r="B548" s="480">
        <v>663.0</v>
      </c>
      <c r="C548" s="481">
        <v>42566.0</v>
      </c>
      <c r="D548" s="480" t="s">
        <v>2649</v>
      </c>
      <c r="E548" s="480" t="s">
        <v>2646</v>
      </c>
      <c r="F548" s="480" t="s">
        <v>2647</v>
      </c>
      <c r="G548" s="480" t="s">
        <v>2648</v>
      </c>
      <c r="H548" s="465"/>
    </row>
    <row r="549">
      <c r="A549" s="463"/>
      <c r="B549" s="480">
        <v>664.0</v>
      </c>
      <c r="C549" s="480" t="s">
        <v>2650</v>
      </c>
      <c r="D549" s="480" t="s">
        <v>2651</v>
      </c>
      <c r="E549" s="480" t="s">
        <v>2652</v>
      </c>
      <c r="F549" s="480" t="s">
        <v>2653</v>
      </c>
      <c r="G549" s="480" t="s">
        <v>1478</v>
      </c>
      <c r="H549" s="465"/>
    </row>
    <row r="550">
      <c r="A550" s="463"/>
      <c r="B550" s="483" t="s">
        <v>2654</v>
      </c>
      <c r="C550" s="481">
        <v>42665.0</v>
      </c>
      <c r="D550" s="480" t="s">
        <v>2655</v>
      </c>
      <c r="E550" s="480" t="s">
        <v>2656</v>
      </c>
      <c r="F550" s="480" t="s">
        <v>2657</v>
      </c>
      <c r="G550" s="480" t="s">
        <v>2658</v>
      </c>
      <c r="H550" s="465"/>
    </row>
    <row r="551">
      <c r="A551" s="463"/>
      <c r="B551" s="483" t="s">
        <v>2659</v>
      </c>
      <c r="C551" s="481">
        <v>42729.0</v>
      </c>
      <c r="D551" s="480" t="s">
        <v>2660</v>
      </c>
      <c r="E551" s="480" t="s">
        <v>2661</v>
      </c>
      <c r="F551" s="480" t="s">
        <v>2662</v>
      </c>
      <c r="G551" s="480" t="s">
        <v>2663</v>
      </c>
      <c r="H551" s="465"/>
    </row>
    <row r="552">
      <c r="A552" s="463"/>
      <c r="B552" s="483" t="s">
        <v>2664</v>
      </c>
      <c r="C552" s="481">
        <v>42882.0</v>
      </c>
      <c r="D552" s="480" t="s">
        <v>2665</v>
      </c>
      <c r="E552" s="480" t="s">
        <v>2666</v>
      </c>
      <c r="F552" s="480" t="s">
        <v>2667</v>
      </c>
      <c r="G552" s="480" t="s">
        <v>2668</v>
      </c>
      <c r="H552" s="465"/>
    </row>
    <row r="553">
      <c r="A553" s="463"/>
      <c r="B553" s="483" t="s">
        <v>2669</v>
      </c>
      <c r="C553" s="481">
        <v>42816.0</v>
      </c>
      <c r="D553" s="480" t="s">
        <v>2670</v>
      </c>
      <c r="E553" s="480" t="s">
        <v>1108</v>
      </c>
      <c r="F553" s="480" t="s">
        <v>1109</v>
      </c>
      <c r="G553" s="480" t="s">
        <v>1110</v>
      </c>
      <c r="H553" s="465"/>
    </row>
    <row r="554">
      <c r="A554" s="463"/>
      <c r="B554" s="483" t="s">
        <v>2671</v>
      </c>
      <c r="C554" s="481">
        <v>42760.0</v>
      </c>
      <c r="D554" s="480" t="s">
        <v>2672</v>
      </c>
      <c r="E554" s="480" t="s">
        <v>1360</v>
      </c>
      <c r="F554" s="480" t="s">
        <v>1361</v>
      </c>
      <c r="G554" s="480" t="s">
        <v>1196</v>
      </c>
      <c r="H554" s="465"/>
    </row>
    <row r="555">
      <c r="A555" s="463"/>
      <c r="B555" s="483" t="s">
        <v>2673</v>
      </c>
      <c r="C555" s="481">
        <v>42788.0</v>
      </c>
      <c r="D555" s="480" t="s">
        <v>2674</v>
      </c>
      <c r="E555" s="480" t="s">
        <v>2675</v>
      </c>
      <c r="F555" s="480" t="s">
        <v>2676</v>
      </c>
      <c r="G555" s="480" t="s">
        <v>920</v>
      </c>
      <c r="H555" s="465"/>
    </row>
    <row r="556">
      <c r="A556" s="463"/>
      <c r="B556" s="480">
        <v>671.0</v>
      </c>
      <c r="C556" s="486">
        <v>42578.0</v>
      </c>
      <c r="D556" s="480" t="s">
        <v>2677</v>
      </c>
      <c r="E556" s="480" t="s">
        <v>2633</v>
      </c>
      <c r="F556" s="480" t="s">
        <v>2634</v>
      </c>
      <c r="G556" s="480" t="s">
        <v>2635</v>
      </c>
      <c r="H556" s="465"/>
    </row>
    <row r="557">
      <c r="A557" s="463"/>
      <c r="B557" s="483" t="s">
        <v>2678</v>
      </c>
      <c r="C557" s="481">
        <v>42762.0</v>
      </c>
      <c r="D557" s="480" t="s">
        <v>2679</v>
      </c>
      <c r="E557" s="480" t="s">
        <v>2680</v>
      </c>
      <c r="F557" s="480" t="s">
        <v>2681</v>
      </c>
      <c r="G557" s="480" t="s">
        <v>2682</v>
      </c>
      <c r="H557" s="465"/>
    </row>
    <row r="558">
      <c r="A558" s="463"/>
      <c r="B558" s="483" t="s">
        <v>2683</v>
      </c>
      <c r="C558" s="481">
        <v>42696.0</v>
      </c>
      <c r="D558" s="480" t="s">
        <v>2684</v>
      </c>
      <c r="E558" s="480" t="s">
        <v>1636</v>
      </c>
      <c r="F558" s="480" t="s">
        <v>1637</v>
      </c>
      <c r="G558" s="480" t="s">
        <v>1554</v>
      </c>
      <c r="H558" s="465"/>
    </row>
    <row r="559">
      <c r="A559" s="463"/>
      <c r="B559" s="483" t="s">
        <v>2685</v>
      </c>
      <c r="C559" s="481">
        <v>42665.0</v>
      </c>
      <c r="D559" s="480" t="s">
        <v>2686</v>
      </c>
      <c r="E559" s="480" t="s">
        <v>2687</v>
      </c>
      <c r="F559" s="480" t="s">
        <v>2688</v>
      </c>
      <c r="G559" s="480" t="s">
        <v>2199</v>
      </c>
      <c r="H559" s="465"/>
    </row>
    <row r="560">
      <c r="A560" s="463"/>
      <c r="B560" s="480">
        <v>675.0</v>
      </c>
      <c r="C560" s="486">
        <v>43628.0</v>
      </c>
      <c r="D560" s="480" t="s">
        <v>2689</v>
      </c>
      <c r="E560" s="480" t="s">
        <v>2690</v>
      </c>
      <c r="F560" s="480" t="s">
        <v>2691</v>
      </c>
      <c r="G560" s="480" t="s">
        <v>1249</v>
      </c>
      <c r="H560" s="465"/>
    </row>
    <row r="561">
      <c r="A561" s="463"/>
      <c r="B561" s="483" t="s">
        <v>2692</v>
      </c>
      <c r="C561" s="487">
        <v>42634.0</v>
      </c>
      <c r="D561" s="480" t="s">
        <v>2693</v>
      </c>
      <c r="E561" s="480" t="s">
        <v>2694</v>
      </c>
      <c r="F561" s="480" t="s">
        <v>2695</v>
      </c>
      <c r="G561" s="480" t="s">
        <v>2696</v>
      </c>
      <c r="H561" s="465"/>
    </row>
    <row r="562">
      <c r="A562" s="463"/>
      <c r="B562" s="483" t="s">
        <v>2697</v>
      </c>
      <c r="C562" s="487">
        <v>42626.0</v>
      </c>
      <c r="D562" s="480" t="s">
        <v>2698</v>
      </c>
      <c r="E562" s="480" t="s">
        <v>2699</v>
      </c>
      <c r="F562" s="480" t="s">
        <v>2700</v>
      </c>
      <c r="G562" s="480" t="s">
        <v>2701</v>
      </c>
      <c r="H562" s="465"/>
    </row>
    <row r="563">
      <c r="A563" s="463"/>
      <c r="B563" s="483" t="s">
        <v>2702</v>
      </c>
      <c r="C563" s="481">
        <v>42726.0</v>
      </c>
      <c r="D563" s="480" t="s">
        <v>2703</v>
      </c>
      <c r="E563" s="480" t="s">
        <v>2340</v>
      </c>
      <c r="F563" s="480" t="s">
        <v>2341</v>
      </c>
      <c r="G563" s="480" t="s">
        <v>2342</v>
      </c>
      <c r="H563" s="465"/>
    </row>
    <row r="564">
      <c r="A564" s="463"/>
      <c r="B564" s="483" t="s">
        <v>2704</v>
      </c>
      <c r="C564" s="481">
        <v>42788.0</v>
      </c>
      <c r="D564" s="480" t="s">
        <v>2705</v>
      </c>
      <c r="E564" s="480" t="s">
        <v>2204</v>
      </c>
      <c r="F564" s="480" t="s">
        <v>2205</v>
      </c>
      <c r="G564" s="480" t="s">
        <v>2206</v>
      </c>
      <c r="H564" s="465"/>
    </row>
    <row r="565">
      <c r="A565" s="463"/>
      <c r="B565" s="483" t="s">
        <v>2706</v>
      </c>
      <c r="C565" s="481">
        <v>42788.0</v>
      </c>
      <c r="D565" s="480" t="s">
        <v>2707</v>
      </c>
      <c r="E565" s="480" t="s">
        <v>2708</v>
      </c>
      <c r="F565" s="480" t="s">
        <v>2709</v>
      </c>
      <c r="G565" s="480" t="s">
        <v>1196</v>
      </c>
      <c r="H565" s="465"/>
    </row>
    <row r="566">
      <c r="A566" s="463"/>
      <c r="B566" s="483" t="s">
        <v>2710</v>
      </c>
      <c r="C566" s="481">
        <v>42816.0</v>
      </c>
      <c r="D566" s="480" t="s">
        <v>2711</v>
      </c>
      <c r="E566" s="480" t="s">
        <v>2712</v>
      </c>
      <c r="F566" s="480" t="s">
        <v>2713</v>
      </c>
      <c r="G566" s="480" t="s">
        <v>2696</v>
      </c>
      <c r="H566" s="465"/>
    </row>
    <row r="567">
      <c r="A567" s="463"/>
      <c r="B567" s="483" t="s">
        <v>2714</v>
      </c>
      <c r="C567" s="481">
        <v>42819.0</v>
      </c>
      <c r="D567" s="480" t="s">
        <v>2715</v>
      </c>
      <c r="E567" s="480" t="s">
        <v>2716</v>
      </c>
      <c r="F567" s="480" t="s">
        <v>2717</v>
      </c>
      <c r="G567" s="480" t="s">
        <v>2718</v>
      </c>
      <c r="H567" s="465"/>
    </row>
    <row r="568">
      <c r="A568" s="463"/>
      <c r="B568" s="483" t="s">
        <v>2719</v>
      </c>
      <c r="C568" s="481">
        <v>42819.0</v>
      </c>
      <c r="D568" s="480" t="s">
        <v>2720</v>
      </c>
      <c r="E568" s="480" t="s">
        <v>2721</v>
      </c>
      <c r="F568" s="480" t="s">
        <v>2722</v>
      </c>
      <c r="G568" s="480" t="s">
        <v>2386</v>
      </c>
      <c r="H568" s="465"/>
    </row>
    <row r="569">
      <c r="A569" s="463"/>
      <c r="B569" s="483" t="s">
        <v>2723</v>
      </c>
      <c r="C569" s="481">
        <v>42973.0</v>
      </c>
      <c r="D569" s="480" t="s">
        <v>2724</v>
      </c>
      <c r="E569" s="480" t="s">
        <v>2725</v>
      </c>
      <c r="F569" s="480" t="s">
        <v>2726</v>
      </c>
      <c r="G569" s="480" t="s">
        <v>2727</v>
      </c>
      <c r="H569" s="465"/>
    </row>
    <row r="570">
      <c r="A570" s="463"/>
      <c r="B570" s="483" t="s">
        <v>2728</v>
      </c>
      <c r="C570" s="481">
        <v>42816.0</v>
      </c>
      <c r="D570" s="480" t="s">
        <v>2729</v>
      </c>
      <c r="E570" s="480" t="s">
        <v>2730</v>
      </c>
      <c r="F570" s="480" t="s">
        <v>2731</v>
      </c>
      <c r="G570" s="480" t="s">
        <v>2732</v>
      </c>
      <c r="H570" s="465"/>
    </row>
    <row r="571">
      <c r="A571" s="463"/>
      <c r="B571" s="483" t="s">
        <v>2733</v>
      </c>
      <c r="C571" s="481">
        <v>42816.0</v>
      </c>
      <c r="D571" s="480" t="s">
        <v>2734</v>
      </c>
      <c r="E571" s="480" t="s">
        <v>937</v>
      </c>
      <c r="F571" s="480" t="s">
        <v>938</v>
      </c>
      <c r="G571" s="480" t="s">
        <v>939</v>
      </c>
      <c r="H571" s="465"/>
    </row>
    <row r="572">
      <c r="A572" s="463"/>
      <c r="B572" s="483" t="s">
        <v>2735</v>
      </c>
      <c r="C572" s="481">
        <v>42816.0</v>
      </c>
      <c r="D572" s="480" t="s">
        <v>2736</v>
      </c>
      <c r="E572" s="480" t="s">
        <v>2737</v>
      </c>
      <c r="F572" s="480" t="s">
        <v>2738</v>
      </c>
      <c r="G572" s="480" t="s">
        <v>2739</v>
      </c>
      <c r="H572" s="465"/>
    </row>
    <row r="573">
      <c r="A573" s="463"/>
      <c r="B573" s="483" t="s">
        <v>2740</v>
      </c>
      <c r="C573" s="481">
        <v>42760.0</v>
      </c>
      <c r="D573" s="480" t="s">
        <v>2741</v>
      </c>
      <c r="E573" s="480" t="s">
        <v>2742</v>
      </c>
      <c r="F573" s="480" t="s">
        <v>2743</v>
      </c>
      <c r="G573" s="480" t="s">
        <v>2744</v>
      </c>
      <c r="H573" s="465"/>
    </row>
    <row r="574">
      <c r="A574" s="463"/>
      <c r="B574" s="483" t="s">
        <v>2745</v>
      </c>
      <c r="C574" s="481">
        <v>42816.0</v>
      </c>
      <c r="D574" s="480" t="s">
        <v>2746</v>
      </c>
      <c r="E574" s="480" t="s">
        <v>1811</v>
      </c>
      <c r="F574" s="480" t="s">
        <v>1812</v>
      </c>
      <c r="G574" s="480" t="s">
        <v>1523</v>
      </c>
      <c r="H574" s="465"/>
    </row>
    <row r="575">
      <c r="A575" s="463"/>
      <c r="B575" s="483" t="s">
        <v>2747</v>
      </c>
      <c r="C575" s="481">
        <v>42788.0</v>
      </c>
      <c r="D575" s="480" t="s">
        <v>2748</v>
      </c>
      <c r="E575" s="480" t="s">
        <v>2749</v>
      </c>
      <c r="F575" s="480" t="s">
        <v>2750</v>
      </c>
      <c r="G575" s="480" t="s">
        <v>1562</v>
      </c>
      <c r="H575" s="465"/>
    </row>
    <row r="576">
      <c r="A576" s="463"/>
      <c r="B576" s="483" t="s">
        <v>2751</v>
      </c>
      <c r="C576" s="481">
        <v>42847.0</v>
      </c>
      <c r="D576" s="480" t="s">
        <v>2752</v>
      </c>
      <c r="E576" s="480" t="s">
        <v>2753</v>
      </c>
      <c r="F576" s="480" t="s">
        <v>2754</v>
      </c>
      <c r="G576" s="480" t="s">
        <v>955</v>
      </c>
      <c r="H576" s="465"/>
    </row>
    <row r="577">
      <c r="A577" s="463"/>
      <c r="B577" s="483" t="s">
        <v>2755</v>
      </c>
      <c r="C577" s="480" t="s">
        <v>1374</v>
      </c>
      <c r="D577" s="480" t="s">
        <v>2756</v>
      </c>
      <c r="E577" s="480" t="s">
        <v>1104</v>
      </c>
      <c r="F577" s="480" t="s">
        <v>1105</v>
      </c>
      <c r="G577" s="480" t="s">
        <v>1106</v>
      </c>
      <c r="H577" s="465"/>
    </row>
    <row r="578">
      <c r="A578" s="463"/>
      <c r="B578" s="483" t="s">
        <v>2757</v>
      </c>
      <c r="C578" s="481">
        <v>42941.0</v>
      </c>
      <c r="D578" s="480" t="s">
        <v>2758</v>
      </c>
      <c r="E578" s="480" t="s">
        <v>2759</v>
      </c>
      <c r="F578" s="480" t="s">
        <v>2760</v>
      </c>
      <c r="G578" s="480" t="s">
        <v>2761</v>
      </c>
      <c r="H578" s="465"/>
    </row>
    <row r="579">
      <c r="A579" s="463"/>
      <c r="B579" s="483" t="s">
        <v>2762</v>
      </c>
      <c r="C579" s="481">
        <v>42685.0</v>
      </c>
      <c r="D579" s="480" t="s">
        <v>2763</v>
      </c>
      <c r="E579" s="480" t="s">
        <v>1552</v>
      </c>
      <c r="F579" s="480" t="s">
        <v>1553</v>
      </c>
      <c r="G579" s="480" t="s">
        <v>1554</v>
      </c>
      <c r="H579" s="465"/>
    </row>
    <row r="580">
      <c r="A580" s="463"/>
      <c r="B580" s="483" t="s">
        <v>2764</v>
      </c>
      <c r="C580" s="481">
        <v>42816.0</v>
      </c>
      <c r="D580" s="480" t="s">
        <v>2765</v>
      </c>
      <c r="E580" s="480" t="s">
        <v>2766</v>
      </c>
      <c r="F580" s="480" t="s">
        <v>2767</v>
      </c>
      <c r="G580" s="480" t="s">
        <v>1285</v>
      </c>
      <c r="H580" s="465"/>
    </row>
    <row r="581">
      <c r="A581" s="463"/>
      <c r="B581" s="483" t="s">
        <v>2768</v>
      </c>
      <c r="C581" s="481">
        <v>42873.0</v>
      </c>
      <c r="D581" s="480" t="s">
        <v>2769</v>
      </c>
      <c r="E581" s="480" t="s">
        <v>2770</v>
      </c>
      <c r="F581" s="480" t="s">
        <v>2771</v>
      </c>
      <c r="G581" s="480" t="s">
        <v>2772</v>
      </c>
      <c r="H581" s="465"/>
    </row>
    <row r="582">
      <c r="A582" s="463"/>
      <c r="B582" s="480">
        <v>700.0</v>
      </c>
      <c r="C582" s="486">
        <v>42990.0</v>
      </c>
      <c r="D582" s="480" t="s">
        <v>2773</v>
      </c>
      <c r="E582" s="480" t="s">
        <v>2774</v>
      </c>
      <c r="F582" s="480" t="s">
        <v>2775</v>
      </c>
      <c r="G582" s="480" t="s">
        <v>2776</v>
      </c>
      <c r="H582" s="465"/>
    </row>
    <row r="583">
      <c r="A583" s="463"/>
      <c r="B583" s="483" t="s">
        <v>2777</v>
      </c>
      <c r="C583" s="481">
        <v>42788.0</v>
      </c>
      <c r="D583" s="480" t="s">
        <v>2778</v>
      </c>
      <c r="E583" s="480" t="s">
        <v>2779</v>
      </c>
      <c r="F583" s="480" t="s">
        <v>2780</v>
      </c>
      <c r="G583" s="480" t="s">
        <v>939</v>
      </c>
      <c r="H583" s="465"/>
    </row>
    <row r="584">
      <c r="A584" s="463"/>
      <c r="B584" s="483" t="s">
        <v>2781</v>
      </c>
      <c r="C584" s="481">
        <v>42713.0</v>
      </c>
      <c r="D584" s="480" t="s">
        <v>2782</v>
      </c>
      <c r="E584" s="480" t="s">
        <v>2085</v>
      </c>
      <c r="F584" s="480" t="s">
        <v>2086</v>
      </c>
      <c r="G584" s="480" t="s">
        <v>2087</v>
      </c>
      <c r="H584" s="465"/>
    </row>
    <row r="585">
      <c r="A585" s="463"/>
      <c r="B585" s="483" t="s">
        <v>2783</v>
      </c>
      <c r="C585" s="480" t="s">
        <v>1374</v>
      </c>
      <c r="D585" s="480" t="s">
        <v>2784</v>
      </c>
      <c r="E585" s="480" t="s">
        <v>2785</v>
      </c>
      <c r="F585" s="480" t="s">
        <v>2786</v>
      </c>
      <c r="G585" s="480" t="s">
        <v>2787</v>
      </c>
      <c r="H585" s="465"/>
    </row>
    <row r="586">
      <c r="A586" s="463"/>
      <c r="B586" s="483" t="s">
        <v>2788</v>
      </c>
      <c r="C586" s="481">
        <v>42726.0</v>
      </c>
      <c r="D586" s="480" t="s">
        <v>2789</v>
      </c>
      <c r="E586" s="480" t="s">
        <v>1647</v>
      </c>
      <c r="F586" s="480" t="s">
        <v>1648</v>
      </c>
      <c r="G586" s="480" t="s">
        <v>1449</v>
      </c>
      <c r="H586" s="465"/>
    </row>
    <row r="587">
      <c r="A587" s="463"/>
      <c r="B587" s="483" t="s">
        <v>2790</v>
      </c>
      <c r="C587" s="481">
        <v>42877.0</v>
      </c>
      <c r="D587" s="480" t="s">
        <v>2791</v>
      </c>
      <c r="E587" s="480" t="s">
        <v>1838</v>
      </c>
      <c r="F587" s="480" t="s">
        <v>1839</v>
      </c>
      <c r="G587" s="480" t="s">
        <v>1840</v>
      </c>
      <c r="H587" s="465"/>
    </row>
    <row r="588">
      <c r="A588" s="463"/>
      <c r="B588" s="480">
        <v>707.0</v>
      </c>
      <c r="C588" s="486">
        <v>43005.0</v>
      </c>
      <c r="D588" s="480" t="s">
        <v>2792</v>
      </c>
      <c r="E588" s="480" t="s">
        <v>2793</v>
      </c>
      <c r="F588" s="480" t="s">
        <v>2794</v>
      </c>
      <c r="G588" s="480" t="s">
        <v>2795</v>
      </c>
      <c r="H588" s="465"/>
    </row>
    <row r="589">
      <c r="A589" s="463"/>
      <c r="B589" s="483" t="s">
        <v>2796</v>
      </c>
      <c r="C589" s="481">
        <v>42699.0</v>
      </c>
      <c r="D589" s="480" t="s">
        <v>2797</v>
      </c>
      <c r="E589" s="480" t="s">
        <v>1331</v>
      </c>
      <c r="F589" s="480" t="s">
        <v>1332</v>
      </c>
      <c r="G589" s="480" t="s">
        <v>1333</v>
      </c>
      <c r="H589" s="465"/>
    </row>
    <row r="590">
      <c r="A590" s="463"/>
      <c r="B590" s="480">
        <v>710.0</v>
      </c>
      <c r="C590" s="481">
        <v>42908.0</v>
      </c>
      <c r="D590" s="480" t="s">
        <v>2798</v>
      </c>
      <c r="E590" s="480" t="s">
        <v>2799</v>
      </c>
      <c r="F590" s="480" t="s">
        <v>2800</v>
      </c>
      <c r="G590" s="480" t="s">
        <v>2801</v>
      </c>
      <c r="H590" s="465"/>
    </row>
    <row r="591">
      <c r="A591" s="463"/>
      <c r="B591" s="483" t="s">
        <v>2802</v>
      </c>
      <c r="C591" s="481">
        <v>42877.0</v>
      </c>
      <c r="D591" s="480" t="s">
        <v>2803</v>
      </c>
      <c r="E591" s="480" t="s">
        <v>2804</v>
      </c>
      <c r="F591" s="480" t="s">
        <v>2805</v>
      </c>
      <c r="G591" s="480" t="s">
        <v>2806</v>
      </c>
      <c r="H591" s="465"/>
    </row>
    <row r="592">
      <c r="A592" s="463"/>
      <c r="B592" s="483" t="s">
        <v>2807</v>
      </c>
      <c r="C592" s="480" t="s">
        <v>1374</v>
      </c>
      <c r="D592" s="480" t="s">
        <v>2808</v>
      </c>
      <c r="E592" s="480" t="s">
        <v>2809</v>
      </c>
      <c r="F592" s="480" t="s">
        <v>2810</v>
      </c>
      <c r="G592" s="480" t="s">
        <v>2811</v>
      </c>
      <c r="H592" s="465"/>
    </row>
    <row r="593">
      <c r="A593" s="463"/>
      <c r="B593" s="483" t="s">
        <v>2812</v>
      </c>
      <c r="C593" s="481">
        <v>42938.0</v>
      </c>
      <c r="D593" s="480" t="s">
        <v>2813</v>
      </c>
      <c r="E593" s="480" t="s">
        <v>2814</v>
      </c>
      <c r="F593" s="480" t="s">
        <v>2815</v>
      </c>
      <c r="G593" s="480" t="s">
        <v>2816</v>
      </c>
      <c r="H593" s="465"/>
    </row>
    <row r="594">
      <c r="A594" s="463"/>
      <c r="B594" s="483" t="s">
        <v>2817</v>
      </c>
      <c r="C594" s="481">
        <v>42969.0</v>
      </c>
      <c r="D594" s="480" t="s">
        <v>2818</v>
      </c>
      <c r="E594" s="480" t="s">
        <v>2819</v>
      </c>
      <c r="F594" s="480" t="s">
        <v>2820</v>
      </c>
      <c r="G594" s="480" t="s">
        <v>2821</v>
      </c>
      <c r="H594" s="482" t="s">
        <v>2822</v>
      </c>
    </row>
    <row r="595">
      <c r="A595" s="463"/>
      <c r="B595" s="483" t="s">
        <v>2823</v>
      </c>
      <c r="C595" s="481">
        <v>42882.0</v>
      </c>
      <c r="D595" s="480" t="s">
        <v>2824</v>
      </c>
      <c r="E595" s="480" t="s">
        <v>2825</v>
      </c>
      <c r="F595" s="480" t="s">
        <v>2826</v>
      </c>
      <c r="G595" s="480" t="s">
        <v>1110</v>
      </c>
      <c r="H595" s="465"/>
    </row>
    <row r="596">
      <c r="A596" s="463"/>
      <c r="B596" s="480">
        <v>718.0</v>
      </c>
      <c r="C596" s="481">
        <v>42910.0</v>
      </c>
      <c r="D596" s="480" t="s">
        <v>2827</v>
      </c>
      <c r="E596" s="480" t="s">
        <v>2828</v>
      </c>
      <c r="F596" s="480" t="s">
        <v>2829</v>
      </c>
      <c r="G596" s="480" t="s">
        <v>2830</v>
      </c>
      <c r="H596" s="465"/>
    </row>
    <row r="597">
      <c r="A597" s="463"/>
      <c r="B597" s="483" t="s">
        <v>2831</v>
      </c>
      <c r="C597" s="481">
        <v>42823.0</v>
      </c>
      <c r="D597" s="480" t="s">
        <v>2832</v>
      </c>
      <c r="E597" s="480" t="s">
        <v>2833</v>
      </c>
      <c r="F597" s="480" t="s">
        <v>2834</v>
      </c>
      <c r="G597" s="480" t="s">
        <v>2835</v>
      </c>
      <c r="H597" s="465"/>
    </row>
    <row r="598">
      <c r="A598" s="463"/>
      <c r="B598" s="483" t="s">
        <v>2836</v>
      </c>
      <c r="C598" s="481">
        <v>42880.0</v>
      </c>
      <c r="D598" s="480" t="s">
        <v>2837</v>
      </c>
      <c r="E598" s="480" t="s">
        <v>1733</v>
      </c>
      <c r="F598" s="480" t="s">
        <v>1734</v>
      </c>
      <c r="G598" s="480" t="s">
        <v>1735</v>
      </c>
      <c r="H598" s="465"/>
    </row>
    <row r="599">
      <c r="A599" s="463"/>
      <c r="B599" s="483" t="s">
        <v>2838</v>
      </c>
      <c r="C599" s="481">
        <v>42882.0</v>
      </c>
      <c r="D599" s="480" t="s">
        <v>2839</v>
      </c>
      <c r="E599" s="480" t="s">
        <v>2840</v>
      </c>
      <c r="F599" s="480" t="s">
        <v>2841</v>
      </c>
      <c r="G599" s="480" t="s">
        <v>2842</v>
      </c>
      <c r="H599" s="465"/>
    </row>
    <row r="600">
      <c r="A600" s="463"/>
      <c r="B600" s="483" t="s">
        <v>2843</v>
      </c>
      <c r="C600" s="481">
        <v>42969.0</v>
      </c>
      <c r="D600" s="480" t="s">
        <v>2844</v>
      </c>
      <c r="E600" s="480" t="s">
        <v>2060</v>
      </c>
      <c r="F600" s="480" t="s">
        <v>2061</v>
      </c>
      <c r="G600" s="480" t="s">
        <v>2062</v>
      </c>
      <c r="H600" s="465"/>
    </row>
    <row r="601">
      <c r="A601" s="463"/>
      <c r="B601" s="483" t="s">
        <v>2845</v>
      </c>
      <c r="C601" s="481">
        <v>43061.0</v>
      </c>
      <c r="D601" s="480" t="s">
        <v>2846</v>
      </c>
      <c r="E601" s="480" t="s">
        <v>2847</v>
      </c>
      <c r="F601" s="480" t="s">
        <v>2848</v>
      </c>
      <c r="G601" s="480" t="s">
        <v>2849</v>
      </c>
      <c r="H601" s="465"/>
    </row>
    <row r="602">
      <c r="A602" s="463"/>
      <c r="B602" s="480">
        <v>726.0</v>
      </c>
      <c r="C602" s="486">
        <v>43000.0</v>
      </c>
      <c r="D602" s="480" t="s">
        <v>2850</v>
      </c>
      <c r="E602" s="480" t="s">
        <v>2851</v>
      </c>
      <c r="F602" s="480" t="s">
        <v>2852</v>
      </c>
      <c r="G602" s="480" t="s">
        <v>2853</v>
      </c>
      <c r="H602" s="465"/>
    </row>
    <row r="603">
      <c r="A603" s="463"/>
      <c r="B603" s="480">
        <v>727.0</v>
      </c>
      <c r="C603" s="481">
        <v>42908.0</v>
      </c>
      <c r="D603" s="480" t="s">
        <v>2854</v>
      </c>
      <c r="E603" s="480" t="s">
        <v>2855</v>
      </c>
      <c r="F603" s="480" t="s">
        <v>2856</v>
      </c>
      <c r="G603" s="480" t="s">
        <v>2450</v>
      </c>
      <c r="H603" s="465"/>
    </row>
    <row r="604">
      <c r="A604" s="463"/>
      <c r="B604" s="480">
        <v>728.0</v>
      </c>
      <c r="C604" s="486">
        <v>42991.0</v>
      </c>
      <c r="D604" s="480" t="s">
        <v>2857</v>
      </c>
      <c r="E604" s="480" t="s">
        <v>2858</v>
      </c>
      <c r="F604" s="480" t="s">
        <v>2859</v>
      </c>
      <c r="G604" s="480" t="s">
        <v>2860</v>
      </c>
      <c r="H604" s="465"/>
    </row>
    <row r="605">
      <c r="A605" s="463"/>
      <c r="B605" s="483" t="s">
        <v>2861</v>
      </c>
      <c r="C605" s="481">
        <v>42788.0</v>
      </c>
      <c r="D605" s="480" t="s">
        <v>2862</v>
      </c>
      <c r="E605" s="480" t="s">
        <v>2516</v>
      </c>
      <c r="F605" s="480" t="s">
        <v>2517</v>
      </c>
      <c r="G605" s="480" t="s">
        <v>2518</v>
      </c>
      <c r="H605" s="465"/>
    </row>
    <row r="606">
      <c r="A606" s="463"/>
      <c r="B606" s="480">
        <v>730.0</v>
      </c>
      <c r="C606" s="481">
        <v>42910.0</v>
      </c>
      <c r="D606" s="480" t="s">
        <v>2863</v>
      </c>
      <c r="E606" s="480" t="s">
        <v>2864</v>
      </c>
      <c r="F606" s="480" t="s">
        <v>2865</v>
      </c>
      <c r="G606" s="480" t="s">
        <v>2866</v>
      </c>
      <c r="H606" s="482" t="s">
        <v>2867</v>
      </c>
    </row>
    <row r="607">
      <c r="A607" s="463"/>
      <c r="B607" s="480">
        <v>731.0</v>
      </c>
      <c r="C607" s="481">
        <v>42899.0</v>
      </c>
      <c r="D607" s="480" t="s">
        <v>2868</v>
      </c>
      <c r="E607" s="480" t="s">
        <v>2869</v>
      </c>
      <c r="F607" s="480" t="s">
        <v>2870</v>
      </c>
      <c r="G607" s="480" t="s">
        <v>2871</v>
      </c>
      <c r="H607" s="482" t="s">
        <v>1241</v>
      </c>
    </row>
    <row r="608">
      <c r="A608" s="463"/>
      <c r="B608" s="483" t="s">
        <v>2872</v>
      </c>
      <c r="C608" s="481">
        <v>42972.0</v>
      </c>
      <c r="D608" s="480" t="s">
        <v>2873</v>
      </c>
      <c r="E608" s="480" t="s">
        <v>2874</v>
      </c>
      <c r="F608" s="480" t="s">
        <v>2875</v>
      </c>
      <c r="G608" s="480" t="s">
        <v>2876</v>
      </c>
      <c r="H608" s="465"/>
    </row>
    <row r="609">
      <c r="A609" s="463"/>
      <c r="B609" s="480">
        <v>733.0</v>
      </c>
      <c r="C609" s="486">
        <v>43003.0</v>
      </c>
      <c r="D609" s="480" t="s">
        <v>2877</v>
      </c>
      <c r="E609" s="480" t="s">
        <v>2878</v>
      </c>
      <c r="F609" s="480" t="s">
        <v>2879</v>
      </c>
      <c r="G609" s="480" t="s">
        <v>2880</v>
      </c>
      <c r="H609" s="465"/>
    </row>
    <row r="610">
      <c r="A610" s="463"/>
      <c r="B610" s="480">
        <v>734.0</v>
      </c>
      <c r="C610" s="481">
        <v>42910.0</v>
      </c>
      <c r="D610" s="480" t="s">
        <v>2881</v>
      </c>
      <c r="E610" s="480" t="s">
        <v>2882</v>
      </c>
      <c r="F610" s="480" t="s">
        <v>2883</v>
      </c>
      <c r="G610" s="480" t="s">
        <v>2884</v>
      </c>
      <c r="H610" s="465"/>
    </row>
    <row r="611">
      <c r="A611" s="463"/>
      <c r="B611" s="483" t="s">
        <v>2885</v>
      </c>
      <c r="C611" s="481">
        <v>42938.0</v>
      </c>
      <c r="D611" s="480" t="s">
        <v>2886</v>
      </c>
      <c r="E611" s="480" t="s">
        <v>2887</v>
      </c>
      <c r="F611" s="480" t="s">
        <v>2888</v>
      </c>
      <c r="G611" s="480" t="s">
        <v>2889</v>
      </c>
      <c r="H611" s="465"/>
    </row>
    <row r="612">
      <c r="A612" s="463"/>
      <c r="B612" s="480">
        <v>736.0</v>
      </c>
      <c r="C612" s="486">
        <v>43186.0</v>
      </c>
      <c r="D612" s="480" t="s">
        <v>2890</v>
      </c>
      <c r="E612" s="480" t="s">
        <v>2891</v>
      </c>
      <c r="F612" s="480" t="s">
        <v>2892</v>
      </c>
      <c r="G612" s="480" t="s">
        <v>2893</v>
      </c>
      <c r="H612" s="482" t="s">
        <v>2894</v>
      </c>
    </row>
    <row r="613">
      <c r="A613" s="463"/>
      <c r="B613" s="480">
        <v>737.0</v>
      </c>
      <c r="C613" s="486">
        <v>43003.0</v>
      </c>
      <c r="D613" s="480" t="s">
        <v>2895</v>
      </c>
      <c r="E613" s="480" t="s">
        <v>2896</v>
      </c>
      <c r="F613" s="480" t="s">
        <v>2897</v>
      </c>
      <c r="G613" s="480" t="s">
        <v>2898</v>
      </c>
      <c r="H613" s="465"/>
    </row>
    <row r="614">
      <c r="A614" s="463"/>
      <c r="B614" s="483" t="s">
        <v>2899</v>
      </c>
      <c r="C614" s="481">
        <v>43029.0</v>
      </c>
      <c r="D614" s="480" t="s">
        <v>2900</v>
      </c>
      <c r="E614" s="480" t="s">
        <v>2085</v>
      </c>
      <c r="F614" s="480" t="s">
        <v>2086</v>
      </c>
      <c r="G614" s="480" t="s">
        <v>2087</v>
      </c>
      <c r="H614" s="465"/>
    </row>
    <row r="615">
      <c r="A615" s="463"/>
      <c r="B615" s="480">
        <v>739.0</v>
      </c>
      <c r="C615" s="481">
        <v>43127.0</v>
      </c>
      <c r="D615" s="480" t="s">
        <v>2901</v>
      </c>
      <c r="E615" s="480" t="s">
        <v>2902</v>
      </c>
      <c r="F615" s="480" t="s">
        <v>2903</v>
      </c>
      <c r="G615" s="480" t="s">
        <v>2904</v>
      </c>
      <c r="H615" s="465"/>
    </row>
    <row r="616">
      <c r="A616" s="463"/>
      <c r="B616" s="483" t="s">
        <v>2905</v>
      </c>
      <c r="C616" s="480" t="s">
        <v>1374</v>
      </c>
      <c r="D616" s="480" t="s">
        <v>2906</v>
      </c>
      <c r="E616" s="480" t="s">
        <v>968</v>
      </c>
      <c r="F616" s="480" t="s">
        <v>969</v>
      </c>
      <c r="G616" s="480" t="s">
        <v>970</v>
      </c>
      <c r="H616" s="465"/>
    </row>
    <row r="617">
      <c r="A617" s="463"/>
      <c r="B617" s="483" t="s">
        <v>2907</v>
      </c>
      <c r="C617" s="480" t="s">
        <v>1374</v>
      </c>
      <c r="D617" s="480" t="s">
        <v>2908</v>
      </c>
      <c r="E617" s="480" t="s">
        <v>2909</v>
      </c>
      <c r="F617" s="480" t="s">
        <v>2910</v>
      </c>
      <c r="G617" s="480" t="s">
        <v>2911</v>
      </c>
      <c r="H617" s="465"/>
    </row>
    <row r="618">
      <c r="A618" s="463"/>
      <c r="B618" s="483" t="s">
        <v>2912</v>
      </c>
      <c r="C618" s="480" t="s">
        <v>1374</v>
      </c>
      <c r="D618" s="480" t="s">
        <v>2913</v>
      </c>
      <c r="E618" s="480" t="s">
        <v>2914</v>
      </c>
      <c r="F618" s="480" t="s">
        <v>2915</v>
      </c>
      <c r="G618" s="480" t="s">
        <v>1924</v>
      </c>
      <c r="H618" s="465"/>
    </row>
    <row r="619">
      <c r="A619" s="463"/>
      <c r="B619" s="483" t="s">
        <v>2916</v>
      </c>
      <c r="C619" s="481">
        <v>42807.0</v>
      </c>
      <c r="D619" s="480" t="s">
        <v>2917</v>
      </c>
      <c r="E619" s="480" t="s">
        <v>2918</v>
      </c>
      <c r="F619" s="480" t="s">
        <v>2919</v>
      </c>
      <c r="G619" s="480" t="s">
        <v>2920</v>
      </c>
      <c r="H619" s="482" t="s">
        <v>1241</v>
      </c>
    </row>
    <row r="620">
      <c r="A620" s="463"/>
      <c r="B620" s="483" t="s">
        <v>2921</v>
      </c>
      <c r="C620" s="481">
        <v>43033.0</v>
      </c>
      <c r="D620" s="480" t="s">
        <v>2922</v>
      </c>
      <c r="E620" s="480" t="s">
        <v>1789</v>
      </c>
      <c r="F620" s="480" t="s">
        <v>1790</v>
      </c>
      <c r="G620" s="480" t="s">
        <v>1791</v>
      </c>
      <c r="H620" s="465"/>
    </row>
    <row r="621">
      <c r="A621" s="463"/>
      <c r="B621" s="483" t="s">
        <v>2923</v>
      </c>
      <c r="C621" s="481">
        <v>43033.0</v>
      </c>
      <c r="D621" s="480" t="s">
        <v>2924</v>
      </c>
      <c r="E621" s="480" t="s">
        <v>2925</v>
      </c>
      <c r="F621" s="480" t="s">
        <v>2926</v>
      </c>
      <c r="G621" s="480" t="s">
        <v>1196</v>
      </c>
      <c r="H621" s="465"/>
    </row>
    <row r="622">
      <c r="A622" s="463"/>
      <c r="B622" s="483" t="s">
        <v>2927</v>
      </c>
      <c r="C622" s="481">
        <v>42819.0</v>
      </c>
      <c r="D622" s="480" t="s">
        <v>2928</v>
      </c>
      <c r="E622" s="480" t="s">
        <v>2929</v>
      </c>
      <c r="F622" s="480" t="s">
        <v>2249</v>
      </c>
      <c r="G622" s="480" t="s">
        <v>2250</v>
      </c>
      <c r="H622" s="482" t="s">
        <v>1241</v>
      </c>
    </row>
    <row r="623">
      <c r="A623" s="463"/>
      <c r="B623" s="483" t="s">
        <v>2930</v>
      </c>
      <c r="C623" s="481">
        <v>42938.0</v>
      </c>
      <c r="D623" s="480" t="s">
        <v>2931</v>
      </c>
      <c r="E623" s="480" t="s">
        <v>2932</v>
      </c>
      <c r="F623" s="480" t="s">
        <v>2933</v>
      </c>
      <c r="G623" s="480" t="s">
        <v>2934</v>
      </c>
      <c r="H623" s="465"/>
    </row>
    <row r="624">
      <c r="A624" s="463"/>
      <c r="B624" s="483" t="s">
        <v>2935</v>
      </c>
      <c r="C624" s="481">
        <v>42938.0</v>
      </c>
      <c r="D624" s="480" t="s">
        <v>2936</v>
      </c>
      <c r="E624" s="480" t="s">
        <v>908</v>
      </c>
      <c r="F624" s="480" t="s">
        <v>2412</v>
      </c>
      <c r="G624" s="480" t="s">
        <v>2413</v>
      </c>
      <c r="H624" s="465"/>
    </row>
    <row r="625">
      <c r="A625" s="463"/>
      <c r="B625" s="483" t="s">
        <v>2937</v>
      </c>
      <c r="C625" s="481">
        <v>42938.0</v>
      </c>
      <c r="D625" s="480" t="s">
        <v>2938</v>
      </c>
      <c r="E625" s="480" t="s">
        <v>2939</v>
      </c>
      <c r="F625" s="480" t="s">
        <v>2037</v>
      </c>
      <c r="G625" s="480" t="s">
        <v>2038</v>
      </c>
      <c r="H625" s="465"/>
    </row>
    <row r="626">
      <c r="A626" s="463"/>
      <c r="B626" s="483" t="s">
        <v>2940</v>
      </c>
      <c r="C626" s="481">
        <v>43094.0</v>
      </c>
      <c r="D626" s="480" t="s">
        <v>2941</v>
      </c>
      <c r="E626" s="480" t="s">
        <v>2942</v>
      </c>
      <c r="F626" s="480" t="s">
        <v>2943</v>
      </c>
      <c r="G626" s="480" t="s">
        <v>2944</v>
      </c>
      <c r="H626" s="465"/>
    </row>
    <row r="627">
      <c r="A627" s="463"/>
      <c r="B627" s="483" t="s">
        <v>2945</v>
      </c>
      <c r="C627" s="481">
        <v>43061.0</v>
      </c>
      <c r="D627" s="480" t="s">
        <v>2946</v>
      </c>
      <c r="E627" s="480" t="s">
        <v>2947</v>
      </c>
      <c r="F627" s="480" t="s">
        <v>2948</v>
      </c>
      <c r="G627" s="480" t="s">
        <v>1060</v>
      </c>
      <c r="H627" s="465"/>
    </row>
    <row r="628">
      <c r="A628" s="463"/>
      <c r="B628" s="480">
        <v>752.0</v>
      </c>
      <c r="C628" s="481">
        <v>43153.0</v>
      </c>
      <c r="D628" s="480" t="s">
        <v>2949</v>
      </c>
      <c r="E628" s="480" t="s">
        <v>2950</v>
      </c>
      <c r="F628" s="480" t="s">
        <v>2951</v>
      </c>
      <c r="G628" s="480" t="s">
        <v>1021</v>
      </c>
      <c r="H628" s="465"/>
    </row>
    <row r="629">
      <c r="A629" s="463"/>
      <c r="B629" s="483" t="s">
        <v>2952</v>
      </c>
      <c r="C629" s="481">
        <v>42969.0</v>
      </c>
      <c r="D629" s="480" t="s">
        <v>2953</v>
      </c>
      <c r="E629" s="480" t="s">
        <v>2954</v>
      </c>
      <c r="F629" s="480" t="s">
        <v>2955</v>
      </c>
      <c r="G629" s="480" t="s">
        <v>2956</v>
      </c>
      <c r="H629" s="465"/>
    </row>
    <row r="630">
      <c r="A630" s="463"/>
      <c r="B630" s="483" t="s">
        <v>2957</v>
      </c>
      <c r="C630" s="481">
        <v>43061.0</v>
      </c>
      <c r="D630" s="480" t="s">
        <v>2958</v>
      </c>
      <c r="E630" s="480" t="s">
        <v>2959</v>
      </c>
      <c r="F630" s="480" t="s">
        <v>2960</v>
      </c>
      <c r="G630" s="480" t="s">
        <v>2961</v>
      </c>
      <c r="H630" s="482" t="s">
        <v>2962</v>
      </c>
    </row>
    <row r="631">
      <c r="A631" s="463"/>
      <c r="B631" s="480">
        <v>756.0</v>
      </c>
      <c r="C631" s="486">
        <v>43003.0</v>
      </c>
      <c r="D631" s="480" t="s">
        <v>2963</v>
      </c>
      <c r="E631" s="480" t="s">
        <v>2964</v>
      </c>
      <c r="F631" s="480" t="s">
        <v>2965</v>
      </c>
      <c r="G631" s="480" t="s">
        <v>2966</v>
      </c>
      <c r="H631" s="482" t="s">
        <v>2967</v>
      </c>
    </row>
    <row r="632">
      <c r="A632" s="463"/>
      <c r="B632" s="483" t="s">
        <v>2968</v>
      </c>
      <c r="C632" s="481">
        <v>42878.0</v>
      </c>
      <c r="D632" s="480" t="s">
        <v>2969</v>
      </c>
      <c r="E632" s="480" t="s">
        <v>2216</v>
      </c>
      <c r="F632" s="480" t="s">
        <v>2217</v>
      </c>
      <c r="G632" s="480" t="s">
        <v>2218</v>
      </c>
      <c r="H632" s="482" t="s">
        <v>1241</v>
      </c>
    </row>
    <row r="633">
      <c r="A633" s="463"/>
      <c r="B633" s="480">
        <v>760.0</v>
      </c>
      <c r="C633" s="486">
        <v>43181.0</v>
      </c>
      <c r="D633" s="480" t="s">
        <v>2970</v>
      </c>
      <c r="E633" s="480" t="s">
        <v>2013</v>
      </c>
      <c r="F633" s="480" t="s">
        <v>2014</v>
      </c>
      <c r="G633" s="480" t="s">
        <v>1795</v>
      </c>
      <c r="H633" s="465"/>
    </row>
    <row r="634">
      <c r="A634" s="463"/>
      <c r="B634" s="480">
        <v>761.0</v>
      </c>
      <c r="C634" s="481">
        <v>43127.0</v>
      </c>
      <c r="D634" s="480" t="s">
        <v>2971</v>
      </c>
      <c r="E634" s="480" t="s">
        <v>2972</v>
      </c>
      <c r="F634" s="480" t="s">
        <v>2973</v>
      </c>
      <c r="G634" s="480" t="s">
        <v>2974</v>
      </c>
      <c r="H634" s="482" t="s">
        <v>2438</v>
      </c>
    </row>
    <row r="635">
      <c r="A635" s="463"/>
      <c r="B635" s="480">
        <v>762.0</v>
      </c>
      <c r="C635" s="486">
        <v>43181.0</v>
      </c>
      <c r="D635" s="480" t="s">
        <v>2975</v>
      </c>
      <c r="E635" s="480" t="s">
        <v>2976</v>
      </c>
      <c r="F635" s="480" t="s">
        <v>2977</v>
      </c>
      <c r="G635" s="480" t="s">
        <v>1301</v>
      </c>
      <c r="H635" s="465"/>
    </row>
    <row r="636">
      <c r="A636" s="463"/>
      <c r="B636" s="480">
        <v>763.0</v>
      </c>
      <c r="C636" s="481">
        <v>43153.0</v>
      </c>
      <c r="D636" s="480" t="s">
        <v>2978</v>
      </c>
      <c r="E636" s="480" t="s">
        <v>2979</v>
      </c>
      <c r="F636" s="480" t="s">
        <v>2356</v>
      </c>
      <c r="G636" s="480" t="s">
        <v>2357</v>
      </c>
      <c r="H636" s="465"/>
    </row>
    <row r="637">
      <c r="A637" s="463"/>
      <c r="B637" s="483" t="s">
        <v>2980</v>
      </c>
      <c r="C637" s="481">
        <v>43029.0</v>
      </c>
      <c r="D637" s="480" t="s">
        <v>2981</v>
      </c>
      <c r="E637" s="480" t="s">
        <v>2982</v>
      </c>
      <c r="F637" s="480" t="s">
        <v>2983</v>
      </c>
      <c r="G637" s="480" t="s">
        <v>2984</v>
      </c>
      <c r="H637" s="465"/>
    </row>
    <row r="638">
      <c r="A638" s="463"/>
      <c r="B638" s="480">
        <v>765.0</v>
      </c>
      <c r="C638" s="481">
        <v>43125.0</v>
      </c>
      <c r="D638" s="480" t="s">
        <v>2985</v>
      </c>
      <c r="E638" s="480" t="s">
        <v>2986</v>
      </c>
      <c r="F638" s="480" t="s">
        <v>2987</v>
      </c>
      <c r="G638" s="480" t="s">
        <v>2988</v>
      </c>
      <c r="H638" s="465"/>
    </row>
    <row r="639">
      <c r="A639" s="463"/>
      <c r="B639" s="480">
        <v>767.0</v>
      </c>
      <c r="C639" s="481">
        <v>43158.0</v>
      </c>
      <c r="D639" s="480" t="s">
        <v>2989</v>
      </c>
      <c r="E639" s="480" t="s">
        <v>2990</v>
      </c>
      <c r="F639" s="480" t="s">
        <v>2991</v>
      </c>
      <c r="G639" s="480" t="s">
        <v>2992</v>
      </c>
      <c r="H639" s="465"/>
    </row>
    <row r="640">
      <c r="A640" s="463"/>
      <c r="B640" s="483" t="s">
        <v>2993</v>
      </c>
      <c r="C640" s="481">
        <v>43082.0</v>
      </c>
      <c r="D640" s="480" t="s">
        <v>2994</v>
      </c>
      <c r="E640" s="480" t="s">
        <v>2995</v>
      </c>
      <c r="F640" s="480" t="s">
        <v>2996</v>
      </c>
      <c r="G640" s="480" t="s">
        <v>2997</v>
      </c>
      <c r="H640" s="482" t="s">
        <v>1241</v>
      </c>
    </row>
    <row r="641">
      <c r="A641" s="463"/>
      <c r="B641" s="480">
        <v>769.0</v>
      </c>
      <c r="C641" s="481">
        <v>43153.0</v>
      </c>
      <c r="D641" s="480" t="s">
        <v>2998</v>
      </c>
      <c r="E641" s="480" t="s">
        <v>2999</v>
      </c>
      <c r="F641" s="480" t="s">
        <v>3000</v>
      </c>
      <c r="G641" s="480" t="s">
        <v>3001</v>
      </c>
      <c r="H641" s="465"/>
    </row>
    <row r="642">
      <c r="A642" s="463"/>
      <c r="B642" s="480">
        <v>770.0</v>
      </c>
      <c r="C642" s="481">
        <v>43122.0</v>
      </c>
      <c r="D642" s="480" t="s">
        <v>3002</v>
      </c>
      <c r="E642" s="480" t="s">
        <v>3003</v>
      </c>
      <c r="F642" s="480" t="s">
        <v>3004</v>
      </c>
      <c r="G642" s="480" t="s">
        <v>3005</v>
      </c>
      <c r="H642" s="482" t="s">
        <v>3006</v>
      </c>
    </row>
    <row r="643">
      <c r="A643" s="463"/>
      <c r="B643" s="480">
        <v>771.0</v>
      </c>
      <c r="C643" s="486">
        <v>43246.0</v>
      </c>
      <c r="D643" s="480" t="s">
        <v>3007</v>
      </c>
      <c r="E643" s="480" t="s">
        <v>3008</v>
      </c>
      <c r="F643" s="480" t="s">
        <v>3009</v>
      </c>
      <c r="G643" s="480" t="s">
        <v>3010</v>
      </c>
      <c r="H643" s="465"/>
    </row>
    <row r="644">
      <c r="A644" s="463"/>
      <c r="B644" s="480">
        <v>772.0</v>
      </c>
      <c r="C644" s="481">
        <v>43112.0</v>
      </c>
      <c r="D644" s="480" t="s">
        <v>3011</v>
      </c>
      <c r="E644" s="480" t="s">
        <v>3012</v>
      </c>
      <c r="F644" s="480" t="s">
        <v>3013</v>
      </c>
      <c r="G644" s="480" t="s">
        <v>3014</v>
      </c>
      <c r="H644" s="482" t="s">
        <v>1241</v>
      </c>
    </row>
    <row r="645">
      <c r="A645" s="463"/>
      <c r="B645" s="480">
        <v>774.0</v>
      </c>
      <c r="C645" s="486">
        <v>43246.0</v>
      </c>
      <c r="D645" s="480" t="s">
        <v>3015</v>
      </c>
      <c r="E645" s="480" t="s">
        <v>1785</v>
      </c>
      <c r="F645" s="480" t="s">
        <v>1786</v>
      </c>
      <c r="G645" s="480" t="s">
        <v>1787</v>
      </c>
      <c r="H645" s="465"/>
    </row>
    <row r="646">
      <c r="A646" s="463"/>
      <c r="B646" s="480">
        <v>775.0</v>
      </c>
      <c r="C646" s="486">
        <v>43246.0</v>
      </c>
      <c r="D646" s="480" t="s">
        <v>3016</v>
      </c>
      <c r="E646" s="480" t="s">
        <v>3017</v>
      </c>
      <c r="F646" s="480" t="s">
        <v>3018</v>
      </c>
      <c r="G646" s="480" t="s">
        <v>3019</v>
      </c>
      <c r="H646" s="465"/>
    </row>
    <row r="647">
      <c r="A647" s="463"/>
      <c r="B647" s="480">
        <v>776.0</v>
      </c>
      <c r="C647" s="481">
        <v>43153.0</v>
      </c>
      <c r="D647" s="480" t="s">
        <v>3020</v>
      </c>
      <c r="E647" s="480" t="s">
        <v>3021</v>
      </c>
      <c r="F647" s="480" t="s">
        <v>3022</v>
      </c>
      <c r="G647" s="480" t="s">
        <v>3023</v>
      </c>
      <c r="H647" s="465"/>
    </row>
    <row r="648">
      <c r="A648" s="463"/>
      <c r="B648" s="480">
        <v>777.0</v>
      </c>
      <c r="C648" s="481">
        <v>43155.0</v>
      </c>
      <c r="D648" s="480" t="s">
        <v>3024</v>
      </c>
      <c r="E648" s="480" t="s">
        <v>3025</v>
      </c>
      <c r="F648" s="480" t="s">
        <v>3026</v>
      </c>
      <c r="G648" s="480" t="s">
        <v>1478</v>
      </c>
      <c r="H648" s="465"/>
    </row>
    <row r="649">
      <c r="A649" s="463"/>
      <c r="B649" s="480">
        <v>778.0</v>
      </c>
      <c r="C649" s="486">
        <v>43302.0</v>
      </c>
      <c r="D649" s="480" t="s">
        <v>3027</v>
      </c>
      <c r="E649" s="480" t="s">
        <v>3028</v>
      </c>
      <c r="F649" s="480" t="s">
        <v>3029</v>
      </c>
      <c r="G649" s="480" t="s">
        <v>3030</v>
      </c>
      <c r="H649" s="465"/>
    </row>
    <row r="650">
      <c r="A650" s="463"/>
      <c r="B650" s="480">
        <v>779.0</v>
      </c>
      <c r="C650" s="486">
        <v>43183.0</v>
      </c>
      <c r="D650" s="480" t="s">
        <v>3031</v>
      </c>
      <c r="E650" s="480" t="s">
        <v>3032</v>
      </c>
      <c r="F650" s="480" t="s">
        <v>3033</v>
      </c>
      <c r="G650" s="480" t="s">
        <v>1449</v>
      </c>
      <c r="H650" s="465"/>
    </row>
    <row r="651">
      <c r="A651" s="463"/>
      <c r="B651" s="480">
        <v>780.0</v>
      </c>
      <c r="C651" s="486">
        <v>43172.0</v>
      </c>
      <c r="D651" s="480" t="s">
        <v>3034</v>
      </c>
      <c r="E651" s="480" t="s">
        <v>3035</v>
      </c>
      <c r="F651" s="480" t="s">
        <v>3036</v>
      </c>
      <c r="G651" s="480" t="s">
        <v>3037</v>
      </c>
      <c r="H651" s="482" t="s">
        <v>1241</v>
      </c>
    </row>
    <row r="652">
      <c r="A652" s="463"/>
      <c r="B652" s="483" t="s">
        <v>3038</v>
      </c>
      <c r="C652" s="481">
        <v>43029.0</v>
      </c>
      <c r="D652" s="480" t="s">
        <v>3039</v>
      </c>
      <c r="E652" s="480" t="s">
        <v>2694</v>
      </c>
      <c r="F652" s="480" t="s">
        <v>2695</v>
      </c>
      <c r="G652" s="480" t="s">
        <v>2696</v>
      </c>
      <c r="H652" s="465"/>
    </row>
    <row r="653">
      <c r="A653" s="463"/>
      <c r="B653" s="480">
        <v>782.0</v>
      </c>
      <c r="C653" s="486">
        <v>43246.0</v>
      </c>
      <c r="D653" s="480" t="s">
        <v>3040</v>
      </c>
      <c r="E653" s="480" t="s">
        <v>3041</v>
      </c>
      <c r="F653" s="480" t="s">
        <v>3042</v>
      </c>
      <c r="G653" s="480" t="s">
        <v>1268</v>
      </c>
      <c r="H653" s="465"/>
    </row>
    <row r="654">
      <c r="A654" s="463"/>
      <c r="B654" s="480">
        <v>783.0</v>
      </c>
      <c r="C654" s="486">
        <v>43273.0</v>
      </c>
      <c r="D654" s="480" t="s">
        <v>3043</v>
      </c>
      <c r="E654" s="480" t="s">
        <v>3044</v>
      </c>
      <c r="F654" s="480" t="s">
        <v>3045</v>
      </c>
      <c r="G654" s="480" t="s">
        <v>1531</v>
      </c>
      <c r="H654" s="465"/>
    </row>
    <row r="655">
      <c r="A655" s="463"/>
      <c r="B655" s="480">
        <v>784.0</v>
      </c>
      <c r="C655" s="486">
        <v>43273.0</v>
      </c>
      <c r="D655" s="480" t="s">
        <v>3046</v>
      </c>
      <c r="E655" s="480" t="s">
        <v>3047</v>
      </c>
      <c r="F655" s="480" t="s">
        <v>3048</v>
      </c>
      <c r="G655" s="480" t="s">
        <v>3049</v>
      </c>
      <c r="H655" s="482" t="s">
        <v>3006</v>
      </c>
    </row>
    <row r="656">
      <c r="A656" s="463"/>
      <c r="B656" s="480">
        <v>785.0</v>
      </c>
      <c r="C656" s="486">
        <v>43278.0</v>
      </c>
      <c r="D656" s="480" t="s">
        <v>3050</v>
      </c>
      <c r="E656" s="480" t="s">
        <v>3051</v>
      </c>
      <c r="F656" s="480" t="s">
        <v>3052</v>
      </c>
      <c r="G656" s="480" t="s">
        <v>3053</v>
      </c>
      <c r="H656" s="465"/>
    </row>
    <row r="657">
      <c r="A657" s="463"/>
      <c r="B657" s="480">
        <v>786.0</v>
      </c>
      <c r="C657" s="486">
        <v>43217.0</v>
      </c>
      <c r="D657" s="480" t="s">
        <v>3054</v>
      </c>
      <c r="E657" s="480" t="s">
        <v>1371</v>
      </c>
      <c r="F657" s="480" t="s">
        <v>1372</v>
      </c>
      <c r="G657" s="480" t="s">
        <v>978</v>
      </c>
      <c r="H657" s="465"/>
    </row>
    <row r="658">
      <c r="A658" s="463"/>
      <c r="B658" s="480">
        <v>788.0</v>
      </c>
      <c r="C658" s="486">
        <v>43306.0</v>
      </c>
      <c r="D658" s="480" t="s">
        <v>3055</v>
      </c>
      <c r="E658" s="480" t="s">
        <v>3056</v>
      </c>
      <c r="F658" s="480" t="s">
        <v>3057</v>
      </c>
      <c r="G658" s="480" t="s">
        <v>3057</v>
      </c>
      <c r="H658" s="465"/>
    </row>
    <row r="659">
      <c r="A659" s="463"/>
      <c r="B659" s="480">
        <v>790.0</v>
      </c>
      <c r="C659" s="481">
        <v>43334.0</v>
      </c>
      <c r="D659" s="480" t="s">
        <v>3058</v>
      </c>
      <c r="E659" s="480" t="s">
        <v>3059</v>
      </c>
      <c r="F659" s="480" t="s">
        <v>3060</v>
      </c>
      <c r="G659" s="480" t="s">
        <v>3061</v>
      </c>
      <c r="H659" s="465"/>
    </row>
    <row r="660">
      <c r="A660" s="463"/>
      <c r="B660" s="480">
        <v>791.0</v>
      </c>
      <c r="C660" s="481">
        <v>43153.0</v>
      </c>
      <c r="D660" s="480" t="s">
        <v>3062</v>
      </c>
      <c r="E660" s="480" t="s">
        <v>3063</v>
      </c>
      <c r="F660" s="480" t="s">
        <v>3064</v>
      </c>
      <c r="G660" s="480" t="s">
        <v>1321</v>
      </c>
      <c r="H660" s="465"/>
    </row>
    <row r="661">
      <c r="A661" s="463"/>
      <c r="B661" s="480">
        <v>792.0</v>
      </c>
      <c r="C661" s="481">
        <v>43153.0</v>
      </c>
      <c r="D661" s="480" t="s">
        <v>3065</v>
      </c>
      <c r="E661" s="480" t="s">
        <v>2224</v>
      </c>
      <c r="F661" s="480" t="s">
        <v>2225</v>
      </c>
      <c r="G661" s="480" t="s">
        <v>2226</v>
      </c>
      <c r="H661" s="465"/>
    </row>
    <row r="662">
      <c r="A662" s="463"/>
      <c r="B662" s="480">
        <v>793.0</v>
      </c>
      <c r="C662" s="486">
        <v>43215.0</v>
      </c>
      <c r="D662" s="480" t="s">
        <v>3066</v>
      </c>
      <c r="E662" s="480" t="s">
        <v>3067</v>
      </c>
      <c r="F662" s="480" t="s">
        <v>3068</v>
      </c>
      <c r="G662" s="480" t="s">
        <v>3069</v>
      </c>
      <c r="H662" s="465"/>
    </row>
    <row r="663">
      <c r="A663" s="463"/>
      <c r="B663" s="480">
        <v>794.0</v>
      </c>
      <c r="C663" s="486">
        <v>43181.0</v>
      </c>
      <c r="D663" s="480" t="s">
        <v>3070</v>
      </c>
      <c r="E663" s="480" t="s">
        <v>1099</v>
      </c>
      <c r="F663" s="480" t="s">
        <v>1100</v>
      </c>
      <c r="G663" s="480" t="s">
        <v>1101</v>
      </c>
      <c r="H663" s="465"/>
    </row>
    <row r="664">
      <c r="A664" s="463"/>
      <c r="B664" s="480">
        <v>795.0</v>
      </c>
      <c r="C664" s="486">
        <v>43181.0</v>
      </c>
      <c r="D664" s="480" t="s">
        <v>3071</v>
      </c>
      <c r="E664" s="480" t="s">
        <v>1488</v>
      </c>
      <c r="F664" s="480" t="s">
        <v>3072</v>
      </c>
      <c r="G664" s="480" t="s">
        <v>3073</v>
      </c>
      <c r="H664" s="465"/>
    </row>
    <row r="665">
      <c r="A665" s="463"/>
      <c r="B665" s="483" t="s">
        <v>3074</v>
      </c>
      <c r="C665" s="480" t="s">
        <v>3075</v>
      </c>
      <c r="D665" s="480" t="s">
        <v>3076</v>
      </c>
      <c r="E665" s="480" t="s">
        <v>972</v>
      </c>
      <c r="F665" s="480" t="s">
        <v>973</v>
      </c>
      <c r="G665" s="480" t="s">
        <v>974</v>
      </c>
      <c r="H665" s="465"/>
    </row>
    <row r="666">
      <c r="A666" s="463"/>
      <c r="B666" s="483" t="s">
        <v>3077</v>
      </c>
      <c r="C666" s="480" t="s">
        <v>3075</v>
      </c>
      <c r="D666" s="480" t="s">
        <v>3078</v>
      </c>
      <c r="E666" s="480" t="s">
        <v>972</v>
      </c>
      <c r="F666" s="480" t="s">
        <v>973</v>
      </c>
      <c r="G666" s="480" t="s">
        <v>974</v>
      </c>
      <c r="H666" s="465"/>
    </row>
    <row r="667">
      <c r="A667" s="463"/>
      <c r="B667" s="480">
        <v>798.0</v>
      </c>
      <c r="C667" s="486">
        <v>43242.0</v>
      </c>
      <c r="D667" s="480" t="s">
        <v>3079</v>
      </c>
      <c r="E667" s="480" t="s">
        <v>1270</v>
      </c>
      <c r="F667" s="480" t="s">
        <v>1271</v>
      </c>
      <c r="G667" s="480" t="s">
        <v>1272</v>
      </c>
      <c r="H667" s="465"/>
    </row>
    <row r="668">
      <c r="A668" s="463"/>
      <c r="B668" s="480">
        <v>799.0</v>
      </c>
      <c r="C668" s="481">
        <v>43144.0</v>
      </c>
      <c r="D668" s="480" t="s">
        <v>3080</v>
      </c>
      <c r="E668" s="480" t="s">
        <v>3081</v>
      </c>
      <c r="F668" s="480" t="s">
        <v>3082</v>
      </c>
      <c r="G668" s="480" t="s">
        <v>3083</v>
      </c>
      <c r="H668" s="482" t="s">
        <v>1241</v>
      </c>
    </row>
    <row r="669">
      <c r="A669" s="463"/>
      <c r="B669" s="480">
        <v>800.0</v>
      </c>
      <c r="C669" s="486">
        <v>43215.0</v>
      </c>
      <c r="D669" s="480" t="s">
        <v>3084</v>
      </c>
      <c r="E669" s="480" t="s">
        <v>3085</v>
      </c>
      <c r="F669" s="480" t="s">
        <v>3086</v>
      </c>
      <c r="G669" s="480" t="s">
        <v>3087</v>
      </c>
      <c r="H669" s="482" t="s">
        <v>3006</v>
      </c>
    </row>
    <row r="670">
      <c r="A670" s="463"/>
      <c r="B670" s="480">
        <v>801.0</v>
      </c>
      <c r="C670" s="486">
        <v>43181.0</v>
      </c>
      <c r="D670" s="480" t="s">
        <v>3088</v>
      </c>
      <c r="E670" s="480" t="s">
        <v>1292</v>
      </c>
      <c r="F670" s="480" t="s">
        <v>1293</v>
      </c>
      <c r="G670" s="480" t="s">
        <v>1294</v>
      </c>
      <c r="H670" s="465"/>
    </row>
    <row r="671">
      <c r="A671" s="463"/>
      <c r="B671" s="480">
        <v>802.0</v>
      </c>
      <c r="C671" s="486">
        <v>43181.0</v>
      </c>
      <c r="D671" s="480" t="s">
        <v>3089</v>
      </c>
      <c r="E671" s="480" t="s">
        <v>3090</v>
      </c>
      <c r="F671" s="480" t="s">
        <v>3091</v>
      </c>
      <c r="G671" s="480" t="s">
        <v>3092</v>
      </c>
      <c r="H671" s="465"/>
    </row>
    <row r="672">
      <c r="A672" s="463"/>
      <c r="B672" s="480">
        <v>803.0</v>
      </c>
      <c r="C672" s="481">
        <v>43144.0</v>
      </c>
      <c r="D672" s="480" t="s">
        <v>3093</v>
      </c>
      <c r="E672" s="480" t="s">
        <v>3094</v>
      </c>
      <c r="F672" s="480" t="s">
        <v>3095</v>
      </c>
      <c r="G672" s="480" t="s">
        <v>3096</v>
      </c>
      <c r="H672" s="482" t="s">
        <v>1241</v>
      </c>
    </row>
    <row r="673">
      <c r="A673" s="463"/>
      <c r="B673" s="483" t="s">
        <v>3097</v>
      </c>
      <c r="C673" s="481">
        <v>43094.0</v>
      </c>
      <c r="D673" s="480" t="s">
        <v>3098</v>
      </c>
      <c r="E673" s="480" t="s">
        <v>1733</v>
      </c>
      <c r="F673" s="480" t="s">
        <v>1734</v>
      </c>
      <c r="G673" s="480" t="s">
        <v>1735</v>
      </c>
      <c r="H673" s="465"/>
    </row>
    <row r="674">
      <c r="A674" s="463"/>
      <c r="B674" s="480">
        <v>805.0</v>
      </c>
      <c r="C674" s="487">
        <v>43395.0</v>
      </c>
      <c r="D674" s="480" t="s">
        <v>3099</v>
      </c>
      <c r="E674" s="480" t="s">
        <v>3100</v>
      </c>
      <c r="F674" s="480" t="s">
        <v>3101</v>
      </c>
      <c r="G674" s="480" t="s">
        <v>3102</v>
      </c>
      <c r="H674" s="465"/>
    </row>
    <row r="675">
      <c r="A675" s="463"/>
      <c r="B675" s="480">
        <v>806.0</v>
      </c>
      <c r="C675" s="486">
        <v>43246.0</v>
      </c>
      <c r="D675" s="480" t="s">
        <v>3103</v>
      </c>
      <c r="E675" s="480" t="s">
        <v>3104</v>
      </c>
      <c r="F675" s="480" t="s">
        <v>3105</v>
      </c>
      <c r="G675" s="480" t="s">
        <v>3106</v>
      </c>
      <c r="H675" s="465"/>
    </row>
    <row r="676">
      <c r="A676" s="463"/>
      <c r="B676" s="480">
        <v>808.0</v>
      </c>
      <c r="C676" s="486">
        <v>43238.0</v>
      </c>
      <c r="D676" s="480" t="s">
        <v>3107</v>
      </c>
      <c r="E676" s="480" t="s">
        <v>3108</v>
      </c>
      <c r="F676" s="480" t="s">
        <v>3109</v>
      </c>
      <c r="G676" s="480" t="s">
        <v>3110</v>
      </c>
      <c r="H676" s="465"/>
    </row>
    <row r="677">
      <c r="A677" s="463"/>
      <c r="B677" s="480">
        <v>809.0</v>
      </c>
      <c r="C677" s="486">
        <v>43264.0</v>
      </c>
      <c r="D677" s="480" t="s">
        <v>3111</v>
      </c>
      <c r="E677" s="480" t="s">
        <v>3112</v>
      </c>
      <c r="F677" s="480" t="s">
        <v>3113</v>
      </c>
      <c r="G677" s="480" t="s">
        <v>3114</v>
      </c>
      <c r="H677" s="482" t="s">
        <v>3006</v>
      </c>
    </row>
    <row r="678">
      <c r="A678" s="463"/>
      <c r="B678" s="480">
        <v>810.0</v>
      </c>
      <c r="C678" s="481">
        <v>43334.0</v>
      </c>
      <c r="D678" s="480" t="s">
        <v>3115</v>
      </c>
      <c r="E678" s="480" t="s">
        <v>3116</v>
      </c>
      <c r="F678" s="480" t="s">
        <v>3117</v>
      </c>
      <c r="G678" s="480" t="s">
        <v>3118</v>
      </c>
      <c r="H678" s="465"/>
    </row>
    <row r="679">
      <c r="A679" s="463"/>
      <c r="B679" s="480">
        <v>811.0</v>
      </c>
      <c r="C679" s="486">
        <v>43242.0</v>
      </c>
      <c r="D679" s="480" t="s">
        <v>3119</v>
      </c>
      <c r="E679" s="480" t="s">
        <v>3120</v>
      </c>
      <c r="F679" s="480" t="s">
        <v>3121</v>
      </c>
      <c r="G679" s="480" t="s">
        <v>978</v>
      </c>
      <c r="H679" s="465"/>
    </row>
    <row r="680">
      <c r="A680" s="463"/>
      <c r="B680" s="480">
        <v>812.0</v>
      </c>
      <c r="C680" s="486">
        <v>43364.0</v>
      </c>
      <c r="D680" s="480" t="s">
        <v>3122</v>
      </c>
      <c r="E680" s="480" t="s">
        <v>3123</v>
      </c>
      <c r="F680" s="480" t="s">
        <v>3124</v>
      </c>
      <c r="G680" s="480" t="s">
        <v>3125</v>
      </c>
      <c r="H680" s="465"/>
    </row>
    <row r="681">
      <c r="A681" s="463"/>
      <c r="B681" s="480">
        <v>813.0</v>
      </c>
      <c r="C681" s="486">
        <v>43537.0</v>
      </c>
      <c r="D681" s="480" t="s">
        <v>3126</v>
      </c>
      <c r="E681" s="480" t="s">
        <v>3127</v>
      </c>
      <c r="F681" s="480" t="s">
        <v>3128</v>
      </c>
      <c r="G681" s="480" t="s">
        <v>3129</v>
      </c>
      <c r="H681" s="465"/>
    </row>
    <row r="682">
      <c r="A682" s="463"/>
      <c r="B682" s="480">
        <v>814.0</v>
      </c>
      <c r="C682" s="481">
        <v>43122.0</v>
      </c>
      <c r="D682" s="480" t="s">
        <v>345</v>
      </c>
      <c r="E682" s="480" t="s">
        <v>3130</v>
      </c>
      <c r="F682" s="480" t="s">
        <v>3131</v>
      </c>
      <c r="G682" s="480" t="s">
        <v>3132</v>
      </c>
      <c r="H682" s="465"/>
    </row>
    <row r="683">
      <c r="A683" s="463"/>
      <c r="B683" s="480">
        <v>815.0</v>
      </c>
      <c r="C683" s="481">
        <v>43122.0</v>
      </c>
      <c r="D683" s="480" t="s">
        <v>3133</v>
      </c>
      <c r="E683" s="480" t="s">
        <v>771</v>
      </c>
      <c r="F683" s="480" t="s">
        <v>3134</v>
      </c>
      <c r="G683" s="480" t="s">
        <v>3135</v>
      </c>
      <c r="H683" s="465"/>
    </row>
    <row r="684">
      <c r="A684" s="463"/>
      <c r="B684" s="480">
        <v>817.0</v>
      </c>
      <c r="C684" s="487">
        <v>43428.0</v>
      </c>
      <c r="D684" s="480" t="s">
        <v>3136</v>
      </c>
      <c r="E684" s="480" t="s">
        <v>3137</v>
      </c>
      <c r="F684" s="480" t="s">
        <v>3138</v>
      </c>
      <c r="G684" s="480" t="s">
        <v>1329</v>
      </c>
      <c r="H684" s="465"/>
    </row>
    <row r="685">
      <c r="A685" s="463"/>
      <c r="B685" s="480">
        <v>818.0</v>
      </c>
      <c r="C685" s="487">
        <v>43428.0</v>
      </c>
      <c r="D685" s="480" t="s">
        <v>3139</v>
      </c>
      <c r="E685" s="480" t="s">
        <v>2488</v>
      </c>
      <c r="F685" s="480" t="s">
        <v>2489</v>
      </c>
      <c r="G685" s="480" t="s">
        <v>2490</v>
      </c>
      <c r="H685" s="465"/>
    </row>
    <row r="686">
      <c r="A686" s="463"/>
      <c r="B686" s="480">
        <v>819.0</v>
      </c>
      <c r="C686" s="486">
        <v>43276.0</v>
      </c>
      <c r="D686" s="480" t="s">
        <v>3140</v>
      </c>
      <c r="E686" s="480" t="s">
        <v>3141</v>
      </c>
      <c r="F686" s="480" t="s">
        <v>3142</v>
      </c>
      <c r="G686" s="480" t="s">
        <v>3143</v>
      </c>
      <c r="H686" s="465"/>
    </row>
    <row r="687">
      <c r="A687" s="463"/>
      <c r="B687" s="480">
        <v>820.0</v>
      </c>
      <c r="C687" s="486">
        <v>43242.0</v>
      </c>
      <c r="D687" s="480" t="s">
        <v>3144</v>
      </c>
      <c r="E687" s="480" t="s">
        <v>3145</v>
      </c>
      <c r="F687" s="480" t="s">
        <v>3146</v>
      </c>
      <c r="G687" s="480" t="s">
        <v>3147</v>
      </c>
      <c r="H687" s="465"/>
    </row>
    <row r="688">
      <c r="A688" s="463"/>
      <c r="B688" s="480">
        <v>821.0</v>
      </c>
      <c r="C688" s="486">
        <v>43181.0</v>
      </c>
      <c r="D688" s="480" t="s">
        <v>3148</v>
      </c>
      <c r="E688" s="480" t="s">
        <v>3149</v>
      </c>
      <c r="F688" s="480" t="s">
        <v>3150</v>
      </c>
      <c r="G688" s="480" t="s">
        <v>3151</v>
      </c>
      <c r="H688" s="465"/>
    </row>
    <row r="689">
      <c r="A689" s="463"/>
      <c r="B689" s="480">
        <v>822.0</v>
      </c>
      <c r="C689" s="481">
        <v>43155.0</v>
      </c>
      <c r="D689" s="480" t="s">
        <v>3152</v>
      </c>
      <c r="E689" s="480" t="s">
        <v>3025</v>
      </c>
      <c r="F689" s="480" t="s">
        <v>3026</v>
      </c>
      <c r="G689" s="480" t="s">
        <v>1478</v>
      </c>
      <c r="H689" s="465"/>
    </row>
    <row r="690">
      <c r="A690" s="463"/>
      <c r="B690" s="480">
        <v>823.0</v>
      </c>
      <c r="C690" s="486">
        <v>43264.0</v>
      </c>
      <c r="D690" s="480" t="s">
        <v>3153</v>
      </c>
      <c r="E690" s="480" t="s">
        <v>3154</v>
      </c>
      <c r="F690" s="480" t="s">
        <v>3155</v>
      </c>
      <c r="G690" s="480" t="s">
        <v>3156</v>
      </c>
      <c r="H690" s="465"/>
    </row>
    <row r="691">
      <c r="A691" s="463"/>
      <c r="B691" s="480">
        <v>824.0</v>
      </c>
      <c r="C691" s="486">
        <v>43476.0</v>
      </c>
      <c r="D691" s="480" t="s">
        <v>3157</v>
      </c>
      <c r="E691" s="480" t="s">
        <v>3158</v>
      </c>
      <c r="F691" s="480" t="s">
        <v>3159</v>
      </c>
      <c r="G691" s="480" t="s">
        <v>3160</v>
      </c>
      <c r="H691" s="482" t="s">
        <v>1241</v>
      </c>
    </row>
    <row r="692">
      <c r="A692" s="463"/>
      <c r="B692" s="480">
        <v>825.0</v>
      </c>
      <c r="C692" s="487">
        <v>43383.0</v>
      </c>
      <c r="D692" s="480" t="s">
        <v>3161</v>
      </c>
      <c r="E692" s="480" t="s">
        <v>3162</v>
      </c>
      <c r="F692" s="480" t="s">
        <v>3163</v>
      </c>
      <c r="G692" s="480" t="s">
        <v>3164</v>
      </c>
      <c r="H692" s="482" t="s">
        <v>2456</v>
      </c>
    </row>
    <row r="693">
      <c r="A693" s="463"/>
      <c r="B693" s="483" t="s">
        <v>3165</v>
      </c>
      <c r="C693" s="486">
        <v>43581.0</v>
      </c>
      <c r="D693" s="480" t="s">
        <v>3166</v>
      </c>
      <c r="E693" s="480" t="s">
        <v>3167</v>
      </c>
      <c r="F693" s="480" t="s">
        <v>3168</v>
      </c>
      <c r="G693" s="480" t="s">
        <v>3169</v>
      </c>
      <c r="H693" s="489" t="s">
        <v>3170</v>
      </c>
    </row>
    <row r="694">
      <c r="A694" s="463"/>
      <c r="B694" s="480">
        <v>829.0</v>
      </c>
      <c r="C694" s="486">
        <v>43242.0</v>
      </c>
      <c r="D694" s="480" t="s">
        <v>3171</v>
      </c>
      <c r="E694" s="490">
        <v>310.0</v>
      </c>
      <c r="F694" s="480" t="s">
        <v>2405</v>
      </c>
      <c r="G694" s="480" t="s">
        <v>2406</v>
      </c>
      <c r="H694" s="465"/>
    </row>
    <row r="695">
      <c r="A695" s="463"/>
      <c r="B695" s="480">
        <v>830.0</v>
      </c>
      <c r="C695" s="486">
        <v>43242.0</v>
      </c>
      <c r="D695" s="480" t="s">
        <v>3172</v>
      </c>
      <c r="E695" s="490">
        <v>310.0</v>
      </c>
      <c r="F695" s="480" t="s">
        <v>2405</v>
      </c>
      <c r="G695" s="480" t="s">
        <v>2406</v>
      </c>
      <c r="H695" s="465"/>
    </row>
    <row r="696">
      <c r="A696" s="463"/>
      <c r="B696" s="480">
        <v>831.0</v>
      </c>
      <c r="C696" s="487">
        <v>43414.0</v>
      </c>
      <c r="D696" s="480" t="s">
        <v>3173</v>
      </c>
      <c r="E696" s="480" t="s">
        <v>3174</v>
      </c>
      <c r="F696" s="480" t="s">
        <v>3175</v>
      </c>
      <c r="G696" s="480" t="s">
        <v>3176</v>
      </c>
      <c r="H696" s="482" t="s">
        <v>2438</v>
      </c>
    </row>
    <row r="697">
      <c r="A697" s="463"/>
      <c r="B697" s="480">
        <v>832.0</v>
      </c>
      <c r="C697" s="481">
        <v>43334.0</v>
      </c>
      <c r="D697" s="480" t="s">
        <v>3177</v>
      </c>
      <c r="E697" s="480" t="s">
        <v>1616</v>
      </c>
      <c r="F697" s="480" t="s">
        <v>1617</v>
      </c>
      <c r="G697" s="480" t="s">
        <v>1618</v>
      </c>
      <c r="H697" s="465"/>
    </row>
    <row r="698">
      <c r="A698" s="463"/>
      <c r="B698" s="480">
        <v>833.0</v>
      </c>
      <c r="C698" s="487">
        <v>43426.0</v>
      </c>
      <c r="D698" s="480" t="s">
        <v>3178</v>
      </c>
      <c r="E698" s="480" t="s">
        <v>3179</v>
      </c>
      <c r="F698" s="480" t="s">
        <v>3180</v>
      </c>
      <c r="G698" s="480" t="s">
        <v>3181</v>
      </c>
      <c r="H698" s="465"/>
    </row>
    <row r="699">
      <c r="A699" s="463"/>
      <c r="B699" s="480">
        <v>834.0</v>
      </c>
      <c r="C699" s="486">
        <v>43490.0</v>
      </c>
      <c r="D699" s="480" t="s">
        <v>3182</v>
      </c>
      <c r="E699" s="480" t="s">
        <v>3183</v>
      </c>
      <c r="F699" s="480" t="s">
        <v>3184</v>
      </c>
      <c r="G699" s="480" t="s">
        <v>3185</v>
      </c>
      <c r="H699" s="465"/>
    </row>
    <row r="700">
      <c r="A700" s="463"/>
      <c r="B700" s="480">
        <v>835.0</v>
      </c>
      <c r="C700" s="486">
        <v>43350.0</v>
      </c>
      <c r="D700" s="480" t="s">
        <v>3186</v>
      </c>
      <c r="E700" s="480" t="s">
        <v>3187</v>
      </c>
      <c r="F700" s="480" t="s">
        <v>3188</v>
      </c>
      <c r="G700" s="480" t="s">
        <v>2199</v>
      </c>
      <c r="H700" s="465"/>
    </row>
    <row r="701">
      <c r="A701" s="463"/>
      <c r="B701" s="480">
        <v>836.0</v>
      </c>
      <c r="C701" s="486">
        <v>43302.0</v>
      </c>
      <c r="D701" s="480" t="s">
        <v>3189</v>
      </c>
      <c r="E701" s="480" t="s">
        <v>2056</v>
      </c>
      <c r="F701" s="480" t="s">
        <v>2057</v>
      </c>
      <c r="G701" s="480" t="s">
        <v>2058</v>
      </c>
      <c r="H701" s="465"/>
    </row>
    <row r="702">
      <c r="A702" s="463"/>
      <c r="B702" s="480">
        <v>837.0</v>
      </c>
      <c r="C702" s="487">
        <v>43431.0</v>
      </c>
      <c r="D702" s="480" t="s">
        <v>3190</v>
      </c>
      <c r="E702" s="480" t="s">
        <v>3191</v>
      </c>
      <c r="F702" s="480" t="s">
        <v>3192</v>
      </c>
      <c r="G702" s="480" t="s">
        <v>1033</v>
      </c>
      <c r="H702" s="465"/>
    </row>
    <row r="703">
      <c r="A703" s="463"/>
      <c r="B703" s="480">
        <v>838.0</v>
      </c>
      <c r="C703" s="487">
        <v>43428.0</v>
      </c>
      <c r="D703" s="480" t="s">
        <v>3193</v>
      </c>
      <c r="E703" s="480" t="s">
        <v>3194</v>
      </c>
      <c r="F703" s="480" t="s">
        <v>3195</v>
      </c>
      <c r="G703" s="480" t="s">
        <v>2034</v>
      </c>
      <c r="H703" s="465"/>
    </row>
    <row r="704">
      <c r="A704" s="463"/>
      <c r="B704" s="480">
        <v>839.0</v>
      </c>
      <c r="C704" s="487">
        <v>43398.0</v>
      </c>
      <c r="D704" s="480" t="s">
        <v>3196</v>
      </c>
      <c r="E704" s="480" t="s">
        <v>2547</v>
      </c>
      <c r="F704" s="480" t="s">
        <v>2548</v>
      </c>
      <c r="G704" s="480" t="s">
        <v>2549</v>
      </c>
      <c r="H704" s="465"/>
    </row>
    <row r="705">
      <c r="A705" s="463"/>
      <c r="B705" s="480">
        <v>843.0</v>
      </c>
      <c r="C705" s="486">
        <v>43368.0</v>
      </c>
      <c r="D705" s="480" t="s">
        <v>3197</v>
      </c>
      <c r="E705" s="480" t="s">
        <v>3198</v>
      </c>
      <c r="F705" s="480" t="s">
        <v>3199</v>
      </c>
      <c r="G705" s="480" t="s">
        <v>3200</v>
      </c>
      <c r="H705" s="482" t="s">
        <v>1241</v>
      </c>
    </row>
    <row r="706">
      <c r="A706" s="463"/>
      <c r="B706" s="480">
        <v>844.0</v>
      </c>
      <c r="C706" s="481">
        <v>43334.0</v>
      </c>
      <c r="D706" s="480" t="s">
        <v>3201</v>
      </c>
      <c r="E706" s="480" t="s">
        <v>3202</v>
      </c>
      <c r="F706" s="480" t="s">
        <v>3203</v>
      </c>
      <c r="G706" s="480" t="s">
        <v>2134</v>
      </c>
      <c r="H706" s="465"/>
    </row>
    <row r="707">
      <c r="A707" s="463"/>
      <c r="B707" s="480">
        <v>845.0</v>
      </c>
      <c r="C707" s="487">
        <v>43459.0</v>
      </c>
      <c r="D707" s="480" t="s">
        <v>3204</v>
      </c>
      <c r="E707" s="480" t="s">
        <v>3205</v>
      </c>
      <c r="F707" s="480" t="s">
        <v>3206</v>
      </c>
      <c r="G707" s="480" t="s">
        <v>3207</v>
      </c>
      <c r="H707" s="465"/>
    </row>
    <row r="708">
      <c r="A708" s="463"/>
      <c r="B708" s="480">
        <v>846.0</v>
      </c>
      <c r="C708" s="481">
        <v>43306.0</v>
      </c>
      <c r="D708" s="480" t="s">
        <v>3208</v>
      </c>
      <c r="E708" s="480" t="s">
        <v>3209</v>
      </c>
      <c r="F708" s="480" t="s">
        <v>3210</v>
      </c>
      <c r="G708" s="480" t="s">
        <v>3211</v>
      </c>
      <c r="H708" s="465"/>
    </row>
    <row r="709">
      <c r="A709" s="463"/>
      <c r="B709" s="480">
        <v>848.0</v>
      </c>
      <c r="C709" s="487">
        <v>43395.0</v>
      </c>
      <c r="D709" s="480" t="s">
        <v>3212</v>
      </c>
      <c r="E709" s="480" t="s">
        <v>3213</v>
      </c>
      <c r="F709" s="480" t="s">
        <v>3214</v>
      </c>
      <c r="G709" s="480" t="s">
        <v>3215</v>
      </c>
      <c r="H709" s="465"/>
    </row>
    <row r="710">
      <c r="A710" s="463"/>
      <c r="B710" s="480">
        <v>850.0</v>
      </c>
      <c r="C710" s="486">
        <v>43487.0</v>
      </c>
      <c r="D710" s="480" t="s">
        <v>3216</v>
      </c>
      <c r="E710" s="480" t="s">
        <v>3217</v>
      </c>
      <c r="F710" s="480" t="s">
        <v>3218</v>
      </c>
      <c r="G710" s="480" t="s">
        <v>2615</v>
      </c>
      <c r="H710" s="465"/>
    </row>
    <row r="711">
      <c r="A711" s="463"/>
      <c r="B711" s="480">
        <v>851.0</v>
      </c>
      <c r="C711" s="487">
        <v>43395.0</v>
      </c>
      <c r="D711" s="480" t="s">
        <v>3219</v>
      </c>
      <c r="E711" s="480" t="s">
        <v>3220</v>
      </c>
      <c r="F711" s="480" t="s">
        <v>3221</v>
      </c>
      <c r="G711" s="480" t="s">
        <v>3222</v>
      </c>
      <c r="H711" s="465"/>
    </row>
    <row r="712">
      <c r="A712" s="463"/>
      <c r="B712" s="480">
        <v>852.0</v>
      </c>
      <c r="C712" s="481">
        <v>43334.0</v>
      </c>
      <c r="D712" s="480" t="s">
        <v>3223</v>
      </c>
      <c r="E712" s="480" t="s">
        <v>3224</v>
      </c>
      <c r="F712" s="480" t="s">
        <v>3225</v>
      </c>
      <c r="G712" s="480" t="s">
        <v>1478</v>
      </c>
      <c r="H712" s="465"/>
    </row>
    <row r="713">
      <c r="A713" s="463"/>
      <c r="B713" s="480">
        <v>853.0</v>
      </c>
      <c r="C713" s="486">
        <v>43628.0</v>
      </c>
      <c r="D713" s="480" t="s">
        <v>3226</v>
      </c>
      <c r="E713" s="480" t="s">
        <v>3227</v>
      </c>
      <c r="F713" s="480" t="s">
        <v>3228</v>
      </c>
      <c r="G713" s="480" t="s">
        <v>3229</v>
      </c>
      <c r="H713" s="465"/>
    </row>
    <row r="714">
      <c r="A714" s="463"/>
      <c r="B714" s="480">
        <v>854.0</v>
      </c>
      <c r="C714" s="486">
        <v>43273.0</v>
      </c>
      <c r="D714" s="480" t="s">
        <v>3230</v>
      </c>
      <c r="E714" s="480" t="s">
        <v>2335</v>
      </c>
      <c r="F714" s="480" t="s">
        <v>2336</v>
      </c>
      <c r="G714" s="480" t="s">
        <v>1795</v>
      </c>
      <c r="H714" s="465"/>
    </row>
    <row r="715">
      <c r="A715" s="463"/>
      <c r="B715" s="480">
        <v>855.0</v>
      </c>
      <c r="C715" s="486">
        <v>43370.0</v>
      </c>
      <c r="D715" s="480" t="s">
        <v>3231</v>
      </c>
      <c r="E715" s="480" t="s">
        <v>2257</v>
      </c>
      <c r="F715" s="480" t="s">
        <v>2258</v>
      </c>
      <c r="G715" s="480" t="s">
        <v>2259</v>
      </c>
      <c r="H715" s="465"/>
    </row>
    <row r="716">
      <c r="A716" s="463"/>
      <c r="B716" s="483" t="s">
        <v>3232</v>
      </c>
      <c r="C716" s="486">
        <v>43567.0</v>
      </c>
      <c r="D716" s="480" t="s">
        <v>3233</v>
      </c>
      <c r="E716" s="480" t="s">
        <v>3234</v>
      </c>
      <c r="F716" s="480" t="s">
        <v>3235</v>
      </c>
      <c r="G716" s="480" t="s">
        <v>3236</v>
      </c>
      <c r="H716" s="465"/>
    </row>
    <row r="717">
      <c r="A717" s="463"/>
      <c r="B717" s="483" t="s">
        <v>3237</v>
      </c>
      <c r="C717" s="486">
        <v>43577.0</v>
      </c>
      <c r="D717" s="480" t="s">
        <v>3238</v>
      </c>
      <c r="E717" s="480" t="s">
        <v>3239</v>
      </c>
      <c r="F717" s="480" t="s">
        <v>3240</v>
      </c>
      <c r="G717" s="480" t="s">
        <v>3241</v>
      </c>
      <c r="H717" s="465"/>
    </row>
    <row r="718">
      <c r="A718" s="463"/>
      <c r="B718" s="480">
        <v>858.0</v>
      </c>
      <c r="C718" s="486">
        <v>43350.0</v>
      </c>
      <c r="D718" s="480" t="s">
        <v>3242</v>
      </c>
      <c r="E718" s="480" t="s">
        <v>3243</v>
      </c>
      <c r="F718" s="480" t="s">
        <v>3244</v>
      </c>
      <c r="G718" s="480" t="s">
        <v>939</v>
      </c>
      <c r="H718" s="465"/>
    </row>
    <row r="719">
      <c r="A719" s="463"/>
      <c r="B719" s="480">
        <v>859.0</v>
      </c>
      <c r="C719" s="487">
        <v>43455.0</v>
      </c>
      <c r="D719" s="480" t="s">
        <v>3245</v>
      </c>
      <c r="E719" s="480" t="s">
        <v>3246</v>
      </c>
      <c r="F719" s="480" t="s">
        <v>3247</v>
      </c>
      <c r="G719" s="480" t="s">
        <v>1122</v>
      </c>
      <c r="H719" s="465"/>
    </row>
    <row r="720">
      <c r="A720" s="463"/>
      <c r="B720" s="480">
        <v>860.0</v>
      </c>
      <c r="C720" s="486">
        <v>43364.0</v>
      </c>
      <c r="D720" s="480" t="s">
        <v>3248</v>
      </c>
      <c r="E720" s="480" t="s">
        <v>3249</v>
      </c>
      <c r="F720" s="480" t="s">
        <v>3250</v>
      </c>
      <c r="G720" s="480" t="s">
        <v>1445</v>
      </c>
      <c r="H720" s="465"/>
    </row>
    <row r="721">
      <c r="A721" s="463"/>
      <c r="B721" s="480">
        <v>862.0</v>
      </c>
      <c r="C721" s="486">
        <v>43518.0</v>
      </c>
      <c r="D721" s="480" t="s">
        <v>3251</v>
      </c>
      <c r="E721" s="480" t="s">
        <v>3252</v>
      </c>
      <c r="F721" s="480" t="s">
        <v>3253</v>
      </c>
      <c r="G721" s="480" t="s">
        <v>2134</v>
      </c>
      <c r="H721" s="465"/>
    </row>
    <row r="722">
      <c r="A722" s="463"/>
      <c r="B722" s="480">
        <v>863.0</v>
      </c>
      <c r="C722" s="481">
        <v>43334.0</v>
      </c>
      <c r="D722" s="480" t="s">
        <v>3254</v>
      </c>
      <c r="E722" s="480" t="s">
        <v>3255</v>
      </c>
      <c r="F722" s="480" t="s">
        <v>3256</v>
      </c>
      <c r="G722" s="480" t="s">
        <v>1824</v>
      </c>
      <c r="H722" s="465"/>
    </row>
    <row r="723">
      <c r="A723" s="463"/>
      <c r="B723" s="480">
        <v>864.0</v>
      </c>
      <c r="C723" s="486">
        <v>43364.0</v>
      </c>
      <c r="D723" s="480" t="s">
        <v>3257</v>
      </c>
      <c r="E723" s="480" t="s">
        <v>1838</v>
      </c>
      <c r="F723" s="480" t="s">
        <v>1839</v>
      </c>
      <c r="G723" s="480" t="s">
        <v>1840</v>
      </c>
      <c r="H723" s="465"/>
    </row>
    <row r="724">
      <c r="A724" s="463"/>
      <c r="B724" s="480">
        <v>865.0</v>
      </c>
      <c r="C724" s="487">
        <v>43417.0</v>
      </c>
      <c r="D724" s="480" t="s">
        <v>3258</v>
      </c>
      <c r="E724" s="480" t="s">
        <v>2779</v>
      </c>
      <c r="F724" s="480" t="s">
        <v>2780</v>
      </c>
      <c r="G724" s="480" t="s">
        <v>939</v>
      </c>
      <c r="H724" s="465"/>
    </row>
    <row r="725">
      <c r="A725" s="463"/>
      <c r="B725" s="480">
        <v>867.0</v>
      </c>
      <c r="C725" s="486">
        <v>43638.0</v>
      </c>
      <c r="D725" s="480" t="s">
        <v>3259</v>
      </c>
      <c r="E725" s="480" t="s">
        <v>3260</v>
      </c>
      <c r="F725" s="480" t="s">
        <v>3261</v>
      </c>
      <c r="G725" s="480" t="s">
        <v>1441</v>
      </c>
      <c r="H725" s="465"/>
    </row>
    <row r="726">
      <c r="A726" s="463"/>
      <c r="B726" s="480">
        <v>868.0</v>
      </c>
      <c r="C726" s="486">
        <v>43487.0</v>
      </c>
      <c r="D726" s="480" t="s">
        <v>3262</v>
      </c>
      <c r="E726" s="480" t="s">
        <v>2597</v>
      </c>
      <c r="F726" s="480" t="s">
        <v>2598</v>
      </c>
      <c r="G726" s="480" t="s">
        <v>1235</v>
      </c>
      <c r="H726" s="465"/>
    </row>
    <row r="727">
      <c r="A727" s="463"/>
      <c r="B727" s="480">
        <v>869.0</v>
      </c>
      <c r="C727" s="486">
        <v>43364.0</v>
      </c>
      <c r="D727" s="480" t="s">
        <v>3263</v>
      </c>
      <c r="E727" s="480" t="s">
        <v>1658</v>
      </c>
      <c r="F727" s="480" t="s">
        <v>1659</v>
      </c>
      <c r="G727" s="480" t="s">
        <v>1294</v>
      </c>
      <c r="H727" s="465"/>
    </row>
    <row r="728">
      <c r="A728" s="463"/>
      <c r="B728" s="480">
        <v>870.0</v>
      </c>
      <c r="C728" s="487">
        <v>43395.0</v>
      </c>
      <c r="D728" s="480" t="s">
        <v>3264</v>
      </c>
      <c r="E728" s="480" t="s">
        <v>3265</v>
      </c>
      <c r="F728" s="480" t="s">
        <v>3266</v>
      </c>
      <c r="G728" s="480" t="s">
        <v>2199</v>
      </c>
      <c r="H728" s="465"/>
    </row>
    <row r="729">
      <c r="A729" s="463"/>
      <c r="B729" s="480">
        <v>871.0</v>
      </c>
      <c r="C729" s="487">
        <v>43395.0</v>
      </c>
      <c r="D729" s="480" t="s">
        <v>3267</v>
      </c>
      <c r="E729" s="480" t="s">
        <v>3268</v>
      </c>
      <c r="F729" s="480" t="s">
        <v>3269</v>
      </c>
      <c r="G729" s="480" t="s">
        <v>3270</v>
      </c>
      <c r="H729" s="465"/>
    </row>
    <row r="730">
      <c r="A730" s="463"/>
      <c r="B730" s="480">
        <v>872.0</v>
      </c>
      <c r="C730" s="486">
        <v>43518.0</v>
      </c>
      <c r="D730" s="480" t="s">
        <v>3271</v>
      </c>
      <c r="E730" s="480" t="s">
        <v>1299</v>
      </c>
      <c r="F730" s="480" t="s">
        <v>1300</v>
      </c>
      <c r="G730" s="480" t="s">
        <v>1301</v>
      </c>
      <c r="H730" s="482" t="s">
        <v>1302</v>
      </c>
    </row>
    <row r="731">
      <c r="A731" s="463"/>
      <c r="B731" s="480">
        <v>873.0</v>
      </c>
      <c r="C731" s="486">
        <v>43518.0</v>
      </c>
      <c r="D731" s="480" t="s">
        <v>3272</v>
      </c>
      <c r="E731" s="480" t="s">
        <v>3273</v>
      </c>
      <c r="F731" s="480" t="s">
        <v>3274</v>
      </c>
      <c r="G731" s="480" t="s">
        <v>3275</v>
      </c>
      <c r="H731" s="482" t="s">
        <v>1302</v>
      </c>
    </row>
    <row r="732">
      <c r="A732" s="463"/>
      <c r="B732" s="480">
        <v>874.0</v>
      </c>
      <c r="C732" s="486">
        <v>43356.0</v>
      </c>
      <c r="D732" s="480" t="s">
        <v>3276</v>
      </c>
      <c r="E732" s="480" t="s">
        <v>3277</v>
      </c>
      <c r="F732" s="480" t="s">
        <v>2996</v>
      </c>
      <c r="G732" s="480" t="s">
        <v>2997</v>
      </c>
      <c r="H732" s="482" t="s">
        <v>1241</v>
      </c>
    </row>
    <row r="733">
      <c r="A733" s="463"/>
      <c r="B733" s="480">
        <v>875.0</v>
      </c>
      <c r="C733" s="486">
        <v>43518.0</v>
      </c>
      <c r="D733" s="480" t="s">
        <v>3278</v>
      </c>
      <c r="E733" s="480" t="s">
        <v>3279</v>
      </c>
      <c r="F733" s="480" t="s">
        <v>3280</v>
      </c>
      <c r="G733" s="480" t="s">
        <v>1321</v>
      </c>
      <c r="H733" s="465"/>
    </row>
    <row r="734">
      <c r="A734" s="463"/>
      <c r="B734" s="480">
        <v>876.0</v>
      </c>
      <c r="C734" s="486">
        <v>43733.0</v>
      </c>
      <c r="D734" s="480" t="s">
        <v>3281</v>
      </c>
      <c r="E734" s="480" t="s">
        <v>3282</v>
      </c>
      <c r="F734" s="480" t="s">
        <v>3283</v>
      </c>
      <c r="G734" s="480" t="s">
        <v>3284</v>
      </c>
      <c r="H734" s="465"/>
    </row>
    <row r="735">
      <c r="A735" s="463"/>
      <c r="B735" s="480">
        <v>877.0</v>
      </c>
      <c r="C735" s="486">
        <v>43521.0</v>
      </c>
      <c r="D735" s="480" t="s">
        <v>3285</v>
      </c>
      <c r="E735" s="480" t="s">
        <v>3286</v>
      </c>
      <c r="F735" s="480" t="s">
        <v>3287</v>
      </c>
      <c r="G735" s="480" t="s">
        <v>3288</v>
      </c>
      <c r="H735" s="465"/>
    </row>
    <row r="736">
      <c r="A736" s="463"/>
      <c r="B736" s="480">
        <v>878.0</v>
      </c>
      <c r="C736" s="486">
        <v>43364.0</v>
      </c>
      <c r="D736" s="480" t="s">
        <v>3289</v>
      </c>
      <c r="E736" s="480" t="s">
        <v>3290</v>
      </c>
      <c r="F736" s="480" t="s">
        <v>3291</v>
      </c>
      <c r="G736" s="480" t="s">
        <v>3292</v>
      </c>
      <c r="H736" s="465"/>
    </row>
    <row r="737">
      <c r="A737" s="463"/>
      <c r="B737" s="480">
        <v>879.0</v>
      </c>
      <c r="C737" s="486">
        <v>43658.0</v>
      </c>
      <c r="D737" s="480" t="s">
        <v>3293</v>
      </c>
      <c r="E737" s="480" t="s">
        <v>2858</v>
      </c>
      <c r="F737" s="480" t="s">
        <v>2859</v>
      </c>
      <c r="G737" s="480" t="s">
        <v>2860</v>
      </c>
      <c r="H737" s="465"/>
    </row>
    <row r="738">
      <c r="A738" s="463"/>
      <c r="B738" s="480">
        <v>880.0</v>
      </c>
      <c r="C738" s="486">
        <v>43518.0</v>
      </c>
      <c r="D738" s="480" t="s">
        <v>3294</v>
      </c>
      <c r="E738" s="480" t="s">
        <v>3295</v>
      </c>
      <c r="F738" s="480" t="s">
        <v>3296</v>
      </c>
      <c r="G738" s="480" t="s">
        <v>3297</v>
      </c>
      <c r="H738" s="465"/>
    </row>
    <row r="739">
      <c r="A739" s="463"/>
      <c r="B739" s="480">
        <v>881.0</v>
      </c>
      <c r="C739" s="486">
        <v>43518.0</v>
      </c>
      <c r="D739" s="480" t="s">
        <v>3298</v>
      </c>
      <c r="E739" s="480" t="s">
        <v>3290</v>
      </c>
      <c r="F739" s="480" t="s">
        <v>3291</v>
      </c>
      <c r="G739" s="480" t="s">
        <v>3292</v>
      </c>
      <c r="H739" s="465"/>
    </row>
    <row r="740">
      <c r="A740" s="463"/>
      <c r="B740" s="480">
        <v>882.0</v>
      </c>
      <c r="C740" s="486">
        <v>43487.0</v>
      </c>
      <c r="D740" s="480" t="s">
        <v>3299</v>
      </c>
      <c r="E740" s="480" t="s">
        <v>3300</v>
      </c>
      <c r="F740" s="480" t="s">
        <v>3301</v>
      </c>
      <c r="G740" s="480" t="s">
        <v>1531</v>
      </c>
      <c r="H740" s="465"/>
    </row>
    <row r="741">
      <c r="A741" s="463"/>
      <c r="B741" s="480">
        <v>883.0</v>
      </c>
      <c r="C741" s="486">
        <v>43672.0</v>
      </c>
      <c r="D741" s="480" t="s">
        <v>3302</v>
      </c>
      <c r="E741" s="480" t="s">
        <v>1367</v>
      </c>
      <c r="F741" s="480" t="s">
        <v>1368</v>
      </c>
      <c r="G741" s="480" t="s">
        <v>1369</v>
      </c>
      <c r="H741" s="465"/>
    </row>
    <row r="742">
      <c r="A742" s="463"/>
      <c r="B742" s="483" t="s">
        <v>3303</v>
      </c>
      <c r="C742" s="486">
        <v>43567.0</v>
      </c>
      <c r="D742" s="480" t="s">
        <v>3304</v>
      </c>
      <c r="E742" s="480" t="s">
        <v>3305</v>
      </c>
      <c r="F742" s="480" t="s">
        <v>3306</v>
      </c>
      <c r="G742" s="480" t="s">
        <v>3307</v>
      </c>
      <c r="H742" s="465"/>
    </row>
    <row r="743">
      <c r="A743" s="463"/>
      <c r="B743" s="480">
        <v>885.0</v>
      </c>
      <c r="C743" s="487">
        <v>43395.0</v>
      </c>
      <c r="D743" s="480" t="s">
        <v>3308</v>
      </c>
      <c r="E743" s="480" t="s">
        <v>3309</v>
      </c>
      <c r="F743" s="480" t="s">
        <v>3310</v>
      </c>
      <c r="G743" s="480" t="s">
        <v>1795</v>
      </c>
      <c r="H743" s="465"/>
    </row>
    <row r="744">
      <c r="A744" s="463"/>
      <c r="B744" s="480">
        <v>887.0</v>
      </c>
      <c r="C744" s="480" t="s">
        <v>2636</v>
      </c>
      <c r="D744" s="480" t="s">
        <v>3311</v>
      </c>
      <c r="E744" s="480" t="s">
        <v>3312</v>
      </c>
      <c r="F744" s="480" t="s">
        <v>3313</v>
      </c>
      <c r="G744" s="480" t="s">
        <v>3314</v>
      </c>
      <c r="H744" s="465"/>
    </row>
    <row r="745">
      <c r="A745" s="463"/>
      <c r="B745" s="480">
        <v>888.0</v>
      </c>
      <c r="C745" s="486">
        <v>43364.0</v>
      </c>
      <c r="D745" s="480" t="s">
        <v>3315</v>
      </c>
      <c r="E745" s="480" t="s">
        <v>2737</v>
      </c>
      <c r="F745" s="480" t="s">
        <v>2738</v>
      </c>
      <c r="G745" s="480" t="s">
        <v>2739</v>
      </c>
      <c r="H745" s="465"/>
    </row>
    <row r="746">
      <c r="A746" s="463"/>
      <c r="B746" s="480">
        <v>889.0</v>
      </c>
      <c r="C746" s="486">
        <v>43521.0</v>
      </c>
      <c r="D746" s="480" t="s">
        <v>3316</v>
      </c>
      <c r="E746" s="480" t="s">
        <v>3025</v>
      </c>
      <c r="F746" s="480" t="s">
        <v>3026</v>
      </c>
      <c r="G746" s="480" t="s">
        <v>1478</v>
      </c>
      <c r="H746" s="465"/>
    </row>
    <row r="747">
      <c r="A747" s="463"/>
      <c r="B747" s="483" t="s">
        <v>3317</v>
      </c>
      <c r="C747" s="486">
        <v>43567.0</v>
      </c>
      <c r="D747" s="480" t="s">
        <v>3318</v>
      </c>
      <c r="E747" s="480" t="s">
        <v>3319</v>
      </c>
      <c r="F747" s="480" t="s">
        <v>3320</v>
      </c>
      <c r="G747" s="480" t="s">
        <v>3321</v>
      </c>
      <c r="H747" s="482" t="s">
        <v>1241</v>
      </c>
    </row>
    <row r="748">
      <c r="A748" s="463"/>
      <c r="B748" s="480">
        <v>891.0</v>
      </c>
      <c r="C748" s="487">
        <v>43794.0</v>
      </c>
      <c r="D748" s="480" t="s">
        <v>3322</v>
      </c>
      <c r="E748" s="480" t="s">
        <v>3323</v>
      </c>
      <c r="F748" s="480" t="s">
        <v>3324</v>
      </c>
      <c r="G748" s="480" t="s">
        <v>3325</v>
      </c>
      <c r="H748" s="465"/>
    </row>
    <row r="749">
      <c r="A749" s="463"/>
      <c r="B749" s="480">
        <v>892.0</v>
      </c>
      <c r="C749" s="487">
        <v>43796.0</v>
      </c>
      <c r="D749" s="480" t="s">
        <v>3326</v>
      </c>
      <c r="E749" s="480" t="s">
        <v>3327</v>
      </c>
      <c r="F749" s="480" t="s">
        <v>3328</v>
      </c>
      <c r="G749" s="480" t="s">
        <v>3329</v>
      </c>
      <c r="H749" s="465"/>
    </row>
    <row r="750">
      <c r="A750" s="463"/>
      <c r="B750" s="480">
        <v>893.0</v>
      </c>
      <c r="C750" s="487">
        <v>43395.0</v>
      </c>
      <c r="D750" s="480" t="s">
        <v>3330</v>
      </c>
      <c r="E750" s="480" t="s">
        <v>3331</v>
      </c>
      <c r="F750" s="480" t="s">
        <v>3332</v>
      </c>
      <c r="G750" s="480" t="s">
        <v>3333</v>
      </c>
      <c r="H750" s="465"/>
    </row>
    <row r="751">
      <c r="A751" s="463"/>
      <c r="B751" s="480">
        <v>894.0</v>
      </c>
      <c r="C751" s="487">
        <v>43395.0</v>
      </c>
      <c r="D751" s="480" t="s">
        <v>3334</v>
      </c>
      <c r="E751" s="480" t="s">
        <v>3335</v>
      </c>
      <c r="F751" s="480" t="s">
        <v>3336</v>
      </c>
      <c r="G751" s="480" t="s">
        <v>1502</v>
      </c>
      <c r="H751" s="465"/>
    </row>
    <row r="752">
      <c r="A752" s="463"/>
      <c r="B752" s="480">
        <v>895.0</v>
      </c>
      <c r="C752" s="486">
        <v>43487.0</v>
      </c>
      <c r="D752" s="480" t="s">
        <v>3337</v>
      </c>
      <c r="E752" s="480" t="s">
        <v>3338</v>
      </c>
      <c r="F752" s="480" t="s">
        <v>3339</v>
      </c>
      <c r="G752" s="480" t="s">
        <v>3340</v>
      </c>
      <c r="H752" s="465"/>
    </row>
    <row r="753">
      <c r="A753" s="463"/>
      <c r="B753" s="480">
        <v>896.0</v>
      </c>
      <c r="C753" s="487">
        <v>43395.0</v>
      </c>
      <c r="D753" s="480" t="s">
        <v>3341</v>
      </c>
      <c r="E753" s="480" t="s">
        <v>3342</v>
      </c>
      <c r="F753" s="480" t="s">
        <v>3343</v>
      </c>
      <c r="G753" s="480" t="s">
        <v>3344</v>
      </c>
      <c r="H753" s="465"/>
    </row>
    <row r="754">
      <c r="A754" s="463"/>
      <c r="B754" s="480">
        <v>897.0</v>
      </c>
      <c r="C754" s="486">
        <v>43491.0</v>
      </c>
      <c r="D754" s="480" t="s">
        <v>3345</v>
      </c>
      <c r="E754" s="480" t="s">
        <v>3346</v>
      </c>
      <c r="F754" s="480" t="s">
        <v>3347</v>
      </c>
      <c r="G754" s="480" t="s">
        <v>3348</v>
      </c>
      <c r="H754" s="465"/>
    </row>
    <row r="755">
      <c r="A755" s="463"/>
      <c r="B755" s="480">
        <v>898.0</v>
      </c>
      <c r="C755" s="487">
        <v>43455.0</v>
      </c>
      <c r="D755" s="480" t="s">
        <v>3349</v>
      </c>
      <c r="E755" s="480" t="s">
        <v>1185</v>
      </c>
      <c r="F755" s="480" t="s">
        <v>1186</v>
      </c>
      <c r="G755" s="480" t="s">
        <v>1187</v>
      </c>
      <c r="H755" s="465"/>
    </row>
    <row r="756">
      <c r="A756" s="463"/>
      <c r="B756" s="480">
        <v>899.0</v>
      </c>
      <c r="C756" s="486">
        <v>43704.0</v>
      </c>
      <c r="D756" s="480" t="s">
        <v>3350</v>
      </c>
      <c r="E756" s="480" t="s">
        <v>2228</v>
      </c>
      <c r="F756" s="480" t="s">
        <v>2229</v>
      </c>
      <c r="G756" s="480" t="s">
        <v>2230</v>
      </c>
      <c r="H756" s="465"/>
    </row>
    <row r="757">
      <c r="A757" s="463"/>
      <c r="B757" s="480">
        <v>900.0</v>
      </c>
      <c r="C757" s="486">
        <v>43857.0</v>
      </c>
      <c r="D757" s="480" t="s">
        <v>3351</v>
      </c>
      <c r="E757" s="480" t="s">
        <v>2232</v>
      </c>
      <c r="F757" s="480" t="s">
        <v>2233</v>
      </c>
      <c r="G757" s="480" t="s">
        <v>1321</v>
      </c>
      <c r="H757" s="465"/>
    </row>
    <row r="758">
      <c r="A758" s="463"/>
      <c r="B758" s="483" t="s">
        <v>3352</v>
      </c>
      <c r="C758" s="486">
        <v>43567.0</v>
      </c>
      <c r="D758" s="480" t="s">
        <v>3353</v>
      </c>
      <c r="E758" s="480" t="s">
        <v>3354</v>
      </c>
      <c r="F758" s="480" t="s">
        <v>3355</v>
      </c>
      <c r="G758" s="480" t="s">
        <v>3356</v>
      </c>
      <c r="H758" s="465"/>
    </row>
    <row r="759">
      <c r="A759" s="463"/>
      <c r="B759" s="480">
        <v>902.0</v>
      </c>
      <c r="C759" s="486">
        <v>43518.0</v>
      </c>
      <c r="D759" s="480" t="s">
        <v>3357</v>
      </c>
      <c r="E759" s="480" t="s">
        <v>3358</v>
      </c>
      <c r="F759" s="480" t="s">
        <v>3359</v>
      </c>
      <c r="G759" s="480" t="s">
        <v>1535</v>
      </c>
      <c r="H759" s="465"/>
    </row>
    <row r="760">
      <c r="A760" s="463"/>
      <c r="B760" s="483" t="s">
        <v>3360</v>
      </c>
      <c r="C760" s="486">
        <v>43595.0</v>
      </c>
      <c r="D760" s="480" t="s">
        <v>3361</v>
      </c>
      <c r="E760" s="480" t="s">
        <v>3362</v>
      </c>
      <c r="F760" s="480" t="s">
        <v>3363</v>
      </c>
      <c r="G760" s="480" t="s">
        <v>3364</v>
      </c>
      <c r="H760" s="465"/>
    </row>
    <row r="761">
      <c r="A761" s="463"/>
      <c r="B761" s="480">
        <v>904.0</v>
      </c>
      <c r="C761" s="486">
        <v>43628.0</v>
      </c>
      <c r="D761" s="480" t="s">
        <v>3365</v>
      </c>
      <c r="E761" s="480" t="s">
        <v>3366</v>
      </c>
      <c r="F761" s="480" t="s">
        <v>3367</v>
      </c>
      <c r="G761" s="480" t="s">
        <v>3368</v>
      </c>
      <c r="H761" s="465"/>
    </row>
    <row r="762">
      <c r="A762" s="463"/>
      <c r="B762" s="483" t="s">
        <v>3369</v>
      </c>
      <c r="C762" s="486">
        <v>43567.0</v>
      </c>
      <c r="D762" s="480" t="s">
        <v>3370</v>
      </c>
      <c r="E762" s="480" t="s">
        <v>3371</v>
      </c>
      <c r="F762" s="480" t="s">
        <v>3372</v>
      </c>
      <c r="G762" s="480" t="s">
        <v>3373</v>
      </c>
      <c r="H762" s="465"/>
    </row>
    <row r="763">
      <c r="A763" s="463"/>
      <c r="B763" s="480">
        <v>907.0</v>
      </c>
      <c r="C763" s="486">
        <v>43537.0</v>
      </c>
      <c r="D763" s="480" t="s">
        <v>3374</v>
      </c>
      <c r="E763" s="480" t="s">
        <v>3375</v>
      </c>
      <c r="F763" s="480" t="s">
        <v>3376</v>
      </c>
      <c r="G763" s="480" t="s">
        <v>3377</v>
      </c>
      <c r="H763" s="482" t="s">
        <v>1241</v>
      </c>
    </row>
    <row r="764">
      <c r="A764" s="463"/>
      <c r="B764" s="480">
        <v>908.0</v>
      </c>
      <c r="C764" s="486">
        <v>43658.0</v>
      </c>
      <c r="D764" s="480" t="s">
        <v>3378</v>
      </c>
      <c r="E764" s="480" t="s">
        <v>3379</v>
      </c>
      <c r="F764" s="480" t="s">
        <v>3380</v>
      </c>
      <c r="G764" s="480" t="s">
        <v>3381</v>
      </c>
      <c r="H764" s="465"/>
    </row>
    <row r="765">
      <c r="A765" s="463"/>
      <c r="B765" s="483" t="s">
        <v>3382</v>
      </c>
      <c r="C765" s="486">
        <v>43580.0</v>
      </c>
      <c r="D765" s="480" t="s">
        <v>3383</v>
      </c>
      <c r="E765" s="480" t="s">
        <v>3384</v>
      </c>
      <c r="F765" s="480" t="s">
        <v>3385</v>
      </c>
      <c r="G765" s="480" t="s">
        <v>3386</v>
      </c>
      <c r="H765" s="465"/>
    </row>
    <row r="766">
      <c r="A766" s="463"/>
      <c r="B766" s="483" t="s">
        <v>3387</v>
      </c>
      <c r="C766" s="486">
        <v>43567.0</v>
      </c>
      <c r="D766" s="480" t="s">
        <v>3388</v>
      </c>
      <c r="E766" s="480" t="s">
        <v>3389</v>
      </c>
      <c r="F766" s="480" t="s">
        <v>3390</v>
      </c>
      <c r="G766" s="480" t="s">
        <v>3391</v>
      </c>
      <c r="H766" s="465"/>
    </row>
    <row r="767">
      <c r="A767" s="463"/>
      <c r="B767" s="480">
        <v>911.0</v>
      </c>
      <c r="C767" s="487">
        <v>43447.0</v>
      </c>
      <c r="D767" s="480" t="s">
        <v>3392</v>
      </c>
      <c r="E767" s="480" t="s">
        <v>3393</v>
      </c>
      <c r="F767" s="480" t="s">
        <v>3394</v>
      </c>
      <c r="G767" s="480" t="s">
        <v>3395</v>
      </c>
      <c r="H767" s="482" t="s">
        <v>1241</v>
      </c>
    </row>
    <row r="768">
      <c r="A768" s="463"/>
      <c r="B768" s="483" t="s">
        <v>3396</v>
      </c>
      <c r="C768" s="486">
        <v>43567.0</v>
      </c>
      <c r="D768" s="480" t="s">
        <v>3397</v>
      </c>
      <c r="E768" s="480" t="s">
        <v>3398</v>
      </c>
      <c r="F768" s="480" t="s">
        <v>3399</v>
      </c>
      <c r="G768" s="480" t="s">
        <v>3400</v>
      </c>
      <c r="H768" s="482" t="s">
        <v>1241</v>
      </c>
    </row>
    <row r="769">
      <c r="A769" s="463"/>
      <c r="B769" s="480">
        <v>913.0</v>
      </c>
      <c r="C769" s="486">
        <v>43720.0</v>
      </c>
      <c r="D769" s="480" t="s">
        <v>3401</v>
      </c>
      <c r="E769" s="480" t="s">
        <v>3402</v>
      </c>
      <c r="F769" s="480" t="s">
        <v>3403</v>
      </c>
      <c r="G769" s="480" t="s">
        <v>3404</v>
      </c>
      <c r="H769" s="482" t="s">
        <v>1241</v>
      </c>
    </row>
    <row r="770">
      <c r="A770" s="463"/>
      <c r="B770" s="480">
        <v>914.0</v>
      </c>
      <c r="C770" s="486">
        <v>43638.0</v>
      </c>
      <c r="D770" s="480" t="s">
        <v>3405</v>
      </c>
      <c r="E770" s="480" t="s">
        <v>3406</v>
      </c>
      <c r="F770" s="480" t="s">
        <v>3407</v>
      </c>
      <c r="G770" s="480" t="s">
        <v>1060</v>
      </c>
      <c r="H770" s="465"/>
    </row>
    <row r="771">
      <c r="A771" s="463"/>
      <c r="B771" s="480">
        <v>915.0</v>
      </c>
      <c r="C771" s="486">
        <v>43518.0</v>
      </c>
      <c r="D771" s="480" t="s">
        <v>3408</v>
      </c>
      <c r="E771" s="480" t="s">
        <v>3409</v>
      </c>
      <c r="F771" s="480" t="s">
        <v>3410</v>
      </c>
      <c r="G771" s="480" t="s">
        <v>3411</v>
      </c>
      <c r="H771" s="482" t="s">
        <v>1241</v>
      </c>
    </row>
    <row r="772">
      <c r="A772" s="463"/>
      <c r="B772" s="480">
        <v>916.0</v>
      </c>
      <c r="C772" s="486">
        <v>43537.0</v>
      </c>
      <c r="D772" s="480" t="s">
        <v>3412</v>
      </c>
      <c r="E772" s="480" t="s">
        <v>3413</v>
      </c>
      <c r="F772" s="480" t="s">
        <v>3414</v>
      </c>
      <c r="G772" s="480" t="s">
        <v>3415</v>
      </c>
      <c r="H772" s="482" t="s">
        <v>1241</v>
      </c>
    </row>
    <row r="773">
      <c r="A773" s="463"/>
      <c r="B773" s="480">
        <v>917.0</v>
      </c>
      <c r="C773" s="486">
        <v>43490.0</v>
      </c>
      <c r="D773" s="480" t="s">
        <v>3416</v>
      </c>
      <c r="E773" s="480" t="s">
        <v>3417</v>
      </c>
      <c r="F773" s="480" t="s">
        <v>3418</v>
      </c>
      <c r="G773" s="480" t="s">
        <v>3419</v>
      </c>
      <c r="H773" s="482" t="s">
        <v>1241</v>
      </c>
    </row>
    <row r="774">
      <c r="A774" s="463"/>
      <c r="B774" s="480">
        <v>918.0</v>
      </c>
      <c r="C774" s="486">
        <v>43537.0</v>
      </c>
      <c r="D774" s="480" t="s">
        <v>3420</v>
      </c>
      <c r="E774" s="480" t="s">
        <v>3421</v>
      </c>
      <c r="F774" s="480" t="s">
        <v>3422</v>
      </c>
      <c r="G774" s="480" t="s">
        <v>3423</v>
      </c>
      <c r="H774" s="482" t="s">
        <v>2438</v>
      </c>
    </row>
    <row r="775">
      <c r="A775" s="463"/>
      <c r="B775" s="483" t="s">
        <v>3424</v>
      </c>
      <c r="C775" s="486">
        <v>43577.0</v>
      </c>
      <c r="D775" s="480" t="s">
        <v>3425</v>
      </c>
      <c r="E775" s="480" t="s">
        <v>2523</v>
      </c>
      <c r="F775" s="480" t="s">
        <v>2524</v>
      </c>
      <c r="G775" s="480" t="s">
        <v>1441</v>
      </c>
      <c r="H775" s="465"/>
    </row>
    <row r="776">
      <c r="A776" s="463"/>
      <c r="B776" s="480">
        <v>920.0</v>
      </c>
      <c r="C776" s="486">
        <v>43518.0</v>
      </c>
      <c r="D776" s="480" t="s">
        <v>3426</v>
      </c>
      <c r="E776" s="480" t="s">
        <v>3427</v>
      </c>
      <c r="F776" s="480" t="s">
        <v>3428</v>
      </c>
      <c r="G776" s="480" t="s">
        <v>1209</v>
      </c>
      <c r="H776" s="465"/>
    </row>
    <row r="777">
      <c r="A777" s="463"/>
      <c r="B777" s="480">
        <v>921.0</v>
      </c>
      <c r="C777" s="486">
        <v>43699.0</v>
      </c>
      <c r="D777" s="480" t="s">
        <v>3429</v>
      </c>
      <c r="E777" s="480" t="s">
        <v>3430</v>
      </c>
      <c r="F777" s="480" t="s">
        <v>3431</v>
      </c>
      <c r="G777" s="480" t="s">
        <v>3432</v>
      </c>
      <c r="H777" s="465"/>
    </row>
    <row r="778">
      <c r="A778" s="463"/>
      <c r="B778" s="483" t="s">
        <v>3433</v>
      </c>
      <c r="C778" s="486">
        <v>43607.0</v>
      </c>
      <c r="D778" s="480" t="s">
        <v>3434</v>
      </c>
      <c r="E778" s="480" t="s">
        <v>3435</v>
      </c>
      <c r="F778" s="480" t="s">
        <v>3436</v>
      </c>
      <c r="G778" s="480" t="s">
        <v>3437</v>
      </c>
      <c r="H778" s="465"/>
    </row>
    <row r="779">
      <c r="A779" s="463"/>
      <c r="B779" s="483" t="s">
        <v>3438</v>
      </c>
      <c r="C779" s="486">
        <v>43577.0</v>
      </c>
      <c r="D779" s="480" t="s">
        <v>3439</v>
      </c>
      <c r="E779" s="480" t="s">
        <v>3440</v>
      </c>
      <c r="F779" s="480" t="s">
        <v>3441</v>
      </c>
      <c r="G779" s="480" t="s">
        <v>2640</v>
      </c>
      <c r="H779" s="465"/>
    </row>
    <row r="780">
      <c r="A780" s="463"/>
      <c r="B780" s="480">
        <v>924.0</v>
      </c>
      <c r="C780" s="486">
        <v>43539.0</v>
      </c>
      <c r="D780" s="480" t="s">
        <v>3442</v>
      </c>
      <c r="E780" s="480" t="s">
        <v>3443</v>
      </c>
      <c r="F780" s="480" t="s">
        <v>3444</v>
      </c>
      <c r="G780" s="480" t="s">
        <v>3445</v>
      </c>
      <c r="H780" s="465"/>
    </row>
    <row r="781">
      <c r="A781" s="463"/>
      <c r="B781" s="483" t="s">
        <v>3446</v>
      </c>
      <c r="C781" s="486">
        <v>43610.0</v>
      </c>
      <c r="D781" s="480" t="s">
        <v>3447</v>
      </c>
      <c r="E781" s="480" t="s">
        <v>2759</v>
      </c>
      <c r="F781" s="480" t="s">
        <v>2760</v>
      </c>
      <c r="G781" s="480" t="s">
        <v>2761</v>
      </c>
      <c r="H781" s="465"/>
    </row>
    <row r="782">
      <c r="A782" s="463"/>
      <c r="B782" s="480">
        <v>926.0</v>
      </c>
      <c r="C782" s="487">
        <v>43455.0</v>
      </c>
      <c r="D782" s="480" t="s">
        <v>3448</v>
      </c>
      <c r="E782" s="480" t="s">
        <v>3449</v>
      </c>
      <c r="F782" s="480" t="s">
        <v>3450</v>
      </c>
      <c r="G782" s="480" t="s">
        <v>3451</v>
      </c>
      <c r="H782" s="465"/>
    </row>
    <row r="783">
      <c r="A783" s="463"/>
      <c r="B783" s="483" t="s">
        <v>3452</v>
      </c>
      <c r="C783" s="486">
        <v>43607.0</v>
      </c>
      <c r="D783" s="480" t="s">
        <v>3453</v>
      </c>
      <c r="E783" s="480" t="s">
        <v>3454</v>
      </c>
      <c r="F783" s="480" t="s">
        <v>3455</v>
      </c>
      <c r="G783" s="480" t="s">
        <v>974</v>
      </c>
      <c r="H783" s="465"/>
    </row>
    <row r="784">
      <c r="A784" s="463"/>
      <c r="B784" s="480">
        <v>929.0</v>
      </c>
      <c r="C784" s="486">
        <v>43628.0</v>
      </c>
      <c r="D784" s="480" t="s">
        <v>3456</v>
      </c>
      <c r="E784" s="480" t="s">
        <v>3457</v>
      </c>
      <c r="F784" s="480" t="s">
        <v>3458</v>
      </c>
      <c r="G784" s="480" t="s">
        <v>1294</v>
      </c>
      <c r="H784" s="465"/>
    </row>
    <row r="785">
      <c r="A785" s="463"/>
      <c r="B785" s="483" t="s">
        <v>3459</v>
      </c>
      <c r="C785" s="486">
        <v>43567.0</v>
      </c>
      <c r="D785" s="480" t="s">
        <v>3460</v>
      </c>
      <c r="E785" s="480" t="s">
        <v>3461</v>
      </c>
      <c r="F785" s="480" t="s">
        <v>3462</v>
      </c>
      <c r="G785" s="480" t="s">
        <v>3463</v>
      </c>
      <c r="H785" s="465"/>
    </row>
    <row r="786">
      <c r="A786" s="463"/>
      <c r="B786" s="480">
        <v>932.0</v>
      </c>
      <c r="C786" s="486">
        <v>43487.0</v>
      </c>
      <c r="D786" s="480" t="s">
        <v>3464</v>
      </c>
      <c r="E786" s="480" t="s">
        <v>3465</v>
      </c>
      <c r="F786" s="480" t="s">
        <v>3466</v>
      </c>
      <c r="G786" s="480" t="s">
        <v>1369</v>
      </c>
      <c r="H786" s="465"/>
    </row>
    <row r="787">
      <c r="A787" s="463"/>
      <c r="B787" s="480">
        <v>933.0</v>
      </c>
      <c r="C787" s="486">
        <v>43518.0</v>
      </c>
      <c r="D787" s="480" t="s">
        <v>3467</v>
      </c>
      <c r="E787" s="480" t="s">
        <v>3468</v>
      </c>
      <c r="F787" s="480" t="s">
        <v>3469</v>
      </c>
      <c r="G787" s="480" t="s">
        <v>3470</v>
      </c>
      <c r="H787" s="465"/>
    </row>
    <row r="788">
      <c r="A788" s="463"/>
      <c r="B788" s="483" t="s">
        <v>3471</v>
      </c>
      <c r="C788" s="486">
        <v>43596.0</v>
      </c>
      <c r="D788" s="480" t="s">
        <v>3472</v>
      </c>
      <c r="E788" s="480" t="s">
        <v>1035</v>
      </c>
      <c r="F788" s="480" t="s">
        <v>1036</v>
      </c>
      <c r="G788" s="480" t="s">
        <v>1037</v>
      </c>
      <c r="H788" s="465"/>
    </row>
    <row r="789">
      <c r="A789" s="463"/>
      <c r="B789" s="480">
        <v>935.0</v>
      </c>
      <c r="C789" s="486">
        <v>43873.0</v>
      </c>
      <c r="D789" s="480" t="s">
        <v>3473</v>
      </c>
      <c r="E789" s="480" t="s">
        <v>3474</v>
      </c>
      <c r="F789" s="480" t="s">
        <v>3475</v>
      </c>
      <c r="G789" s="480" t="s">
        <v>3476</v>
      </c>
      <c r="H789" s="482" t="s">
        <v>2438</v>
      </c>
    </row>
    <row r="790">
      <c r="A790" s="463"/>
      <c r="B790" s="483" t="s">
        <v>3477</v>
      </c>
      <c r="C790" s="486">
        <v>43612.0</v>
      </c>
      <c r="D790" s="480" t="s">
        <v>3478</v>
      </c>
      <c r="E790" s="480" t="s">
        <v>3479</v>
      </c>
      <c r="F790" s="480" t="s">
        <v>3480</v>
      </c>
      <c r="G790" s="480" t="s">
        <v>3481</v>
      </c>
      <c r="H790" s="465"/>
    </row>
    <row r="791">
      <c r="A791" s="463"/>
      <c r="B791" s="480">
        <v>937.0</v>
      </c>
      <c r="C791" s="486">
        <v>43733.0</v>
      </c>
      <c r="D791" s="480" t="s">
        <v>3482</v>
      </c>
      <c r="E791" s="480" t="s">
        <v>3483</v>
      </c>
      <c r="F791" s="480" t="s">
        <v>3484</v>
      </c>
      <c r="G791" s="480" t="s">
        <v>2134</v>
      </c>
      <c r="H791" s="465"/>
    </row>
    <row r="792">
      <c r="A792" s="463"/>
      <c r="B792" s="483" t="s">
        <v>3485</v>
      </c>
      <c r="C792" s="486">
        <v>43596.0</v>
      </c>
      <c r="D792" s="480" t="s">
        <v>3486</v>
      </c>
      <c r="E792" s="480" t="s">
        <v>1091</v>
      </c>
      <c r="F792" s="480" t="s">
        <v>1092</v>
      </c>
      <c r="G792" s="480" t="s">
        <v>1935</v>
      </c>
      <c r="H792" s="465"/>
    </row>
    <row r="793">
      <c r="A793" s="463"/>
      <c r="B793" s="483" t="s">
        <v>3487</v>
      </c>
      <c r="C793" s="486">
        <v>43578.0</v>
      </c>
      <c r="D793" s="480" t="s">
        <v>3488</v>
      </c>
      <c r="E793" s="480" t="s">
        <v>3489</v>
      </c>
      <c r="F793" s="480" t="s">
        <v>3490</v>
      </c>
      <c r="G793" s="480" t="s">
        <v>974</v>
      </c>
      <c r="H793" s="465"/>
    </row>
    <row r="794">
      <c r="A794" s="463"/>
      <c r="B794" s="480">
        <v>941.0</v>
      </c>
      <c r="C794" s="486">
        <v>43720.0</v>
      </c>
      <c r="D794" s="480" t="s">
        <v>347</v>
      </c>
      <c r="E794" s="480" t="s">
        <v>3491</v>
      </c>
      <c r="F794" s="480" t="s">
        <v>3492</v>
      </c>
      <c r="G794" s="480" t="s">
        <v>3493</v>
      </c>
      <c r="H794" s="465"/>
    </row>
    <row r="795">
      <c r="A795" s="463"/>
      <c r="B795" s="480">
        <v>942.0</v>
      </c>
      <c r="C795" s="486">
        <v>43873.0</v>
      </c>
      <c r="D795" s="480" t="s">
        <v>3494</v>
      </c>
      <c r="E795" s="480" t="s">
        <v>3495</v>
      </c>
      <c r="F795" s="480" t="s">
        <v>3496</v>
      </c>
      <c r="G795" s="480" t="s">
        <v>3497</v>
      </c>
      <c r="H795" s="465"/>
    </row>
    <row r="796">
      <c r="A796" s="463"/>
      <c r="B796" s="480">
        <v>943.0</v>
      </c>
      <c r="C796" s="486">
        <v>43720.0</v>
      </c>
      <c r="D796" s="480" t="s">
        <v>3498</v>
      </c>
      <c r="E796" s="480" t="s">
        <v>3499</v>
      </c>
      <c r="F796" s="480" t="s">
        <v>3500</v>
      </c>
      <c r="G796" s="480" t="s">
        <v>3501</v>
      </c>
      <c r="H796" s="482" t="s">
        <v>1241</v>
      </c>
    </row>
    <row r="797">
      <c r="A797" s="463"/>
      <c r="B797" s="480">
        <v>944.0</v>
      </c>
      <c r="C797" s="487">
        <v>43750.0</v>
      </c>
      <c r="D797" s="480" t="s">
        <v>3502</v>
      </c>
      <c r="E797" s="480" t="s">
        <v>3503</v>
      </c>
      <c r="F797" s="480" t="s">
        <v>3504</v>
      </c>
      <c r="G797" s="480" t="s">
        <v>3505</v>
      </c>
      <c r="H797" s="465"/>
    </row>
    <row r="798">
      <c r="A798" s="463"/>
      <c r="B798" s="480">
        <v>945.0</v>
      </c>
      <c r="C798" s="486">
        <v>43729.0</v>
      </c>
      <c r="D798" s="480" t="s">
        <v>3506</v>
      </c>
      <c r="E798" s="480" t="s">
        <v>1853</v>
      </c>
      <c r="F798" s="480" t="s">
        <v>1854</v>
      </c>
      <c r="G798" s="480" t="s">
        <v>1855</v>
      </c>
      <c r="H798" s="465"/>
    </row>
    <row r="799">
      <c r="A799" s="463"/>
      <c r="B799" s="480">
        <v>946.0</v>
      </c>
      <c r="C799" s="486">
        <v>43518.0</v>
      </c>
      <c r="D799" s="480" t="s">
        <v>3507</v>
      </c>
      <c r="E799" s="480" t="s">
        <v>3508</v>
      </c>
      <c r="F799" s="480" t="s">
        <v>3509</v>
      </c>
      <c r="G799" s="480" t="s">
        <v>3510</v>
      </c>
      <c r="H799" s="465"/>
    </row>
    <row r="800">
      <c r="A800" s="463"/>
      <c r="B800" s="480">
        <v>947.0</v>
      </c>
      <c r="C800" s="486">
        <v>43735.0</v>
      </c>
      <c r="D800" s="480" t="s">
        <v>3511</v>
      </c>
      <c r="E800" s="480" t="s">
        <v>2562</v>
      </c>
      <c r="F800" s="480" t="s">
        <v>2563</v>
      </c>
      <c r="G800" s="480" t="s">
        <v>2206</v>
      </c>
      <c r="H800" s="465"/>
    </row>
    <row r="801">
      <c r="A801" s="463"/>
      <c r="B801" s="480">
        <v>948.0</v>
      </c>
      <c r="C801" s="486">
        <v>43888.0</v>
      </c>
      <c r="D801" s="480" t="s">
        <v>3512</v>
      </c>
      <c r="E801" s="480" t="s">
        <v>3513</v>
      </c>
      <c r="F801" s="480" t="s">
        <v>3514</v>
      </c>
      <c r="G801" s="480" t="s">
        <v>3515</v>
      </c>
      <c r="H801" s="465"/>
    </row>
    <row r="802">
      <c r="A802" s="463"/>
      <c r="B802" s="480">
        <v>949.0</v>
      </c>
      <c r="C802" s="487">
        <v>43764.0</v>
      </c>
      <c r="D802" s="480" t="s">
        <v>3516</v>
      </c>
      <c r="E802" s="480" t="s">
        <v>3517</v>
      </c>
      <c r="F802" s="480" t="s">
        <v>3518</v>
      </c>
      <c r="G802" s="480" t="s">
        <v>3519</v>
      </c>
      <c r="H802" s="465"/>
    </row>
    <row r="803">
      <c r="A803" s="463"/>
      <c r="B803" s="480">
        <v>950.0</v>
      </c>
      <c r="C803" s="487">
        <v>43796.0</v>
      </c>
      <c r="D803" s="480" t="s">
        <v>3520</v>
      </c>
      <c r="E803" s="480" t="s">
        <v>3521</v>
      </c>
      <c r="F803" s="480" t="s">
        <v>3522</v>
      </c>
      <c r="G803" s="480" t="s">
        <v>3523</v>
      </c>
      <c r="H803" s="465"/>
    </row>
    <row r="804">
      <c r="A804" s="463"/>
      <c r="B804" s="480">
        <v>951.0</v>
      </c>
      <c r="C804" s="486">
        <v>43537.0</v>
      </c>
      <c r="D804" s="480" t="s">
        <v>3524</v>
      </c>
      <c r="E804" s="480" t="s">
        <v>3525</v>
      </c>
      <c r="F804" s="480" t="s">
        <v>3526</v>
      </c>
      <c r="G804" s="480" t="s">
        <v>3527</v>
      </c>
      <c r="H804" s="482" t="s">
        <v>1241</v>
      </c>
    </row>
    <row r="805">
      <c r="A805" s="463"/>
      <c r="B805" s="480">
        <v>952.0</v>
      </c>
      <c r="C805" s="486">
        <v>43537.0</v>
      </c>
      <c r="D805" s="480" t="s">
        <v>3528</v>
      </c>
      <c r="E805" s="480" t="s">
        <v>3529</v>
      </c>
      <c r="F805" s="480" t="s">
        <v>3530</v>
      </c>
      <c r="G805" s="480" t="s">
        <v>3531</v>
      </c>
      <c r="H805" s="482" t="s">
        <v>1241</v>
      </c>
    </row>
    <row r="806">
      <c r="A806" s="463"/>
      <c r="B806" s="480">
        <v>953.0</v>
      </c>
      <c r="C806" s="486">
        <v>43873.0</v>
      </c>
      <c r="D806" s="480" t="s">
        <v>3532</v>
      </c>
      <c r="E806" s="480" t="s">
        <v>3533</v>
      </c>
      <c r="F806" s="480" t="s">
        <v>3534</v>
      </c>
      <c r="G806" s="480" t="s">
        <v>3535</v>
      </c>
      <c r="H806" s="482" t="s">
        <v>1241</v>
      </c>
    </row>
    <row r="807">
      <c r="A807" s="463"/>
      <c r="B807" s="480">
        <v>954.0</v>
      </c>
      <c r="C807" s="487">
        <v>43826.0</v>
      </c>
      <c r="D807" s="480" t="s">
        <v>3536</v>
      </c>
      <c r="E807" s="480" t="s">
        <v>3537</v>
      </c>
      <c r="F807" s="480" t="s">
        <v>3538</v>
      </c>
      <c r="G807" s="480" t="s">
        <v>1041</v>
      </c>
      <c r="H807" s="465"/>
    </row>
    <row r="808">
      <c r="A808" s="463"/>
      <c r="B808" s="480">
        <v>955.0</v>
      </c>
      <c r="C808" s="486">
        <v>43487.0</v>
      </c>
      <c r="D808" s="480" t="s">
        <v>3539</v>
      </c>
      <c r="E808" s="480" t="s">
        <v>3202</v>
      </c>
      <c r="F808" s="480" t="s">
        <v>3203</v>
      </c>
      <c r="G808" s="480" t="s">
        <v>2134</v>
      </c>
      <c r="H808" s="465"/>
    </row>
    <row r="809">
      <c r="A809" s="463"/>
      <c r="B809" s="480">
        <v>956.0</v>
      </c>
      <c r="C809" s="486">
        <v>43701.0</v>
      </c>
      <c r="D809" s="480" t="s">
        <v>3540</v>
      </c>
      <c r="E809" s="480" t="s">
        <v>3541</v>
      </c>
      <c r="F809" s="480" t="s">
        <v>3542</v>
      </c>
      <c r="G809" s="480" t="s">
        <v>3019</v>
      </c>
      <c r="H809" s="465"/>
    </row>
    <row r="810">
      <c r="A810" s="463"/>
      <c r="B810" s="480">
        <v>957.0</v>
      </c>
      <c r="C810" s="486">
        <v>43886.0</v>
      </c>
      <c r="D810" s="480" t="s">
        <v>3543</v>
      </c>
      <c r="E810" s="480" t="s">
        <v>3544</v>
      </c>
      <c r="F810" s="480" t="s">
        <v>3545</v>
      </c>
      <c r="G810" s="480" t="s">
        <v>1575</v>
      </c>
      <c r="H810" s="465"/>
    </row>
    <row r="811">
      <c r="A811" s="463"/>
      <c r="B811" s="480">
        <v>958.0</v>
      </c>
      <c r="C811" s="486">
        <v>43701.0</v>
      </c>
      <c r="D811" s="480" t="s">
        <v>3546</v>
      </c>
      <c r="E811" s="480" t="s">
        <v>3547</v>
      </c>
      <c r="F811" s="480" t="s">
        <v>3548</v>
      </c>
      <c r="G811" s="480" t="s">
        <v>3549</v>
      </c>
      <c r="H811" s="465"/>
    </row>
    <row r="812">
      <c r="A812" s="463"/>
      <c r="B812" s="480">
        <v>959.0</v>
      </c>
      <c r="C812" s="487">
        <v>43824.0</v>
      </c>
      <c r="D812" s="480" t="s">
        <v>3550</v>
      </c>
      <c r="E812" s="480" t="s">
        <v>3551</v>
      </c>
      <c r="F812" s="480" t="s">
        <v>3552</v>
      </c>
      <c r="G812" s="480" t="s">
        <v>3553</v>
      </c>
      <c r="H812" s="465"/>
    </row>
    <row r="813">
      <c r="A813" s="463"/>
      <c r="B813" s="480">
        <v>960.0</v>
      </c>
      <c r="C813" s="486">
        <v>43686.0</v>
      </c>
      <c r="D813" s="480" t="s">
        <v>3554</v>
      </c>
      <c r="E813" s="480" t="s">
        <v>3555</v>
      </c>
      <c r="F813" s="480" t="s">
        <v>3556</v>
      </c>
      <c r="G813" s="480" t="s">
        <v>3557</v>
      </c>
      <c r="H813" s="465"/>
    </row>
    <row r="814">
      <c r="A814" s="463"/>
      <c r="B814" s="480">
        <v>961.0</v>
      </c>
      <c r="C814" s="487">
        <v>43750.0</v>
      </c>
      <c r="D814" s="480" t="s">
        <v>3558</v>
      </c>
      <c r="E814" s="480" t="s">
        <v>3559</v>
      </c>
      <c r="F814" s="480" t="s">
        <v>3560</v>
      </c>
      <c r="G814" s="480" t="s">
        <v>3561</v>
      </c>
      <c r="H814" s="465"/>
    </row>
    <row r="815">
      <c r="A815" s="463"/>
      <c r="B815" s="480">
        <v>962.0</v>
      </c>
      <c r="C815" s="486">
        <v>43733.0</v>
      </c>
      <c r="D815" s="480" t="s">
        <v>3562</v>
      </c>
      <c r="E815" s="480" t="s">
        <v>1733</v>
      </c>
      <c r="F815" s="480" t="s">
        <v>1734</v>
      </c>
      <c r="G815" s="480" t="s">
        <v>1735</v>
      </c>
      <c r="H815" s="465"/>
    </row>
    <row r="816">
      <c r="A816" s="463"/>
      <c r="B816" s="480">
        <v>963.0</v>
      </c>
      <c r="C816" s="486">
        <v>43628.0</v>
      </c>
      <c r="D816" s="480" t="s">
        <v>3563</v>
      </c>
      <c r="E816" s="480" t="s">
        <v>3564</v>
      </c>
      <c r="F816" s="480" t="s">
        <v>3565</v>
      </c>
      <c r="G816" s="480" t="s">
        <v>3566</v>
      </c>
      <c r="H816" s="482" t="s">
        <v>1241</v>
      </c>
    </row>
    <row r="817">
      <c r="A817" s="463"/>
      <c r="B817" s="480">
        <v>964.0</v>
      </c>
      <c r="C817" s="486">
        <v>43671.0</v>
      </c>
      <c r="D817" s="480" t="s">
        <v>3567</v>
      </c>
      <c r="E817" s="480" t="s">
        <v>3568</v>
      </c>
      <c r="F817" s="480" t="s">
        <v>3569</v>
      </c>
      <c r="G817" s="480" t="s">
        <v>3570</v>
      </c>
      <c r="H817" s="465"/>
    </row>
    <row r="818">
      <c r="A818" s="463"/>
      <c r="B818" s="480">
        <v>965.0</v>
      </c>
      <c r="C818" s="486">
        <v>43729.0</v>
      </c>
      <c r="D818" s="480" t="s">
        <v>3571</v>
      </c>
      <c r="E818" s="480" t="s">
        <v>1283</v>
      </c>
      <c r="F818" s="480" t="s">
        <v>1284</v>
      </c>
      <c r="G818" s="480" t="s">
        <v>1285</v>
      </c>
      <c r="H818" s="465"/>
    </row>
    <row r="819">
      <c r="A819" s="463"/>
      <c r="B819" s="480">
        <v>966.0</v>
      </c>
      <c r="C819" s="487">
        <v>43750.0</v>
      </c>
      <c r="D819" s="480" t="s">
        <v>3572</v>
      </c>
      <c r="E819" s="480" t="s">
        <v>3573</v>
      </c>
      <c r="F819" s="480" t="s">
        <v>3574</v>
      </c>
      <c r="G819" s="480" t="s">
        <v>3575</v>
      </c>
      <c r="H819" s="465"/>
    </row>
    <row r="820">
      <c r="A820" s="463"/>
      <c r="B820" s="480">
        <v>967.0</v>
      </c>
      <c r="C820" s="483" t="s">
        <v>2641</v>
      </c>
      <c r="D820" s="480" t="s">
        <v>3576</v>
      </c>
      <c r="E820" s="480" t="s">
        <v>2609</v>
      </c>
      <c r="F820" s="480" t="s">
        <v>2610</v>
      </c>
      <c r="G820" s="480" t="s">
        <v>1470</v>
      </c>
      <c r="H820" s="465"/>
    </row>
    <row r="821">
      <c r="A821" s="463"/>
      <c r="B821" s="480">
        <v>968.0</v>
      </c>
      <c r="C821" s="486">
        <v>43720.0</v>
      </c>
      <c r="D821" s="480" t="s">
        <v>3577</v>
      </c>
      <c r="E821" s="480" t="s">
        <v>3578</v>
      </c>
      <c r="F821" s="480" t="s">
        <v>3579</v>
      </c>
      <c r="G821" s="480" t="s">
        <v>3580</v>
      </c>
      <c r="H821" s="482" t="s">
        <v>1241</v>
      </c>
    </row>
    <row r="822">
      <c r="A822" s="463"/>
      <c r="B822" s="480">
        <v>969.0</v>
      </c>
      <c r="C822" s="486">
        <v>43699.0</v>
      </c>
      <c r="D822" s="480" t="s">
        <v>3581</v>
      </c>
      <c r="E822" s="480" t="s">
        <v>2384</v>
      </c>
      <c r="F822" s="480" t="s">
        <v>2385</v>
      </c>
      <c r="G822" s="480" t="s">
        <v>2386</v>
      </c>
      <c r="H822" s="465"/>
    </row>
    <row r="823">
      <c r="A823" s="463"/>
      <c r="B823" s="480">
        <v>970.0</v>
      </c>
      <c r="C823" s="486">
        <v>43686.0</v>
      </c>
      <c r="D823" s="480" t="s">
        <v>3582</v>
      </c>
      <c r="E823" s="480" t="s">
        <v>3583</v>
      </c>
      <c r="F823" s="480" t="s">
        <v>3584</v>
      </c>
      <c r="G823" s="480" t="s">
        <v>1297</v>
      </c>
      <c r="H823" s="465"/>
    </row>
    <row r="824">
      <c r="A824" s="463"/>
      <c r="B824" s="480">
        <v>971.0</v>
      </c>
      <c r="C824" s="486">
        <v>43668.0</v>
      </c>
      <c r="D824" s="480" t="s">
        <v>3585</v>
      </c>
      <c r="E824" s="480" t="s">
        <v>3586</v>
      </c>
      <c r="F824" s="480" t="s">
        <v>3587</v>
      </c>
      <c r="G824" s="480" t="s">
        <v>3588</v>
      </c>
      <c r="H824" s="465"/>
    </row>
    <row r="825">
      <c r="A825" s="463"/>
      <c r="B825" s="480">
        <v>972.0</v>
      </c>
      <c r="C825" s="486">
        <v>43668.0</v>
      </c>
      <c r="D825" s="480" t="s">
        <v>3589</v>
      </c>
      <c r="E825" s="480" t="s">
        <v>3590</v>
      </c>
      <c r="F825" s="480" t="s">
        <v>3591</v>
      </c>
      <c r="G825" s="480" t="s">
        <v>1321</v>
      </c>
      <c r="H825" s="465"/>
    </row>
    <row r="826">
      <c r="A826" s="463"/>
      <c r="B826" s="480">
        <v>973.0</v>
      </c>
      <c r="C826" s="486">
        <v>43720.0</v>
      </c>
      <c r="D826" s="480" t="s">
        <v>3592</v>
      </c>
      <c r="E826" s="480" t="s">
        <v>3593</v>
      </c>
      <c r="F826" s="480" t="s">
        <v>3594</v>
      </c>
      <c r="G826" s="480" t="s">
        <v>3595</v>
      </c>
      <c r="H826" s="482" t="s">
        <v>2438</v>
      </c>
    </row>
    <row r="827">
      <c r="A827" s="463"/>
      <c r="B827" s="480">
        <v>974.0</v>
      </c>
      <c r="C827" s="487">
        <v>43809.0</v>
      </c>
      <c r="D827" s="480" t="s">
        <v>3596</v>
      </c>
      <c r="E827" s="480" t="s">
        <v>3597</v>
      </c>
      <c r="F827" s="480" t="s">
        <v>3598</v>
      </c>
      <c r="G827" s="480" t="s">
        <v>3599</v>
      </c>
      <c r="H827" s="482" t="s">
        <v>2438</v>
      </c>
    </row>
    <row r="828">
      <c r="A828" s="463"/>
      <c r="B828" s="480">
        <v>976.0</v>
      </c>
      <c r="C828" s="486">
        <v>43902.0</v>
      </c>
      <c r="D828" s="480" t="s">
        <v>3600</v>
      </c>
      <c r="E828" s="480" t="s">
        <v>3601</v>
      </c>
      <c r="F828" s="480" t="s">
        <v>3602</v>
      </c>
      <c r="G828" s="480" t="s">
        <v>3603</v>
      </c>
      <c r="H828" s="465"/>
    </row>
    <row r="829">
      <c r="A829" s="463"/>
      <c r="B829" s="483" t="s">
        <v>3604</v>
      </c>
      <c r="C829" s="486">
        <v>43607.0</v>
      </c>
      <c r="D829" s="480" t="s">
        <v>3605</v>
      </c>
      <c r="E829" s="480" t="s">
        <v>3606</v>
      </c>
      <c r="F829" s="480" t="s">
        <v>3607</v>
      </c>
      <c r="G829" s="480" t="s">
        <v>3608</v>
      </c>
      <c r="H829" s="465"/>
    </row>
    <row r="830">
      <c r="A830" s="463"/>
      <c r="B830" s="480">
        <v>978.0</v>
      </c>
      <c r="C830" s="486">
        <v>43699.0</v>
      </c>
      <c r="D830" s="480" t="s">
        <v>3609</v>
      </c>
      <c r="E830" s="480" t="s">
        <v>3610</v>
      </c>
      <c r="F830" s="480" t="s">
        <v>3611</v>
      </c>
      <c r="G830" s="480" t="s">
        <v>3612</v>
      </c>
      <c r="H830" s="465"/>
    </row>
    <row r="831">
      <c r="A831" s="463"/>
      <c r="B831" s="480">
        <v>979.0</v>
      </c>
      <c r="C831" s="486">
        <v>43733.0</v>
      </c>
      <c r="D831" s="480" t="s">
        <v>3613</v>
      </c>
      <c r="E831" s="480" t="s">
        <v>3614</v>
      </c>
      <c r="F831" s="480" t="s">
        <v>3615</v>
      </c>
      <c r="G831" s="480" t="s">
        <v>939</v>
      </c>
      <c r="H831" s="465"/>
    </row>
    <row r="832">
      <c r="A832" s="463"/>
      <c r="B832" s="480">
        <v>980.0</v>
      </c>
      <c r="C832" s="487">
        <v>43750.0</v>
      </c>
      <c r="D832" s="480" t="s">
        <v>3616</v>
      </c>
      <c r="E832" s="480" t="s">
        <v>3617</v>
      </c>
      <c r="F832" s="480" t="s">
        <v>3618</v>
      </c>
      <c r="G832" s="480" t="s">
        <v>3619</v>
      </c>
      <c r="H832" s="482" t="s">
        <v>3620</v>
      </c>
    </row>
    <row r="833">
      <c r="A833" s="463"/>
      <c r="B833" s="480">
        <v>981.0</v>
      </c>
      <c r="C833" s="487">
        <v>43794.0</v>
      </c>
      <c r="D833" s="480" t="s">
        <v>3621</v>
      </c>
      <c r="E833" s="480" t="s">
        <v>3622</v>
      </c>
      <c r="F833" s="480" t="s">
        <v>3623</v>
      </c>
      <c r="G833" s="480" t="s">
        <v>1122</v>
      </c>
      <c r="H833" s="465"/>
    </row>
    <row r="834">
      <c r="A834" s="463"/>
      <c r="B834" s="480">
        <v>982.0</v>
      </c>
      <c r="C834" s="487">
        <v>43794.0</v>
      </c>
      <c r="D834" s="480" t="s">
        <v>3624</v>
      </c>
      <c r="E834" s="480" t="s">
        <v>3625</v>
      </c>
      <c r="F834" s="480" t="s">
        <v>3626</v>
      </c>
      <c r="G834" s="480" t="s">
        <v>2911</v>
      </c>
      <c r="H834" s="465"/>
    </row>
    <row r="835">
      <c r="A835" s="463"/>
      <c r="B835" s="480">
        <v>984.0</v>
      </c>
      <c r="C835" s="481">
        <v>43763.0</v>
      </c>
      <c r="D835" s="480" t="s">
        <v>3627</v>
      </c>
      <c r="E835" s="480" t="s">
        <v>3628</v>
      </c>
      <c r="F835" s="480" t="s">
        <v>3629</v>
      </c>
      <c r="G835" s="480" t="s">
        <v>3630</v>
      </c>
      <c r="H835" s="465"/>
    </row>
    <row r="836">
      <c r="A836" s="463"/>
      <c r="B836" s="480">
        <v>985.0</v>
      </c>
      <c r="C836" s="486">
        <v>43658.0</v>
      </c>
      <c r="D836" s="480" t="s">
        <v>3631</v>
      </c>
      <c r="E836" s="480" t="s">
        <v>2440</v>
      </c>
      <c r="F836" s="480" t="s">
        <v>2441</v>
      </c>
      <c r="G836" s="480" t="s">
        <v>1301</v>
      </c>
      <c r="H836" s="465"/>
    </row>
    <row r="837">
      <c r="A837" s="463"/>
      <c r="B837" s="480">
        <v>986.0</v>
      </c>
      <c r="C837" s="486">
        <v>43699.0</v>
      </c>
      <c r="D837" s="480" t="s">
        <v>3632</v>
      </c>
      <c r="E837" s="480" t="s">
        <v>3633</v>
      </c>
      <c r="F837" s="480" t="s">
        <v>3634</v>
      </c>
      <c r="G837" s="480" t="s">
        <v>3185</v>
      </c>
      <c r="H837" s="465"/>
    </row>
    <row r="838">
      <c r="A838" s="463"/>
      <c r="B838" s="480">
        <v>987.0</v>
      </c>
      <c r="C838" s="486">
        <v>43658.0</v>
      </c>
      <c r="D838" s="480" t="s">
        <v>3635</v>
      </c>
      <c r="E838" s="480" t="s">
        <v>2440</v>
      </c>
      <c r="F838" s="480" t="s">
        <v>2441</v>
      </c>
      <c r="G838" s="480" t="s">
        <v>1301</v>
      </c>
      <c r="H838" s="465"/>
    </row>
    <row r="839">
      <c r="A839" s="463"/>
      <c r="B839" s="480">
        <v>988.0</v>
      </c>
      <c r="C839" s="487">
        <v>43781.0</v>
      </c>
      <c r="D839" s="480" t="s">
        <v>3636</v>
      </c>
      <c r="E839" s="480" t="s">
        <v>1500</v>
      </c>
      <c r="F839" s="480" t="s">
        <v>1501</v>
      </c>
      <c r="G839" s="480" t="s">
        <v>1502</v>
      </c>
      <c r="H839" s="465"/>
    </row>
    <row r="840">
      <c r="A840" s="463"/>
      <c r="B840" s="480">
        <v>989.0</v>
      </c>
      <c r="C840" s="487">
        <v>43781.0</v>
      </c>
      <c r="D840" s="480" t="s">
        <v>3637</v>
      </c>
      <c r="E840" s="480" t="s">
        <v>3638</v>
      </c>
      <c r="F840" s="480" t="s">
        <v>3639</v>
      </c>
      <c r="G840" s="480" t="s">
        <v>3640</v>
      </c>
      <c r="H840" s="465"/>
    </row>
    <row r="841">
      <c r="A841" s="463"/>
      <c r="B841" s="480">
        <v>990.0</v>
      </c>
      <c r="C841" s="487">
        <v>43750.0</v>
      </c>
      <c r="D841" s="480" t="s">
        <v>3641</v>
      </c>
      <c r="E841" s="480" t="s">
        <v>3642</v>
      </c>
      <c r="F841" s="480" t="s">
        <v>3643</v>
      </c>
      <c r="G841" s="480" t="s">
        <v>3644</v>
      </c>
      <c r="H841" s="465"/>
    </row>
    <row r="842">
      <c r="A842" s="463"/>
      <c r="B842" s="480">
        <v>991.0</v>
      </c>
      <c r="C842" s="486">
        <v>43668.0</v>
      </c>
      <c r="D842" s="480" t="s">
        <v>3645</v>
      </c>
      <c r="E842" s="480" t="s">
        <v>3646</v>
      </c>
      <c r="F842" s="480" t="s">
        <v>3647</v>
      </c>
      <c r="G842" s="480" t="s">
        <v>2615</v>
      </c>
      <c r="H842" s="465"/>
    </row>
    <row r="843">
      <c r="A843" s="463"/>
      <c r="B843" s="480">
        <v>992.0</v>
      </c>
      <c r="C843" s="487">
        <v>43820.0</v>
      </c>
      <c r="D843" s="480" t="s">
        <v>3648</v>
      </c>
      <c r="E843" s="480" t="s">
        <v>3649</v>
      </c>
      <c r="F843" s="480" t="s">
        <v>3650</v>
      </c>
      <c r="G843" s="480" t="s">
        <v>3651</v>
      </c>
      <c r="H843" s="465"/>
    </row>
    <row r="844">
      <c r="A844" s="463"/>
      <c r="B844" s="480">
        <v>993.0</v>
      </c>
      <c r="C844" s="487">
        <v>43781.0</v>
      </c>
      <c r="D844" s="480" t="s">
        <v>3652</v>
      </c>
      <c r="E844" s="480" t="s">
        <v>3653</v>
      </c>
      <c r="F844" s="480" t="s">
        <v>3654</v>
      </c>
      <c r="G844" s="480" t="s">
        <v>3655</v>
      </c>
      <c r="H844" s="482" t="s">
        <v>2438</v>
      </c>
    </row>
    <row r="845">
      <c r="A845" s="463"/>
      <c r="B845" s="480">
        <v>994.0</v>
      </c>
      <c r="C845" s="486">
        <v>43720.0</v>
      </c>
      <c r="D845" s="480" t="s">
        <v>3656</v>
      </c>
      <c r="E845" s="480" t="s">
        <v>3657</v>
      </c>
      <c r="F845" s="480" t="s">
        <v>3658</v>
      </c>
      <c r="G845" s="480" t="s">
        <v>3659</v>
      </c>
      <c r="H845" s="482" t="s">
        <v>1241</v>
      </c>
    </row>
    <row r="846">
      <c r="A846" s="463"/>
      <c r="B846" s="480">
        <v>995.0</v>
      </c>
      <c r="C846" s="486">
        <v>43686.0</v>
      </c>
      <c r="D846" s="480" t="s">
        <v>3660</v>
      </c>
      <c r="E846" s="480" t="s">
        <v>2954</v>
      </c>
      <c r="F846" s="480" t="s">
        <v>2955</v>
      </c>
      <c r="G846" s="480" t="s">
        <v>2956</v>
      </c>
      <c r="H846" s="465"/>
    </row>
    <row r="847">
      <c r="A847" s="463"/>
      <c r="B847" s="480">
        <v>996.0</v>
      </c>
      <c r="C847" s="486">
        <v>43917.0</v>
      </c>
      <c r="D847" s="480" t="s">
        <v>3661</v>
      </c>
      <c r="E847" s="480" t="s">
        <v>3662</v>
      </c>
      <c r="F847" s="480" t="s">
        <v>3663</v>
      </c>
      <c r="G847" s="480" t="s">
        <v>2128</v>
      </c>
      <c r="H847" s="465"/>
    </row>
    <row r="848">
      <c r="A848" s="463"/>
      <c r="B848" s="480">
        <v>997.0</v>
      </c>
      <c r="C848" s="487">
        <v>43791.0</v>
      </c>
      <c r="D848" s="480" t="s">
        <v>3664</v>
      </c>
      <c r="E848" s="480" t="s">
        <v>3665</v>
      </c>
      <c r="F848" s="480" t="s">
        <v>3666</v>
      </c>
      <c r="G848" s="480" t="s">
        <v>3667</v>
      </c>
      <c r="H848" s="465"/>
    </row>
    <row r="849">
      <c r="A849" s="463"/>
      <c r="B849" s="480">
        <v>998.0</v>
      </c>
      <c r="C849" s="486">
        <v>44088.0</v>
      </c>
      <c r="D849" s="480" t="s">
        <v>3668</v>
      </c>
      <c r="E849" s="480" t="s">
        <v>3669</v>
      </c>
      <c r="F849" s="480" t="s">
        <v>3670</v>
      </c>
      <c r="G849" s="480" t="s">
        <v>3671</v>
      </c>
      <c r="H849" s="465"/>
    </row>
    <row r="850">
      <c r="A850" s="463"/>
      <c r="B850" s="480" t="s">
        <v>3672</v>
      </c>
      <c r="C850" s="481">
        <v>44050.0</v>
      </c>
      <c r="D850" s="480" t="s">
        <v>3673</v>
      </c>
      <c r="E850" s="480" t="s">
        <v>3674</v>
      </c>
      <c r="F850" s="480" t="s">
        <v>3675</v>
      </c>
      <c r="G850" s="480" t="s">
        <v>3676</v>
      </c>
      <c r="H850" s="465"/>
    </row>
    <row r="851">
      <c r="A851" s="463"/>
      <c r="B851" s="480" t="s">
        <v>3677</v>
      </c>
      <c r="C851" s="481">
        <v>44007.0</v>
      </c>
      <c r="D851" s="480" t="s">
        <v>3678</v>
      </c>
      <c r="E851" s="480" t="s">
        <v>3679</v>
      </c>
      <c r="F851" s="480" t="s">
        <v>3680</v>
      </c>
      <c r="G851" s="480" t="s">
        <v>3681</v>
      </c>
      <c r="H851" s="465"/>
    </row>
    <row r="852">
      <c r="A852" s="463"/>
      <c r="B852" s="480" t="s">
        <v>3682</v>
      </c>
      <c r="C852" s="486">
        <v>43841.0</v>
      </c>
      <c r="D852" s="480" t="s">
        <v>3683</v>
      </c>
      <c r="E852" s="480" t="s">
        <v>3684</v>
      </c>
      <c r="F852" s="480" t="s">
        <v>3685</v>
      </c>
      <c r="G852" s="480" t="s">
        <v>3686</v>
      </c>
      <c r="H852" s="482" t="s">
        <v>2438</v>
      </c>
    </row>
    <row r="853">
      <c r="A853" s="463"/>
      <c r="B853" s="480" t="s">
        <v>3687</v>
      </c>
      <c r="C853" s="486">
        <v>43699.0</v>
      </c>
      <c r="D853" s="480" t="s">
        <v>3688</v>
      </c>
      <c r="E853" s="480" t="s">
        <v>3689</v>
      </c>
      <c r="F853" s="480" t="s">
        <v>3690</v>
      </c>
      <c r="G853" s="480" t="s">
        <v>3691</v>
      </c>
      <c r="H853" s="465"/>
    </row>
    <row r="854">
      <c r="A854" s="463"/>
      <c r="B854" s="480" t="s">
        <v>3692</v>
      </c>
      <c r="C854" s="486">
        <v>43932.0</v>
      </c>
      <c r="D854" s="480" t="s">
        <v>3693</v>
      </c>
      <c r="E854" s="480" t="s">
        <v>1417</v>
      </c>
      <c r="F854" s="480" t="s">
        <v>1419</v>
      </c>
      <c r="G854" s="480" t="s">
        <v>1419</v>
      </c>
      <c r="H854" s="465"/>
    </row>
    <row r="855">
      <c r="A855" s="463"/>
      <c r="B855" s="480" t="s">
        <v>3694</v>
      </c>
      <c r="C855" s="486">
        <v>43994.0</v>
      </c>
      <c r="D855" s="480" t="s">
        <v>3695</v>
      </c>
      <c r="E855" s="480" t="s">
        <v>949</v>
      </c>
      <c r="F855" s="480" t="s">
        <v>950</v>
      </c>
      <c r="G855" s="480" t="s">
        <v>951</v>
      </c>
      <c r="H855" s="465"/>
    </row>
    <row r="856">
      <c r="A856" s="463"/>
      <c r="B856" s="480" t="s">
        <v>3696</v>
      </c>
      <c r="C856" s="487">
        <v>43781.0</v>
      </c>
      <c r="D856" s="480" t="s">
        <v>3697</v>
      </c>
      <c r="E856" s="480" t="s">
        <v>3698</v>
      </c>
      <c r="F856" s="480" t="s">
        <v>3699</v>
      </c>
      <c r="G856" s="480" t="s">
        <v>3700</v>
      </c>
      <c r="H856" s="465"/>
    </row>
    <row r="857">
      <c r="A857" s="463"/>
      <c r="B857" s="480" t="s">
        <v>3701</v>
      </c>
      <c r="C857" s="487">
        <v>43750.0</v>
      </c>
      <c r="D857" s="480" t="s">
        <v>3702</v>
      </c>
      <c r="E857" s="480" t="s">
        <v>1782</v>
      </c>
      <c r="F857" s="480" t="s">
        <v>1783</v>
      </c>
      <c r="G857" s="480" t="s">
        <v>974</v>
      </c>
      <c r="H857" s="465"/>
    </row>
    <row r="858">
      <c r="A858" s="463"/>
      <c r="B858" s="480" t="s">
        <v>3703</v>
      </c>
      <c r="C858" s="486">
        <v>43729.0</v>
      </c>
      <c r="D858" s="480" t="s">
        <v>3704</v>
      </c>
      <c r="E858" s="480" t="s">
        <v>3705</v>
      </c>
      <c r="F858" s="480" t="s">
        <v>3706</v>
      </c>
      <c r="G858" s="480" t="s">
        <v>947</v>
      </c>
      <c r="H858" s="465"/>
    </row>
    <row r="859">
      <c r="A859" s="463"/>
      <c r="B859" s="480" t="s">
        <v>3707</v>
      </c>
      <c r="C859" s="486">
        <v>43873.0</v>
      </c>
      <c r="D859" s="480" t="s">
        <v>3708</v>
      </c>
      <c r="E859" s="480" t="s">
        <v>3709</v>
      </c>
      <c r="F859" s="480" t="s">
        <v>3710</v>
      </c>
      <c r="G859" s="480" t="s">
        <v>3711</v>
      </c>
      <c r="H859" s="465"/>
    </row>
    <row r="860">
      <c r="A860" s="463"/>
      <c r="B860" s="480" t="s">
        <v>3712</v>
      </c>
      <c r="C860" s="486">
        <v>43686.0</v>
      </c>
      <c r="D860" s="480" t="s">
        <v>3713</v>
      </c>
      <c r="E860" s="480" t="s">
        <v>1710</v>
      </c>
      <c r="F860" s="480" t="s">
        <v>1711</v>
      </c>
      <c r="G860" s="480" t="s">
        <v>1712</v>
      </c>
      <c r="H860" s="465"/>
    </row>
    <row r="861">
      <c r="A861" s="463"/>
      <c r="B861" s="480" t="s">
        <v>3714</v>
      </c>
      <c r="C861" s="486">
        <v>43729.0</v>
      </c>
      <c r="D861" s="480" t="s">
        <v>3715</v>
      </c>
      <c r="E861" s="480" t="s">
        <v>2254</v>
      </c>
      <c r="F861" s="480" t="s">
        <v>2255</v>
      </c>
      <c r="G861" s="480" t="s">
        <v>1531</v>
      </c>
      <c r="H861" s="465"/>
    </row>
    <row r="862">
      <c r="A862" s="463"/>
      <c r="B862" s="480" t="s">
        <v>3716</v>
      </c>
      <c r="C862" s="487">
        <v>43811.0</v>
      </c>
      <c r="D862" s="480" t="s">
        <v>3717</v>
      </c>
      <c r="E862" s="480" t="s">
        <v>3718</v>
      </c>
      <c r="F862" s="480" t="s">
        <v>3719</v>
      </c>
      <c r="G862" s="480" t="s">
        <v>3720</v>
      </c>
      <c r="H862" s="482" t="s">
        <v>1241</v>
      </c>
    </row>
    <row r="863">
      <c r="A863" s="463"/>
      <c r="B863" s="480" t="s">
        <v>3721</v>
      </c>
      <c r="C863" s="486">
        <v>43948.0</v>
      </c>
      <c r="D863" s="480" t="s">
        <v>3722</v>
      </c>
      <c r="E863" s="480" t="s">
        <v>3723</v>
      </c>
      <c r="F863" s="480" t="s">
        <v>3724</v>
      </c>
      <c r="G863" s="480" t="s">
        <v>978</v>
      </c>
      <c r="H863" s="465"/>
    </row>
    <row r="864">
      <c r="A864" s="463"/>
      <c r="B864" s="480" t="s">
        <v>3725</v>
      </c>
      <c r="C864" s="486">
        <v>43873.0</v>
      </c>
      <c r="D864" s="480" t="s">
        <v>3726</v>
      </c>
      <c r="E864" s="480" t="s">
        <v>3727</v>
      </c>
      <c r="F864" s="480" t="s">
        <v>3728</v>
      </c>
      <c r="G864" s="480" t="s">
        <v>3729</v>
      </c>
      <c r="H864" s="465"/>
    </row>
    <row r="865">
      <c r="A865" s="463"/>
      <c r="B865" s="480" t="s">
        <v>3730</v>
      </c>
      <c r="C865" s="486">
        <v>43729.0</v>
      </c>
      <c r="D865" s="480" t="s">
        <v>3731</v>
      </c>
      <c r="E865" s="480" t="s">
        <v>2516</v>
      </c>
      <c r="F865" s="480" t="s">
        <v>2517</v>
      </c>
      <c r="G865" s="480" t="s">
        <v>2518</v>
      </c>
      <c r="H865" s="465"/>
    </row>
    <row r="866">
      <c r="A866" s="463"/>
      <c r="B866" s="480" t="s">
        <v>3732</v>
      </c>
      <c r="C866" s="486">
        <v>43720.0</v>
      </c>
      <c r="D866" s="480" t="s">
        <v>351</v>
      </c>
      <c r="E866" s="480" t="s">
        <v>3733</v>
      </c>
      <c r="F866" s="480" t="s">
        <v>3734</v>
      </c>
      <c r="G866" s="480" t="s">
        <v>3735</v>
      </c>
      <c r="H866" s="482" t="s">
        <v>3736</v>
      </c>
    </row>
    <row r="867">
      <c r="A867" s="463"/>
      <c r="B867" s="480" t="s">
        <v>3737</v>
      </c>
      <c r="C867" s="486">
        <v>43915.0</v>
      </c>
      <c r="D867" s="480" t="s">
        <v>3738</v>
      </c>
      <c r="E867" s="480" t="s">
        <v>3739</v>
      </c>
      <c r="F867" s="480" t="s">
        <v>3740</v>
      </c>
      <c r="G867" s="480" t="s">
        <v>1735</v>
      </c>
      <c r="H867" s="491"/>
    </row>
    <row r="868">
      <c r="A868" s="463"/>
      <c r="B868" s="480" t="s">
        <v>3741</v>
      </c>
      <c r="C868" s="481">
        <v>43886.0</v>
      </c>
      <c r="D868" s="480" t="s">
        <v>3742</v>
      </c>
      <c r="E868" s="480" t="s">
        <v>3743</v>
      </c>
      <c r="F868" s="480" t="s">
        <v>3744</v>
      </c>
      <c r="G868" s="480" t="s">
        <v>3745</v>
      </c>
      <c r="H868" s="465"/>
    </row>
    <row r="869">
      <c r="A869" s="463"/>
      <c r="B869" s="480" t="s">
        <v>3746</v>
      </c>
      <c r="C869" s="481">
        <v>43932.0</v>
      </c>
      <c r="D869" s="480" t="s">
        <v>3747</v>
      </c>
      <c r="E869" s="480" t="s">
        <v>3748</v>
      </c>
      <c r="F869" s="480" t="s">
        <v>3749</v>
      </c>
      <c r="G869" s="480" t="s">
        <v>2199</v>
      </c>
      <c r="H869" s="465"/>
    </row>
    <row r="870">
      <c r="A870" s="463"/>
      <c r="B870" s="480" t="s">
        <v>3750</v>
      </c>
      <c r="C870" s="486">
        <v>43873.0</v>
      </c>
      <c r="D870" s="480" t="s">
        <v>3751</v>
      </c>
      <c r="E870" s="480" t="s">
        <v>3752</v>
      </c>
      <c r="F870" s="480" t="s">
        <v>3753</v>
      </c>
      <c r="G870" s="480" t="s">
        <v>3754</v>
      </c>
      <c r="H870" s="482" t="s">
        <v>1241</v>
      </c>
    </row>
    <row r="871">
      <c r="A871" s="463"/>
      <c r="B871" s="480" t="s">
        <v>3755</v>
      </c>
      <c r="C871" s="487">
        <v>43791.0</v>
      </c>
      <c r="D871" s="480" t="s">
        <v>3756</v>
      </c>
      <c r="E871" s="480" t="s">
        <v>3757</v>
      </c>
      <c r="F871" s="480" t="s">
        <v>3758</v>
      </c>
      <c r="G871" s="480" t="s">
        <v>2732</v>
      </c>
      <c r="H871" s="465"/>
    </row>
    <row r="872">
      <c r="A872" s="463"/>
      <c r="B872" s="480" t="s">
        <v>3759</v>
      </c>
      <c r="C872" s="486">
        <v>43873.0</v>
      </c>
      <c r="D872" s="480" t="s">
        <v>3760</v>
      </c>
      <c r="E872" s="480" t="s">
        <v>3761</v>
      </c>
      <c r="F872" s="480" t="s">
        <v>3762</v>
      </c>
      <c r="G872" s="480" t="s">
        <v>3763</v>
      </c>
      <c r="H872" s="482" t="s">
        <v>1241</v>
      </c>
    </row>
    <row r="873">
      <c r="A873" s="463"/>
      <c r="B873" s="480" t="s">
        <v>3764</v>
      </c>
      <c r="C873" s="486">
        <v>43932.0</v>
      </c>
      <c r="D873" s="480" t="s">
        <v>3765</v>
      </c>
      <c r="E873" s="480" t="s">
        <v>3766</v>
      </c>
      <c r="F873" s="480" t="s">
        <v>3767</v>
      </c>
      <c r="G873" s="480" t="s">
        <v>3768</v>
      </c>
      <c r="H873" s="465"/>
    </row>
    <row r="874">
      <c r="A874" s="463"/>
      <c r="B874" s="480" t="s">
        <v>3769</v>
      </c>
      <c r="C874" s="481">
        <v>44007.0</v>
      </c>
      <c r="D874" s="480" t="s">
        <v>3770</v>
      </c>
      <c r="E874" s="480" t="s">
        <v>3771</v>
      </c>
      <c r="F874" s="480" t="s">
        <v>3772</v>
      </c>
      <c r="G874" s="480" t="s">
        <v>1369</v>
      </c>
      <c r="H874" s="465"/>
    </row>
    <row r="875">
      <c r="A875" s="463"/>
      <c r="B875" s="480" t="s">
        <v>3773</v>
      </c>
      <c r="C875" s="487">
        <v>43781.0</v>
      </c>
      <c r="D875" s="480" t="s">
        <v>3774</v>
      </c>
      <c r="E875" s="480" t="s">
        <v>3775</v>
      </c>
      <c r="F875" s="480" t="s">
        <v>3776</v>
      </c>
      <c r="G875" s="480" t="s">
        <v>3777</v>
      </c>
      <c r="H875" s="465"/>
    </row>
    <row r="876">
      <c r="A876" s="463"/>
      <c r="B876" s="480" t="s">
        <v>3778</v>
      </c>
      <c r="C876" s="486">
        <v>43873.0</v>
      </c>
      <c r="D876" s="480" t="s">
        <v>3779</v>
      </c>
      <c r="E876" s="480" t="s">
        <v>3780</v>
      </c>
      <c r="F876" s="480" t="s">
        <v>3781</v>
      </c>
      <c r="G876" s="480" t="s">
        <v>3782</v>
      </c>
      <c r="H876" s="482" t="s">
        <v>1241</v>
      </c>
    </row>
    <row r="877">
      <c r="A877" s="463"/>
      <c r="B877" s="480" t="s">
        <v>3783</v>
      </c>
      <c r="C877" s="486">
        <v>43861.0</v>
      </c>
      <c r="D877" s="480" t="s">
        <v>3784</v>
      </c>
      <c r="E877" s="480" t="s">
        <v>3785</v>
      </c>
      <c r="F877" s="480" t="s">
        <v>3786</v>
      </c>
      <c r="G877" s="480" t="s">
        <v>3787</v>
      </c>
      <c r="H877" s="465"/>
    </row>
    <row r="878">
      <c r="A878" s="463"/>
      <c r="B878" s="480" t="s">
        <v>3788</v>
      </c>
      <c r="C878" s="481">
        <v>43994.0</v>
      </c>
      <c r="D878" s="480" t="s">
        <v>3789</v>
      </c>
      <c r="E878" s="480" t="s">
        <v>3790</v>
      </c>
      <c r="F878" s="480" t="s">
        <v>3791</v>
      </c>
      <c r="G878" s="480" t="s">
        <v>3792</v>
      </c>
      <c r="H878" s="465"/>
    </row>
    <row r="879">
      <c r="A879" s="463"/>
      <c r="B879" s="480" t="s">
        <v>3793</v>
      </c>
      <c r="C879" s="487">
        <v>43791.0</v>
      </c>
      <c r="D879" s="480" t="s">
        <v>3794</v>
      </c>
      <c r="E879" s="480" t="s">
        <v>3468</v>
      </c>
      <c r="F879" s="480" t="s">
        <v>3469</v>
      </c>
      <c r="G879" s="480" t="s">
        <v>3470</v>
      </c>
      <c r="H879" s="465"/>
    </row>
    <row r="880">
      <c r="A880" s="463"/>
      <c r="B880" s="480" t="s">
        <v>3795</v>
      </c>
      <c r="C880" s="486">
        <v>43917.0</v>
      </c>
      <c r="D880" s="480" t="s">
        <v>3796</v>
      </c>
      <c r="E880" s="480" t="s">
        <v>3797</v>
      </c>
      <c r="F880" s="480" t="s">
        <v>3798</v>
      </c>
      <c r="G880" s="480" t="s">
        <v>3799</v>
      </c>
      <c r="H880" s="465"/>
    </row>
    <row r="881">
      <c r="A881" s="463"/>
      <c r="B881" s="480" t="s">
        <v>3800</v>
      </c>
      <c r="C881" s="486">
        <v>43932.0</v>
      </c>
      <c r="D881" s="480" t="s">
        <v>3801</v>
      </c>
      <c r="E881" s="480" t="s">
        <v>3802</v>
      </c>
      <c r="F881" s="480" t="s">
        <v>3803</v>
      </c>
      <c r="G881" s="480" t="s">
        <v>3804</v>
      </c>
      <c r="H881" s="465"/>
    </row>
    <row r="882">
      <c r="A882" s="463"/>
      <c r="B882" s="480" t="s">
        <v>3805</v>
      </c>
      <c r="C882" s="487">
        <v>44160.0</v>
      </c>
      <c r="D882" s="480" t="s">
        <v>3806</v>
      </c>
      <c r="E882" s="480" t="s">
        <v>3807</v>
      </c>
      <c r="F882" s="480" t="s">
        <v>3808</v>
      </c>
      <c r="G882" s="480" t="s">
        <v>3809</v>
      </c>
      <c r="H882" s="465"/>
    </row>
    <row r="883">
      <c r="A883" s="463"/>
      <c r="B883" s="480" t="s">
        <v>3810</v>
      </c>
      <c r="C883" s="486">
        <v>43873.0</v>
      </c>
      <c r="D883" s="480" t="s">
        <v>3811</v>
      </c>
      <c r="E883" s="480" t="s">
        <v>3812</v>
      </c>
      <c r="F883" s="480" t="s">
        <v>3813</v>
      </c>
      <c r="G883" s="480" t="s">
        <v>3814</v>
      </c>
      <c r="H883" s="482" t="s">
        <v>1241</v>
      </c>
    </row>
    <row r="884">
      <c r="A884" s="463"/>
      <c r="B884" s="480" t="s">
        <v>3815</v>
      </c>
      <c r="C884" s="486">
        <v>44089.0</v>
      </c>
      <c r="D884" s="480" t="s">
        <v>3816</v>
      </c>
      <c r="E884" s="480" t="s">
        <v>3817</v>
      </c>
      <c r="F884" s="480" t="s">
        <v>3818</v>
      </c>
      <c r="G884" s="480" t="s">
        <v>3819</v>
      </c>
      <c r="H884" s="465"/>
    </row>
    <row r="885">
      <c r="A885" s="463"/>
      <c r="B885" s="480" t="s">
        <v>3820</v>
      </c>
      <c r="C885" s="486">
        <v>43963.0</v>
      </c>
      <c r="D885" s="480" t="s">
        <v>3821</v>
      </c>
      <c r="E885" s="480" t="s">
        <v>3822</v>
      </c>
      <c r="F885" s="480" t="s">
        <v>3823</v>
      </c>
      <c r="G885" s="480" t="s">
        <v>3824</v>
      </c>
      <c r="H885" s="465"/>
    </row>
    <row r="886">
      <c r="A886" s="463"/>
      <c r="B886" s="480" t="s">
        <v>3825</v>
      </c>
      <c r="C886" s="481">
        <v>44034.0</v>
      </c>
      <c r="D886" s="480" t="s">
        <v>3826</v>
      </c>
      <c r="E886" s="480" t="s">
        <v>3827</v>
      </c>
      <c r="F886" s="480" t="s">
        <v>3828</v>
      </c>
      <c r="G886" s="480" t="s">
        <v>3829</v>
      </c>
      <c r="H886" s="465"/>
    </row>
    <row r="887">
      <c r="A887" s="463"/>
      <c r="B887" s="480" t="s">
        <v>3830</v>
      </c>
      <c r="C887" s="486">
        <v>44009.0</v>
      </c>
      <c r="D887" s="480" t="s">
        <v>3831</v>
      </c>
      <c r="E887" s="480" t="s">
        <v>3832</v>
      </c>
      <c r="F887" s="480" t="s">
        <v>3833</v>
      </c>
      <c r="G887" s="480" t="s">
        <v>3834</v>
      </c>
      <c r="H887" s="465"/>
    </row>
    <row r="888">
      <c r="A888" s="463"/>
      <c r="B888" s="480" t="s">
        <v>3835</v>
      </c>
      <c r="C888" s="481">
        <v>44022.0</v>
      </c>
      <c r="D888" s="480" t="s">
        <v>3836</v>
      </c>
      <c r="E888" s="480" t="s">
        <v>1095</v>
      </c>
      <c r="F888" s="480" t="s">
        <v>1096</v>
      </c>
      <c r="G888" s="480" t="s">
        <v>1097</v>
      </c>
      <c r="H888" s="465"/>
    </row>
    <row r="889">
      <c r="A889" s="463"/>
      <c r="B889" s="480" t="s">
        <v>3837</v>
      </c>
      <c r="C889" s="486">
        <v>44070.0</v>
      </c>
      <c r="D889" s="480" t="s">
        <v>3838</v>
      </c>
      <c r="E889" s="480" t="s">
        <v>3839</v>
      </c>
      <c r="F889" s="480" t="s">
        <v>3840</v>
      </c>
      <c r="G889" s="480" t="s">
        <v>3841</v>
      </c>
      <c r="H889" s="465"/>
    </row>
    <row r="890">
      <c r="A890" s="463"/>
      <c r="B890" s="480" t="s">
        <v>3842</v>
      </c>
      <c r="C890" s="486">
        <v>43994.0</v>
      </c>
      <c r="D890" s="480" t="s">
        <v>3843</v>
      </c>
      <c r="E890" s="480" t="s">
        <v>3844</v>
      </c>
      <c r="F890" s="480" t="s">
        <v>3845</v>
      </c>
      <c r="G890" s="480" t="s">
        <v>3846</v>
      </c>
      <c r="H890" s="465"/>
    </row>
    <row r="891">
      <c r="A891" s="463"/>
      <c r="B891" s="480" t="s">
        <v>3847</v>
      </c>
      <c r="C891" s="486">
        <v>44084.0</v>
      </c>
      <c r="D891" s="480" t="s">
        <v>3848</v>
      </c>
      <c r="E891" s="480" t="s">
        <v>3849</v>
      </c>
      <c r="F891" s="480" t="s">
        <v>1894</v>
      </c>
      <c r="G891" s="480" t="s">
        <v>3850</v>
      </c>
      <c r="H891" s="465"/>
    </row>
    <row r="892">
      <c r="A892" s="463"/>
      <c r="B892" s="480" t="s">
        <v>3851</v>
      </c>
      <c r="C892" s="486">
        <v>44084.0</v>
      </c>
      <c r="D892" s="480" t="s">
        <v>3852</v>
      </c>
      <c r="E892" s="480" t="s">
        <v>3853</v>
      </c>
      <c r="F892" s="480" t="s">
        <v>3854</v>
      </c>
      <c r="G892" s="480" t="s">
        <v>3855</v>
      </c>
      <c r="H892" s="465"/>
    </row>
    <row r="893">
      <c r="A893" s="463"/>
      <c r="B893" s="480" t="s">
        <v>3856</v>
      </c>
      <c r="C893" s="481">
        <v>44081.0</v>
      </c>
      <c r="D893" s="480" t="s">
        <v>3857</v>
      </c>
      <c r="E893" s="480" t="s">
        <v>3858</v>
      </c>
      <c r="F893" s="480" t="s">
        <v>3859</v>
      </c>
      <c r="G893" s="480" t="s">
        <v>3860</v>
      </c>
      <c r="H893" s="465"/>
    </row>
    <row r="894">
      <c r="A894" s="463"/>
      <c r="B894" s="480" t="s">
        <v>3861</v>
      </c>
      <c r="C894" s="486">
        <v>44007.0</v>
      </c>
      <c r="D894" s="480" t="s">
        <v>3862</v>
      </c>
      <c r="E894" s="480" t="s">
        <v>3863</v>
      </c>
      <c r="F894" s="480" t="s">
        <v>3864</v>
      </c>
      <c r="G894" s="480" t="s">
        <v>3865</v>
      </c>
      <c r="H894" s="482" t="s">
        <v>1241</v>
      </c>
    </row>
    <row r="895">
      <c r="A895" s="463"/>
      <c r="B895" s="480" t="s">
        <v>3866</v>
      </c>
      <c r="C895" s="481">
        <v>44019.0</v>
      </c>
      <c r="D895" s="480" t="s">
        <v>3867</v>
      </c>
      <c r="E895" s="480" t="s">
        <v>3868</v>
      </c>
      <c r="F895" s="480" t="s">
        <v>3869</v>
      </c>
      <c r="G895" s="480" t="s">
        <v>3870</v>
      </c>
      <c r="H895" s="465"/>
    </row>
    <row r="896">
      <c r="A896" s="463"/>
      <c r="B896" s="480" t="s">
        <v>3871</v>
      </c>
      <c r="C896" s="481">
        <v>43883.0</v>
      </c>
      <c r="D896" s="480" t="s">
        <v>3872</v>
      </c>
      <c r="E896" s="480" t="s">
        <v>2093</v>
      </c>
      <c r="F896" s="480" t="s">
        <v>2094</v>
      </c>
      <c r="G896" s="480" t="s">
        <v>2095</v>
      </c>
      <c r="H896" s="465"/>
    </row>
    <row r="897">
      <c r="A897" s="463"/>
      <c r="B897" s="480" t="s">
        <v>3873</v>
      </c>
      <c r="C897" s="481">
        <v>44093.0</v>
      </c>
      <c r="D897" s="480" t="s">
        <v>3874</v>
      </c>
      <c r="E897" s="480" t="s">
        <v>2093</v>
      </c>
      <c r="F897" s="480" t="s">
        <v>2094</v>
      </c>
      <c r="G897" s="480" t="s">
        <v>2095</v>
      </c>
      <c r="H897" s="465"/>
    </row>
    <row r="898">
      <c r="A898" s="463"/>
      <c r="B898" s="480" t="s">
        <v>3875</v>
      </c>
      <c r="C898" s="486">
        <v>43963.0</v>
      </c>
      <c r="D898" s="480" t="s">
        <v>3876</v>
      </c>
      <c r="E898" s="480" t="s">
        <v>3877</v>
      </c>
      <c r="F898" s="480" t="s">
        <v>3878</v>
      </c>
      <c r="G898" s="480" t="s">
        <v>3879</v>
      </c>
      <c r="H898" s="482" t="s">
        <v>2438</v>
      </c>
    </row>
    <row r="899">
      <c r="A899" s="463"/>
      <c r="B899" s="480" t="s">
        <v>3880</v>
      </c>
      <c r="C899" s="487">
        <v>43820.0</v>
      </c>
      <c r="D899" s="480" t="s">
        <v>3881</v>
      </c>
      <c r="E899" s="480" t="s">
        <v>2950</v>
      </c>
      <c r="F899" s="480" t="s">
        <v>2951</v>
      </c>
      <c r="G899" s="480" t="s">
        <v>1021</v>
      </c>
      <c r="H899" s="465"/>
    </row>
    <row r="900">
      <c r="A900" s="463"/>
      <c r="B900" s="480" t="s">
        <v>3882</v>
      </c>
      <c r="C900" s="486">
        <v>44019.0</v>
      </c>
      <c r="D900" s="480" t="s">
        <v>3883</v>
      </c>
      <c r="E900" s="480" t="s">
        <v>3884</v>
      </c>
      <c r="F900" s="480" t="s">
        <v>3885</v>
      </c>
      <c r="G900" s="480" t="s">
        <v>3886</v>
      </c>
      <c r="H900" s="465"/>
    </row>
    <row r="901">
      <c r="A901" s="463"/>
      <c r="B901" s="480" t="s">
        <v>3887</v>
      </c>
      <c r="C901" s="481">
        <v>44131.0</v>
      </c>
      <c r="D901" s="480" t="s">
        <v>3888</v>
      </c>
      <c r="E901" s="480" t="s">
        <v>3889</v>
      </c>
      <c r="F901" s="480" t="s">
        <v>3890</v>
      </c>
      <c r="G901" s="480" t="s">
        <v>3891</v>
      </c>
      <c r="H901" s="465"/>
    </row>
    <row r="902">
      <c r="A902" s="463"/>
      <c r="B902" s="480" t="s">
        <v>3892</v>
      </c>
      <c r="C902" s="486">
        <v>44019.0</v>
      </c>
      <c r="D902" s="480" t="s">
        <v>3893</v>
      </c>
      <c r="E902" s="480" t="s">
        <v>3894</v>
      </c>
      <c r="F902" s="480" t="s">
        <v>3895</v>
      </c>
      <c r="G902" s="480" t="s">
        <v>3896</v>
      </c>
      <c r="H902" s="465"/>
    </row>
    <row r="903">
      <c r="A903" s="463"/>
      <c r="B903" s="480" t="s">
        <v>3897</v>
      </c>
      <c r="C903" s="486">
        <v>43873.0</v>
      </c>
      <c r="D903" s="480" t="s">
        <v>3898</v>
      </c>
      <c r="E903" s="480" t="s">
        <v>3899</v>
      </c>
      <c r="F903" s="480" t="s">
        <v>3900</v>
      </c>
      <c r="G903" s="480" t="s">
        <v>3901</v>
      </c>
      <c r="H903" s="482" t="s">
        <v>1241</v>
      </c>
    </row>
    <row r="904">
      <c r="A904" s="463"/>
      <c r="B904" s="480" t="s">
        <v>3902</v>
      </c>
      <c r="C904" s="486">
        <v>43932.0</v>
      </c>
      <c r="D904" s="480" t="s">
        <v>3903</v>
      </c>
      <c r="E904" s="480" t="s">
        <v>3904</v>
      </c>
      <c r="F904" s="480" t="s">
        <v>3905</v>
      </c>
      <c r="G904" s="480" t="s">
        <v>3906</v>
      </c>
      <c r="H904" s="482" t="s">
        <v>1241</v>
      </c>
    </row>
    <row r="905">
      <c r="A905" s="463"/>
      <c r="B905" s="480" t="s">
        <v>3907</v>
      </c>
      <c r="C905" s="481">
        <v>44081.0</v>
      </c>
      <c r="D905" s="480" t="s">
        <v>3908</v>
      </c>
      <c r="E905" s="480" t="s">
        <v>3909</v>
      </c>
      <c r="F905" s="480" t="s">
        <v>3910</v>
      </c>
      <c r="G905" s="480" t="s">
        <v>3911</v>
      </c>
      <c r="H905" s="482" t="s">
        <v>1241</v>
      </c>
    </row>
    <row r="906">
      <c r="A906" s="463"/>
      <c r="B906" s="480" t="s">
        <v>3912</v>
      </c>
      <c r="C906" s="486">
        <v>43963.0</v>
      </c>
      <c r="D906" s="480" t="s">
        <v>3913</v>
      </c>
      <c r="E906" s="480" t="s">
        <v>3246</v>
      </c>
      <c r="F906" s="480" t="s">
        <v>3247</v>
      </c>
      <c r="G906" s="480" t="s">
        <v>1122</v>
      </c>
      <c r="H906" s="465"/>
    </row>
    <row r="907">
      <c r="A907" s="463"/>
      <c r="B907" s="480" t="s">
        <v>3914</v>
      </c>
      <c r="C907" s="486">
        <v>44019.0</v>
      </c>
      <c r="D907" s="480" t="s">
        <v>3915</v>
      </c>
      <c r="E907" s="480" t="s">
        <v>3916</v>
      </c>
      <c r="F907" s="480" t="s">
        <v>3917</v>
      </c>
      <c r="G907" s="480" t="s">
        <v>3918</v>
      </c>
      <c r="H907" s="465"/>
    </row>
    <row r="908">
      <c r="A908" s="463"/>
      <c r="B908" s="480" t="s">
        <v>3919</v>
      </c>
      <c r="C908" s="486">
        <v>44111.0</v>
      </c>
      <c r="D908" s="480" t="s">
        <v>3920</v>
      </c>
      <c r="E908" s="480" t="s">
        <v>3921</v>
      </c>
      <c r="F908" s="480" t="s">
        <v>3922</v>
      </c>
      <c r="G908" s="480" t="s">
        <v>3923</v>
      </c>
      <c r="H908" s="465"/>
    </row>
    <row r="909">
      <c r="A909" s="463"/>
      <c r="B909" s="480" t="s">
        <v>3924</v>
      </c>
      <c r="C909" s="481">
        <v>44050.0</v>
      </c>
      <c r="D909" s="480" t="s">
        <v>3925</v>
      </c>
      <c r="E909" s="480" t="s">
        <v>3926</v>
      </c>
      <c r="F909" s="480" t="s">
        <v>3927</v>
      </c>
      <c r="G909" s="480" t="s">
        <v>3928</v>
      </c>
      <c r="H909" s="482" t="s">
        <v>1241</v>
      </c>
    </row>
    <row r="910">
      <c r="A910" s="463"/>
      <c r="B910" s="480" t="s">
        <v>3929</v>
      </c>
      <c r="C910" s="486">
        <v>44054.0</v>
      </c>
      <c r="D910" s="480" t="s">
        <v>3930</v>
      </c>
      <c r="E910" s="480" t="s">
        <v>3931</v>
      </c>
      <c r="F910" s="480" t="s">
        <v>3932</v>
      </c>
      <c r="G910" s="480" t="s">
        <v>3933</v>
      </c>
      <c r="H910" s="465"/>
    </row>
    <row r="911">
      <c r="A911" s="463"/>
      <c r="B911" s="480" t="s">
        <v>3934</v>
      </c>
      <c r="C911" s="486">
        <v>43994.0</v>
      </c>
      <c r="D911" s="480" t="s">
        <v>3935</v>
      </c>
      <c r="E911" s="480" t="s">
        <v>3936</v>
      </c>
      <c r="F911" s="480" t="s">
        <v>3937</v>
      </c>
      <c r="G911" s="480" t="s">
        <v>3938</v>
      </c>
      <c r="H911" s="465"/>
    </row>
    <row r="912">
      <c r="A912" s="463"/>
      <c r="B912" s="480" t="s">
        <v>3939</v>
      </c>
      <c r="C912" s="481">
        <v>44049.0</v>
      </c>
      <c r="D912" s="480" t="s">
        <v>3940</v>
      </c>
      <c r="E912" s="480" t="s">
        <v>3941</v>
      </c>
      <c r="F912" s="480" t="s">
        <v>3942</v>
      </c>
      <c r="G912" s="480" t="s">
        <v>3943</v>
      </c>
      <c r="H912" s="482" t="s">
        <v>1241</v>
      </c>
    </row>
    <row r="913">
      <c r="A913" s="463"/>
      <c r="B913" s="480" t="s">
        <v>3944</v>
      </c>
      <c r="C913" s="481">
        <v>44081.0</v>
      </c>
      <c r="D913" s="480" t="s">
        <v>3945</v>
      </c>
      <c r="E913" s="480" t="s">
        <v>3946</v>
      </c>
      <c r="F913" s="480" t="s">
        <v>3947</v>
      </c>
      <c r="G913" s="480" t="s">
        <v>3948</v>
      </c>
      <c r="H913" s="465"/>
    </row>
    <row r="914">
      <c r="A914" s="463"/>
      <c r="B914" s="480" t="s">
        <v>3949</v>
      </c>
      <c r="C914" s="481">
        <v>44054.0</v>
      </c>
      <c r="D914" s="480" t="s">
        <v>3950</v>
      </c>
      <c r="E914" s="480" t="s">
        <v>3951</v>
      </c>
      <c r="F914" s="480" t="s">
        <v>3952</v>
      </c>
      <c r="G914" s="480" t="s">
        <v>1268</v>
      </c>
      <c r="H914" s="465"/>
    </row>
    <row r="915">
      <c r="A915" s="463"/>
      <c r="B915" s="480" t="s">
        <v>3953</v>
      </c>
      <c r="C915" s="486">
        <v>43932.0</v>
      </c>
      <c r="D915" s="480" t="s">
        <v>3954</v>
      </c>
      <c r="E915" s="480" t="s">
        <v>3955</v>
      </c>
      <c r="F915" s="480" t="s">
        <v>3956</v>
      </c>
      <c r="G915" s="480" t="s">
        <v>3957</v>
      </c>
      <c r="H915" s="465"/>
    </row>
    <row r="916">
      <c r="A916" s="463"/>
      <c r="B916" s="480" t="s">
        <v>3958</v>
      </c>
      <c r="C916" s="481">
        <v>43915.0</v>
      </c>
      <c r="D916" s="480" t="s">
        <v>3959</v>
      </c>
      <c r="E916" s="480" t="s">
        <v>3960</v>
      </c>
      <c r="F916" s="480" t="s">
        <v>3961</v>
      </c>
      <c r="G916" s="480" t="s">
        <v>1060</v>
      </c>
      <c r="H916" s="465"/>
    </row>
    <row r="917">
      <c r="A917" s="463"/>
      <c r="B917" s="480" t="s">
        <v>3962</v>
      </c>
      <c r="C917" s="481">
        <v>44099.0</v>
      </c>
      <c r="D917" s="480" t="s">
        <v>3963</v>
      </c>
      <c r="E917" s="480" t="s">
        <v>3964</v>
      </c>
      <c r="F917" s="480" t="s">
        <v>3965</v>
      </c>
      <c r="G917" s="480" t="s">
        <v>3966</v>
      </c>
      <c r="H917" s="465"/>
    </row>
    <row r="918">
      <c r="A918" s="463"/>
      <c r="B918" s="480" t="s">
        <v>3967</v>
      </c>
      <c r="C918" s="481">
        <v>44034.0</v>
      </c>
      <c r="D918" s="480" t="s">
        <v>3968</v>
      </c>
      <c r="E918" s="480" t="s">
        <v>3969</v>
      </c>
      <c r="F918" s="480" t="s">
        <v>3970</v>
      </c>
      <c r="G918" s="480" t="s">
        <v>3971</v>
      </c>
      <c r="H918" s="482" t="s">
        <v>1241</v>
      </c>
    </row>
    <row r="919">
      <c r="A919" s="463"/>
      <c r="B919" s="480" t="s">
        <v>3972</v>
      </c>
      <c r="C919" s="486">
        <v>44019.0</v>
      </c>
      <c r="D919" s="480" t="s">
        <v>3973</v>
      </c>
      <c r="E919" s="480" t="s">
        <v>3974</v>
      </c>
      <c r="F919" s="480" t="s">
        <v>3975</v>
      </c>
      <c r="G919" s="480" t="s">
        <v>3976</v>
      </c>
      <c r="H919" s="465"/>
    </row>
    <row r="920">
      <c r="A920" s="463"/>
      <c r="B920" s="480" t="s">
        <v>3977</v>
      </c>
      <c r="C920" s="486">
        <v>44033.0</v>
      </c>
      <c r="D920" s="480" t="s">
        <v>3978</v>
      </c>
      <c r="E920" s="480" t="s">
        <v>2986</v>
      </c>
      <c r="F920" s="480" t="s">
        <v>2987</v>
      </c>
      <c r="G920" s="480" t="s">
        <v>2988</v>
      </c>
      <c r="H920" s="465"/>
    </row>
    <row r="921">
      <c r="A921" s="463"/>
      <c r="B921" s="480" t="s">
        <v>3979</v>
      </c>
      <c r="C921" s="481">
        <v>44022.0</v>
      </c>
      <c r="D921" s="480" t="s">
        <v>349</v>
      </c>
      <c r="E921" s="480" t="s">
        <v>3980</v>
      </c>
      <c r="F921" s="480" t="s">
        <v>3981</v>
      </c>
      <c r="G921" s="480" t="s">
        <v>3982</v>
      </c>
      <c r="H921" s="465"/>
    </row>
    <row r="922">
      <c r="A922" s="463"/>
      <c r="B922" s="480" t="s">
        <v>3983</v>
      </c>
      <c r="C922" s="487">
        <v>44116.0</v>
      </c>
      <c r="D922" s="480" t="s">
        <v>3984</v>
      </c>
      <c r="E922" s="480" t="s">
        <v>3985</v>
      </c>
      <c r="F922" s="480" t="s">
        <v>3986</v>
      </c>
      <c r="G922" s="480" t="s">
        <v>2003</v>
      </c>
      <c r="H922" s="465"/>
    </row>
    <row r="923">
      <c r="A923" s="463"/>
      <c r="B923" s="480" t="s">
        <v>3987</v>
      </c>
      <c r="C923" s="486">
        <v>44022.0</v>
      </c>
      <c r="D923" s="480" t="s">
        <v>3988</v>
      </c>
      <c r="E923" s="480" t="s">
        <v>3989</v>
      </c>
      <c r="F923" s="480" t="s">
        <v>3990</v>
      </c>
      <c r="G923" s="480" t="s">
        <v>3991</v>
      </c>
      <c r="H923" s="465"/>
    </row>
    <row r="924">
      <c r="A924" s="463"/>
      <c r="B924" s="480" t="s">
        <v>3992</v>
      </c>
      <c r="C924" s="486">
        <v>44019.0</v>
      </c>
      <c r="D924" s="480" t="s">
        <v>3993</v>
      </c>
      <c r="E924" s="480" t="s">
        <v>3994</v>
      </c>
      <c r="F924" s="480" t="s">
        <v>3995</v>
      </c>
      <c r="G924" s="480" t="s">
        <v>3996</v>
      </c>
      <c r="H924" s="482" t="s">
        <v>1241</v>
      </c>
    </row>
    <row r="925">
      <c r="A925" s="463"/>
      <c r="B925" s="480" t="s">
        <v>3997</v>
      </c>
      <c r="C925" s="486">
        <v>43943.0</v>
      </c>
      <c r="D925" s="480" t="s">
        <v>3998</v>
      </c>
      <c r="E925" s="480" t="s">
        <v>3021</v>
      </c>
      <c r="F925" s="480" t="s">
        <v>3022</v>
      </c>
      <c r="G925" s="480" t="s">
        <v>3023</v>
      </c>
      <c r="H925" s="465"/>
    </row>
    <row r="926">
      <c r="A926" s="463"/>
      <c r="B926" s="480" t="s">
        <v>3999</v>
      </c>
      <c r="C926" s="481">
        <v>44033.0</v>
      </c>
      <c r="D926" s="480" t="s">
        <v>4000</v>
      </c>
      <c r="E926" s="480" t="s">
        <v>1714</v>
      </c>
      <c r="F926" s="480" t="s">
        <v>1715</v>
      </c>
      <c r="G926" s="480" t="s">
        <v>1285</v>
      </c>
      <c r="H926" s="465"/>
    </row>
    <row r="927">
      <c r="A927" s="463"/>
      <c r="B927" s="480" t="s">
        <v>4001</v>
      </c>
      <c r="C927" s="486">
        <v>44050.0</v>
      </c>
      <c r="D927" s="480" t="s">
        <v>4002</v>
      </c>
      <c r="E927" s="480" t="s">
        <v>4003</v>
      </c>
      <c r="F927" s="480" t="s">
        <v>4004</v>
      </c>
      <c r="G927" s="480" t="s">
        <v>4005</v>
      </c>
      <c r="H927" s="465"/>
    </row>
    <row r="928">
      <c r="A928" s="463"/>
      <c r="B928" s="480" t="s">
        <v>4006</v>
      </c>
      <c r="C928" s="486">
        <v>44050.0</v>
      </c>
      <c r="D928" s="480" t="s">
        <v>4007</v>
      </c>
      <c r="E928" s="480" t="s">
        <v>4008</v>
      </c>
      <c r="F928" s="480" t="s">
        <v>4009</v>
      </c>
      <c r="G928" s="480" t="s">
        <v>4010</v>
      </c>
      <c r="H928" s="482" t="s">
        <v>1241</v>
      </c>
    </row>
    <row r="929">
      <c r="A929" s="463"/>
      <c r="B929" s="480" t="s">
        <v>4011</v>
      </c>
      <c r="C929" s="486">
        <v>43883.0</v>
      </c>
      <c r="D929" s="480" t="s">
        <v>4012</v>
      </c>
      <c r="E929" s="480" t="s">
        <v>3309</v>
      </c>
      <c r="F929" s="480" t="s">
        <v>3310</v>
      </c>
      <c r="G929" s="480" t="s">
        <v>1795</v>
      </c>
      <c r="H929" s="465"/>
    </row>
    <row r="930">
      <c r="A930" s="463"/>
      <c r="B930" s="480" t="s">
        <v>4013</v>
      </c>
      <c r="C930" s="487">
        <v>44081.0</v>
      </c>
      <c r="D930" s="480" t="s">
        <v>4014</v>
      </c>
      <c r="E930" s="480" t="s">
        <v>4015</v>
      </c>
      <c r="F930" s="480" t="s">
        <v>4016</v>
      </c>
      <c r="G930" s="480" t="s">
        <v>4017</v>
      </c>
      <c r="H930" s="465"/>
    </row>
    <row r="931">
      <c r="A931" s="463"/>
      <c r="B931" s="480" t="s">
        <v>4018</v>
      </c>
      <c r="C931" s="481">
        <v>44142.0</v>
      </c>
      <c r="D931" s="480" t="s">
        <v>4019</v>
      </c>
      <c r="E931" s="480" t="s">
        <v>4020</v>
      </c>
      <c r="F931" s="480" t="s">
        <v>4021</v>
      </c>
      <c r="G931" s="480" t="s">
        <v>4022</v>
      </c>
      <c r="H931" s="465"/>
    </row>
    <row r="932">
      <c r="A932" s="463"/>
      <c r="B932" s="480" t="s">
        <v>4023</v>
      </c>
      <c r="C932" s="481">
        <v>44068.0</v>
      </c>
      <c r="D932" s="480" t="s">
        <v>4024</v>
      </c>
      <c r="E932" s="480" t="s">
        <v>3194</v>
      </c>
      <c r="F932" s="480" t="s">
        <v>3195</v>
      </c>
      <c r="G932" s="480" t="s">
        <v>2034</v>
      </c>
      <c r="H932" s="465"/>
    </row>
    <row r="933">
      <c r="A933" s="463"/>
      <c r="B933" s="480" t="s">
        <v>4025</v>
      </c>
      <c r="C933" s="487">
        <v>44116.0</v>
      </c>
      <c r="D933" s="480" t="s">
        <v>4026</v>
      </c>
      <c r="E933" s="480" t="s">
        <v>4027</v>
      </c>
      <c r="F933" s="480" t="s">
        <v>4028</v>
      </c>
      <c r="G933" s="480" t="s">
        <v>1429</v>
      </c>
      <c r="H933" s="465"/>
    </row>
    <row r="934">
      <c r="A934" s="463"/>
      <c r="B934" s="480" t="s">
        <v>4029</v>
      </c>
      <c r="C934" s="481">
        <v>44081.0</v>
      </c>
      <c r="D934" s="480" t="s">
        <v>4030</v>
      </c>
      <c r="E934" s="480" t="s">
        <v>4031</v>
      </c>
      <c r="F934" s="480" t="s">
        <v>4032</v>
      </c>
      <c r="G934" s="480" t="s">
        <v>4033</v>
      </c>
      <c r="H934" s="482" t="s">
        <v>4034</v>
      </c>
    </row>
    <row r="935">
      <c r="A935" s="463"/>
      <c r="B935" s="480" t="s">
        <v>4035</v>
      </c>
      <c r="C935" s="481">
        <v>44092.0</v>
      </c>
      <c r="D935" s="480" t="s">
        <v>4036</v>
      </c>
      <c r="E935" s="480" t="s">
        <v>4037</v>
      </c>
      <c r="F935" s="480" t="s">
        <v>4038</v>
      </c>
      <c r="G935" s="480" t="s">
        <v>4039</v>
      </c>
      <c r="H935" s="465"/>
    </row>
    <row r="936">
      <c r="A936" s="463"/>
      <c r="B936" s="480" t="s">
        <v>4040</v>
      </c>
      <c r="C936" s="481">
        <v>43943.0</v>
      </c>
      <c r="D936" s="480" t="s">
        <v>4041</v>
      </c>
      <c r="E936" s="480" t="s">
        <v>4042</v>
      </c>
      <c r="F936" s="480" t="s">
        <v>4043</v>
      </c>
      <c r="G936" s="480" t="s">
        <v>4044</v>
      </c>
      <c r="H936" s="465"/>
    </row>
    <row r="937">
      <c r="A937" s="463"/>
      <c r="B937" s="480" t="s">
        <v>4045</v>
      </c>
      <c r="C937" s="481">
        <v>43943.0</v>
      </c>
      <c r="D937" s="480" t="s">
        <v>4046</v>
      </c>
      <c r="E937" s="480" t="s">
        <v>4047</v>
      </c>
      <c r="F937" s="480" t="s">
        <v>4048</v>
      </c>
      <c r="G937" s="480" t="s">
        <v>1122</v>
      </c>
      <c r="H937" s="465"/>
    </row>
    <row r="938">
      <c r="A938" s="463"/>
      <c r="B938" s="480" t="s">
        <v>4049</v>
      </c>
      <c r="C938" s="481">
        <v>44160.0</v>
      </c>
      <c r="D938" s="480" t="s">
        <v>4050</v>
      </c>
      <c r="E938" s="480" t="s">
        <v>4051</v>
      </c>
      <c r="F938" s="480" t="s">
        <v>4052</v>
      </c>
      <c r="G938" s="480" t="s">
        <v>4053</v>
      </c>
      <c r="H938" s="465"/>
    </row>
    <row r="939">
      <c r="A939" s="463"/>
      <c r="B939" s="480" t="s">
        <v>4054</v>
      </c>
      <c r="C939" s="481">
        <v>44004.0</v>
      </c>
      <c r="D939" s="480" t="s">
        <v>4055</v>
      </c>
      <c r="E939" s="480" t="s">
        <v>4056</v>
      </c>
      <c r="F939" s="480" t="s">
        <v>4057</v>
      </c>
      <c r="G939" s="480" t="s">
        <v>955</v>
      </c>
      <c r="H939" s="465"/>
    </row>
    <row r="940">
      <c r="A940" s="463"/>
      <c r="B940" s="480" t="s">
        <v>4058</v>
      </c>
      <c r="C940" s="481">
        <v>44100.0</v>
      </c>
      <c r="D940" s="480" t="s">
        <v>4059</v>
      </c>
      <c r="E940" s="480" t="s">
        <v>1612</v>
      </c>
      <c r="F940" s="480" t="s">
        <v>1613</v>
      </c>
      <c r="G940" s="480" t="s">
        <v>1614</v>
      </c>
      <c r="H940" s="465"/>
    </row>
    <row r="941">
      <c r="A941" s="463"/>
      <c r="B941" s="480" t="s">
        <v>4060</v>
      </c>
      <c r="C941" s="486">
        <v>43943.0</v>
      </c>
      <c r="D941" s="480" t="s">
        <v>4061</v>
      </c>
      <c r="E941" s="480" t="s">
        <v>4062</v>
      </c>
      <c r="F941" s="480" t="s">
        <v>4063</v>
      </c>
      <c r="G941" s="480" t="s">
        <v>4064</v>
      </c>
      <c r="H941" s="465"/>
    </row>
    <row r="942">
      <c r="A942" s="463"/>
      <c r="B942" s="480" t="s">
        <v>4065</v>
      </c>
      <c r="C942" s="486">
        <v>44142.0</v>
      </c>
      <c r="D942" s="480" t="s">
        <v>4066</v>
      </c>
      <c r="E942" s="480" t="s">
        <v>4067</v>
      </c>
      <c r="F942" s="480" t="s">
        <v>4068</v>
      </c>
      <c r="G942" s="480" t="s">
        <v>4069</v>
      </c>
      <c r="H942" s="465"/>
    </row>
    <row r="943">
      <c r="A943" s="463"/>
      <c r="B943" s="480" t="s">
        <v>4070</v>
      </c>
      <c r="C943" s="481">
        <v>44081.0</v>
      </c>
      <c r="D943" s="480" t="s">
        <v>4071</v>
      </c>
      <c r="E943" s="480" t="s">
        <v>4072</v>
      </c>
      <c r="F943" s="480" t="s">
        <v>4073</v>
      </c>
      <c r="G943" s="480" t="s">
        <v>4074</v>
      </c>
      <c r="H943" s="465"/>
    </row>
    <row r="944">
      <c r="A944" s="463"/>
      <c r="B944" s="480" t="s">
        <v>4075</v>
      </c>
      <c r="C944" s="487">
        <v>44147.0</v>
      </c>
      <c r="D944" s="480" t="s">
        <v>4076</v>
      </c>
      <c r="E944" s="480" t="s">
        <v>4077</v>
      </c>
      <c r="F944" s="480" t="s">
        <v>4078</v>
      </c>
      <c r="G944" s="480" t="s">
        <v>4079</v>
      </c>
      <c r="H944" s="465"/>
    </row>
    <row r="945">
      <c r="A945" s="463"/>
      <c r="B945" s="480" t="s">
        <v>4080</v>
      </c>
      <c r="C945" s="481">
        <v>44126.0</v>
      </c>
      <c r="D945" s="480" t="s">
        <v>4081</v>
      </c>
      <c r="E945" s="480" t="s">
        <v>4082</v>
      </c>
      <c r="F945" s="480" t="s">
        <v>4083</v>
      </c>
      <c r="G945" s="480" t="s">
        <v>4084</v>
      </c>
      <c r="H945" s="465"/>
    </row>
    <row r="946">
      <c r="A946" s="463"/>
      <c r="B946" s="480" t="s">
        <v>4085</v>
      </c>
      <c r="C946" s="481">
        <v>44099.0</v>
      </c>
      <c r="D946" s="480" t="s">
        <v>4086</v>
      </c>
      <c r="E946" s="480" t="s">
        <v>4087</v>
      </c>
      <c r="F946" s="480" t="s">
        <v>4088</v>
      </c>
      <c r="G946" s="480" t="s">
        <v>4089</v>
      </c>
      <c r="H946" s="465"/>
    </row>
    <row r="947">
      <c r="A947" s="463"/>
      <c r="B947" s="480" t="s">
        <v>4090</v>
      </c>
      <c r="C947" s="486">
        <v>44093.0</v>
      </c>
      <c r="D947" s="480" t="s">
        <v>4091</v>
      </c>
      <c r="E947" s="480" t="s">
        <v>4092</v>
      </c>
      <c r="F947" s="480" t="s">
        <v>4093</v>
      </c>
      <c r="G947" s="480" t="s">
        <v>3215</v>
      </c>
      <c r="H947" s="465"/>
    </row>
    <row r="948">
      <c r="A948" s="463"/>
      <c r="B948" s="480" t="s">
        <v>4094</v>
      </c>
      <c r="C948" s="481">
        <v>44111.0</v>
      </c>
      <c r="D948" s="480" t="s">
        <v>4095</v>
      </c>
      <c r="E948" s="480" t="s">
        <v>4096</v>
      </c>
      <c r="F948" s="480" t="s">
        <v>4097</v>
      </c>
      <c r="G948" s="480" t="s">
        <v>4098</v>
      </c>
      <c r="H948" s="465"/>
    </row>
    <row r="949">
      <c r="A949" s="463"/>
      <c r="B949" s="480" t="s">
        <v>4099</v>
      </c>
      <c r="C949" s="481">
        <v>44116.0</v>
      </c>
      <c r="D949" s="480" t="s">
        <v>4100</v>
      </c>
      <c r="E949" s="480" t="s">
        <v>4101</v>
      </c>
      <c r="F949" s="480" t="s">
        <v>4102</v>
      </c>
      <c r="G949" s="480" t="s">
        <v>4103</v>
      </c>
      <c r="H949" s="465"/>
    </row>
    <row r="950">
      <c r="A950" s="463"/>
      <c r="B950" s="480" t="s">
        <v>4104</v>
      </c>
      <c r="C950" s="481">
        <v>44147.0</v>
      </c>
      <c r="D950" s="480" t="s">
        <v>4105</v>
      </c>
      <c r="E950" s="480" t="s">
        <v>4106</v>
      </c>
      <c r="F950" s="480" t="s">
        <v>4107</v>
      </c>
      <c r="G950" s="480" t="s">
        <v>4108</v>
      </c>
      <c r="H950" s="465"/>
    </row>
    <row r="951">
      <c r="A951" s="463"/>
      <c r="B951" s="480" t="s">
        <v>4109</v>
      </c>
      <c r="C951" s="481">
        <v>44160.0</v>
      </c>
      <c r="D951" s="480" t="s">
        <v>4110</v>
      </c>
      <c r="E951" s="480" t="s">
        <v>4111</v>
      </c>
      <c r="F951" s="480" t="s">
        <v>4112</v>
      </c>
      <c r="G951" s="480" t="s">
        <v>4113</v>
      </c>
      <c r="H951" s="465"/>
    </row>
    <row r="952">
      <c r="A952" s="463"/>
      <c r="B952" s="480" t="s">
        <v>4114</v>
      </c>
      <c r="C952" s="481">
        <v>44142.0</v>
      </c>
      <c r="D952" s="480" t="s">
        <v>4115</v>
      </c>
      <c r="E952" s="480" t="s">
        <v>4116</v>
      </c>
      <c r="F952" s="480" t="s">
        <v>4117</v>
      </c>
      <c r="G952" s="480" t="s">
        <v>4118</v>
      </c>
      <c r="H952" s="465"/>
    </row>
    <row r="953">
      <c r="A953" s="463"/>
      <c r="B953" s="480" t="s">
        <v>4119</v>
      </c>
      <c r="C953" s="481">
        <v>44142.0</v>
      </c>
      <c r="D953" s="480" t="s">
        <v>4120</v>
      </c>
      <c r="E953" s="480" t="s">
        <v>4121</v>
      </c>
      <c r="F953" s="480" t="s">
        <v>4122</v>
      </c>
      <c r="G953" s="480" t="s">
        <v>4123</v>
      </c>
      <c r="H953" s="465"/>
    </row>
    <row r="954">
      <c r="A954" s="463"/>
      <c r="B954" s="480" t="s">
        <v>4124</v>
      </c>
      <c r="C954" s="481">
        <v>44147.0</v>
      </c>
      <c r="D954" s="480" t="s">
        <v>4125</v>
      </c>
      <c r="E954" s="480" t="s">
        <v>3090</v>
      </c>
      <c r="F954" s="480" t="s">
        <v>3091</v>
      </c>
      <c r="G954" s="480" t="s">
        <v>3092</v>
      </c>
      <c r="H954" s="465"/>
    </row>
    <row r="955">
      <c r="A955" s="463"/>
      <c r="B955" s="480" t="s">
        <v>4126</v>
      </c>
      <c r="C955" s="481">
        <v>44131.0</v>
      </c>
      <c r="D955" s="480" t="s">
        <v>4127</v>
      </c>
      <c r="E955" s="480" t="s">
        <v>4128</v>
      </c>
      <c r="F955" s="480" t="s">
        <v>4129</v>
      </c>
      <c r="G955" s="480" t="s">
        <v>1791</v>
      </c>
      <c r="H955" s="465"/>
    </row>
    <row r="956">
      <c r="A956" s="463"/>
      <c r="B956" s="480" t="s">
        <v>4130</v>
      </c>
      <c r="C956" s="481">
        <v>44162.0</v>
      </c>
      <c r="D956" s="480" t="s">
        <v>4131</v>
      </c>
      <c r="E956" s="480" t="s">
        <v>4132</v>
      </c>
      <c r="F956" s="480" t="s">
        <v>4133</v>
      </c>
      <c r="G956" s="480" t="s">
        <v>4133</v>
      </c>
      <c r="H956" s="482" t="s">
        <v>4134</v>
      </c>
    </row>
    <row r="957">
      <c r="A957" s="463"/>
      <c r="B957" s="480" t="s">
        <v>4135</v>
      </c>
      <c r="C957" s="481">
        <v>44172.0</v>
      </c>
      <c r="D957" s="480" t="s">
        <v>4136</v>
      </c>
      <c r="E957" s="480" t="s">
        <v>4137</v>
      </c>
      <c r="F957" s="480" t="s">
        <v>4138</v>
      </c>
      <c r="G957" s="480" t="s">
        <v>4139</v>
      </c>
      <c r="H957" s="465"/>
    </row>
    <row r="958">
      <c r="A958" s="463"/>
      <c r="B958" s="480" t="s">
        <v>4140</v>
      </c>
      <c r="C958" s="481">
        <v>44172.0</v>
      </c>
      <c r="D958" s="480" t="s">
        <v>4141</v>
      </c>
      <c r="E958" s="480" t="s">
        <v>4142</v>
      </c>
      <c r="F958" s="480" t="s">
        <v>4143</v>
      </c>
      <c r="G958" s="480" t="s">
        <v>4144</v>
      </c>
      <c r="H958" s="465"/>
    </row>
    <row r="959">
      <c r="A959" s="463"/>
      <c r="B959" s="480" t="s">
        <v>4145</v>
      </c>
      <c r="C959" s="481">
        <v>44176.0</v>
      </c>
      <c r="D959" s="480" t="s">
        <v>4146</v>
      </c>
      <c r="E959" s="480" t="s">
        <v>4147</v>
      </c>
      <c r="F959" s="480" t="s">
        <v>2996</v>
      </c>
      <c r="G959" s="480" t="s">
        <v>2997</v>
      </c>
      <c r="H959" s="482" t="s">
        <v>1241</v>
      </c>
    </row>
    <row r="960">
      <c r="A960" s="463"/>
      <c r="B960" s="480" t="s">
        <v>4148</v>
      </c>
      <c r="C960" s="481">
        <v>44176.0</v>
      </c>
      <c r="D960" s="480" t="s">
        <v>4149</v>
      </c>
      <c r="E960" s="480" t="s">
        <v>4150</v>
      </c>
      <c r="F960" s="480" t="s">
        <v>4151</v>
      </c>
      <c r="G960" s="480" t="s">
        <v>4152</v>
      </c>
      <c r="H960" s="482" t="s">
        <v>1241</v>
      </c>
    </row>
    <row r="961">
      <c r="A961" s="463"/>
      <c r="B961" s="480" t="s">
        <v>4153</v>
      </c>
      <c r="C961" s="481">
        <v>44204.0</v>
      </c>
      <c r="D961" s="480" t="s">
        <v>4154</v>
      </c>
      <c r="E961" s="480" t="s">
        <v>1274</v>
      </c>
      <c r="F961" s="480" t="s">
        <v>4155</v>
      </c>
      <c r="G961" s="480" t="s">
        <v>4155</v>
      </c>
      <c r="H961" s="465"/>
    </row>
    <row r="962">
      <c r="A962" s="463"/>
      <c r="B962" s="480" t="s">
        <v>4156</v>
      </c>
      <c r="C962" s="481">
        <v>44204.0</v>
      </c>
      <c r="D962" s="480" t="s">
        <v>4157</v>
      </c>
      <c r="E962" s="480" t="s">
        <v>1274</v>
      </c>
      <c r="F962" s="480" t="s">
        <v>4155</v>
      </c>
      <c r="G962" s="480" t="s">
        <v>4155</v>
      </c>
      <c r="H962" s="465"/>
    </row>
    <row r="963">
      <c r="A963" s="463"/>
      <c r="B963" s="480" t="s">
        <v>4158</v>
      </c>
      <c r="C963" s="481">
        <v>44203.0</v>
      </c>
      <c r="D963" s="480" t="s">
        <v>4159</v>
      </c>
      <c r="E963" s="480" t="s">
        <v>4160</v>
      </c>
      <c r="F963" s="480" t="s">
        <v>4161</v>
      </c>
      <c r="G963" s="480" t="s">
        <v>4162</v>
      </c>
      <c r="H963" s="482" t="s">
        <v>1241</v>
      </c>
    </row>
    <row r="964">
      <c r="A964" s="463"/>
      <c r="B964" s="480" t="s">
        <v>4163</v>
      </c>
      <c r="C964" s="481">
        <v>44203.0</v>
      </c>
      <c r="D964" s="480" t="s">
        <v>4164</v>
      </c>
      <c r="E964" s="480" t="s">
        <v>4165</v>
      </c>
      <c r="F964" s="480" t="s">
        <v>4166</v>
      </c>
      <c r="G964" s="480" t="s">
        <v>4167</v>
      </c>
      <c r="H964" s="482" t="s">
        <v>2438</v>
      </c>
    </row>
    <row r="965">
      <c r="A965" s="463"/>
      <c r="B965" s="480" t="s">
        <v>4168</v>
      </c>
      <c r="C965" s="481">
        <v>44208.0</v>
      </c>
      <c r="D965" s="480" t="s">
        <v>4169</v>
      </c>
      <c r="E965" s="480" t="s">
        <v>4170</v>
      </c>
      <c r="F965" s="480" t="s">
        <v>4171</v>
      </c>
      <c r="G965" s="480" t="s">
        <v>4172</v>
      </c>
      <c r="H965" s="482" t="s">
        <v>2438</v>
      </c>
    </row>
    <row r="966">
      <c r="A966" s="463"/>
      <c r="B966" s="480" t="s">
        <v>4173</v>
      </c>
      <c r="C966" s="481">
        <v>44208.0</v>
      </c>
      <c r="D966" s="480" t="s">
        <v>4174</v>
      </c>
      <c r="E966" s="480" t="s">
        <v>4175</v>
      </c>
      <c r="F966" s="480" t="s">
        <v>4176</v>
      </c>
      <c r="G966" s="480" t="s">
        <v>4177</v>
      </c>
      <c r="H966" s="482" t="s">
        <v>4034</v>
      </c>
    </row>
    <row r="967">
      <c r="A967" s="463"/>
      <c r="B967" s="480">
        <v>983.0</v>
      </c>
      <c r="C967" s="481">
        <v>44218.0</v>
      </c>
      <c r="D967" s="480" t="s">
        <v>4178</v>
      </c>
      <c r="E967" s="480" t="s">
        <v>2661</v>
      </c>
      <c r="F967" s="480" t="s">
        <v>2662</v>
      </c>
      <c r="G967" s="480" t="s">
        <v>2663</v>
      </c>
      <c r="H967" s="465"/>
    </row>
    <row r="968">
      <c r="A968" s="463"/>
      <c r="B968" s="480" t="s">
        <v>4179</v>
      </c>
      <c r="C968" s="481">
        <v>44218.0</v>
      </c>
      <c r="D968" s="480" t="s">
        <v>4180</v>
      </c>
      <c r="E968" s="480" t="s">
        <v>4181</v>
      </c>
      <c r="F968" s="480" t="s">
        <v>4182</v>
      </c>
      <c r="G968" s="480" t="s">
        <v>4183</v>
      </c>
      <c r="H968" s="465"/>
    </row>
    <row r="969">
      <c r="A969" s="463"/>
      <c r="B969" s="480" t="s">
        <v>4184</v>
      </c>
      <c r="C969" s="481">
        <v>44203.0</v>
      </c>
      <c r="D969" s="480" t="s">
        <v>4185</v>
      </c>
      <c r="E969" s="480" t="s">
        <v>4186</v>
      </c>
      <c r="F969" s="480" t="s">
        <v>4187</v>
      </c>
      <c r="G969" s="480" t="s">
        <v>4188</v>
      </c>
      <c r="H969" s="465"/>
    </row>
    <row r="970">
      <c r="A970" s="463"/>
      <c r="B970" s="480" t="s">
        <v>4189</v>
      </c>
      <c r="C970" s="481">
        <v>44203.0</v>
      </c>
      <c r="D970" s="480" t="s">
        <v>4190</v>
      </c>
      <c r="E970" s="480" t="s">
        <v>4191</v>
      </c>
      <c r="F970" s="480" t="s">
        <v>4192</v>
      </c>
      <c r="G970" s="480" t="s">
        <v>4193</v>
      </c>
      <c r="H970" s="465"/>
    </row>
    <row r="971">
      <c r="A971" s="463"/>
      <c r="B971" s="480" t="s">
        <v>4194</v>
      </c>
      <c r="C971" s="481">
        <v>44203.0</v>
      </c>
      <c r="D971" s="480" t="s">
        <v>4195</v>
      </c>
      <c r="E971" s="480" t="s">
        <v>4196</v>
      </c>
      <c r="F971" s="480" t="s">
        <v>4197</v>
      </c>
      <c r="G971" s="480" t="s">
        <v>4198</v>
      </c>
      <c r="H971" s="465"/>
    </row>
    <row r="972">
      <c r="A972" s="463"/>
      <c r="B972" s="480" t="s">
        <v>4199</v>
      </c>
      <c r="C972" s="481">
        <v>44203.0</v>
      </c>
      <c r="D972" s="480" t="s">
        <v>4200</v>
      </c>
      <c r="E972" s="480" t="s">
        <v>4201</v>
      </c>
      <c r="F972" s="480" t="s">
        <v>4202</v>
      </c>
      <c r="G972" s="480" t="s">
        <v>4203</v>
      </c>
      <c r="H972" s="465"/>
    </row>
    <row r="973">
      <c r="A973" s="463"/>
      <c r="B973" s="480" t="s">
        <v>4204</v>
      </c>
      <c r="C973" s="481">
        <v>44232.0</v>
      </c>
      <c r="D973" s="480" t="s">
        <v>4205</v>
      </c>
      <c r="E973" s="480" t="s">
        <v>4206</v>
      </c>
      <c r="F973" s="480" t="s">
        <v>4207</v>
      </c>
      <c r="G973" s="480" t="s">
        <v>4208</v>
      </c>
      <c r="H973" s="482" t="s">
        <v>1241</v>
      </c>
    </row>
    <row r="974">
      <c r="A974" s="463"/>
      <c r="B974" s="480" t="s">
        <v>4209</v>
      </c>
      <c r="C974" s="481">
        <v>44232.0</v>
      </c>
      <c r="D974" s="480" t="s">
        <v>4210</v>
      </c>
      <c r="E974" s="480" t="s">
        <v>4211</v>
      </c>
      <c r="F974" s="480" t="s">
        <v>4212</v>
      </c>
      <c r="G974" s="480" t="s">
        <v>4213</v>
      </c>
      <c r="H974" s="482" t="s">
        <v>1241</v>
      </c>
    </row>
    <row r="975">
      <c r="A975" s="463"/>
      <c r="B975" s="480" t="s">
        <v>4214</v>
      </c>
      <c r="C975" s="481">
        <v>44232.0</v>
      </c>
      <c r="D975" s="480" t="s">
        <v>4215</v>
      </c>
      <c r="E975" s="480" t="s">
        <v>4216</v>
      </c>
      <c r="F975" s="480" t="s">
        <v>4217</v>
      </c>
      <c r="G975" s="480" t="s">
        <v>4218</v>
      </c>
      <c r="H975" s="465"/>
    </row>
    <row r="976">
      <c r="A976" s="463"/>
      <c r="B976" s="480" t="s">
        <v>4219</v>
      </c>
      <c r="C976" s="481">
        <v>44232.0</v>
      </c>
      <c r="D976" s="480" t="s">
        <v>4220</v>
      </c>
      <c r="E976" s="480" t="s">
        <v>4221</v>
      </c>
      <c r="F976" s="480" t="s">
        <v>4222</v>
      </c>
      <c r="G976" s="480" t="s">
        <v>4223</v>
      </c>
      <c r="H976" s="482" t="s">
        <v>1241</v>
      </c>
    </row>
    <row r="977">
      <c r="A977" s="463"/>
      <c r="B977" s="480" t="s">
        <v>4224</v>
      </c>
      <c r="C977" s="481">
        <v>44232.0</v>
      </c>
      <c r="D977" s="480" t="s">
        <v>4225</v>
      </c>
      <c r="E977" s="480" t="s">
        <v>4226</v>
      </c>
      <c r="F977" s="480" t="s">
        <v>4227</v>
      </c>
      <c r="G977" s="480" t="s">
        <v>4228</v>
      </c>
      <c r="H977" s="482" t="s">
        <v>1241</v>
      </c>
    </row>
    <row r="978">
      <c r="A978" s="463"/>
      <c r="B978" s="480" t="s">
        <v>4229</v>
      </c>
      <c r="C978" s="481">
        <v>44236.0</v>
      </c>
      <c r="D978" s="480" t="s">
        <v>4230</v>
      </c>
      <c r="E978" s="480" t="s">
        <v>4231</v>
      </c>
      <c r="F978" s="480" t="s">
        <v>4232</v>
      </c>
      <c r="G978" s="480" t="s">
        <v>4233</v>
      </c>
      <c r="H978" s="482" t="s">
        <v>1241</v>
      </c>
    </row>
    <row r="979">
      <c r="A979" s="463"/>
      <c r="B979" s="480" t="s">
        <v>4234</v>
      </c>
      <c r="C979" s="481">
        <v>44239.0</v>
      </c>
      <c r="D979" s="480" t="s">
        <v>4235</v>
      </c>
      <c r="E979" s="480" t="s">
        <v>4236</v>
      </c>
      <c r="F979" s="480" t="s">
        <v>4237</v>
      </c>
      <c r="G979" s="480" t="s">
        <v>4238</v>
      </c>
      <c r="H979" s="465"/>
    </row>
    <row r="980">
      <c r="A980" s="463"/>
      <c r="B980" s="480" t="s">
        <v>4239</v>
      </c>
      <c r="C980" s="481">
        <v>44239.0</v>
      </c>
      <c r="D980" s="480" t="s">
        <v>4240</v>
      </c>
      <c r="E980" s="480" t="s">
        <v>2737</v>
      </c>
      <c r="F980" s="480" t="s">
        <v>2738</v>
      </c>
      <c r="G980" s="480" t="s">
        <v>2739</v>
      </c>
      <c r="H980" s="465"/>
    </row>
    <row r="981">
      <c r="A981" s="463"/>
      <c r="B981" s="480" t="s">
        <v>4241</v>
      </c>
      <c r="C981" s="481">
        <v>44249.0</v>
      </c>
      <c r="D981" s="480" t="s">
        <v>4242</v>
      </c>
      <c r="E981" s="480" t="s">
        <v>4243</v>
      </c>
      <c r="F981" s="480" t="s">
        <v>4244</v>
      </c>
      <c r="G981" s="480" t="s">
        <v>3451</v>
      </c>
      <c r="H981" s="465"/>
    </row>
    <row r="982">
      <c r="A982" s="463"/>
      <c r="B982" s="480" t="s">
        <v>4245</v>
      </c>
      <c r="C982" s="481">
        <v>44232.0</v>
      </c>
      <c r="D982" s="480" t="s">
        <v>4246</v>
      </c>
      <c r="E982" s="480" t="s">
        <v>4247</v>
      </c>
      <c r="F982" s="480" t="s">
        <v>4248</v>
      </c>
      <c r="G982" s="480" t="s">
        <v>4249</v>
      </c>
      <c r="H982" s="465"/>
    </row>
    <row r="983">
      <c r="A983" s="463"/>
      <c r="B983" s="480" t="s">
        <v>4250</v>
      </c>
      <c r="C983" s="481">
        <v>44232.0</v>
      </c>
      <c r="D983" s="480" t="s">
        <v>4251</v>
      </c>
      <c r="E983" s="480" t="s">
        <v>4252</v>
      </c>
      <c r="F983" s="480" t="s">
        <v>4253</v>
      </c>
      <c r="G983" s="480" t="s">
        <v>4254</v>
      </c>
      <c r="H983" s="482" t="s">
        <v>4255</v>
      </c>
    </row>
    <row r="984">
      <c r="A984" s="463"/>
      <c r="B984" s="480" t="s">
        <v>4256</v>
      </c>
      <c r="C984" s="481">
        <v>44232.0</v>
      </c>
      <c r="D984" s="480" t="s">
        <v>4257</v>
      </c>
      <c r="E984" s="480" t="s">
        <v>4258</v>
      </c>
      <c r="F984" s="480" t="s">
        <v>4259</v>
      </c>
      <c r="G984" s="480" t="s">
        <v>4260</v>
      </c>
      <c r="H984" s="465"/>
    </row>
    <row r="985">
      <c r="A985" s="463"/>
      <c r="B985" s="480" t="s">
        <v>4261</v>
      </c>
      <c r="C985" s="481">
        <v>44260.0</v>
      </c>
      <c r="D985" s="480" t="s">
        <v>4262</v>
      </c>
      <c r="E985" s="480" t="s">
        <v>4263</v>
      </c>
      <c r="F985" s="480" t="s">
        <v>4264</v>
      </c>
      <c r="G985" s="480" t="s">
        <v>4265</v>
      </c>
      <c r="H985" s="465"/>
    </row>
    <row r="986">
      <c r="A986" s="463"/>
      <c r="B986" s="480" t="s">
        <v>4266</v>
      </c>
      <c r="C986" s="481">
        <v>44267.0</v>
      </c>
      <c r="D986" s="480" t="s">
        <v>4267</v>
      </c>
      <c r="E986" s="480" t="s">
        <v>1091</v>
      </c>
      <c r="F986" s="480" t="s">
        <v>1092</v>
      </c>
      <c r="G986" s="480" t="s">
        <v>1935</v>
      </c>
      <c r="H986" s="465"/>
    </row>
    <row r="987">
      <c r="A987" s="463"/>
      <c r="B987" s="480" t="s">
        <v>4268</v>
      </c>
      <c r="C987" s="481">
        <v>44267.0</v>
      </c>
      <c r="D987" s="480" t="s">
        <v>4269</v>
      </c>
      <c r="E987" s="480" t="s">
        <v>4270</v>
      </c>
      <c r="F987" s="480" t="s">
        <v>4271</v>
      </c>
      <c r="G987" s="480" t="s">
        <v>4272</v>
      </c>
      <c r="H987" s="465"/>
    </row>
    <row r="988">
      <c r="A988" s="463"/>
      <c r="B988" s="480" t="s">
        <v>4273</v>
      </c>
      <c r="C988" s="481">
        <v>44267.0</v>
      </c>
      <c r="D988" s="480" t="s">
        <v>4274</v>
      </c>
      <c r="E988" s="480" t="s">
        <v>4275</v>
      </c>
      <c r="F988" s="480" t="s">
        <v>4276</v>
      </c>
      <c r="G988" s="480" t="s">
        <v>4277</v>
      </c>
      <c r="H988" s="482" t="s">
        <v>2438</v>
      </c>
    </row>
    <row r="989">
      <c r="A989" s="463"/>
      <c r="B989" s="480" t="s">
        <v>4278</v>
      </c>
      <c r="C989" s="486">
        <v>44267.0</v>
      </c>
      <c r="D989" s="480" t="s">
        <v>4279</v>
      </c>
      <c r="E989" s="480" t="s">
        <v>4280</v>
      </c>
      <c r="F989" s="480" t="s">
        <v>4281</v>
      </c>
      <c r="G989" s="480" t="s">
        <v>4282</v>
      </c>
      <c r="H989" s="465"/>
    </row>
    <row r="990">
      <c r="A990" s="463"/>
      <c r="B990" s="480" t="s">
        <v>4283</v>
      </c>
      <c r="C990" s="481">
        <v>44277.0</v>
      </c>
      <c r="D990" s="480" t="s">
        <v>4284</v>
      </c>
      <c r="E990" s="480" t="s">
        <v>4285</v>
      </c>
      <c r="F990" s="480" t="s">
        <v>4286</v>
      </c>
      <c r="G990" s="480" t="s">
        <v>4287</v>
      </c>
      <c r="H990" s="465"/>
    </row>
    <row r="991">
      <c r="A991" s="463"/>
      <c r="B991" s="480" t="s">
        <v>4288</v>
      </c>
      <c r="C991" s="481">
        <v>44280.0</v>
      </c>
      <c r="D991" s="480" t="s">
        <v>4289</v>
      </c>
      <c r="E991" s="480" t="s">
        <v>4290</v>
      </c>
      <c r="F991" s="480" t="s">
        <v>4291</v>
      </c>
      <c r="G991" s="480" t="s">
        <v>4292</v>
      </c>
      <c r="H991" s="482" t="s">
        <v>4293</v>
      </c>
    </row>
    <row r="992">
      <c r="A992" s="463"/>
      <c r="B992" s="480" t="s">
        <v>4294</v>
      </c>
      <c r="C992" s="481">
        <v>44280.0</v>
      </c>
      <c r="D992" s="480" t="s">
        <v>4295</v>
      </c>
      <c r="E992" s="480" t="s">
        <v>1247</v>
      </c>
      <c r="F992" s="480" t="s">
        <v>1248</v>
      </c>
      <c r="G992" s="480" t="s">
        <v>1249</v>
      </c>
      <c r="H992" s="482" t="s">
        <v>1250</v>
      </c>
    </row>
    <row r="993">
      <c r="A993" s="463"/>
      <c r="B993" s="480" t="s">
        <v>4296</v>
      </c>
      <c r="C993" s="481">
        <v>44282.0</v>
      </c>
      <c r="D993" s="480" t="s">
        <v>4297</v>
      </c>
      <c r="E993" s="480" t="s">
        <v>4298</v>
      </c>
      <c r="F993" s="480" t="s">
        <v>4299</v>
      </c>
      <c r="G993" s="480" t="s">
        <v>4300</v>
      </c>
      <c r="H993" s="465"/>
    </row>
    <row r="994">
      <c r="A994" s="463"/>
      <c r="B994" s="482" t="s">
        <v>4301</v>
      </c>
      <c r="C994" s="492">
        <v>44260.0</v>
      </c>
      <c r="D994" s="482" t="s">
        <v>4302</v>
      </c>
      <c r="E994" s="482" t="s">
        <v>4303</v>
      </c>
      <c r="F994" s="482" t="s">
        <v>4304</v>
      </c>
      <c r="G994" s="482" t="s">
        <v>4305</v>
      </c>
      <c r="H994" s="465"/>
    </row>
    <row r="995">
      <c r="A995" s="463"/>
      <c r="B995" s="482" t="s">
        <v>4306</v>
      </c>
      <c r="C995" s="493">
        <v>44260.0</v>
      </c>
      <c r="D995" s="482" t="s">
        <v>4307</v>
      </c>
      <c r="E995" s="482" t="s">
        <v>4308</v>
      </c>
      <c r="F995" s="482" t="s">
        <v>4309</v>
      </c>
      <c r="G995" s="482" t="s">
        <v>4310</v>
      </c>
      <c r="H995" s="465"/>
    </row>
    <row r="996">
      <c r="A996" s="463"/>
      <c r="B996" s="482" t="s">
        <v>4311</v>
      </c>
      <c r="C996" s="493">
        <v>44260.0</v>
      </c>
      <c r="D996" s="482" t="s">
        <v>4312</v>
      </c>
      <c r="E996" s="482" t="s">
        <v>4313</v>
      </c>
      <c r="F996" s="482" t="s">
        <v>4314</v>
      </c>
      <c r="G996" s="482" t="s">
        <v>4315</v>
      </c>
      <c r="H996" s="465"/>
    </row>
    <row r="997">
      <c r="A997" s="463"/>
      <c r="B997" s="482" t="s">
        <v>4316</v>
      </c>
      <c r="C997" s="493">
        <v>44260.0</v>
      </c>
      <c r="D997" s="482" t="s">
        <v>4317</v>
      </c>
      <c r="E997" s="482" t="s">
        <v>4318</v>
      </c>
      <c r="F997" s="482" t="s">
        <v>4319</v>
      </c>
      <c r="G997" s="482" t="s">
        <v>4320</v>
      </c>
      <c r="H997" s="465"/>
    </row>
    <row r="998">
      <c r="A998" s="463"/>
      <c r="B998" s="482" t="s">
        <v>4321</v>
      </c>
      <c r="C998" s="494">
        <v>44293.0</v>
      </c>
      <c r="D998" s="482" t="s">
        <v>4322</v>
      </c>
      <c r="E998" s="482" t="s">
        <v>4323</v>
      </c>
      <c r="F998" s="482" t="s">
        <v>4324</v>
      </c>
      <c r="G998" s="482" t="s">
        <v>4325</v>
      </c>
      <c r="H998" s="465"/>
    </row>
    <row r="999">
      <c r="A999" s="463"/>
      <c r="B999" s="482" t="s">
        <v>4326</v>
      </c>
      <c r="C999" s="494">
        <v>44293.0</v>
      </c>
      <c r="D999" s="482" t="s">
        <v>4327</v>
      </c>
      <c r="E999" s="482" t="s">
        <v>4328</v>
      </c>
      <c r="F999" s="482" t="s">
        <v>4329</v>
      </c>
      <c r="G999" s="482" t="s">
        <v>4330</v>
      </c>
      <c r="H999" s="465"/>
    </row>
    <row r="1000">
      <c r="A1000" s="463"/>
      <c r="B1000" s="482" t="s">
        <v>4331</v>
      </c>
      <c r="C1000" s="494">
        <v>44293.0</v>
      </c>
      <c r="D1000" s="482" t="s">
        <v>4332</v>
      </c>
      <c r="E1000" s="482" t="s">
        <v>4333</v>
      </c>
      <c r="F1000" s="482" t="s">
        <v>4334</v>
      </c>
      <c r="G1000" s="482" t="s">
        <v>4335</v>
      </c>
      <c r="H1000" s="465"/>
    </row>
    <row r="1001">
      <c r="A1001" s="463"/>
      <c r="B1001" s="495" t="s">
        <v>4336</v>
      </c>
      <c r="C1001" s="496">
        <v>44298.0</v>
      </c>
      <c r="D1001" s="495" t="s">
        <v>4337</v>
      </c>
      <c r="E1001" s="495" t="s">
        <v>4338</v>
      </c>
      <c r="F1001" s="495" t="s">
        <v>4339</v>
      </c>
      <c r="G1001" s="495" t="s">
        <v>1441</v>
      </c>
      <c r="H1001" s="463"/>
    </row>
    <row r="1002">
      <c r="A1002" s="463"/>
      <c r="B1002" s="495" t="s">
        <v>4340</v>
      </c>
      <c r="C1002" s="496">
        <v>44298.0</v>
      </c>
      <c r="D1002" s="495" t="s">
        <v>4341</v>
      </c>
      <c r="E1002" s="495" t="s">
        <v>1509</v>
      </c>
      <c r="F1002" s="495" t="s">
        <v>1510</v>
      </c>
      <c r="G1002" s="495" t="s">
        <v>1511</v>
      </c>
      <c r="H1002" s="463"/>
    </row>
    <row r="1003">
      <c r="A1003" s="463"/>
      <c r="B1003" s="495" t="s">
        <v>4342</v>
      </c>
      <c r="C1003" s="496">
        <v>44298.0</v>
      </c>
      <c r="D1003" s="495" t="s">
        <v>4343</v>
      </c>
      <c r="E1003" s="495" t="s">
        <v>4344</v>
      </c>
      <c r="F1003" s="495" t="s">
        <v>4345</v>
      </c>
      <c r="G1003" s="495" t="s">
        <v>4346</v>
      </c>
      <c r="H1003" s="463"/>
    </row>
    <row r="1004">
      <c r="A1004" s="463"/>
      <c r="B1004" s="495" t="s">
        <v>4347</v>
      </c>
      <c r="C1004" s="496">
        <v>44298.0</v>
      </c>
      <c r="D1004" s="495" t="s">
        <v>4348</v>
      </c>
      <c r="E1004" s="495" t="s">
        <v>3268</v>
      </c>
      <c r="F1004" s="495" t="s">
        <v>3269</v>
      </c>
      <c r="G1004" s="495" t="s">
        <v>3270</v>
      </c>
      <c r="H1004" s="463"/>
    </row>
    <row r="1005">
      <c r="A1005" s="463"/>
      <c r="B1005" s="495" t="s">
        <v>4349</v>
      </c>
      <c r="C1005" s="496">
        <v>44308.0</v>
      </c>
      <c r="D1005" s="495" t="s">
        <v>4350</v>
      </c>
      <c r="E1005" s="495" t="s">
        <v>4351</v>
      </c>
      <c r="F1005" s="495" t="s">
        <v>4352</v>
      </c>
      <c r="G1005" s="495" t="s">
        <v>4353</v>
      </c>
      <c r="H1005" s="463"/>
    </row>
    <row r="1006">
      <c r="A1006" s="463"/>
      <c r="B1006" s="495" t="s">
        <v>4354</v>
      </c>
      <c r="C1006" s="496">
        <v>44310.0</v>
      </c>
      <c r="D1006" s="495" t="s">
        <v>4355</v>
      </c>
      <c r="E1006" s="495" t="s">
        <v>4356</v>
      </c>
      <c r="F1006" s="495" t="s">
        <v>4357</v>
      </c>
      <c r="G1006" s="495" t="s">
        <v>4358</v>
      </c>
      <c r="H1006" s="463"/>
    </row>
    <row r="1007">
      <c r="A1007" s="463"/>
      <c r="B1007" s="495" t="s">
        <v>4359</v>
      </c>
      <c r="C1007" s="496">
        <v>44310.0</v>
      </c>
      <c r="D1007" s="495" t="s">
        <v>4360</v>
      </c>
      <c r="E1007" s="495" t="s">
        <v>4361</v>
      </c>
      <c r="F1007" s="495" t="s">
        <v>4362</v>
      </c>
      <c r="G1007" s="495" t="s">
        <v>1445</v>
      </c>
      <c r="H1007" s="463"/>
    </row>
    <row r="1008">
      <c r="A1008" s="463"/>
      <c r="B1008" s="495" t="s">
        <v>4363</v>
      </c>
      <c r="C1008" s="496">
        <v>44310.0</v>
      </c>
      <c r="D1008" s="495" t="s">
        <v>4364</v>
      </c>
      <c r="E1008" s="495" t="s">
        <v>4365</v>
      </c>
      <c r="F1008" s="495" t="s">
        <v>4366</v>
      </c>
      <c r="G1008" s="495" t="s">
        <v>4367</v>
      </c>
      <c r="H1008" s="463"/>
    </row>
    <row r="1009">
      <c r="A1009" s="463"/>
      <c r="B1009" s="495" t="s">
        <v>4368</v>
      </c>
      <c r="C1009" s="496">
        <v>44310.0</v>
      </c>
      <c r="D1009" s="495" t="s">
        <v>4369</v>
      </c>
      <c r="E1009" s="495" t="s">
        <v>4370</v>
      </c>
      <c r="F1009" s="495" t="s">
        <v>4371</v>
      </c>
      <c r="G1009" s="495" t="s">
        <v>4372</v>
      </c>
      <c r="H1009" s="463"/>
    </row>
    <row r="1010">
      <c r="A1010" s="463"/>
      <c r="B1010" s="495" t="s">
        <v>4373</v>
      </c>
      <c r="C1010" s="496">
        <v>44310.0</v>
      </c>
      <c r="D1010" s="495" t="s">
        <v>4374</v>
      </c>
      <c r="E1010" s="495" t="s">
        <v>4375</v>
      </c>
      <c r="F1010" s="495" t="s">
        <v>4376</v>
      </c>
      <c r="G1010" s="495" t="s">
        <v>1795</v>
      </c>
      <c r="H1010" s="463"/>
    </row>
    <row r="1011">
      <c r="A1011" s="463"/>
      <c r="B1011" s="495" t="s">
        <v>4377</v>
      </c>
      <c r="C1011" s="496">
        <v>44293.0</v>
      </c>
      <c r="D1011" s="495" t="s">
        <v>4378</v>
      </c>
      <c r="E1011" s="495" t="s">
        <v>4379</v>
      </c>
      <c r="F1011" s="495" t="s">
        <v>4380</v>
      </c>
      <c r="G1011" s="495" t="s">
        <v>4381</v>
      </c>
      <c r="H1011" s="463"/>
    </row>
    <row r="1012">
      <c r="A1012" s="463"/>
      <c r="B1012" s="495" t="s">
        <v>4382</v>
      </c>
      <c r="C1012" s="496">
        <v>44293.0</v>
      </c>
      <c r="D1012" s="495" t="s">
        <v>4383</v>
      </c>
      <c r="E1012" s="495" t="s">
        <v>4384</v>
      </c>
      <c r="F1012" s="495" t="s">
        <v>4385</v>
      </c>
      <c r="G1012" s="495" t="s">
        <v>4386</v>
      </c>
      <c r="H1012" s="463"/>
    </row>
    <row r="1013">
      <c r="A1013" s="463"/>
      <c r="B1013" s="495" t="s">
        <v>4387</v>
      </c>
      <c r="C1013" s="496">
        <v>44293.0</v>
      </c>
      <c r="D1013" s="495" t="s">
        <v>4388</v>
      </c>
      <c r="E1013" s="495" t="s">
        <v>4389</v>
      </c>
      <c r="F1013" s="495" t="s">
        <v>4390</v>
      </c>
      <c r="G1013" s="495" t="s">
        <v>4391</v>
      </c>
      <c r="H1013" s="463"/>
    </row>
    <row r="1014">
      <c r="A1014" s="463"/>
      <c r="B1014" s="495" t="s">
        <v>4392</v>
      </c>
      <c r="C1014" s="496">
        <v>44323.0</v>
      </c>
      <c r="D1014" s="495" t="s">
        <v>4393</v>
      </c>
      <c r="E1014" s="495" t="s">
        <v>4394</v>
      </c>
      <c r="F1014" s="495" t="s">
        <v>4395</v>
      </c>
      <c r="G1014" s="495" t="s">
        <v>4396</v>
      </c>
      <c r="H1014" s="495" t="s">
        <v>4397</v>
      </c>
    </row>
    <row r="1015">
      <c r="A1015" s="463"/>
      <c r="B1015" s="495" t="s">
        <v>4398</v>
      </c>
      <c r="C1015" s="496">
        <v>44323.0</v>
      </c>
      <c r="D1015" s="495" t="s">
        <v>4399</v>
      </c>
      <c r="E1015" s="495" t="s">
        <v>4400</v>
      </c>
      <c r="F1015" s="495" t="s">
        <v>4401</v>
      </c>
      <c r="G1015" s="495" t="s">
        <v>4402</v>
      </c>
      <c r="H1015" s="463"/>
    </row>
    <row r="1016">
      <c r="A1016" s="463"/>
      <c r="B1016" s="495" t="s">
        <v>4403</v>
      </c>
      <c r="C1016" s="496">
        <v>44323.0</v>
      </c>
      <c r="D1016" s="495" t="s">
        <v>4404</v>
      </c>
      <c r="E1016" s="495" t="s">
        <v>4405</v>
      </c>
      <c r="F1016" s="495" t="s">
        <v>4406</v>
      </c>
      <c r="G1016" s="495" t="s">
        <v>4407</v>
      </c>
      <c r="H1016" s="463"/>
    </row>
    <row r="1017">
      <c r="A1017" s="463"/>
      <c r="B1017" s="495" t="s">
        <v>4408</v>
      </c>
      <c r="C1017" s="496">
        <v>44328.0</v>
      </c>
      <c r="D1017" s="495" t="s">
        <v>4409</v>
      </c>
      <c r="E1017" s="495" t="s">
        <v>4410</v>
      </c>
      <c r="F1017" s="495" t="s">
        <v>4411</v>
      </c>
      <c r="G1017" s="495" t="s">
        <v>4412</v>
      </c>
      <c r="H1017" s="463"/>
    </row>
    <row r="1018">
      <c r="A1018" s="463"/>
      <c r="B1018" s="495" t="s">
        <v>4413</v>
      </c>
      <c r="C1018" s="496">
        <v>44328.0</v>
      </c>
      <c r="D1018" s="495" t="s">
        <v>4414</v>
      </c>
      <c r="E1018" s="495" t="s">
        <v>4415</v>
      </c>
      <c r="F1018" s="495" t="s">
        <v>4416</v>
      </c>
      <c r="G1018" s="495" t="s">
        <v>4417</v>
      </c>
      <c r="H1018" s="463"/>
    </row>
    <row r="1019">
      <c r="A1019" s="463"/>
      <c r="B1019" s="495" t="s">
        <v>4418</v>
      </c>
      <c r="C1019" s="496">
        <v>44341.0</v>
      </c>
      <c r="D1019" s="495" t="s">
        <v>4419</v>
      </c>
      <c r="E1019" s="495" t="s">
        <v>4420</v>
      </c>
      <c r="F1019" s="495" t="s">
        <v>4421</v>
      </c>
      <c r="G1019" s="495" t="s">
        <v>4422</v>
      </c>
      <c r="H1019" s="463"/>
    </row>
    <row r="1020">
      <c r="A1020" s="463"/>
      <c r="B1020" s="495" t="s">
        <v>4423</v>
      </c>
      <c r="C1020" s="496">
        <v>44341.0</v>
      </c>
      <c r="D1020" s="495" t="s">
        <v>4424</v>
      </c>
      <c r="E1020" s="495" t="s">
        <v>4425</v>
      </c>
      <c r="F1020" s="495" t="s">
        <v>4426</v>
      </c>
      <c r="G1020" s="495" t="s">
        <v>4427</v>
      </c>
      <c r="H1020" s="463"/>
    </row>
    <row r="1021">
      <c r="A1021" s="463"/>
      <c r="B1021" s="495" t="s">
        <v>4428</v>
      </c>
      <c r="C1021" s="496">
        <v>44341.0</v>
      </c>
      <c r="D1021" s="495" t="s">
        <v>4429</v>
      </c>
      <c r="E1021" s="495" t="s">
        <v>4430</v>
      </c>
      <c r="F1021" s="495" t="s">
        <v>4431</v>
      </c>
      <c r="G1021" s="495" t="s">
        <v>4432</v>
      </c>
      <c r="H1021" s="463"/>
    </row>
    <row r="1022">
      <c r="A1022" s="463"/>
      <c r="B1022" s="495" t="s">
        <v>4433</v>
      </c>
      <c r="C1022" s="496">
        <v>44343.0</v>
      </c>
      <c r="D1022" s="495" t="s">
        <v>4434</v>
      </c>
      <c r="E1022" s="495" t="s">
        <v>4435</v>
      </c>
      <c r="F1022" s="495" t="s">
        <v>4436</v>
      </c>
      <c r="G1022" s="495" t="s">
        <v>4437</v>
      </c>
      <c r="H1022" s="463"/>
    </row>
    <row r="1023">
      <c r="A1023" s="463"/>
      <c r="B1023" s="495" t="s">
        <v>4438</v>
      </c>
      <c r="C1023" s="496">
        <v>44343.0</v>
      </c>
      <c r="D1023" s="495" t="s">
        <v>4439</v>
      </c>
      <c r="E1023" s="495" t="s">
        <v>4440</v>
      </c>
      <c r="F1023" s="495" t="s">
        <v>4441</v>
      </c>
      <c r="G1023" s="495" t="s">
        <v>3019</v>
      </c>
      <c r="H1023" s="463"/>
    </row>
    <row r="1024">
      <c r="A1024" s="463"/>
      <c r="B1024" s="495" t="s">
        <v>4442</v>
      </c>
      <c r="C1024" s="496">
        <v>44323.0</v>
      </c>
      <c r="D1024" s="495" t="s">
        <v>4443</v>
      </c>
      <c r="E1024" s="495" t="s">
        <v>4444</v>
      </c>
      <c r="F1024" s="495" t="s">
        <v>4445</v>
      </c>
      <c r="G1024" s="495" t="s">
        <v>4446</v>
      </c>
      <c r="H1024" s="463"/>
    </row>
    <row r="1025">
      <c r="A1025" s="463"/>
      <c r="B1025" s="495" t="s">
        <v>4447</v>
      </c>
      <c r="C1025" s="497">
        <v>44351.0</v>
      </c>
      <c r="D1025" s="495" t="s">
        <v>4448</v>
      </c>
      <c r="E1025" s="495" t="s">
        <v>4449</v>
      </c>
      <c r="F1025" s="495" t="s">
        <v>4450</v>
      </c>
      <c r="G1025" s="495" t="s">
        <v>951</v>
      </c>
      <c r="H1025" s="463"/>
    </row>
    <row r="1026">
      <c r="A1026" s="463"/>
      <c r="B1026" s="495" t="s">
        <v>4451</v>
      </c>
      <c r="C1026" s="496">
        <v>44354.0</v>
      </c>
      <c r="D1026" s="495" t="s">
        <v>4452</v>
      </c>
      <c r="E1026" s="495" t="s">
        <v>4453</v>
      </c>
      <c r="F1026" s="495" t="s">
        <v>4454</v>
      </c>
      <c r="G1026" s="495" t="s">
        <v>4455</v>
      </c>
      <c r="H1026" s="463"/>
    </row>
    <row r="1027">
      <c r="A1027" s="463"/>
      <c r="B1027" s="495" t="s">
        <v>4456</v>
      </c>
      <c r="C1027" s="496">
        <v>44354.0</v>
      </c>
      <c r="D1027" s="495" t="s">
        <v>4457</v>
      </c>
      <c r="E1027" s="495" t="s">
        <v>4458</v>
      </c>
      <c r="F1027" s="495" t="s">
        <v>4459</v>
      </c>
      <c r="G1027" s="495" t="s">
        <v>4460</v>
      </c>
      <c r="H1027" s="463"/>
    </row>
    <row r="1028">
      <c r="A1028" s="463"/>
      <c r="B1028" s="495" t="s">
        <v>4461</v>
      </c>
      <c r="C1028" s="496">
        <v>44354.0</v>
      </c>
      <c r="D1028" s="495" t="s">
        <v>4462</v>
      </c>
      <c r="E1028" s="495" t="s">
        <v>4463</v>
      </c>
      <c r="F1028" s="495" t="s">
        <v>4464</v>
      </c>
      <c r="G1028" s="495" t="s">
        <v>4465</v>
      </c>
      <c r="H1028" s="463"/>
    </row>
    <row r="1029">
      <c r="A1029" s="463"/>
      <c r="B1029" s="495" t="s">
        <v>4466</v>
      </c>
      <c r="C1029" s="496">
        <v>44354.0</v>
      </c>
      <c r="D1029" s="495" t="s">
        <v>4467</v>
      </c>
      <c r="E1029" s="495" t="s">
        <v>4468</v>
      </c>
      <c r="F1029" s="495" t="s">
        <v>4469</v>
      </c>
      <c r="G1029" s="495" t="s">
        <v>4470</v>
      </c>
      <c r="H1029" s="463"/>
    </row>
    <row r="1030">
      <c r="A1030" s="463"/>
      <c r="B1030" s="495" t="s">
        <v>4471</v>
      </c>
      <c r="C1030" s="496">
        <v>44354.0</v>
      </c>
      <c r="D1030" s="495" t="s">
        <v>4472</v>
      </c>
      <c r="E1030" s="495" t="s">
        <v>4473</v>
      </c>
      <c r="F1030" s="495" t="s">
        <v>4474</v>
      </c>
      <c r="G1030" s="495" t="s">
        <v>4475</v>
      </c>
      <c r="H1030" s="463"/>
    </row>
    <row r="1031">
      <c r="A1031" s="463"/>
      <c r="B1031" s="495" t="s">
        <v>4476</v>
      </c>
      <c r="C1031" s="496">
        <v>44354.0</v>
      </c>
      <c r="D1031" s="495" t="s">
        <v>4477</v>
      </c>
      <c r="E1031" s="495" t="s">
        <v>4478</v>
      </c>
      <c r="F1031" s="495" t="s">
        <v>4479</v>
      </c>
      <c r="G1031" s="495" t="s">
        <v>4480</v>
      </c>
      <c r="H1031" s="463"/>
    </row>
    <row r="1032">
      <c r="A1032" s="463"/>
      <c r="B1032" s="495" t="s">
        <v>4481</v>
      </c>
      <c r="C1032" s="496">
        <v>44357.0</v>
      </c>
      <c r="D1032" s="495" t="s">
        <v>4482</v>
      </c>
      <c r="E1032" s="495" t="s">
        <v>4483</v>
      </c>
      <c r="F1032" s="495" t="s">
        <v>4484</v>
      </c>
      <c r="G1032" s="495" t="s">
        <v>4485</v>
      </c>
      <c r="H1032" s="495" t="s">
        <v>2456</v>
      </c>
    </row>
    <row r="1033">
      <c r="A1033" s="463"/>
      <c r="B1033" s="495" t="s">
        <v>4486</v>
      </c>
      <c r="C1033" s="496">
        <v>44358.0</v>
      </c>
      <c r="D1033" s="495" t="s">
        <v>4487</v>
      </c>
      <c r="E1033" s="495" t="s">
        <v>4488</v>
      </c>
      <c r="F1033" s="495" t="s">
        <v>4489</v>
      </c>
      <c r="G1033" s="495" t="s">
        <v>4490</v>
      </c>
      <c r="H1033" s="463"/>
    </row>
    <row r="1034">
      <c r="A1034" s="463"/>
      <c r="B1034" s="495" t="s">
        <v>4491</v>
      </c>
      <c r="C1034" s="496">
        <v>44358.0</v>
      </c>
      <c r="D1034" s="495" t="s">
        <v>4492</v>
      </c>
      <c r="E1034" s="495" t="s">
        <v>4493</v>
      </c>
      <c r="F1034" s="495" t="s">
        <v>4494</v>
      </c>
      <c r="G1034" s="495" t="s">
        <v>4495</v>
      </c>
      <c r="H1034" s="463"/>
    </row>
    <row r="1035">
      <c r="A1035" s="463"/>
      <c r="B1035" s="495" t="s">
        <v>4496</v>
      </c>
      <c r="C1035" s="496">
        <v>44358.0</v>
      </c>
      <c r="D1035" s="495" t="s">
        <v>4497</v>
      </c>
      <c r="E1035" s="495" t="s">
        <v>4498</v>
      </c>
      <c r="F1035" s="495" t="s">
        <v>4499</v>
      </c>
      <c r="G1035" s="495" t="s">
        <v>4500</v>
      </c>
      <c r="H1035" s="463"/>
    </row>
    <row r="1036">
      <c r="A1036" s="463"/>
      <c r="B1036" s="495" t="s">
        <v>4501</v>
      </c>
      <c r="C1036" s="496">
        <v>44358.0</v>
      </c>
      <c r="D1036" s="495" t="s">
        <v>4502</v>
      </c>
      <c r="E1036" s="495" t="s">
        <v>4503</v>
      </c>
      <c r="F1036" s="495" t="s">
        <v>4504</v>
      </c>
      <c r="G1036" s="495" t="s">
        <v>4505</v>
      </c>
      <c r="H1036" s="495" t="s">
        <v>2438</v>
      </c>
    </row>
    <row r="1037">
      <c r="A1037" s="463"/>
      <c r="B1037" s="495" t="s">
        <v>4506</v>
      </c>
      <c r="C1037" s="496">
        <v>44358.0</v>
      </c>
      <c r="D1037" s="495" t="s">
        <v>4507</v>
      </c>
      <c r="E1037" s="495" t="s">
        <v>4508</v>
      </c>
      <c r="F1037" s="495" t="s">
        <v>4509</v>
      </c>
      <c r="G1037" s="495" t="s">
        <v>4510</v>
      </c>
      <c r="H1037" s="463"/>
    </row>
    <row r="1038">
      <c r="A1038" s="463"/>
      <c r="B1038" s="495" t="s">
        <v>4511</v>
      </c>
      <c r="C1038" s="496">
        <v>44358.0</v>
      </c>
      <c r="D1038" s="495" t="s">
        <v>4512</v>
      </c>
      <c r="E1038" s="495" t="s">
        <v>4513</v>
      </c>
      <c r="F1038" s="495" t="s">
        <v>4514</v>
      </c>
      <c r="G1038" s="495" t="s">
        <v>4515</v>
      </c>
      <c r="H1038" s="463"/>
    </row>
    <row r="1039">
      <c r="A1039" s="463"/>
      <c r="B1039" s="495" t="s">
        <v>4516</v>
      </c>
      <c r="C1039" s="496">
        <v>44371.0</v>
      </c>
      <c r="D1039" s="495" t="s">
        <v>4517</v>
      </c>
      <c r="E1039" s="495" t="s">
        <v>2858</v>
      </c>
      <c r="F1039" s="495" t="s">
        <v>2859</v>
      </c>
      <c r="G1039" s="495" t="s">
        <v>2860</v>
      </c>
      <c r="H1039" s="463"/>
    </row>
    <row r="1040">
      <c r="A1040" s="463"/>
      <c r="B1040" s="495" t="s">
        <v>4518</v>
      </c>
      <c r="C1040" s="496">
        <v>44371.0</v>
      </c>
      <c r="D1040" s="495" t="s">
        <v>4519</v>
      </c>
      <c r="E1040" s="495" t="s">
        <v>4520</v>
      </c>
      <c r="F1040" s="495" t="s">
        <v>4521</v>
      </c>
      <c r="G1040" s="495" t="s">
        <v>4522</v>
      </c>
      <c r="H1040" s="463"/>
    </row>
    <row r="1041">
      <c r="A1041" s="463"/>
      <c r="B1041" s="495" t="s">
        <v>4523</v>
      </c>
      <c r="C1041" s="496">
        <v>44384.0</v>
      </c>
      <c r="D1041" s="495" t="s">
        <v>4524</v>
      </c>
      <c r="E1041" s="495" t="s">
        <v>3202</v>
      </c>
      <c r="F1041" s="495" t="s">
        <v>3203</v>
      </c>
      <c r="G1041" s="495" t="s">
        <v>2134</v>
      </c>
      <c r="H1041" s="463"/>
    </row>
    <row r="1042">
      <c r="A1042" s="463"/>
      <c r="B1042" s="495" t="s">
        <v>4525</v>
      </c>
      <c r="C1042" s="496">
        <v>44384.0</v>
      </c>
      <c r="D1042" s="495" t="s">
        <v>4526</v>
      </c>
      <c r="E1042" s="495" t="s">
        <v>4527</v>
      </c>
      <c r="F1042" s="495" t="s">
        <v>4528</v>
      </c>
      <c r="G1042" s="495" t="s">
        <v>4529</v>
      </c>
      <c r="H1042" s="463"/>
    </row>
    <row r="1043">
      <c r="A1043" s="463"/>
      <c r="B1043" s="495" t="s">
        <v>4530</v>
      </c>
      <c r="C1043" s="496">
        <v>44389.0</v>
      </c>
      <c r="D1043" s="495" t="s">
        <v>4531</v>
      </c>
      <c r="E1043" s="495" t="s">
        <v>4532</v>
      </c>
      <c r="F1043" s="495" t="s">
        <v>4533</v>
      </c>
      <c r="G1043" s="495" t="s">
        <v>4534</v>
      </c>
      <c r="H1043" s="463"/>
    </row>
    <row r="1044">
      <c r="A1044" s="463"/>
      <c r="B1044" s="495" t="s">
        <v>4535</v>
      </c>
      <c r="C1044" s="496">
        <v>44389.0</v>
      </c>
      <c r="D1044" s="495" t="s">
        <v>4536</v>
      </c>
      <c r="E1044" s="495" t="s">
        <v>4537</v>
      </c>
      <c r="F1044" s="495" t="s">
        <v>4538</v>
      </c>
      <c r="G1044" s="495" t="s">
        <v>4539</v>
      </c>
      <c r="H1044" s="495" t="s">
        <v>4540</v>
      </c>
    </row>
    <row r="1045">
      <c r="A1045" s="463"/>
      <c r="B1045" s="495" t="s">
        <v>4541</v>
      </c>
      <c r="C1045" s="496">
        <v>44403.0</v>
      </c>
      <c r="D1045" s="495" t="s">
        <v>4542</v>
      </c>
      <c r="E1045" s="495" t="s">
        <v>4543</v>
      </c>
      <c r="F1045" s="495" t="s">
        <v>4544</v>
      </c>
      <c r="G1045" s="495" t="s">
        <v>4545</v>
      </c>
      <c r="H1045" s="463"/>
    </row>
    <row r="1046">
      <c r="A1046" s="463"/>
      <c r="B1046" s="495" t="s">
        <v>4546</v>
      </c>
      <c r="C1046" s="496">
        <v>44404.0</v>
      </c>
      <c r="D1046" s="495" t="s">
        <v>4547</v>
      </c>
      <c r="E1046" s="495" t="s">
        <v>4548</v>
      </c>
      <c r="F1046" s="495" t="s">
        <v>4549</v>
      </c>
      <c r="G1046" s="495" t="s">
        <v>1060</v>
      </c>
      <c r="H1046" s="463"/>
    </row>
    <row r="1047">
      <c r="A1047" s="463"/>
      <c r="B1047" s="495" t="s">
        <v>4550</v>
      </c>
      <c r="C1047" s="496">
        <v>44384.0</v>
      </c>
      <c r="D1047" s="495" t="s">
        <v>4551</v>
      </c>
      <c r="E1047" s="495" t="s">
        <v>4552</v>
      </c>
      <c r="F1047" s="495" t="s">
        <v>4553</v>
      </c>
      <c r="G1047" s="495" t="s">
        <v>4554</v>
      </c>
      <c r="H1047" s="463"/>
    </row>
    <row r="1048">
      <c r="A1048" s="463"/>
      <c r="B1048" s="495" t="s">
        <v>4555</v>
      </c>
      <c r="C1048" s="496">
        <v>44384.0</v>
      </c>
      <c r="D1048" s="495" t="s">
        <v>4556</v>
      </c>
      <c r="E1048" s="495" t="s">
        <v>4557</v>
      </c>
      <c r="F1048" s="495" t="s">
        <v>4558</v>
      </c>
      <c r="G1048" s="495" t="s">
        <v>4559</v>
      </c>
      <c r="H1048" s="495" t="s">
        <v>4560</v>
      </c>
    </row>
    <row r="1049">
      <c r="A1049" s="463"/>
      <c r="B1049" s="495" t="s">
        <v>4561</v>
      </c>
      <c r="C1049" s="496">
        <v>44384.0</v>
      </c>
      <c r="D1049" s="495" t="s">
        <v>4562</v>
      </c>
      <c r="E1049" s="495" t="s">
        <v>4563</v>
      </c>
      <c r="F1049" s="495" t="s">
        <v>4564</v>
      </c>
      <c r="G1049" s="495" t="s">
        <v>4565</v>
      </c>
      <c r="H1049" s="463"/>
    </row>
    <row r="1050">
      <c r="A1050" s="463"/>
      <c r="B1050" s="495" t="s">
        <v>4566</v>
      </c>
      <c r="C1050" s="496">
        <v>44414.0</v>
      </c>
      <c r="D1050" s="495" t="s">
        <v>4567</v>
      </c>
      <c r="E1050" s="495" t="s">
        <v>4568</v>
      </c>
      <c r="F1050" s="495" t="s">
        <v>4569</v>
      </c>
      <c r="G1050" s="495" t="s">
        <v>4570</v>
      </c>
      <c r="H1050" s="463"/>
    </row>
    <row r="1051">
      <c r="A1051" s="463"/>
      <c r="B1051" s="495" t="s">
        <v>4571</v>
      </c>
      <c r="C1051" s="496">
        <v>44414.0</v>
      </c>
      <c r="D1051" s="495" t="s">
        <v>4572</v>
      </c>
      <c r="E1051" s="495" t="s">
        <v>4573</v>
      </c>
      <c r="F1051" s="495" t="s">
        <v>4574</v>
      </c>
      <c r="G1051" s="495" t="s">
        <v>4575</v>
      </c>
      <c r="H1051" s="463"/>
    </row>
    <row r="1052">
      <c r="A1052" s="463"/>
      <c r="B1052" s="495" t="s">
        <v>4576</v>
      </c>
      <c r="C1052" s="496">
        <v>44414.0</v>
      </c>
      <c r="D1052" s="495" t="s">
        <v>4577</v>
      </c>
      <c r="E1052" s="495" t="s">
        <v>4578</v>
      </c>
      <c r="F1052" s="495" t="s">
        <v>4579</v>
      </c>
      <c r="G1052" s="495" t="s">
        <v>4580</v>
      </c>
      <c r="H1052" s="463"/>
    </row>
    <row r="1053">
      <c r="A1053" s="463"/>
      <c r="B1053" s="495" t="s">
        <v>4581</v>
      </c>
      <c r="C1053" s="496">
        <v>44414.0</v>
      </c>
      <c r="D1053" s="495" t="s">
        <v>4582</v>
      </c>
      <c r="E1053" s="495" t="s">
        <v>4583</v>
      </c>
      <c r="F1053" s="495" t="s">
        <v>4584</v>
      </c>
      <c r="G1053" s="495" t="s">
        <v>4585</v>
      </c>
      <c r="H1053" s="463"/>
    </row>
    <row r="1054">
      <c r="A1054" s="463"/>
      <c r="B1054" s="495" t="s">
        <v>4586</v>
      </c>
      <c r="C1054" s="496">
        <v>44419.0</v>
      </c>
      <c r="D1054" s="495" t="s">
        <v>4587</v>
      </c>
      <c r="E1054" s="495" t="s">
        <v>2779</v>
      </c>
      <c r="F1054" s="495" t="s">
        <v>2780</v>
      </c>
      <c r="G1054" s="495" t="s">
        <v>939</v>
      </c>
      <c r="H1054" s="463"/>
    </row>
    <row r="1055">
      <c r="A1055" s="463"/>
      <c r="B1055" s="495" t="s">
        <v>4588</v>
      </c>
      <c r="C1055" s="496">
        <v>44433.0</v>
      </c>
      <c r="D1055" s="495" t="s">
        <v>4589</v>
      </c>
      <c r="E1055" s="495" t="s">
        <v>4590</v>
      </c>
      <c r="F1055" s="495" t="s">
        <v>4591</v>
      </c>
      <c r="G1055" s="495" t="s">
        <v>4545</v>
      </c>
      <c r="H1055" s="463"/>
    </row>
    <row r="1056">
      <c r="A1056" s="463"/>
      <c r="B1056" s="495" t="s">
        <v>4592</v>
      </c>
      <c r="C1056" s="496">
        <v>44414.0</v>
      </c>
      <c r="D1056" s="495" t="s">
        <v>4593</v>
      </c>
      <c r="E1056" s="495" t="s">
        <v>4594</v>
      </c>
      <c r="F1056" s="495" t="s">
        <v>4595</v>
      </c>
      <c r="G1056" s="495" t="s">
        <v>4596</v>
      </c>
      <c r="H1056" s="463"/>
    </row>
    <row r="1057">
      <c r="A1057" s="463"/>
      <c r="B1057" s="495" t="s">
        <v>4597</v>
      </c>
      <c r="C1057" s="496">
        <v>44414.0</v>
      </c>
      <c r="D1057" s="495" t="s">
        <v>4598</v>
      </c>
      <c r="E1057" s="495" t="s">
        <v>4599</v>
      </c>
      <c r="F1057" s="495" t="s">
        <v>4600</v>
      </c>
      <c r="G1057" s="495" t="s">
        <v>4601</v>
      </c>
      <c r="H1057" s="463"/>
    </row>
    <row r="1058">
      <c r="A1058" s="463"/>
      <c r="B1058" s="495" t="s">
        <v>4602</v>
      </c>
      <c r="C1058" s="496">
        <v>44446.0</v>
      </c>
      <c r="D1058" s="495" t="s">
        <v>4603</v>
      </c>
      <c r="E1058" s="495" t="s">
        <v>4604</v>
      </c>
      <c r="F1058" s="495" t="s">
        <v>4605</v>
      </c>
      <c r="G1058" s="495" t="s">
        <v>4606</v>
      </c>
      <c r="H1058" s="495" t="s">
        <v>2438</v>
      </c>
    </row>
    <row r="1059">
      <c r="A1059" s="463"/>
      <c r="B1059" s="495" t="s">
        <v>4607</v>
      </c>
      <c r="C1059" s="496">
        <v>44446.0</v>
      </c>
      <c r="D1059" s="495" t="s">
        <v>4608</v>
      </c>
      <c r="E1059" s="495" t="s">
        <v>4609</v>
      </c>
      <c r="F1059" s="495" t="s">
        <v>4610</v>
      </c>
      <c r="G1059" s="495" t="s">
        <v>4611</v>
      </c>
      <c r="H1059" s="463"/>
    </row>
    <row r="1060">
      <c r="A1060" s="463"/>
      <c r="B1060" s="495" t="s">
        <v>4612</v>
      </c>
      <c r="C1060" s="496">
        <v>44446.0</v>
      </c>
      <c r="D1060" s="495" t="s">
        <v>4613</v>
      </c>
      <c r="E1060" s="495" t="s">
        <v>4614</v>
      </c>
      <c r="F1060" s="495" t="s">
        <v>4615</v>
      </c>
      <c r="G1060" s="495" t="s">
        <v>4616</v>
      </c>
      <c r="H1060" s="463"/>
    </row>
    <row r="1061">
      <c r="A1061" s="463"/>
      <c r="B1061" s="495" t="s">
        <v>4617</v>
      </c>
      <c r="C1061" s="496">
        <v>44446.0</v>
      </c>
      <c r="D1061" s="495" t="s">
        <v>4618</v>
      </c>
      <c r="E1061" s="495" t="s">
        <v>4619</v>
      </c>
      <c r="F1061" s="495" t="s">
        <v>4620</v>
      </c>
      <c r="G1061" s="495" t="s">
        <v>4621</v>
      </c>
      <c r="H1061" s="463"/>
    </row>
    <row r="1062">
      <c r="A1062" s="463"/>
      <c r="B1062" s="495" t="s">
        <v>4622</v>
      </c>
      <c r="C1062" s="496">
        <v>44449.0</v>
      </c>
      <c r="D1062" s="495" t="s">
        <v>4623</v>
      </c>
      <c r="E1062" s="495" t="s">
        <v>2448</v>
      </c>
      <c r="F1062" s="495" t="s">
        <v>2449</v>
      </c>
      <c r="G1062" s="495" t="s">
        <v>2450</v>
      </c>
      <c r="H1062" s="463"/>
    </row>
    <row r="1063">
      <c r="A1063" s="463"/>
      <c r="B1063" s="495" t="s">
        <v>4624</v>
      </c>
      <c r="C1063" s="496">
        <v>44449.0</v>
      </c>
      <c r="D1063" s="495" t="s">
        <v>4625</v>
      </c>
      <c r="E1063" s="495" t="s">
        <v>3606</v>
      </c>
      <c r="F1063" s="495" t="s">
        <v>3607</v>
      </c>
      <c r="G1063" s="495" t="s">
        <v>3608</v>
      </c>
      <c r="H1063" s="463"/>
    </row>
    <row r="1064">
      <c r="A1064" s="463"/>
      <c r="B1064" s="495" t="s">
        <v>4626</v>
      </c>
      <c r="C1064" s="496">
        <v>44449.0</v>
      </c>
      <c r="D1064" s="495" t="s">
        <v>4627</v>
      </c>
      <c r="E1064" s="495" t="s">
        <v>732</v>
      </c>
      <c r="F1064" s="495" t="s">
        <v>4628</v>
      </c>
      <c r="G1064" s="495" t="s">
        <v>1470</v>
      </c>
      <c r="H1064" s="463"/>
    </row>
    <row r="1065">
      <c r="A1065" s="463"/>
      <c r="B1065" s="495" t="s">
        <v>4629</v>
      </c>
      <c r="C1065" s="496">
        <v>44461.0</v>
      </c>
      <c r="D1065" s="495" t="s">
        <v>4630</v>
      </c>
      <c r="E1065" s="495" t="s">
        <v>4631</v>
      </c>
      <c r="F1065" s="495" t="s">
        <v>4632</v>
      </c>
      <c r="G1065" s="495" t="s">
        <v>4633</v>
      </c>
      <c r="H1065" s="463"/>
    </row>
    <row r="1066">
      <c r="A1066" s="463"/>
      <c r="B1066" s="495" t="s">
        <v>4634</v>
      </c>
      <c r="C1066" s="496">
        <v>44464.0</v>
      </c>
      <c r="D1066" s="495" t="s">
        <v>4635</v>
      </c>
      <c r="E1066" s="495" t="s">
        <v>4636</v>
      </c>
      <c r="F1066" s="495" t="s">
        <v>4637</v>
      </c>
      <c r="G1066" s="495" t="s">
        <v>4638</v>
      </c>
      <c r="H1066" s="495" t="s">
        <v>4639</v>
      </c>
    </row>
    <row r="1067">
      <c r="A1067" s="463"/>
      <c r="B1067" s="495" t="s">
        <v>4640</v>
      </c>
      <c r="C1067" s="496">
        <v>44466.0</v>
      </c>
      <c r="D1067" s="495" t="s">
        <v>4641</v>
      </c>
      <c r="E1067" s="495" t="s">
        <v>4642</v>
      </c>
      <c r="F1067" s="495" t="s">
        <v>4643</v>
      </c>
      <c r="G1067" s="495" t="s">
        <v>4643</v>
      </c>
      <c r="H1067" s="463"/>
    </row>
    <row r="1068">
      <c r="A1068" s="463"/>
      <c r="B1068" s="495" t="s">
        <v>4644</v>
      </c>
      <c r="C1068" s="496">
        <v>44476.0</v>
      </c>
      <c r="D1068" s="495" t="s">
        <v>4645</v>
      </c>
      <c r="E1068" s="495" t="s">
        <v>4646</v>
      </c>
      <c r="F1068" s="495" t="s">
        <v>4647</v>
      </c>
      <c r="G1068" s="495" t="s">
        <v>4648</v>
      </c>
      <c r="H1068" s="463"/>
    </row>
    <row r="1069">
      <c r="A1069" s="463"/>
      <c r="B1069" s="495" t="s">
        <v>4649</v>
      </c>
      <c r="C1069" s="496">
        <v>44476.0</v>
      </c>
      <c r="D1069" s="495" t="s">
        <v>4650</v>
      </c>
      <c r="E1069" s="495" t="s">
        <v>4651</v>
      </c>
      <c r="F1069" s="495" t="s">
        <v>4652</v>
      </c>
      <c r="G1069" s="495" t="s">
        <v>4653</v>
      </c>
      <c r="H1069" s="463"/>
    </row>
    <row r="1070">
      <c r="A1070" s="463"/>
      <c r="B1070" s="495" t="s">
        <v>4654</v>
      </c>
      <c r="C1070" s="497">
        <v>44494.0</v>
      </c>
      <c r="D1070" s="495" t="s">
        <v>4655</v>
      </c>
      <c r="E1070" s="495" t="s">
        <v>4656</v>
      </c>
      <c r="F1070" s="495" t="s">
        <v>4657</v>
      </c>
      <c r="G1070" s="495" t="s">
        <v>4658</v>
      </c>
      <c r="H1070" s="463"/>
    </row>
    <row r="1071">
      <c r="A1071" s="463"/>
      <c r="B1071" s="495" t="s">
        <v>4659</v>
      </c>
      <c r="C1071" s="497">
        <v>44496.0</v>
      </c>
      <c r="D1071" s="495" t="s">
        <v>4660</v>
      </c>
      <c r="E1071" s="495" t="s">
        <v>4661</v>
      </c>
      <c r="F1071" s="495" t="s">
        <v>4662</v>
      </c>
      <c r="G1071" s="495" t="s">
        <v>1213</v>
      </c>
      <c r="H1071" s="463"/>
    </row>
    <row r="1072">
      <c r="A1072" s="463"/>
      <c r="B1072" s="495" t="s">
        <v>4663</v>
      </c>
      <c r="C1072" s="496">
        <v>44506.0</v>
      </c>
      <c r="D1072" s="495" t="s">
        <v>4664</v>
      </c>
      <c r="E1072" s="495" t="s">
        <v>4665</v>
      </c>
      <c r="F1072" s="495" t="s">
        <v>4666</v>
      </c>
      <c r="G1072" s="495" t="s">
        <v>4667</v>
      </c>
      <c r="H1072" s="463"/>
    </row>
    <row r="1073">
      <c r="A1073" s="463"/>
      <c r="B1073" s="495" t="s">
        <v>4668</v>
      </c>
      <c r="C1073" s="496">
        <v>44506.0</v>
      </c>
      <c r="D1073" s="495" t="s">
        <v>4669</v>
      </c>
      <c r="E1073" s="495" t="s">
        <v>4670</v>
      </c>
      <c r="F1073" s="495" t="s">
        <v>4671</v>
      </c>
      <c r="G1073" s="495" t="s">
        <v>4672</v>
      </c>
      <c r="H1073" s="495" t="s">
        <v>4673</v>
      </c>
    </row>
    <row r="1074">
      <c r="A1074" s="463"/>
      <c r="B1074" s="495" t="s">
        <v>4674</v>
      </c>
      <c r="C1074" s="496">
        <v>44506.0</v>
      </c>
      <c r="D1074" s="495" t="s">
        <v>4675</v>
      </c>
      <c r="E1074" s="495" t="s">
        <v>4676</v>
      </c>
      <c r="F1074" s="495" t="s">
        <v>4677</v>
      </c>
      <c r="G1074" s="495" t="s">
        <v>4678</v>
      </c>
      <c r="H1074" s="463"/>
    </row>
    <row r="1075">
      <c r="A1075" s="463"/>
      <c r="B1075" s="495" t="s">
        <v>4679</v>
      </c>
      <c r="C1075" s="496">
        <v>44506.0</v>
      </c>
      <c r="D1075" s="495" t="s">
        <v>4680</v>
      </c>
      <c r="E1075" s="495" t="s">
        <v>4681</v>
      </c>
      <c r="F1075" s="495" t="s">
        <v>4682</v>
      </c>
      <c r="G1075" s="495" t="s">
        <v>4683</v>
      </c>
      <c r="H1075" s="463"/>
    </row>
    <row r="1076">
      <c r="A1076" s="463"/>
      <c r="B1076" s="495" t="s">
        <v>4684</v>
      </c>
      <c r="C1076" s="497">
        <v>44515.0</v>
      </c>
      <c r="D1076" s="495" t="s">
        <v>4685</v>
      </c>
      <c r="E1076" s="495" t="s">
        <v>4686</v>
      </c>
      <c r="F1076" s="495" t="s">
        <v>4687</v>
      </c>
      <c r="G1076" s="495" t="s">
        <v>4688</v>
      </c>
      <c r="H1076" s="463"/>
    </row>
    <row r="1077">
      <c r="A1077" s="463"/>
      <c r="B1077" s="495" t="s">
        <v>4689</v>
      </c>
      <c r="C1077" s="497">
        <v>44522.0</v>
      </c>
      <c r="D1077" s="495" t="s">
        <v>4690</v>
      </c>
      <c r="E1077" s="495" t="s">
        <v>4691</v>
      </c>
      <c r="F1077" s="495" t="s">
        <v>4692</v>
      </c>
      <c r="G1077" s="495" t="s">
        <v>3241</v>
      </c>
      <c r="H1077" s="463"/>
    </row>
    <row r="1078">
      <c r="A1078" s="463"/>
      <c r="B1078" s="495" t="s">
        <v>4693</v>
      </c>
      <c r="C1078" s="497">
        <v>44522.0</v>
      </c>
      <c r="D1078" s="495" t="s">
        <v>4694</v>
      </c>
      <c r="E1078" s="495" t="s">
        <v>4695</v>
      </c>
      <c r="F1078" s="495" t="s">
        <v>4696</v>
      </c>
      <c r="G1078" s="495" t="s">
        <v>2192</v>
      </c>
      <c r="H1078" s="463"/>
    </row>
    <row r="1079">
      <c r="A1079" s="463"/>
      <c r="B1079" s="495" t="s">
        <v>4697</v>
      </c>
      <c r="C1079" s="497">
        <v>44522.0</v>
      </c>
      <c r="D1079" s="495" t="s">
        <v>4698</v>
      </c>
      <c r="E1079" s="495" t="s">
        <v>4699</v>
      </c>
      <c r="F1079" s="495" t="s">
        <v>4700</v>
      </c>
      <c r="G1079" s="495" t="s">
        <v>1791</v>
      </c>
      <c r="H1079" s="463"/>
    </row>
    <row r="1080">
      <c r="A1080" s="463"/>
      <c r="B1080" s="495" t="s">
        <v>4701</v>
      </c>
      <c r="C1080" s="497">
        <v>44525.0</v>
      </c>
      <c r="D1080" s="495" t="s">
        <v>4702</v>
      </c>
      <c r="E1080" s="495" t="s">
        <v>4703</v>
      </c>
      <c r="F1080" s="495" t="s">
        <v>4704</v>
      </c>
      <c r="G1080" s="495" t="s">
        <v>4705</v>
      </c>
      <c r="H1080" s="495" t="s">
        <v>4706</v>
      </c>
    </row>
    <row r="1081">
      <c r="A1081" s="463"/>
      <c r="B1081" s="495" t="s">
        <v>4707</v>
      </c>
      <c r="C1081" s="497">
        <v>44525.0</v>
      </c>
      <c r="D1081" s="495" t="s">
        <v>4708</v>
      </c>
      <c r="E1081" s="495" t="s">
        <v>4709</v>
      </c>
      <c r="F1081" s="495" t="s">
        <v>4710</v>
      </c>
      <c r="G1081" s="495" t="s">
        <v>4711</v>
      </c>
      <c r="H1081" s="463"/>
    </row>
    <row r="1082">
      <c r="A1082" s="463"/>
      <c r="B1082" s="495" t="s">
        <v>4712</v>
      </c>
      <c r="C1082" s="497">
        <v>44525.0</v>
      </c>
      <c r="D1082" s="495" t="s">
        <v>4713</v>
      </c>
      <c r="E1082" s="495" t="s">
        <v>4714</v>
      </c>
      <c r="F1082" s="495" t="s">
        <v>4715</v>
      </c>
      <c r="G1082" s="495" t="s">
        <v>4716</v>
      </c>
      <c r="H1082" s="463"/>
    </row>
    <row r="1083">
      <c r="A1083" s="463"/>
      <c r="B1083" s="495" t="s">
        <v>4717</v>
      </c>
      <c r="C1083" s="496">
        <v>44537.0</v>
      </c>
      <c r="D1083" s="495" t="s">
        <v>4718</v>
      </c>
      <c r="E1083" s="495" t="s">
        <v>4719</v>
      </c>
      <c r="F1083" s="495" t="s">
        <v>4720</v>
      </c>
      <c r="G1083" s="495" t="s">
        <v>4721</v>
      </c>
      <c r="H1083" s="463"/>
    </row>
    <row r="1084">
      <c r="A1084" s="463"/>
      <c r="B1084" s="495" t="s">
        <v>4722</v>
      </c>
      <c r="C1084" s="496">
        <v>44537.0</v>
      </c>
      <c r="D1084" s="495" t="s">
        <v>4723</v>
      </c>
      <c r="E1084" s="495" t="s">
        <v>4724</v>
      </c>
      <c r="F1084" s="495" t="s">
        <v>4725</v>
      </c>
      <c r="G1084" s="495" t="s">
        <v>4726</v>
      </c>
      <c r="H1084" s="463"/>
    </row>
    <row r="1085">
      <c r="A1085" s="463"/>
      <c r="B1085" s="495" t="s">
        <v>4727</v>
      </c>
      <c r="C1085" s="497">
        <v>44540.0</v>
      </c>
      <c r="D1085" s="495" t="s">
        <v>4728</v>
      </c>
      <c r="E1085" s="495" t="s">
        <v>4729</v>
      </c>
      <c r="F1085" s="495" t="s">
        <v>4730</v>
      </c>
      <c r="G1085" s="495" t="s">
        <v>4731</v>
      </c>
      <c r="H1085" s="463"/>
    </row>
    <row r="1086">
      <c r="A1086" s="463"/>
      <c r="B1086" s="495" t="s">
        <v>4732</v>
      </c>
      <c r="C1086" s="497">
        <v>44540.0</v>
      </c>
      <c r="D1086" s="495" t="s">
        <v>4733</v>
      </c>
      <c r="E1086" s="495" t="s">
        <v>2759</v>
      </c>
      <c r="F1086" s="495" t="s">
        <v>2760</v>
      </c>
      <c r="G1086" s="495" t="s">
        <v>2761</v>
      </c>
      <c r="H1086" s="463"/>
    </row>
    <row r="1087">
      <c r="A1087" s="463"/>
      <c r="B1087" s="495" t="s">
        <v>4734</v>
      </c>
      <c r="C1087" s="497">
        <v>44540.0</v>
      </c>
      <c r="D1087" s="495" t="s">
        <v>4735</v>
      </c>
      <c r="E1087" s="495" t="s">
        <v>4736</v>
      </c>
      <c r="F1087" s="495" t="s">
        <v>4737</v>
      </c>
      <c r="G1087" s="495" t="s">
        <v>4738</v>
      </c>
      <c r="H1087" s="463"/>
    </row>
    <row r="1088">
      <c r="A1088" s="463"/>
      <c r="B1088" s="495" t="s">
        <v>4739</v>
      </c>
      <c r="C1088" s="497">
        <v>44540.0</v>
      </c>
      <c r="D1088" s="495" t="s">
        <v>4740</v>
      </c>
      <c r="E1088" s="495" t="s">
        <v>2950</v>
      </c>
      <c r="F1088" s="495" t="s">
        <v>2951</v>
      </c>
      <c r="G1088" s="495" t="s">
        <v>1021</v>
      </c>
      <c r="H1088" s="463"/>
    </row>
    <row r="1089">
      <c r="A1089" s="463"/>
      <c r="B1089" s="495" t="s">
        <v>4741</v>
      </c>
      <c r="C1089" s="497">
        <v>44555.0</v>
      </c>
      <c r="D1089" s="495" t="s">
        <v>4742</v>
      </c>
      <c r="E1089" s="495" t="s">
        <v>4743</v>
      </c>
      <c r="F1089" s="495" t="s">
        <v>4744</v>
      </c>
      <c r="G1089" s="495" t="s">
        <v>2920</v>
      </c>
      <c r="H1089" s="463"/>
    </row>
    <row r="1090">
      <c r="A1090" s="463"/>
      <c r="B1090" s="495" t="s">
        <v>4745</v>
      </c>
      <c r="C1090" s="497">
        <v>44599.0</v>
      </c>
      <c r="D1090" s="495" t="s">
        <v>4746</v>
      </c>
      <c r="E1090" s="495" t="s">
        <v>4747</v>
      </c>
      <c r="F1090" s="495" t="s">
        <v>4748</v>
      </c>
      <c r="G1090" s="495" t="s">
        <v>4749</v>
      </c>
      <c r="H1090" s="463"/>
    </row>
    <row r="1091">
      <c r="A1091" s="463"/>
      <c r="B1091" s="495" t="s">
        <v>4750</v>
      </c>
      <c r="C1091" s="497">
        <v>44555.0</v>
      </c>
      <c r="D1091" s="495" t="s">
        <v>4751</v>
      </c>
      <c r="E1091" s="495" t="s">
        <v>4752</v>
      </c>
      <c r="F1091" s="495" t="s">
        <v>4753</v>
      </c>
      <c r="G1091" s="495" t="s">
        <v>4754</v>
      </c>
      <c r="H1091" s="463"/>
    </row>
    <row r="1092">
      <c r="A1092" s="463"/>
      <c r="B1092" s="495" t="s">
        <v>4755</v>
      </c>
      <c r="C1092" s="496">
        <v>44568.0</v>
      </c>
      <c r="D1092" s="495" t="s">
        <v>4756</v>
      </c>
      <c r="E1092" s="495" t="s">
        <v>4757</v>
      </c>
      <c r="F1092" s="495" t="s">
        <v>4758</v>
      </c>
      <c r="G1092" s="495" t="s">
        <v>4759</v>
      </c>
      <c r="H1092" s="463"/>
    </row>
    <row r="1093">
      <c r="A1093" s="463"/>
      <c r="B1093" s="495" t="s">
        <v>4760</v>
      </c>
      <c r="C1093" s="496">
        <v>44568.0</v>
      </c>
      <c r="D1093" s="495" t="s">
        <v>4761</v>
      </c>
      <c r="E1093" s="495" t="s">
        <v>4762</v>
      </c>
      <c r="F1093" s="495" t="s">
        <v>4763</v>
      </c>
      <c r="G1093" s="495" t="s">
        <v>4764</v>
      </c>
      <c r="H1093" s="463"/>
    </row>
    <row r="1094">
      <c r="A1094" s="463"/>
      <c r="B1094" s="495" t="s">
        <v>4765</v>
      </c>
      <c r="C1094" s="496">
        <v>44568.0</v>
      </c>
      <c r="D1094" s="495" t="s">
        <v>4766</v>
      </c>
      <c r="E1094" s="495" t="s">
        <v>4767</v>
      </c>
      <c r="F1094" s="495" t="s">
        <v>4768</v>
      </c>
      <c r="G1094" s="495" t="s">
        <v>4769</v>
      </c>
      <c r="H1094" s="463"/>
    </row>
    <row r="1095">
      <c r="A1095" s="463"/>
      <c r="B1095" s="495" t="s">
        <v>4770</v>
      </c>
      <c r="C1095" s="496">
        <v>44573.0</v>
      </c>
      <c r="D1095" s="495" t="s">
        <v>4771</v>
      </c>
      <c r="E1095" s="495" t="s">
        <v>4772</v>
      </c>
      <c r="F1095" s="495" t="s">
        <v>4773</v>
      </c>
      <c r="G1095" s="495" t="s">
        <v>4774</v>
      </c>
      <c r="H1095" s="463"/>
    </row>
    <row r="1096">
      <c r="A1096" s="463"/>
      <c r="B1096" s="495" t="s">
        <v>4775</v>
      </c>
      <c r="C1096" s="496">
        <v>44573.0</v>
      </c>
      <c r="D1096" s="495" t="s">
        <v>4776</v>
      </c>
      <c r="E1096" s="495" t="s">
        <v>4777</v>
      </c>
      <c r="F1096" s="495" t="s">
        <v>4778</v>
      </c>
      <c r="G1096" s="495" t="s">
        <v>1554</v>
      </c>
      <c r="H1096" s="463"/>
    </row>
    <row r="1097">
      <c r="A1097" s="463"/>
      <c r="B1097" s="495" t="s">
        <v>4779</v>
      </c>
      <c r="C1097" s="496">
        <v>44573.0</v>
      </c>
      <c r="D1097" s="495" t="s">
        <v>4780</v>
      </c>
      <c r="E1097" s="495" t="s">
        <v>4781</v>
      </c>
      <c r="F1097" s="495" t="s">
        <v>4782</v>
      </c>
      <c r="G1097" s="495" t="s">
        <v>4783</v>
      </c>
      <c r="H1097" s="463"/>
    </row>
    <row r="1098">
      <c r="A1098" s="463"/>
      <c r="B1098" s="495" t="s">
        <v>4784</v>
      </c>
      <c r="C1098" s="496">
        <v>44573.0</v>
      </c>
      <c r="D1098" s="495" t="s">
        <v>4785</v>
      </c>
      <c r="E1098" s="495" t="s">
        <v>4786</v>
      </c>
      <c r="F1098" s="495" t="s">
        <v>4787</v>
      </c>
      <c r="G1098" s="495" t="s">
        <v>4788</v>
      </c>
      <c r="H1098" s="463"/>
    </row>
    <row r="1099">
      <c r="A1099" s="463"/>
      <c r="B1099" s="495" t="s">
        <v>4789</v>
      </c>
      <c r="C1099" s="496">
        <v>44573.0</v>
      </c>
      <c r="D1099" s="495" t="s">
        <v>4790</v>
      </c>
      <c r="E1099" s="495" t="s">
        <v>4791</v>
      </c>
      <c r="F1099" s="495" t="s">
        <v>4792</v>
      </c>
      <c r="G1099" s="495" t="s">
        <v>4793</v>
      </c>
      <c r="H1099" s="463"/>
    </row>
    <row r="1100">
      <c r="A1100" s="463"/>
      <c r="B1100" s="495" t="s">
        <v>4794</v>
      </c>
      <c r="C1100" s="496">
        <v>44573.0</v>
      </c>
      <c r="D1100" s="495" t="s">
        <v>4795</v>
      </c>
      <c r="E1100" s="495" t="s">
        <v>4796</v>
      </c>
      <c r="F1100" s="495" t="s">
        <v>4797</v>
      </c>
      <c r="G1100" s="495" t="s">
        <v>1523</v>
      </c>
      <c r="H1100" s="463"/>
    </row>
    <row r="1101">
      <c r="A1101" s="463"/>
      <c r="B1101" s="495" t="s">
        <v>4798</v>
      </c>
      <c r="C1101" s="496">
        <v>44582.0</v>
      </c>
      <c r="D1101" s="495" t="s">
        <v>4799</v>
      </c>
      <c r="E1101" s="495" t="s">
        <v>4800</v>
      </c>
      <c r="F1101" s="495" t="s">
        <v>4801</v>
      </c>
      <c r="G1101" s="495" t="s">
        <v>4802</v>
      </c>
      <c r="H1101" s="463"/>
    </row>
    <row r="1102">
      <c r="A1102" s="463"/>
      <c r="B1102" s="495" t="s">
        <v>4803</v>
      </c>
      <c r="C1102" s="496">
        <v>44582.0</v>
      </c>
      <c r="D1102" s="495" t="s">
        <v>4804</v>
      </c>
      <c r="E1102" s="495" t="s">
        <v>3705</v>
      </c>
      <c r="F1102" s="495" t="s">
        <v>3706</v>
      </c>
      <c r="G1102" s="495" t="s">
        <v>947</v>
      </c>
      <c r="H1102" s="463"/>
    </row>
    <row r="1103">
      <c r="A1103" s="463"/>
      <c r="B1103" s="495" t="s">
        <v>4805</v>
      </c>
      <c r="C1103" s="497">
        <v>44599.0</v>
      </c>
      <c r="D1103" s="495" t="s">
        <v>4806</v>
      </c>
      <c r="E1103" s="495" t="s">
        <v>4807</v>
      </c>
      <c r="F1103" s="495" t="s">
        <v>4808</v>
      </c>
      <c r="G1103" s="495" t="s">
        <v>4809</v>
      </c>
      <c r="H1103" s="463"/>
    </row>
    <row r="1104">
      <c r="A1104" s="463"/>
      <c r="B1104" s="495" t="s">
        <v>4810</v>
      </c>
      <c r="C1104" s="497">
        <v>44599.0</v>
      </c>
      <c r="D1104" s="495" t="s">
        <v>4811</v>
      </c>
      <c r="E1104" s="495" t="s">
        <v>4812</v>
      </c>
      <c r="F1104" s="495" t="s">
        <v>4813</v>
      </c>
      <c r="G1104" s="495" t="s">
        <v>4814</v>
      </c>
      <c r="H1104" s="463"/>
    </row>
    <row r="1105">
      <c r="A1105" s="463"/>
      <c r="B1105" s="495" t="s">
        <v>4815</v>
      </c>
      <c r="C1105" s="497">
        <v>44599.0</v>
      </c>
      <c r="D1105" s="495" t="s">
        <v>4816</v>
      </c>
      <c r="E1105" s="495" t="s">
        <v>4817</v>
      </c>
      <c r="F1105" s="495" t="s">
        <v>4818</v>
      </c>
      <c r="G1105" s="495" t="s">
        <v>4819</v>
      </c>
      <c r="H1105" s="495" t="s">
        <v>4820</v>
      </c>
    </row>
    <row r="1106">
      <c r="A1106" s="463"/>
      <c r="B1106" s="495" t="s">
        <v>4821</v>
      </c>
      <c r="C1106" s="497">
        <v>44599.0</v>
      </c>
      <c r="D1106" s="495" t="s">
        <v>4822</v>
      </c>
      <c r="E1106" s="495" t="s">
        <v>4823</v>
      </c>
      <c r="F1106" s="495" t="s">
        <v>4824</v>
      </c>
      <c r="G1106" s="495" t="s">
        <v>4825</v>
      </c>
      <c r="H1106" s="495" t="s">
        <v>4826</v>
      </c>
    </row>
    <row r="1107">
      <c r="A1107" s="463"/>
      <c r="B1107" s="495" t="s">
        <v>4827</v>
      </c>
      <c r="C1107" s="497">
        <v>44599.0</v>
      </c>
      <c r="D1107" s="495" t="s">
        <v>4828</v>
      </c>
      <c r="E1107" s="495" t="s">
        <v>4829</v>
      </c>
      <c r="F1107" s="495" t="s">
        <v>4830</v>
      </c>
      <c r="G1107" s="495" t="s">
        <v>4831</v>
      </c>
      <c r="H1107" s="463"/>
    </row>
    <row r="1108">
      <c r="A1108" s="463"/>
      <c r="B1108" s="495" t="s">
        <v>4832</v>
      </c>
      <c r="C1108" s="497">
        <v>44599.0</v>
      </c>
      <c r="D1108" s="495" t="s">
        <v>4833</v>
      </c>
      <c r="E1108" s="495" t="s">
        <v>4834</v>
      </c>
      <c r="F1108" s="495" t="s">
        <v>4835</v>
      </c>
      <c r="G1108" s="495" t="s">
        <v>4836</v>
      </c>
      <c r="H1108" s="495" t="s">
        <v>2438</v>
      </c>
    </row>
    <row r="1109">
      <c r="A1109" s="463"/>
      <c r="B1109" s="495" t="s">
        <v>4837</v>
      </c>
      <c r="C1109" s="497">
        <v>44599.0</v>
      </c>
      <c r="D1109" s="495" t="s">
        <v>4838</v>
      </c>
      <c r="E1109" s="495" t="s">
        <v>4839</v>
      </c>
      <c r="F1109" s="495" t="s">
        <v>4840</v>
      </c>
      <c r="G1109" s="495" t="s">
        <v>4841</v>
      </c>
      <c r="H1109" s="463"/>
    </row>
    <row r="1110">
      <c r="A1110" s="463"/>
      <c r="B1110" s="495" t="s">
        <v>4842</v>
      </c>
      <c r="C1110" s="497">
        <v>44599.0</v>
      </c>
      <c r="D1110" s="495" t="s">
        <v>4843</v>
      </c>
      <c r="E1110" s="495" t="s">
        <v>4844</v>
      </c>
      <c r="F1110" s="495" t="s">
        <v>4845</v>
      </c>
      <c r="G1110" s="495" t="s">
        <v>4846</v>
      </c>
      <c r="H1110" s="463"/>
    </row>
    <row r="1111">
      <c r="A1111" s="463"/>
      <c r="B1111" s="495" t="s">
        <v>4847</v>
      </c>
      <c r="C1111" s="497">
        <v>44599.0</v>
      </c>
      <c r="D1111" s="495" t="s">
        <v>4848</v>
      </c>
      <c r="E1111" s="495" t="s">
        <v>4849</v>
      </c>
      <c r="F1111" s="495" t="s">
        <v>4850</v>
      </c>
      <c r="G1111" s="495" t="s">
        <v>4851</v>
      </c>
      <c r="H1111" s="463"/>
    </row>
    <row r="1112">
      <c r="A1112" s="463"/>
      <c r="B1112" s="495" t="s">
        <v>4852</v>
      </c>
      <c r="C1112" s="497">
        <v>44604.0</v>
      </c>
      <c r="D1112" s="495" t="s">
        <v>4853</v>
      </c>
      <c r="E1112" s="495" t="s">
        <v>4854</v>
      </c>
      <c r="F1112" s="495" t="s">
        <v>4855</v>
      </c>
      <c r="G1112" s="495" t="s">
        <v>4856</v>
      </c>
      <c r="H1112" s="463"/>
    </row>
    <row r="1113">
      <c r="A1113" s="463"/>
      <c r="B1113" s="495" t="s">
        <v>4857</v>
      </c>
      <c r="C1113" s="497">
        <v>44604.0</v>
      </c>
      <c r="D1113" s="495" t="s">
        <v>4858</v>
      </c>
      <c r="E1113" s="495" t="s">
        <v>1043</v>
      </c>
      <c r="F1113" s="495" t="s">
        <v>1044</v>
      </c>
      <c r="G1113" s="495" t="s">
        <v>1045</v>
      </c>
      <c r="H1113" s="463"/>
    </row>
    <row r="1114">
      <c r="A1114" s="463"/>
      <c r="B1114" s="495" t="s">
        <v>4859</v>
      </c>
      <c r="C1114" s="497">
        <v>44604.0</v>
      </c>
      <c r="D1114" s="495" t="s">
        <v>4860</v>
      </c>
      <c r="E1114" s="495" t="s">
        <v>1811</v>
      </c>
      <c r="F1114" s="495" t="s">
        <v>1812</v>
      </c>
      <c r="G1114" s="495" t="s">
        <v>1523</v>
      </c>
      <c r="H1114" s="463"/>
    </row>
    <row r="1115">
      <c r="A1115" s="463"/>
      <c r="B1115" s="495" t="s">
        <v>4861</v>
      </c>
      <c r="C1115" s="497">
        <v>44617.0</v>
      </c>
      <c r="D1115" s="495" t="s">
        <v>4862</v>
      </c>
      <c r="E1115" s="495" t="s">
        <v>4863</v>
      </c>
      <c r="F1115" s="495" t="s">
        <v>4864</v>
      </c>
      <c r="G1115" s="495" t="s">
        <v>1033</v>
      </c>
      <c r="H1115" s="463"/>
    </row>
    <row r="1116">
      <c r="A1116" s="463"/>
      <c r="B1116" s="495" t="s">
        <v>4865</v>
      </c>
      <c r="C1116" s="497">
        <v>44618.0</v>
      </c>
      <c r="D1116" s="495" t="s">
        <v>4866</v>
      </c>
      <c r="E1116" s="495" t="s">
        <v>2257</v>
      </c>
      <c r="F1116" s="495" t="s">
        <v>2258</v>
      </c>
      <c r="G1116" s="495" t="s">
        <v>2259</v>
      </c>
      <c r="H1116" s="463"/>
    </row>
    <row r="1117">
      <c r="A1117" s="463"/>
      <c r="B1117" s="495" t="s">
        <v>4867</v>
      </c>
      <c r="C1117" s="497">
        <v>44627.0</v>
      </c>
      <c r="D1117" s="495" t="s">
        <v>4868</v>
      </c>
      <c r="E1117" s="495" t="s">
        <v>4869</v>
      </c>
      <c r="F1117" s="495" t="s">
        <v>4870</v>
      </c>
      <c r="G1117" s="495" t="s">
        <v>4871</v>
      </c>
      <c r="H1117" s="463"/>
    </row>
    <row r="1118">
      <c r="A1118" s="463"/>
      <c r="B1118" s="495" t="s">
        <v>4872</v>
      </c>
      <c r="C1118" s="497">
        <v>44627.0</v>
      </c>
      <c r="D1118" s="495" t="s">
        <v>4873</v>
      </c>
      <c r="E1118" s="495" t="s">
        <v>4874</v>
      </c>
      <c r="F1118" s="495" t="s">
        <v>4875</v>
      </c>
      <c r="G1118" s="495" t="s">
        <v>4876</v>
      </c>
      <c r="H1118" s="463"/>
    </row>
    <row r="1119">
      <c r="A1119" s="463"/>
      <c r="B1119" s="495" t="s">
        <v>4877</v>
      </c>
      <c r="C1119" s="497">
        <v>44627.0</v>
      </c>
      <c r="D1119" s="495" t="s">
        <v>4878</v>
      </c>
      <c r="E1119" s="495" t="s">
        <v>4879</v>
      </c>
      <c r="F1119" s="495" t="s">
        <v>4880</v>
      </c>
      <c r="G1119" s="495" t="s">
        <v>4881</v>
      </c>
      <c r="H1119" s="463"/>
    </row>
    <row r="1120">
      <c r="A1120" s="463"/>
      <c r="B1120" s="495" t="s">
        <v>4882</v>
      </c>
      <c r="C1120" s="497">
        <v>44627.0</v>
      </c>
      <c r="D1120" s="495" t="s">
        <v>4883</v>
      </c>
      <c r="E1120" s="495" t="s">
        <v>4884</v>
      </c>
      <c r="F1120" s="495" t="s">
        <v>4885</v>
      </c>
      <c r="G1120" s="495" t="s">
        <v>4886</v>
      </c>
      <c r="H1120" s="463"/>
    </row>
    <row r="1121">
      <c r="A1121" s="463"/>
      <c r="B1121" s="495" t="s">
        <v>4887</v>
      </c>
      <c r="C1121" s="497">
        <v>44627.0</v>
      </c>
      <c r="D1121" s="495" t="s">
        <v>4888</v>
      </c>
      <c r="E1121" s="495" t="s">
        <v>4889</v>
      </c>
      <c r="F1121" s="495" t="s">
        <v>4890</v>
      </c>
      <c r="G1121" s="495" t="s">
        <v>4891</v>
      </c>
      <c r="H1121" s="463"/>
    </row>
    <row r="1122">
      <c r="A1122" s="463"/>
      <c r="B1122" s="495" t="s">
        <v>4892</v>
      </c>
      <c r="C1122" s="497">
        <v>44627.0</v>
      </c>
      <c r="D1122" s="495" t="s">
        <v>4893</v>
      </c>
      <c r="E1122" s="495" t="s">
        <v>4894</v>
      </c>
      <c r="F1122" s="495" t="s">
        <v>4895</v>
      </c>
      <c r="G1122" s="495" t="s">
        <v>4896</v>
      </c>
      <c r="H1122" s="463"/>
    </row>
    <row r="1123">
      <c r="A1123" s="463"/>
      <c r="B1123" s="495" t="s">
        <v>4897</v>
      </c>
      <c r="C1123" s="497">
        <v>44627.0</v>
      </c>
      <c r="D1123" s="495" t="s">
        <v>4898</v>
      </c>
      <c r="E1123" s="495" t="s">
        <v>4899</v>
      </c>
      <c r="F1123" s="495" t="s">
        <v>4900</v>
      </c>
      <c r="G1123" s="495" t="s">
        <v>4901</v>
      </c>
      <c r="H1123" s="463"/>
    </row>
    <row r="1124">
      <c r="A1124" s="463"/>
      <c r="B1124" s="495" t="s">
        <v>4902</v>
      </c>
      <c r="C1124" s="497">
        <v>44631.0</v>
      </c>
      <c r="D1124" s="495" t="s">
        <v>4903</v>
      </c>
      <c r="E1124" s="495" t="s">
        <v>1311</v>
      </c>
      <c r="F1124" s="495" t="s">
        <v>1312</v>
      </c>
      <c r="G1124" s="495" t="s">
        <v>1313</v>
      </c>
      <c r="H1124" s="463"/>
    </row>
    <row r="1125">
      <c r="A1125" s="463"/>
      <c r="B1125" s="495" t="s">
        <v>4904</v>
      </c>
      <c r="C1125" s="497">
        <v>44631.0</v>
      </c>
      <c r="D1125" s="495" t="s">
        <v>4905</v>
      </c>
      <c r="E1125" s="495" t="s">
        <v>1513</v>
      </c>
      <c r="F1125" s="495" t="s">
        <v>1514</v>
      </c>
      <c r="G1125" s="495" t="s">
        <v>1515</v>
      </c>
      <c r="H1125" s="463"/>
    </row>
    <row r="1126">
      <c r="A1126" s="463"/>
      <c r="B1126" s="495" t="s">
        <v>4906</v>
      </c>
      <c r="C1126" s="497">
        <v>44631.0</v>
      </c>
      <c r="D1126" s="495" t="s">
        <v>4907</v>
      </c>
      <c r="E1126" s="495" t="s">
        <v>4908</v>
      </c>
      <c r="F1126" s="495" t="s">
        <v>4909</v>
      </c>
      <c r="G1126" s="495" t="s">
        <v>4910</v>
      </c>
      <c r="H1126" s="463"/>
    </row>
    <row r="1127">
      <c r="A1127" s="463"/>
      <c r="B1127" s="495" t="s">
        <v>4911</v>
      </c>
      <c r="C1127" s="497">
        <v>44631.0</v>
      </c>
      <c r="D1127" s="495" t="s">
        <v>4912</v>
      </c>
      <c r="E1127" s="495" t="s">
        <v>1710</v>
      </c>
      <c r="F1127" s="495" t="s">
        <v>1711</v>
      </c>
      <c r="G1127" s="495" t="s">
        <v>1712</v>
      </c>
      <c r="H1127" s="463"/>
    </row>
    <row r="1128">
      <c r="A1128" s="463"/>
      <c r="B1128" s="495" t="s">
        <v>4913</v>
      </c>
      <c r="C1128" s="497">
        <v>44645.0</v>
      </c>
      <c r="D1128" s="495" t="s">
        <v>4914</v>
      </c>
      <c r="E1128" s="495" t="s">
        <v>4915</v>
      </c>
      <c r="F1128" s="495" t="s">
        <v>4916</v>
      </c>
      <c r="G1128" s="495" t="s">
        <v>4917</v>
      </c>
      <c r="H1128" s="463"/>
    </row>
    <row r="1129">
      <c r="A1129" s="463"/>
      <c r="B1129" s="495" t="s">
        <v>4918</v>
      </c>
      <c r="C1129" s="497">
        <v>44645.0</v>
      </c>
      <c r="D1129" s="495" t="s">
        <v>4919</v>
      </c>
      <c r="E1129" s="495" t="s">
        <v>4920</v>
      </c>
      <c r="F1129" s="495" t="s">
        <v>4921</v>
      </c>
      <c r="G1129" s="495" t="s">
        <v>4922</v>
      </c>
      <c r="H1129" s="463"/>
    </row>
    <row r="1130">
      <c r="A1130" s="463"/>
      <c r="B1130" s="495" t="s">
        <v>4923</v>
      </c>
      <c r="C1130" s="497">
        <v>44645.0</v>
      </c>
      <c r="D1130" s="495" t="s">
        <v>4924</v>
      </c>
      <c r="E1130" s="495" t="s">
        <v>4925</v>
      </c>
      <c r="F1130" s="495" t="s">
        <v>4926</v>
      </c>
      <c r="G1130" s="495" t="s">
        <v>4927</v>
      </c>
      <c r="H1130" s="463"/>
    </row>
    <row r="1131">
      <c r="A1131" s="463"/>
      <c r="B1131" s="495" t="s">
        <v>4928</v>
      </c>
      <c r="C1131" s="497">
        <v>44658.0</v>
      </c>
      <c r="D1131" s="495" t="s">
        <v>4929</v>
      </c>
      <c r="E1131" s="495" t="s">
        <v>4930</v>
      </c>
      <c r="F1131" s="495" t="s">
        <v>4931</v>
      </c>
      <c r="G1131" s="495" t="s">
        <v>4932</v>
      </c>
      <c r="H1131" s="463"/>
    </row>
    <row r="1132">
      <c r="A1132" s="463"/>
      <c r="B1132" s="495" t="s">
        <v>4933</v>
      </c>
      <c r="C1132" s="497">
        <v>44658.0</v>
      </c>
      <c r="D1132" s="495" t="s">
        <v>4934</v>
      </c>
      <c r="E1132" s="495" t="s">
        <v>4935</v>
      </c>
      <c r="F1132" s="495" t="s">
        <v>4936</v>
      </c>
      <c r="G1132" s="495" t="s">
        <v>4937</v>
      </c>
      <c r="H1132" s="463"/>
    </row>
    <row r="1133">
      <c r="A1133" s="463"/>
      <c r="B1133" s="495" t="s">
        <v>4938</v>
      </c>
      <c r="C1133" s="497">
        <v>44658.0</v>
      </c>
      <c r="D1133" s="495" t="s">
        <v>4939</v>
      </c>
      <c r="E1133" s="495" t="s">
        <v>4940</v>
      </c>
      <c r="F1133" s="495" t="s">
        <v>4941</v>
      </c>
      <c r="G1133" s="495" t="s">
        <v>4942</v>
      </c>
      <c r="H1133" s="463"/>
    </row>
    <row r="1134">
      <c r="A1134" s="463"/>
      <c r="B1134" s="495" t="s">
        <v>4943</v>
      </c>
      <c r="C1134" s="497">
        <v>44658.0</v>
      </c>
      <c r="D1134" s="495" t="s">
        <v>4944</v>
      </c>
      <c r="E1134" s="495" t="s">
        <v>4945</v>
      </c>
      <c r="F1134" s="495" t="s">
        <v>4946</v>
      </c>
      <c r="G1134" s="495" t="s">
        <v>4947</v>
      </c>
      <c r="H1134" s="463"/>
    </row>
    <row r="1135">
      <c r="A1135" s="463"/>
      <c r="B1135" s="495" t="s">
        <v>4948</v>
      </c>
      <c r="C1135" s="497">
        <v>44658.0</v>
      </c>
      <c r="D1135" s="495" t="s">
        <v>4949</v>
      </c>
      <c r="E1135" s="495" t="s">
        <v>4950</v>
      </c>
      <c r="F1135" s="495" t="s">
        <v>4951</v>
      </c>
      <c r="G1135" s="495" t="s">
        <v>4952</v>
      </c>
      <c r="H1135" s="463"/>
    </row>
    <row r="1136">
      <c r="A1136" s="463"/>
      <c r="B1136" s="495" t="s">
        <v>4953</v>
      </c>
      <c r="C1136" s="497">
        <v>44663.0</v>
      </c>
      <c r="D1136" s="495" t="s">
        <v>4954</v>
      </c>
      <c r="E1136" s="495" t="s">
        <v>4955</v>
      </c>
      <c r="F1136" s="495" t="s">
        <v>4956</v>
      </c>
      <c r="G1136" s="495" t="s">
        <v>4957</v>
      </c>
      <c r="H1136" s="495" t="s">
        <v>2438</v>
      </c>
    </row>
    <row r="1137">
      <c r="A1137" s="463"/>
      <c r="B1137" s="495" t="s">
        <v>4958</v>
      </c>
      <c r="C1137" s="497">
        <v>44663.0</v>
      </c>
      <c r="D1137" s="495" t="s">
        <v>4959</v>
      </c>
      <c r="E1137" s="495" t="s">
        <v>4960</v>
      </c>
      <c r="F1137" s="495" t="s">
        <v>4961</v>
      </c>
      <c r="G1137" s="495" t="s">
        <v>4962</v>
      </c>
      <c r="H1137" s="463"/>
    </row>
    <row r="1138">
      <c r="A1138" s="463"/>
      <c r="B1138" s="495" t="s">
        <v>4963</v>
      </c>
      <c r="C1138" s="497">
        <v>44672.0</v>
      </c>
      <c r="D1138" s="495" t="s">
        <v>4964</v>
      </c>
      <c r="E1138" s="495" t="s">
        <v>4965</v>
      </c>
      <c r="F1138" s="495" t="s">
        <v>4966</v>
      </c>
      <c r="G1138" s="495" t="s">
        <v>1076</v>
      </c>
      <c r="H1138" s="463"/>
    </row>
    <row r="1139">
      <c r="A1139" s="463"/>
      <c r="B1139" s="495" t="s">
        <v>4967</v>
      </c>
      <c r="C1139" s="497">
        <v>44676.0</v>
      </c>
      <c r="D1139" s="495" t="s">
        <v>4968</v>
      </c>
      <c r="E1139" s="495" t="s">
        <v>4969</v>
      </c>
      <c r="F1139" s="495" t="s">
        <v>4970</v>
      </c>
      <c r="G1139" s="495" t="s">
        <v>4971</v>
      </c>
      <c r="H1139" s="463"/>
    </row>
    <row r="1140">
      <c r="A1140" s="463"/>
      <c r="B1140" s="495" t="s">
        <v>4972</v>
      </c>
      <c r="C1140" s="497">
        <v>44676.0</v>
      </c>
      <c r="D1140" s="495" t="s">
        <v>4973</v>
      </c>
      <c r="E1140" s="495" t="s">
        <v>4974</v>
      </c>
      <c r="F1140" s="495" t="s">
        <v>4975</v>
      </c>
      <c r="G1140" s="495" t="s">
        <v>4976</v>
      </c>
      <c r="H1140" s="463"/>
    </row>
    <row r="1141">
      <c r="A1141" s="463"/>
      <c r="B1141" s="495" t="s">
        <v>4977</v>
      </c>
      <c r="C1141" s="497">
        <v>44676.0</v>
      </c>
      <c r="D1141" s="495" t="s">
        <v>4978</v>
      </c>
      <c r="E1141" s="495" t="s">
        <v>4979</v>
      </c>
      <c r="F1141" s="495" t="s">
        <v>4980</v>
      </c>
      <c r="G1141" s="495" t="s">
        <v>4981</v>
      </c>
      <c r="H1141" s="463"/>
    </row>
    <row r="1142">
      <c r="A1142" s="463"/>
      <c r="B1142" s="495" t="s">
        <v>4982</v>
      </c>
      <c r="C1142" s="497">
        <v>44678.0</v>
      </c>
      <c r="D1142" s="495" t="s">
        <v>4983</v>
      </c>
      <c r="E1142" s="495" t="s">
        <v>4984</v>
      </c>
      <c r="F1142" s="495" t="s">
        <v>4985</v>
      </c>
      <c r="G1142" s="495" t="s">
        <v>2128</v>
      </c>
      <c r="H1142" s="463"/>
    </row>
    <row r="1143">
      <c r="A1143" s="463"/>
      <c r="B1143" s="495" t="s">
        <v>4986</v>
      </c>
      <c r="C1143" s="497">
        <v>44688.0</v>
      </c>
      <c r="D1143" s="495" t="s">
        <v>4987</v>
      </c>
      <c r="E1143" s="495" t="s">
        <v>4988</v>
      </c>
      <c r="F1143" s="495" t="s">
        <v>4989</v>
      </c>
      <c r="G1143" s="495" t="s">
        <v>4990</v>
      </c>
      <c r="H1143" s="463"/>
    </row>
    <row r="1144">
      <c r="A1144" s="463"/>
      <c r="B1144" s="495" t="s">
        <v>4991</v>
      </c>
      <c r="C1144" s="497">
        <v>44688.0</v>
      </c>
      <c r="D1144" s="495" t="s">
        <v>4992</v>
      </c>
      <c r="E1144" s="495" t="s">
        <v>4993</v>
      </c>
      <c r="F1144" s="495" t="s">
        <v>4994</v>
      </c>
      <c r="G1144" s="495" t="s">
        <v>4995</v>
      </c>
      <c r="H1144" s="495" t="s">
        <v>4996</v>
      </c>
    </row>
    <row r="1145">
      <c r="A1145" s="463"/>
      <c r="B1145" s="495" t="s">
        <v>4997</v>
      </c>
      <c r="C1145" s="497">
        <v>44688.0</v>
      </c>
      <c r="D1145" s="495" t="s">
        <v>4998</v>
      </c>
      <c r="E1145" s="495" t="s">
        <v>4999</v>
      </c>
      <c r="F1145" s="495" t="s">
        <v>5000</v>
      </c>
      <c r="G1145" s="495" t="s">
        <v>5001</v>
      </c>
      <c r="H1145" s="463"/>
    </row>
    <row r="1146">
      <c r="A1146" s="463"/>
      <c r="B1146" s="495" t="s">
        <v>5002</v>
      </c>
      <c r="C1146" s="497">
        <v>44693.0</v>
      </c>
      <c r="D1146" s="495" t="s">
        <v>5003</v>
      </c>
      <c r="E1146" s="495" t="s">
        <v>5004</v>
      </c>
      <c r="F1146" s="495" t="s">
        <v>5005</v>
      </c>
      <c r="G1146" s="495" t="s">
        <v>5006</v>
      </c>
      <c r="H1146" s="463"/>
    </row>
    <row r="1147">
      <c r="A1147" s="463"/>
      <c r="B1147" s="495" t="s">
        <v>5007</v>
      </c>
      <c r="C1147" s="497">
        <v>44706.0</v>
      </c>
      <c r="D1147" s="495" t="s">
        <v>5008</v>
      </c>
      <c r="E1147" s="495" t="s">
        <v>5009</v>
      </c>
      <c r="F1147" s="495" t="s">
        <v>5010</v>
      </c>
      <c r="G1147" s="495" t="s">
        <v>5011</v>
      </c>
      <c r="H1147" s="463"/>
    </row>
    <row r="1148">
      <c r="A1148" s="463"/>
      <c r="B1148" s="495" t="s">
        <v>5012</v>
      </c>
      <c r="C1148" s="497">
        <v>44708.0</v>
      </c>
      <c r="D1148" s="495" t="s">
        <v>5013</v>
      </c>
      <c r="E1148" s="495" t="s">
        <v>5014</v>
      </c>
      <c r="F1148" s="495" t="s">
        <v>5015</v>
      </c>
      <c r="G1148" s="495" t="s">
        <v>5016</v>
      </c>
      <c r="H1148" s="463"/>
    </row>
    <row r="1149">
      <c r="A1149" s="463"/>
      <c r="B1149" s="495" t="s">
        <v>5017</v>
      </c>
      <c r="C1149" s="497">
        <v>44719.0</v>
      </c>
      <c r="D1149" s="495" t="s">
        <v>5018</v>
      </c>
      <c r="E1149" s="495" t="s">
        <v>5019</v>
      </c>
      <c r="F1149" s="495" t="s">
        <v>5020</v>
      </c>
      <c r="G1149" s="495" t="s">
        <v>5021</v>
      </c>
      <c r="H1149" s="495" t="s">
        <v>5022</v>
      </c>
    </row>
    <row r="1150">
      <c r="A1150" s="463"/>
      <c r="B1150" s="495" t="s">
        <v>5023</v>
      </c>
      <c r="C1150" s="497">
        <v>44719.0</v>
      </c>
      <c r="D1150" s="495" t="s">
        <v>5024</v>
      </c>
      <c r="E1150" s="495" t="s">
        <v>5025</v>
      </c>
      <c r="F1150" s="495" t="s">
        <v>5026</v>
      </c>
      <c r="G1150" s="495" t="s">
        <v>5027</v>
      </c>
      <c r="H1150" s="495" t="s">
        <v>2438</v>
      </c>
    </row>
    <row r="1151">
      <c r="A1151" s="463"/>
      <c r="B1151" s="495" t="s">
        <v>5028</v>
      </c>
      <c r="C1151" s="497">
        <v>44719.0</v>
      </c>
      <c r="D1151" s="495" t="s">
        <v>5029</v>
      </c>
      <c r="E1151" s="495" t="s">
        <v>5030</v>
      </c>
      <c r="F1151" s="495" t="s">
        <v>5031</v>
      </c>
      <c r="G1151" s="495" t="s">
        <v>5032</v>
      </c>
      <c r="H1151" s="463"/>
    </row>
    <row r="1152">
      <c r="A1152" s="463"/>
      <c r="B1152" s="495" t="s">
        <v>5033</v>
      </c>
      <c r="C1152" s="497">
        <v>44719.0</v>
      </c>
      <c r="D1152" s="495" t="s">
        <v>5034</v>
      </c>
      <c r="E1152" s="495" t="s">
        <v>5035</v>
      </c>
      <c r="F1152" s="495" t="s">
        <v>5036</v>
      </c>
      <c r="G1152" s="495" t="s">
        <v>5037</v>
      </c>
      <c r="H1152" s="463"/>
    </row>
    <row r="1153">
      <c r="A1153" s="463"/>
      <c r="B1153" s="495" t="s">
        <v>5038</v>
      </c>
      <c r="C1153" s="497">
        <v>44722.0</v>
      </c>
      <c r="D1153" s="495" t="s">
        <v>5039</v>
      </c>
      <c r="E1153" s="495" t="s">
        <v>5040</v>
      </c>
      <c r="F1153" s="495" t="s">
        <v>5041</v>
      </c>
      <c r="G1153" s="495" t="s">
        <v>5042</v>
      </c>
      <c r="H1153" s="463"/>
    </row>
    <row r="1154">
      <c r="A1154" s="463"/>
      <c r="B1154" s="495" t="s">
        <v>5043</v>
      </c>
      <c r="C1154" s="497">
        <v>44722.0</v>
      </c>
      <c r="D1154" s="495" t="s">
        <v>5044</v>
      </c>
      <c r="E1154" s="495" t="s">
        <v>5045</v>
      </c>
      <c r="F1154" s="495" t="s">
        <v>1164</v>
      </c>
      <c r="G1154" s="495" t="s">
        <v>1165</v>
      </c>
      <c r="H1154" s="463"/>
    </row>
    <row r="1155">
      <c r="A1155" s="463"/>
      <c r="B1155" s="495" t="s">
        <v>5046</v>
      </c>
      <c r="C1155" s="497">
        <v>44722.0</v>
      </c>
      <c r="D1155" s="495" t="s">
        <v>5047</v>
      </c>
      <c r="E1155" s="495" t="s">
        <v>5048</v>
      </c>
      <c r="F1155" s="495" t="s">
        <v>5049</v>
      </c>
      <c r="G1155" s="495" t="s">
        <v>5050</v>
      </c>
      <c r="H1155" s="463"/>
    </row>
    <row r="1156">
      <c r="A1156" s="463"/>
      <c r="B1156" s="495" t="s">
        <v>5051</v>
      </c>
      <c r="C1156" s="497">
        <v>44722.0</v>
      </c>
      <c r="D1156" s="495" t="s">
        <v>5052</v>
      </c>
      <c r="E1156" s="495" t="s">
        <v>5053</v>
      </c>
      <c r="F1156" s="495" t="s">
        <v>5054</v>
      </c>
      <c r="G1156" s="495" t="s">
        <v>5055</v>
      </c>
      <c r="H1156" s="463"/>
    </row>
    <row r="1157">
      <c r="A1157" s="463"/>
      <c r="B1157" s="495" t="s">
        <v>5056</v>
      </c>
      <c r="C1157" s="497">
        <v>44722.0</v>
      </c>
      <c r="D1157" s="495" t="s">
        <v>5057</v>
      </c>
      <c r="E1157" s="495" t="s">
        <v>918</v>
      </c>
      <c r="F1157" s="495" t="s">
        <v>919</v>
      </c>
      <c r="G1157" s="495" t="s">
        <v>920</v>
      </c>
      <c r="H1157" s="463"/>
    </row>
    <row r="1158">
      <c r="A1158" s="463"/>
      <c r="B1158" s="495" t="s">
        <v>5058</v>
      </c>
      <c r="C1158" s="497">
        <v>44722.0</v>
      </c>
      <c r="D1158" s="495" t="s">
        <v>5059</v>
      </c>
      <c r="E1158" s="495" t="s">
        <v>5060</v>
      </c>
      <c r="F1158" s="495" t="s">
        <v>5061</v>
      </c>
      <c r="G1158" s="495" t="s">
        <v>5062</v>
      </c>
      <c r="H1158" s="463"/>
    </row>
    <row r="1159">
      <c r="A1159" s="463"/>
      <c r="B1159" s="495" t="s">
        <v>5063</v>
      </c>
      <c r="C1159" s="497">
        <v>44722.0</v>
      </c>
      <c r="D1159" s="495" t="s">
        <v>5064</v>
      </c>
      <c r="E1159" s="495" t="s">
        <v>5065</v>
      </c>
      <c r="F1159" s="495" t="s">
        <v>5066</v>
      </c>
      <c r="G1159" s="495" t="s">
        <v>1126</v>
      </c>
      <c r="H1159" s="463"/>
    </row>
    <row r="1160">
      <c r="A1160" s="463"/>
      <c r="B1160" s="495" t="s">
        <v>5067</v>
      </c>
      <c r="C1160" s="497">
        <v>44734.0</v>
      </c>
      <c r="D1160" s="495" t="s">
        <v>5068</v>
      </c>
      <c r="E1160" s="495" t="s">
        <v>2335</v>
      </c>
      <c r="F1160" s="495" t="s">
        <v>2336</v>
      </c>
      <c r="G1160" s="495" t="s">
        <v>1795</v>
      </c>
      <c r="H1160" s="463"/>
    </row>
    <row r="1161">
      <c r="A1161" s="463"/>
      <c r="B1161" s="495" t="s">
        <v>5069</v>
      </c>
      <c r="C1161" s="497">
        <v>44735.0</v>
      </c>
      <c r="D1161" s="495" t="s">
        <v>5070</v>
      </c>
      <c r="E1161" s="495" t="s">
        <v>5071</v>
      </c>
      <c r="F1161" s="495" t="s">
        <v>5072</v>
      </c>
      <c r="G1161" s="495" t="s">
        <v>5073</v>
      </c>
      <c r="H1161" s="495" t="s">
        <v>5074</v>
      </c>
    </row>
    <row r="1162">
      <c r="A1162" s="463"/>
      <c r="B1162" s="495" t="s">
        <v>5075</v>
      </c>
      <c r="C1162" s="497">
        <v>44735.0</v>
      </c>
      <c r="D1162" s="495" t="s">
        <v>5076</v>
      </c>
      <c r="E1162" s="495" t="s">
        <v>5077</v>
      </c>
      <c r="F1162" s="495" t="s">
        <v>5078</v>
      </c>
      <c r="G1162" s="495" t="s">
        <v>5079</v>
      </c>
      <c r="H1162" s="463"/>
    </row>
    <row r="1163">
      <c r="A1163" s="463"/>
      <c r="B1163" s="495" t="s">
        <v>5080</v>
      </c>
      <c r="C1163" s="497">
        <v>44735.0</v>
      </c>
      <c r="D1163" s="495" t="s">
        <v>5081</v>
      </c>
      <c r="E1163" s="495" t="s">
        <v>3743</v>
      </c>
      <c r="F1163" s="495" t="s">
        <v>3744</v>
      </c>
      <c r="G1163" s="495" t="s">
        <v>3745</v>
      </c>
      <c r="H1163" s="463"/>
    </row>
    <row r="1164">
      <c r="A1164" s="463"/>
      <c r="B1164" s="495" t="s">
        <v>5082</v>
      </c>
      <c r="C1164" s="497">
        <v>44739.0</v>
      </c>
      <c r="D1164" s="495" t="s">
        <v>5083</v>
      </c>
      <c r="E1164" s="495" t="s">
        <v>5084</v>
      </c>
      <c r="F1164" s="495" t="s">
        <v>5085</v>
      </c>
      <c r="G1164" s="495" t="s">
        <v>1329</v>
      </c>
      <c r="H1164" s="463"/>
    </row>
    <row r="1165">
      <c r="A1165" s="463"/>
      <c r="B1165" s="495" t="s">
        <v>5086</v>
      </c>
      <c r="C1165" s="497">
        <v>44749.0</v>
      </c>
      <c r="D1165" s="495" t="s">
        <v>5087</v>
      </c>
      <c r="E1165" s="495" t="s">
        <v>5088</v>
      </c>
      <c r="F1165" s="495" t="s">
        <v>5089</v>
      </c>
      <c r="G1165" s="495" t="s">
        <v>5090</v>
      </c>
      <c r="H1165" s="463"/>
    </row>
    <row r="1166">
      <c r="A1166" s="463"/>
      <c r="B1166" s="495" t="s">
        <v>5091</v>
      </c>
      <c r="C1166" s="497">
        <v>44749.0</v>
      </c>
      <c r="D1166" s="495" t="s">
        <v>5092</v>
      </c>
      <c r="E1166" s="495" t="s">
        <v>5093</v>
      </c>
      <c r="F1166" s="495" t="s">
        <v>5094</v>
      </c>
      <c r="G1166" s="495" t="s">
        <v>5095</v>
      </c>
      <c r="H1166" s="495" t="s">
        <v>5096</v>
      </c>
    </row>
    <row r="1167">
      <c r="A1167" s="463"/>
      <c r="B1167" s="495" t="s">
        <v>5097</v>
      </c>
      <c r="C1167" s="497">
        <v>44749.0</v>
      </c>
      <c r="D1167" s="495" t="s">
        <v>5098</v>
      </c>
      <c r="E1167" s="495" t="s">
        <v>5099</v>
      </c>
      <c r="F1167" s="495" t="s">
        <v>5100</v>
      </c>
      <c r="G1167" s="495" t="s">
        <v>5101</v>
      </c>
      <c r="H1167" s="463"/>
    </row>
    <row r="1168">
      <c r="A1168" s="463"/>
      <c r="B1168" s="495" t="s">
        <v>5102</v>
      </c>
      <c r="C1168" s="497">
        <v>44749.0</v>
      </c>
      <c r="D1168" s="495" t="s">
        <v>5103</v>
      </c>
      <c r="E1168" s="495" t="s">
        <v>5104</v>
      </c>
      <c r="F1168" s="495" t="s">
        <v>5105</v>
      </c>
      <c r="G1168" s="495" t="s">
        <v>5106</v>
      </c>
      <c r="H1168" s="463"/>
    </row>
    <row r="1169">
      <c r="A1169" s="463"/>
      <c r="B1169" s="495" t="s">
        <v>5107</v>
      </c>
      <c r="C1169" s="497">
        <v>44749.0</v>
      </c>
      <c r="D1169" s="495" t="s">
        <v>5108</v>
      </c>
      <c r="E1169" s="495" t="s">
        <v>5109</v>
      </c>
      <c r="F1169" s="495" t="s">
        <v>5110</v>
      </c>
      <c r="G1169" s="495" t="s">
        <v>5111</v>
      </c>
      <c r="H1169" s="495" t="s">
        <v>5112</v>
      </c>
    </row>
    <row r="1170">
      <c r="A1170" s="463"/>
      <c r="B1170" s="495" t="s">
        <v>5113</v>
      </c>
      <c r="C1170" s="497">
        <v>44754.0</v>
      </c>
      <c r="D1170" s="495" t="s">
        <v>5114</v>
      </c>
      <c r="E1170" s="495" t="s">
        <v>3601</v>
      </c>
      <c r="F1170" s="495" t="s">
        <v>3602</v>
      </c>
      <c r="G1170" s="495" t="s">
        <v>3603</v>
      </c>
      <c r="H1170" s="463"/>
    </row>
    <row r="1171">
      <c r="A1171" s="463"/>
      <c r="B1171" s="495" t="s">
        <v>5115</v>
      </c>
      <c r="C1171" s="497">
        <v>44767.0</v>
      </c>
      <c r="D1171" s="495" t="s">
        <v>5116</v>
      </c>
      <c r="E1171" s="495" t="s">
        <v>5117</v>
      </c>
      <c r="F1171" s="495" t="s">
        <v>5118</v>
      </c>
      <c r="G1171" s="495" t="s">
        <v>5119</v>
      </c>
      <c r="H1171" s="463"/>
    </row>
    <row r="1172">
      <c r="A1172" s="463"/>
      <c r="B1172" s="495" t="s">
        <v>5120</v>
      </c>
      <c r="C1172" s="497">
        <v>44769.0</v>
      </c>
      <c r="D1172" s="495" t="s">
        <v>5121</v>
      </c>
      <c r="E1172" s="495" t="s">
        <v>5122</v>
      </c>
      <c r="F1172" s="495" t="s">
        <v>5123</v>
      </c>
      <c r="G1172" s="495" t="s">
        <v>3630</v>
      </c>
      <c r="H1172" s="463"/>
    </row>
    <row r="1173">
      <c r="A1173" s="463"/>
      <c r="B1173" s="495" t="s">
        <v>5124</v>
      </c>
      <c r="C1173" s="497">
        <v>44778.0</v>
      </c>
      <c r="D1173" s="495" t="s">
        <v>5125</v>
      </c>
      <c r="E1173" s="495" t="s">
        <v>5126</v>
      </c>
      <c r="F1173" s="495" t="s">
        <v>5127</v>
      </c>
      <c r="G1173" s="495" t="s">
        <v>5128</v>
      </c>
      <c r="H1173" s="495" t="s">
        <v>5129</v>
      </c>
    </row>
    <row r="1174">
      <c r="A1174" s="463"/>
      <c r="B1174" s="495" t="s">
        <v>5130</v>
      </c>
      <c r="C1174" s="497">
        <v>44778.0</v>
      </c>
      <c r="D1174" s="495" t="s">
        <v>5131</v>
      </c>
      <c r="E1174" s="495" t="s">
        <v>5132</v>
      </c>
      <c r="F1174" s="495" t="s">
        <v>5133</v>
      </c>
      <c r="G1174" s="495" t="s">
        <v>5134</v>
      </c>
      <c r="H1174" s="495" t="s">
        <v>5135</v>
      </c>
    </row>
    <row r="1175">
      <c r="A1175" s="463"/>
      <c r="B1175" s="495" t="s">
        <v>5136</v>
      </c>
      <c r="C1175" s="497">
        <v>44783.0</v>
      </c>
      <c r="D1175" s="495" t="s">
        <v>5137</v>
      </c>
      <c r="E1175" s="495" t="s">
        <v>5138</v>
      </c>
      <c r="F1175" s="495" t="s">
        <v>5139</v>
      </c>
      <c r="G1175" s="495" t="s">
        <v>5140</v>
      </c>
      <c r="H1175" s="463"/>
    </row>
    <row r="1176">
      <c r="A1176" s="463"/>
      <c r="B1176" s="495" t="s">
        <v>5141</v>
      </c>
      <c r="C1176" s="497">
        <v>44783.0</v>
      </c>
      <c r="D1176" s="495" t="s">
        <v>5142</v>
      </c>
      <c r="E1176" s="495" t="s">
        <v>5143</v>
      </c>
      <c r="F1176" s="495" t="s">
        <v>5144</v>
      </c>
      <c r="G1176" s="495" t="s">
        <v>5145</v>
      </c>
      <c r="H1176" s="463"/>
    </row>
    <row r="1177">
      <c r="A1177" s="463"/>
      <c r="B1177" s="495" t="s">
        <v>5146</v>
      </c>
      <c r="C1177" s="497">
        <v>44795.0</v>
      </c>
      <c r="D1177" s="495" t="s">
        <v>5147</v>
      </c>
      <c r="E1177" s="495" t="s">
        <v>5148</v>
      </c>
      <c r="F1177" s="495" t="s">
        <v>5149</v>
      </c>
      <c r="G1177" s="495" t="s">
        <v>1824</v>
      </c>
      <c r="H1177" s="463"/>
    </row>
    <row r="1178">
      <c r="A1178" s="463"/>
      <c r="B1178" s="495" t="s">
        <v>5150</v>
      </c>
      <c r="C1178" s="497">
        <v>44798.0</v>
      </c>
      <c r="D1178" s="495" t="s">
        <v>5151</v>
      </c>
      <c r="E1178" s="495" t="s">
        <v>5152</v>
      </c>
      <c r="F1178" s="495" t="s">
        <v>5153</v>
      </c>
      <c r="G1178" s="495" t="s">
        <v>5154</v>
      </c>
      <c r="H1178" s="463"/>
    </row>
    <row r="1179">
      <c r="A1179" s="463"/>
      <c r="B1179" s="495" t="s">
        <v>5155</v>
      </c>
      <c r="C1179" s="497">
        <v>44798.0</v>
      </c>
      <c r="D1179" s="495" t="s">
        <v>5156</v>
      </c>
      <c r="E1179" s="495" t="s">
        <v>5009</v>
      </c>
      <c r="F1179" s="495" t="s">
        <v>5010</v>
      </c>
      <c r="G1179" s="495" t="s">
        <v>5011</v>
      </c>
      <c r="H1179" s="463"/>
    </row>
    <row r="1180">
      <c r="A1180" s="463"/>
      <c r="B1180" s="495" t="s">
        <v>5157</v>
      </c>
      <c r="C1180" s="497">
        <v>44811.0</v>
      </c>
      <c r="D1180" s="495" t="s">
        <v>5158</v>
      </c>
      <c r="E1180" s="495" t="s">
        <v>5159</v>
      </c>
      <c r="F1180" s="495" t="s">
        <v>5160</v>
      </c>
      <c r="G1180" s="495" t="s">
        <v>5161</v>
      </c>
      <c r="H1180" s="495" t="s">
        <v>5162</v>
      </c>
    </row>
    <row r="1181">
      <c r="A1181" s="463"/>
      <c r="B1181" s="495" t="s">
        <v>5163</v>
      </c>
      <c r="C1181" s="497">
        <v>44816.0</v>
      </c>
      <c r="D1181" s="495" t="s">
        <v>5164</v>
      </c>
      <c r="E1181" s="495" t="s">
        <v>5165</v>
      </c>
      <c r="F1181" s="495" t="s">
        <v>5166</v>
      </c>
      <c r="G1181" s="495" t="s">
        <v>5167</v>
      </c>
      <c r="H1181" s="463"/>
    </row>
    <row r="1182">
      <c r="A1182" s="463"/>
      <c r="B1182" s="495" t="s">
        <v>5168</v>
      </c>
      <c r="C1182" s="497">
        <v>44816.0</v>
      </c>
      <c r="D1182" s="495" t="s">
        <v>5169</v>
      </c>
      <c r="E1182" s="495" t="s">
        <v>5170</v>
      </c>
      <c r="F1182" s="495" t="s">
        <v>5171</v>
      </c>
      <c r="G1182" s="495" t="s">
        <v>5172</v>
      </c>
      <c r="H1182" s="495" t="s">
        <v>2438</v>
      </c>
    </row>
    <row r="1183">
      <c r="A1183" s="463"/>
      <c r="B1183" s="495" t="s">
        <v>5173</v>
      </c>
      <c r="C1183" s="497">
        <v>44828.0</v>
      </c>
      <c r="D1183" s="495" t="s">
        <v>5174</v>
      </c>
      <c r="E1183" s="495" t="s">
        <v>5175</v>
      </c>
      <c r="F1183" s="495" t="s">
        <v>3615</v>
      </c>
      <c r="G1183" s="495" t="s">
        <v>939</v>
      </c>
      <c r="H1183" s="463"/>
    </row>
    <row r="1184">
      <c r="A1184" s="463"/>
      <c r="B1184" s="495" t="s">
        <v>5176</v>
      </c>
      <c r="C1184" s="497">
        <v>44840.0</v>
      </c>
      <c r="D1184" s="495" t="s">
        <v>5177</v>
      </c>
      <c r="E1184" s="495" t="s">
        <v>5178</v>
      </c>
      <c r="F1184" s="495" t="s">
        <v>5179</v>
      </c>
      <c r="G1184" s="495" t="s">
        <v>5180</v>
      </c>
      <c r="H1184" s="463"/>
    </row>
    <row r="1185">
      <c r="A1185" s="463"/>
      <c r="B1185" s="495" t="s">
        <v>5181</v>
      </c>
      <c r="C1185" s="497">
        <v>44840.0</v>
      </c>
      <c r="D1185" s="495" t="s">
        <v>5182</v>
      </c>
      <c r="E1185" s="495" t="s">
        <v>5183</v>
      </c>
      <c r="F1185" s="495" t="s">
        <v>5184</v>
      </c>
      <c r="G1185" s="495" t="s">
        <v>5185</v>
      </c>
      <c r="H1185" s="463"/>
    </row>
    <row r="1186">
      <c r="A1186" s="463"/>
      <c r="B1186" s="495" t="s">
        <v>5186</v>
      </c>
      <c r="C1186" s="497">
        <v>44840.0</v>
      </c>
      <c r="D1186" s="495" t="s">
        <v>5187</v>
      </c>
      <c r="E1186" s="495" t="s">
        <v>5188</v>
      </c>
      <c r="F1186" s="495" t="s">
        <v>5189</v>
      </c>
      <c r="G1186" s="495" t="s">
        <v>5190</v>
      </c>
      <c r="H1186" s="463"/>
    </row>
    <row r="1187">
      <c r="A1187" s="463"/>
      <c r="B1187" s="495" t="s">
        <v>5191</v>
      </c>
      <c r="C1187" s="497">
        <v>44840.0</v>
      </c>
      <c r="D1187" s="495" t="s">
        <v>5192</v>
      </c>
      <c r="E1187" s="495" t="s">
        <v>5193</v>
      </c>
      <c r="F1187" s="495" t="s">
        <v>5194</v>
      </c>
      <c r="G1187" s="495" t="s">
        <v>5195</v>
      </c>
      <c r="H1187" s="463"/>
    </row>
    <row r="1188">
      <c r="A1188" s="463"/>
      <c r="B1188" s="495" t="s">
        <v>5196</v>
      </c>
      <c r="C1188" s="497">
        <v>44859.0</v>
      </c>
      <c r="D1188" s="495" t="s">
        <v>5197</v>
      </c>
      <c r="E1188" s="495" t="s">
        <v>5198</v>
      </c>
      <c r="F1188" s="495" t="s">
        <v>5199</v>
      </c>
      <c r="G1188" s="495" t="s">
        <v>5200</v>
      </c>
      <c r="H1188" s="463"/>
    </row>
    <row r="1189">
      <c r="A1189" s="463"/>
      <c r="B1189" s="495" t="s">
        <v>5201</v>
      </c>
      <c r="C1189" s="497">
        <v>44859.0</v>
      </c>
      <c r="D1189" s="495" t="s">
        <v>5202</v>
      </c>
      <c r="E1189" s="495" t="s">
        <v>5203</v>
      </c>
      <c r="F1189" s="495" t="s">
        <v>5204</v>
      </c>
      <c r="G1189" s="495" t="s">
        <v>1795</v>
      </c>
      <c r="H1189" s="495" t="s">
        <v>5205</v>
      </c>
    </row>
    <row r="1190">
      <c r="A1190" s="463"/>
      <c r="B1190" s="495" t="s">
        <v>5206</v>
      </c>
      <c r="C1190" s="497">
        <v>44872.0</v>
      </c>
      <c r="D1190" s="495" t="s">
        <v>5207</v>
      </c>
      <c r="E1190" s="495" t="s">
        <v>5208</v>
      </c>
      <c r="F1190" s="495" t="s">
        <v>5209</v>
      </c>
      <c r="G1190" s="495" t="s">
        <v>5210</v>
      </c>
      <c r="H1190" s="495" t="s">
        <v>5211</v>
      </c>
    </row>
    <row r="1191">
      <c r="A1191" s="463"/>
      <c r="B1191" s="495" t="s">
        <v>5212</v>
      </c>
      <c r="C1191" s="497">
        <v>44872.0</v>
      </c>
      <c r="D1191" s="495" t="s">
        <v>5213</v>
      </c>
      <c r="E1191" s="495" t="s">
        <v>5214</v>
      </c>
      <c r="F1191" s="495" t="s">
        <v>5215</v>
      </c>
      <c r="G1191" s="495" t="s">
        <v>5216</v>
      </c>
      <c r="H1191" s="463"/>
    </row>
    <row r="1192">
      <c r="A1192" s="463"/>
      <c r="B1192" s="495" t="s">
        <v>5217</v>
      </c>
      <c r="C1192" s="497">
        <v>44872.0</v>
      </c>
      <c r="D1192" s="495" t="s">
        <v>5218</v>
      </c>
      <c r="E1192" s="495" t="s">
        <v>5219</v>
      </c>
      <c r="F1192" s="495" t="s">
        <v>5220</v>
      </c>
      <c r="G1192" s="495" t="s">
        <v>5221</v>
      </c>
      <c r="H1192" s="463"/>
    </row>
    <row r="1193">
      <c r="A1193" s="463"/>
      <c r="B1193" s="495" t="s">
        <v>5222</v>
      </c>
      <c r="C1193" s="497">
        <v>44872.0</v>
      </c>
      <c r="D1193" s="495" t="s">
        <v>5223</v>
      </c>
      <c r="E1193" s="495" t="s">
        <v>5224</v>
      </c>
      <c r="F1193" s="495" t="s">
        <v>5225</v>
      </c>
      <c r="G1193" s="495" t="s">
        <v>5226</v>
      </c>
      <c r="H1193" s="463"/>
    </row>
    <row r="1194">
      <c r="A1194" s="463"/>
      <c r="B1194" s="495" t="s">
        <v>5227</v>
      </c>
      <c r="C1194" s="497">
        <v>44872.0</v>
      </c>
      <c r="D1194" s="495" t="s">
        <v>5228</v>
      </c>
      <c r="E1194" s="495" t="s">
        <v>5229</v>
      </c>
      <c r="F1194" s="495" t="s">
        <v>5230</v>
      </c>
      <c r="G1194" s="495" t="s">
        <v>5231</v>
      </c>
      <c r="H1194" s="495" t="s">
        <v>5232</v>
      </c>
    </row>
    <row r="1195">
      <c r="A1195" s="463"/>
      <c r="B1195" s="495" t="s">
        <v>5233</v>
      </c>
      <c r="C1195" s="497">
        <v>44890.0</v>
      </c>
      <c r="D1195" s="495" t="s">
        <v>5234</v>
      </c>
      <c r="E1195" s="495" t="s">
        <v>5235</v>
      </c>
      <c r="F1195" s="495" t="s">
        <v>5236</v>
      </c>
      <c r="G1195" s="495" t="s">
        <v>5237</v>
      </c>
      <c r="H1195" s="495" t="s">
        <v>5238</v>
      </c>
    </row>
    <row r="1196">
      <c r="A1196" s="463"/>
      <c r="B1196" s="495" t="s">
        <v>5239</v>
      </c>
      <c r="C1196" s="497">
        <v>44890.0</v>
      </c>
      <c r="D1196" s="495" t="s">
        <v>5240</v>
      </c>
      <c r="E1196" s="495" t="s">
        <v>5241</v>
      </c>
      <c r="F1196" s="495" t="s">
        <v>5242</v>
      </c>
      <c r="G1196" s="495" t="s">
        <v>5243</v>
      </c>
      <c r="H1196" s="463"/>
    </row>
    <row r="1197">
      <c r="A1197" s="463"/>
      <c r="B1197" s="495" t="s">
        <v>5244</v>
      </c>
      <c r="C1197" s="497">
        <v>44902.0</v>
      </c>
      <c r="D1197" s="495" t="s">
        <v>5245</v>
      </c>
      <c r="E1197" s="495" t="s">
        <v>5246</v>
      </c>
      <c r="F1197" s="495" t="s">
        <v>5247</v>
      </c>
      <c r="G1197" s="495" t="s">
        <v>5248</v>
      </c>
      <c r="H1197" s="495" t="s">
        <v>5249</v>
      </c>
    </row>
    <row r="1198">
      <c r="A1198" s="463"/>
      <c r="B1198" s="495" t="s">
        <v>5250</v>
      </c>
      <c r="C1198" s="497">
        <v>44902.0</v>
      </c>
      <c r="D1198" s="495" t="s">
        <v>5251</v>
      </c>
      <c r="E1198" s="495" t="s">
        <v>5252</v>
      </c>
      <c r="F1198" s="495" t="s">
        <v>5253</v>
      </c>
      <c r="G1198" s="495" t="s">
        <v>5254</v>
      </c>
      <c r="H1198" s="495" t="s">
        <v>5255</v>
      </c>
    </row>
    <row r="1199">
      <c r="A1199" s="463"/>
      <c r="B1199" s="495" t="s">
        <v>5256</v>
      </c>
      <c r="C1199" s="497">
        <v>44902.0</v>
      </c>
      <c r="D1199" s="495" t="s">
        <v>5257</v>
      </c>
      <c r="E1199" s="495" t="s">
        <v>5258</v>
      </c>
      <c r="F1199" s="495" t="s">
        <v>5259</v>
      </c>
      <c r="G1199" s="495" t="s">
        <v>5260</v>
      </c>
      <c r="H1199" s="463"/>
    </row>
    <row r="1200">
      <c r="A1200" s="463"/>
      <c r="B1200" s="495" t="s">
        <v>5261</v>
      </c>
      <c r="C1200" s="497">
        <v>44907.0</v>
      </c>
      <c r="D1200" s="495" t="s">
        <v>5262</v>
      </c>
      <c r="E1200" s="495" t="s">
        <v>5263</v>
      </c>
      <c r="F1200" s="495" t="s">
        <v>5264</v>
      </c>
      <c r="G1200" s="495" t="s">
        <v>5265</v>
      </c>
      <c r="H1200" s="463"/>
    </row>
    <row r="1201">
      <c r="A1201" s="463"/>
      <c r="B1201" s="495" t="s">
        <v>5266</v>
      </c>
      <c r="C1201" s="497">
        <v>44907.0</v>
      </c>
      <c r="D1201" s="495" t="s">
        <v>5267</v>
      </c>
      <c r="E1201" s="495" t="s">
        <v>5268</v>
      </c>
      <c r="F1201" s="495" t="s">
        <v>5269</v>
      </c>
      <c r="G1201" s="495" t="s">
        <v>5270</v>
      </c>
      <c r="H1201" s="495" t="s">
        <v>5271</v>
      </c>
    </row>
    <row r="1202">
      <c r="A1202" s="463"/>
      <c r="B1202" s="495" t="s">
        <v>5272</v>
      </c>
      <c r="C1202" s="497">
        <v>44916.0</v>
      </c>
      <c r="D1202" s="495" t="s">
        <v>5273</v>
      </c>
      <c r="E1202" s="495" t="s">
        <v>5274</v>
      </c>
      <c r="F1202" s="495" t="s">
        <v>5275</v>
      </c>
      <c r="G1202" s="495" t="s">
        <v>5276</v>
      </c>
      <c r="H1202" s="463"/>
    </row>
    <row r="1203">
      <c r="A1203" s="463"/>
      <c r="B1203" s="495" t="s">
        <v>5277</v>
      </c>
      <c r="C1203" s="497">
        <v>44916.0</v>
      </c>
      <c r="D1203" s="495" t="s">
        <v>5278</v>
      </c>
      <c r="E1203" s="495" t="s">
        <v>5279</v>
      </c>
      <c r="F1203" s="495" t="s">
        <v>3150</v>
      </c>
      <c r="G1203" s="495" t="s">
        <v>3151</v>
      </c>
      <c r="H1203" s="463"/>
    </row>
    <row r="1204">
      <c r="A1204" s="463"/>
      <c r="B1204" s="495" t="s">
        <v>5280</v>
      </c>
      <c r="C1204" s="497">
        <v>44933.0</v>
      </c>
      <c r="D1204" s="495" t="s">
        <v>5281</v>
      </c>
      <c r="E1204" s="495" t="s">
        <v>5282</v>
      </c>
      <c r="F1204" s="495" t="s">
        <v>5283</v>
      </c>
      <c r="G1204" s="495" t="s">
        <v>5284</v>
      </c>
      <c r="H1204" s="463"/>
    </row>
    <row r="1205">
      <c r="A1205" s="463"/>
      <c r="B1205" s="495" t="s">
        <v>5285</v>
      </c>
      <c r="C1205" s="497">
        <v>44933.0</v>
      </c>
      <c r="D1205" s="495" t="s">
        <v>5286</v>
      </c>
      <c r="E1205" s="495" t="s">
        <v>5287</v>
      </c>
      <c r="F1205" s="495" t="s">
        <v>5288</v>
      </c>
      <c r="G1205" s="495" t="s">
        <v>5289</v>
      </c>
      <c r="H1205" s="463"/>
    </row>
    <row r="1206">
      <c r="A1206" s="463"/>
      <c r="B1206" s="495" t="s">
        <v>5290</v>
      </c>
      <c r="C1206" s="497">
        <v>44933.0</v>
      </c>
      <c r="D1206" s="495" t="s">
        <v>5291</v>
      </c>
      <c r="E1206" s="495" t="s">
        <v>5292</v>
      </c>
      <c r="F1206" s="495" t="s">
        <v>5293</v>
      </c>
      <c r="G1206" s="495" t="s">
        <v>5294</v>
      </c>
      <c r="H1206" s="463"/>
    </row>
    <row r="1207">
      <c r="A1207" s="463"/>
      <c r="B1207" s="495" t="s">
        <v>5295</v>
      </c>
      <c r="C1207" s="497">
        <v>44938.0</v>
      </c>
      <c r="D1207" s="495" t="s">
        <v>5296</v>
      </c>
      <c r="E1207" s="495" t="s">
        <v>3249</v>
      </c>
      <c r="F1207" s="495" t="s">
        <v>3250</v>
      </c>
      <c r="G1207" s="495" t="s">
        <v>1445</v>
      </c>
      <c r="H1207" s="463"/>
    </row>
    <row r="1208">
      <c r="A1208" s="463"/>
      <c r="B1208" s="495" t="s">
        <v>5297</v>
      </c>
      <c r="C1208" s="497">
        <v>44938.0</v>
      </c>
      <c r="D1208" s="495" t="s">
        <v>5298</v>
      </c>
      <c r="E1208" s="495" t="s">
        <v>5299</v>
      </c>
      <c r="F1208" s="495" t="s">
        <v>5300</v>
      </c>
      <c r="G1208" s="495" t="s">
        <v>5301</v>
      </c>
      <c r="H1208" s="495" t="s">
        <v>2438</v>
      </c>
    </row>
    <row r="1209">
      <c r="A1209" s="463"/>
      <c r="B1209" s="495" t="s">
        <v>5302</v>
      </c>
      <c r="C1209" s="497">
        <v>44938.0</v>
      </c>
      <c r="D1209" s="495" t="s">
        <v>5303</v>
      </c>
      <c r="E1209" s="495" t="s">
        <v>5304</v>
      </c>
      <c r="F1209" s="495" t="s">
        <v>5305</v>
      </c>
      <c r="G1209" s="495" t="s">
        <v>1478</v>
      </c>
      <c r="H1209" s="463"/>
    </row>
    <row r="1210">
      <c r="A1210" s="463"/>
      <c r="B1210" s="495" t="s">
        <v>5306</v>
      </c>
      <c r="C1210" s="497">
        <v>44951.0</v>
      </c>
      <c r="D1210" s="495" t="s">
        <v>5307</v>
      </c>
      <c r="E1210" s="495" t="s">
        <v>5308</v>
      </c>
      <c r="F1210" s="495" t="s">
        <v>5309</v>
      </c>
      <c r="G1210" s="495" t="s">
        <v>5309</v>
      </c>
      <c r="H1210" s="463"/>
    </row>
    <row r="1211">
      <c r="A1211" s="463"/>
      <c r="B1211" s="495" t="s">
        <v>5310</v>
      </c>
      <c r="C1211" s="497">
        <v>44951.0</v>
      </c>
      <c r="D1211" s="495" t="s">
        <v>5311</v>
      </c>
      <c r="E1211" s="495" t="s">
        <v>5312</v>
      </c>
      <c r="F1211" s="495" t="s">
        <v>5309</v>
      </c>
      <c r="G1211" s="495" t="s">
        <v>5309</v>
      </c>
      <c r="H1211" s="463"/>
    </row>
    <row r="1212">
      <c r="A1212" s="463"/>
      <c r="B1212" s="495" t="s">
        <v>5313</v>
      </c>
      <c r="C1212" s="497">
        <v>44964.0</v>
      </c>
      <c r="D1212" s="495" t="s">
        <v>5314</v>
      </c>
      <c r="E1212" s="495" t="s">
        <v>5315</v>
      </c>
      <c r="F1212" s="495" t="s">
        <v>5316</v>
      </c>
      <c r="G1212" s="495" t="s">
        <v>5317</v>
      </c>
      <c r="H1212" s="463"/>
    </row>
    <row r="1213">
      <c r="A1213" s="463"/>
      <c r="B1213" s="495" t="s">
        <v>5318</v>
      </c>
      <c r="C1213" s="497">
        <v>44964.0</v>
      </c>
      <c r="D1213" s="495" t="s">
        <v>5319</v>
      </c>
      <c r="E1213" s="495" t="s">
        <v>5320</v>
      </c>
      <c r="F1213" s="495" t="s">
        <v>5321</v>
      </c>
      <c r="G1213" s="495" t="s">
        <v>5322</v>
      </c>
      <c r="H1213" s="495" t="s">
        <v>5323</v>
      </c>
    </row>
    <row r="1214">
      <c r="A1214" s="463"/>
      <c r="B1214" s="495" t="s">
        <v>5324</v>
      </c>
      <c r="C1214" s="497">
        <v>44964.0</v>
      </c>
      <c r="D1214" s="495" t="s">
        <v>5325</v>
      </c>
      <c r="E1214" s="495" t="s">
        <v>5326</v>
      </c>
      <c r="F1214" s="495" t="s">
        <v>5327</v>
      </c>
      <c r="G1214" s="495" t="s">
        <v>5328</v>
      </c>
      <c r="H1214" s="495" t="s">
        <v>5329</v>
      </c>
    </row>
    <row r="1215">
      <c r="A1215" s="463"/>
      <c r="B1215" s="495" t="s">
        <v>5330</v>
      </c>
      <c r="C1215" s="497">
        <v>44964.0</v>
      </c>
      <c r="D1215" s="495" t="s">
        <v>5331</v>
      </c>
      <c r="E1215" s="495" t="s">
        <v>5332</v>
      </c>
      <c r="F1215" s="495" t="s">
        <v>5333</v>
      </c>
      <c r="G1215" s="495" t="s">
        <v>5334</v>
      </c>
      <c r="H1215" s="463"/>
    </row>
    <row r="1216">
      <c r="A1216" s="463"/>
      <c r="B1216" s="495" t="s">
        <v>5335</v>
      </c>
      <c r="C1216" s="497">
        <v>44964.0</v>
      </c>
      <c r="D1216" s="495" t="s">
        <v>5336</v>
      </c>
      <c r="E1216" s="495" t="s">
        <v>2440</v>
      </c>
      <c r="F1216" s="495" t="s">
        <v>2441</v>
      </c>
      <c r="G1216" s="495" t="s">
        <v>1301</v>
      </c>
      <c r="H1216" s="463"/>
    </row>
    <row r="1217">
      <c r="A1217" s="463"/>
      <c r="B1217" s="495" t="s">
        <v>5337</v>
      </c>
      <c r="C1217" s="497">
        <v>44964.0</v>
      </c>
      <c r="D1217" s="495" t="s">
        <v>5338</v>
      </c>
      <c r="E1217" s="495" t="s">
        <v>5339</v>
      </c>
      <c r="F1217" s="495" t="s">
        <v>5340</v>
      </c>
      <c r="G1217" s="495" t="s">
        <v>5341</v>
      </c>
      <c r="H1217" s="463"/>
    </row>
    <row r="1218">
      <c r="A1218" s="463"/>
      <c r="B1218" s="495" t="s">
        <v>5342</v>
      </c>
      <c r="C1218" s="497">
        <v>44964.0</v>
      </c>
      <c r="D1218" s="495" t="s">
        <v>5343</v>
      </c>
      <c r="E1218" s="495" t="s">
        <v>5344</v>
      </c>
      <c r="F1218" s="495" t="s">
        <v>5345</v>
      </c>
      <c r="G1218" s="495" t="s">
        <v>5346</v>
      </c>
      <c r="H1218" s="495" t="s">
        <v>5347</v>
      </c>
    </row>
    <row r="1219">
      <c r="A1219" s="463"/>
      <c r="B1219" s="495" t="s">
        <v>5348</v>
      </c>
      <c r="C1219" s="497">
        <v>44964.0</v>
      </c>
      <c r="D1219" s="495" t="s">
        <v>5349</v>
      </c>
      <c r="E1219" s="495" t="s">
        <v>5350</v>
      </c>
      <c r="F1219" s="495" t="s">
        <v>5351</v>
      </c>
      <c r="G1219" s="495" t="s">
        <v>5352</v>
      </c>
      <c r="H1219" s="463"/>
    </row>
    <row r="1220">
      <c r="A1220" s="463"/>
      <c r="B1220" s="495" t="s">
        <v>5353</v>
      </c>
      <c r="C1220" s="497">
        <v>44967.0</v>
      </c>
      <c r="D1220" s="495" t="s">
        <v>5354</v>
      </c>
      <c r="E1220" s="495" t="s">
        <v>5355</v>
      </c>
      <c r="F1220" s="495" t="s">
        <v>5356</v>
      </c>
      <c r="G1220" s="495" t="s">
        <v>5357</v>
      </c>
      <c r="H1220" s="463"/>
    </row>
    <row r="1221">
      <c r="A1221" s="463"/>
      <c r="B1221" s="495" t="s">
        <v>5358</v>
      </c>
      <c r="C1221" s="497">
        <v>44967.0</v>
      </c>
      <c r="D1221" s="495" t="s">
        <v>5359</v>
      </c>
      <c r="E1221" s="495" t="s">
        <v>5360</v>
      </c>
      <c r="F1221" s="495" t="s">
        <v>5361</v>
      </c>
      <c r="G1221" s="495" t="s">
        <v>1803</v>
      </c>
      <c r="H1221" s="463"/>
    </row>
    <row r="1222">
      <c r="A1222" s="463"/>
      <c r="B1222" s="495" t="s">
        <v>5362</v>
      </c>
      <c r="C1222" s="497">
        <v>44984.0</v>
      </c>
      <c r="D1222" s="495" t="s">
        <v>5363</v>
      </c>
      <c r="E1222" s="495" t="s">
        <v>1185</v>
      </c>
      <c r="F1222" s="495" t="s">
        <v>1186</v>
      </c>
      <c r="G1222" s="495" t="s">
        <v>1187</v>
      </c>
      <c r="H1222" s="463"/>
    </row>
    <row r="1223">
      <c r="A1223" s="463"/>
      <c r="B1223" s="495" t="s">
        <v>5364</v>
      </c>
      <c r="C1223" s="497">
        <v>44992.0</v>
      </c>
      <c r="D1223" s="495" t="s">
        <v>5365</v>
      </c>
      <c r="E1223" s="495" t="s">
        <v>5366</v>
      </c>
      <c r="F1223" s="495" t="s">
        <v>5367</v>
      </c>
      <c r="G1223" s="495" t="s">
        <v>5368</v>
      </c>
      <c r="H1223" s="463"/>
    </row>
    <row r="1224">
      <c r="A1224" s="463"/>
      <c r="B1224" s="495" t="s">
        <v>5369</v>
      </c>
      <c r="C1224" s="497">
        <v>44992.0</v>
      </c>
      <c r="D1224" s="495" t="s">
        <v>5370</v>
      </c>
      <c r="E1224" s="495" t="s">
        <v>5371</v>
      </c>
      <c r="F1224" s="495" t="s">
        <v>5372</v>
      </c>
      <c r="G1224" s="495" t="s">
        <v>5373</v>
      </c>
      <c r="H1224" s="463"/>
    </row>
    <row r="1225">
      <c r="A1225" s="463"/>
      <c r="B1225" s="495" t="s">
        <v>5374</v>
      </c>
      <c r="C1225" s="497">
        <v>44992.0</v>
      </c>
      <c r="D1225" s="495" t="s">
        <v>5375</v>
      </c>
      <c r="E1225" s="495" t="s">
        <v>5376</v>
      </c>
      <c r="F1225" s="495" t="s">
        <v>5377</v>
      </c>
      <c r="G1225" s="495" t="s">
        <v>5378</v>
      </c>
      <c r="H1225" s="463"/>
    </row>
    <row r="1226">
      <c r="A1226" s="463"/>
      <c r="B1226" s="495" t="s">
        <v>5379</v>
      </c>
      <c r="C1226" s="497">
        <v>44992.0</v>
      </c>
      <c r="D1226" s="495" t="s">
        <v>5380</v>
      </c>
      <c r="E1226" s="495" t="s">
        <v>5381</v>
      </c>
      <c r="F1226" s="495" t="s">
        <v>5382</v>
      </c>
      <c r="G1226" s="495" t="s">
        <v>5383</v>
      </c>
      <c r="H1226" s="463"/>
    </row>
    <row r="1227">
      <c r="A1227" s="463"/>
      <c r="B1227" s="495" t="s">
        <v>5384</v>
      </c>
      <c r="C1227" s="497">
        <v>44992.0</v>
      </c>
      <c r="D1227" s="495" t="s">
        <v>5385</v>
      </c>
      <c r="E1227" s="495" t="s">
        <v>5386</v>
      </c>
      <c r="F1227" s="495" t="s">
        <v>5387</v>
      </c>
      <c r="G1227" s="495" t="s">
        <v>5388</v>
      </c>
      <c r="H1227" s="463"/>
    </row>
    <row r="1228">
      <c r="A1228" s="463"/>
      <c r="B1228" s="495" t="s">
        <v>5389</v>
      </c>
      <c r="C1228" s="497">
        <v>44995.0</v>
      </c>
      <c r="D1228" s="495" t="s">
        <v>5390</v>
      </c>
      <c r="E1228" s="495" t="s">
        <v>5391</v>
      </c>
      <c r="F1228" s="495" t="s">
        <v>5392</v>
      </c>
      <c r="G1228" s="495" t="s">
        <v>5393</v>
      </c>
      <c r="H1228" s="463"/>
    </row>
    <row r="1229">
      <c r="A1229" s="463"/>
      <c r="B1229" s="495" t="s">
        <v>5394</v>
      </c>
      <c r="C1229" s="497">
        <v>44995.0</v>
      </c>
      <c r="D1229" s="495" t="s">
        <v>5395</v>
      </c>
      <c r="E1229" s="495" t="s">
        <v>5396</v>
      </c>
      <c r="F1229" s="495" t="s">
        <v>5397</v>
      </c>
      <c r="G1229" s="495" t="s">
        <v>5398</v>
      </c>
      <c r="H1229" s="463"/>
    </row>
    <row r="1230">
      <c r="A1230" s="463"/>
      <c r="B1230" s="495" t="s">
        <v>5399</v>
      </c>
      <c r="C1230" s="497">
        <v>45007.0</v>
      </c>
      <c r="D1230" s="495" t="s">
        <v>5400</v>
      </c>
      <c r="E1230" s="495" t="s">
        <v>3309</v>
      </c>
      <c r="F1230" s="495" t="s">
        <v>3310</v>
      </c>
      <c r="G1230" s="495" t="s">
        <v>1795</v>
      </c>
      <c r="H1230" s="463"/>
    </row>
    <row r="1231">
      <c r="A1231" s="463"/>
      <c r="B1231" s="495" t="s">
        <v>5401</v>
      </c>
      <c r="C1231" s="497">
        <v>45007.0</v>
      </c>
      <c r="D1231" s="495" t="s">
        <v>5402</v>
      </c>
      <c r="E1231" s="495" t="s">
        <v>5403</v>
      </c>
      <c r="F1231" s="495" t="s">
        <v>5404</v>
      </c>
      <c r="G1231" s="495" t="s">
        <v>1209</v>
      </c>
      <c r="H1231" s="463"/>
    </row>
    <row r="1232">
      <c r="A1232" s="463"/>
      <c r="B1232" s="495" t="s">
        <v>5405</v>
      </c>
      <c r="C1232" s="497">
        <v>45007.0</v>
      </c>
      <c r="D1232" s="495" t="s">
        <v>5406</v>
      </c>
      <c r="E1232" s="495" t="s">
        <v>5407</v>
      </c>
      <c r="F1232" s="495" t="s">
        <v>5408</v>
      </c>
      <c r="G1232" s="495" t="s">
        <v>5409</v>
      </c>
      <c r="H1232" s="463"/>
    </row>
    <row r="1233">
      <c r="A1233" s="463"/>
      <c r="B1233" s="495" t="s">
        <v>5410</v>
      </c>
      <c r="C1233" s="497">
        <v>45010.0</v>
      </c>
      <c r="D1233" s="495" t="s">
        <v>5411</v>
      </c>
      <c r="E1233" s="495" t="s">
        <v>5412</v>
      </c>
      <c r="F1233" s="495" t="s">
        <v>5413</v>
      </c>
      <c r="G1233" s="495" t="s">
        <v>2739</v>
      </c>
      <c r="H1233" s="463"/>
    </row>
    <row r="1234">
      <c r="A1234" s="463"/>
      <c r="B1234" s="495" t="s">
        <v>5414</v>
      </c>
      <c r="C1234" s="497">
        <v>45023.0</v>
      </c>
      <c r="D1234" s="495" t="s">
        <v>5415</v>
      </c>
      <c r="E1234" s="495" t="s">
        <v>5416</v>
      </c>
      <c r="F1234" s="495" t="s">
        <v>5417</v>
      </c>
      <c r="G1234" s="495" t="s">
        <v>5418</v>
      </c>
      <c r="H1234" s="463"/>
    </row>
    <row r="1235">
      <c r="A1235" s="463"/>
      <c r="B1235" s="495" t="s">
        <v>5419</v>
      </c>
      <c r="C1235" s="497">
        <v>45023.0</v>
      </c>
      <c r="D1235" s="495" t="s">
        <v>5420</v>
      </c>
      <c r="E1235" s="495" t="s">
        <v>5421</v>
      </c>
      <c r="F1235" s="495" t="s">
        <v>5422</v>
      </c>
      <c r="G1235" s="495" t="s">
        <v>5423</v>
      </c>
      <c r="H1235" s="463"/>
    </row>
    <row r="1236">
      <c r="A1236" s="463"/>
      <c r="B1236" s="495" t="s">
        <v>5424</v>
      </c>
      <c r="C1236" s="497">
        <v>45023.0</v>
      </c>
      <c r="D1236" s="495" t="s">
        <v>5425</v>
      </c>
      <c r="E1236" s="495" t="s">
        <v>5426</v>
      </c>
      <c r="F1236" s="495" t="s">
        <v>5427</v>
      </c>
      <c r="G1236" s="495" t="s">
        <v>5428</v>
      </c>
      <c r="H1236" s="495" t="s">
        <v>5429</v>
      </c>
    </row>
    <row r="1237">
      <c r="A1237" s="463"/>
      <c r="B1237" s="495" t="s">
        <v>5430</v>
      </c>
      <c r="C1237" s="497">
        <v>45023.0</v>
      </c>
      <c r="D1237" s="495" t="s">
        <v>5431</v>
      </c>
      <c r="E1237" s="495" t="s">
        <v>5432</v>
      </c>
      <c r="F1237" s="495" t="s">
        <v>5433</v>
      </c>
      <c r="G1237" s="495" t="s">
        <v>5434</v>
      </c>
      <c r="H1237" s="463"/>
    </row>
    <row r="1238">
      <c r="A1238" s="463"/>
      <c r="B1238" s="495" t="s">
        <v>5435</v>
      </c>
      <c r="C1238" s="497">
        <v>45023.0</v>
      </c>
      <c r="D1238" s="495" t="s">
        <v>5436</v>
      </c>
      <c r="E1238" s="495" t="s">
        <v>5437</v>
      </c>
      <c r="F1238" s="495" t="s">
        <v>5438</v>
      </c>
      <c r="G1238" s="495" t="s">
        <v>5439</v>
      </c>
      <c r="H1238" s="463"/>
    </row>
    <row r="1239">
      <c r="A1239" s="463"/>
      <c r="B1239" s="495" t="s">
        <v>5440</v>
      </c>
      <c r="C1239" s="497">
        <v>45028.0</v>
      </c>
      <c r="D1239" s="495" t="s">
        <v>5441</v>
      </c>
      <c r="E1239" s="495" t="s">
        <v>5442</v>
      </c>
      <c r="F1239" s="495" t="s">
        <v>5443</v>
      </c>
      <c r="G1239" s="495" t="s">
        <v>5444</v>
      </c>
      <c r="H1239" s="463"/>
    </row>
    <row r="1240">
      <c r="A1240" s="463"/>
      <c r="B1240" s="495" t="s">
        <v>5445</v>
      </c>
      <c r="C1240" s="497">
        <v>45028.0</v>
      </c>
      <c r="D1240" s="495" t="s">
        <v>5446</v>
      </c>
      <c r="E1240" s="495" t="s">
        <v>4077</v>
      </c>
      <c r="F1240" s="495" t="s">
        <v>4078</v>
      </c>
      <c r="G1240" s="495" t="s">
        <v>4079</v>
      </c>
      <c r="H1240" s="463"/>
    </row>
    <row r="1241">
      <c r="A1241" s="463"/>
      <c r="B1241" s="495" t="s">
        <v>5447</v>
      </c>
      <c r="C1241" s="497">
        <v>45028.0</v>
      </c>
      <c r="D1241" s="495" t="s">
        <v>163</v>
      </c>
      <c r="E1241" s="495" t="s">
        <v>5448</v>
      </c>
      <c r="F1241" s="495" t="s">
        <v>5449</v>
      </c>
      <c r="G1241" s="495" t="s">
        <v>5450</v>
      </c>
      <c r="H1241" s="463"/>
    </row>
    <row r="1242">
      <c r="A1242" s="463"/>
      <c r="B1242" s="495" t="s">
        <v>5451</v>
      </c>
      <c r="C1242" s="497">
        <v>45037.0</v>
      </c>
      <c r="D1242" s="495" t="s">
        <v>5452</v>
      </c>
      <c r="E1242" s="495" t="s">
        <v>5453</v>
      </c>
      <c r="F1242" s="495" t="s">
        <v>5454</v>
      </c>
      <c r="G1242" s="495" t="s">
        <v>2003</v>
      </c>
      <c r="H1242" s="463"/>
    </row>
    <row r="1243">
      <c r="A1243" s="463"/>
      <c r="B1243" s="495" t="s">
        <v>5455</v>
      </c>
      <c r="C1243" s="497">
        <v>45037.0</v>
      </c>
      <c r="D1243" s="495" t="s">
        <v>5456</v>
      </c>
      <c r="E1243" s="495" t="s">
        <v>5457</v>
      </c>
      <c r="F1243" s="495" t="s">
        <v>5458</v>
      </c>
      <c r="G1243" s="495" t="s">
        <v>5459</v>
      </c>
      <c r="H1243" s="463"/>
    </row>
    <row r="1244">
      <c r="A1244" s="463"/>
      <c r="B1244" s="495" t="s">
        <v>5460</v>
      </c>
      <c r="C1244" s="497">
        <v>45041.0</v>
      </c>
      <c r="D1244" s="495" t="s">
        <v>5461</v>
      </c>
      <c r="E1244" s="495" t="s">
        <v>3286</v>
      </c>
      <c r="F1244" s="495" t="s">
        <v>3287</v>
      </c>
      <c r="G1244" s="495" t="s">
        <v>3288</v>
      </c>
      <c r="H1244" s="463"/>
    </row>
    <row r="1245">
      <c r="A1245" s="463"/>
      <c r="B1245" s="495" t="s">
        <v>5462</v>
      </c>
      <c r="C1245" s="497">
        <v>45041.0</v>
      </c>
      <c r="D1245" s="495" t="s">
        <v>5463</v>
      </c>
      <c r="E1245" s="495" t="s">
        <v>1937</v>
      </c>
      <c r="F1245" s="495" t="s">
        <v>1938</v>
      </c>
      <c r="G1245" s="495" t="s">
        <v>1939</v>
      </c>
      <c r="H1245" s="463"/>
    </row>
    <row r="1246">
      <c r="A1246" s="463"/>
      <c r="B1246" s="495" t="s">
        <v>5464</v>
      </c>
      <c r="C1246" s="497">
        <v>45043.0</v>
      </c>
      <c r="D1246" s="495" t="s">
        <v>5465</v>
      </c>
      <c r="E1246" s="495" t="s">
        <v>5466</v>
      </c>
      <c r="F1246" s="495" t="s">
        <v>5467</v>
      </c>
      <c r="G1246" s="495" t="s">
        <v>5468</v>
      </c>
      <c r="H1246" s="463"/>
    </row>
    <row r="1247">
      <c r="A1247" s="463"/>
      <c r="B1247" s="495" t="s">
        <v>5469</v>
      </c>
      <c r="C1247" s="497">
        <v>45043.0</v>
      </c>
      <c r="D1247" s="495" t="s">
        <v>5470</v>
      </c>
      <c r="E1247" s="495" t="s">
        <v>5471</v>
      </c>
      <c r="F1247" s="495" t="s">
        <v>5472</v>
      </c>
      <c r="G1247" s="495" t="s">
        <v>5473</v>
      </c>
      <c r="H1247" s="463"/>
    </row>
    <row r="1248">
      <c r="A1248" s="463"/>
      <c r="B1248" s="495" t="s">
        <v>5474</v>
      </c>
      <c r="C1248" s="497">
        <v>45052.0</v>
      </c>
      <c r="D1248" s="495" t="s">
        <v>5475</v>
      </c>
      <c r="E1248" s="495" t="s">
        <v>5476</v>
      </c>
      <c r="F1248" s="495" t="s">
        <v>5477</v>
      </c>
      <c r="G1248" s="495" t="s">
        <v>5478</v>
      </c>
      <c r="H1248" s="463"/>
    </row>
    <row r="1249">
      <c r="A1249" s="463"/>
      <c r="B1249" s="495" t="s">
        <v>5479</v>
      </c>
      <c r="C1249" s="497">
        <v>45057.0</v>
      </c>
      <c r="D1249" s="495" t="s">
        <v>5480</v>
      </c>
      <c r="E1249" s="495" t="s">
        <v>5481</v>
      </c>
      <c r="F1249" s="495" t="s">
        <v>5482</v>
      </c>
      <c r="G1249" s="495" t="s">
        <v>2206</v>
      </c>
      <c r="H1249" s="463"/>
    </row>
    <row r="1250">
      <c r="A1250" s="463"/>
      <c r="B1250" s="495" t="s">
        <v>5483</v>
      </c>
      <c r="C1250" s="497">
        <v>45057.0</v>
      </c>
      <c r="D1250" s="495" t="s">
        <v>5484</v>
      </c>
      <c r="E1250" s="495" t="s">
        <v>811</v>
      </c>
      <c r="F1250" s="495" t="s">
        <v>5485</v>
      </c>
      <c r="G1250" s="495" t="s">
        <v>5486</v>
      </c>
      <c r="H1250" s="463"/>
    </row>
    <row r="1251">
      <c r="A1251" s="463"/>
      <c r="B1251" s="495" t="s">
        <v>5487</v>
      </c>
      <c r="C1251" s="497">
        <v>45057.0</v>
      </c>
      <c r="D1251" s="495" t="s">
        <v>5488</v>
      </c>
      <c r="E1251" s="495" t="s">
        <v>5489</v>
      </c>
      <c r="F1251" s="495" t="s">
        <v>3091</v>
      </c>
      <c r="G1251" s="495" t="s">
        <v>3092</v>
      </c>
      <c r="H1251" s="463"/>
    </row>
    <row r="1252">
      <c r="A1252" s="463"/>
      <c r="B1252" s="495" t="s">
        <v>5490</v>
      </c>
      <c r="C1252" s="497">
        <v>45057.0</v>
      </c>
      <c r="D1252" s="495" t="s">
        <v>5491</v>
      </c>
      <c r="E1252" s="495" t="s">
        <v>5492</v>
      </c>
      <c r="F1252" s="495" t="s">
        <v>5493</v>
      </c>
      <c r="G1252" s="495" t="s">
        <v>5494</v>
      </c>
      <c r="H1252" s="495" t="s">
        <v>2438</v>
      </c>
    </row>
    <row r="1253">
      <c r="A1253" s="463"/>
      <c r="B1253" s="495" t="s">
        <v>5495</v>
      </c>
      <c r="C1253" s="497">
        <v>45071.0</v>
      </c>
      <c r="D1253" s="495" t="s">
        <v>5496</v>
      </c>
      <c r="E1253" s="495" t="s">
        <v>5497</v>
      </c>
      <c r="F1253" s="495" t="s">
        <v>5498</v>
      </c>
      <c r="G1253" s="495" t="s">
        <v>5499</v>
      </c>
      <c r="H1253" s="463"/>
    </row>
    <row r="1254">
      <c r="A1254" s="463"/>
      <c r="B1254" s="495" t="s">
        <v>5500</v>
      </c>
      <c r="C1254" s="497">
        <v>45071.0</v>
      </c>
      <c r="D1254" s="495" t="s">
        <v>5501</v>
      </c>
      <c r="E1254" s="495" t="s">
        <v>5502</v>
      </c>
      <c r="F1254" s="495" t="s">
        <v>5503</v>
      </c>
      <c r="G1254" s="495" t="s">
        <v>5504</v>
      </c>
      <c r="H1254" s="463"/>
    </row>
    <row r="1255">
      <c r="A1255" s="463"/>
      <c r="B1255" s="495">
        <v>595.0</v>
      </c>
      <c r="C1255" s="497">
        <v>45072.0</v>
      </c>
      <c r="D1255" s="495" t="s">
        <v>5505</v>
      </c>
      <c r="E1255" s="495" t="s">
        <v>972</v>
      </c>
      <c r="F1255" s="495" t="s">
        <v>973</v>
      </c>
      <c r="G1255" s="495" t="s">
        <v>974</v>
      </c>
      <c r="H1255" s="463"/>
    </row>
    <row r="1256">
      <c r="A1256" s="463"/>
      <c r="B1256" s="495" t="s">
        <v>5506</v>
      </c>
      <c r="C1256" s="497">
        <v>45084.0</v>
      </c>
      <c r="D1256" s="495" t="s">
        <v>5507</v>
      </c>
      <c r="E1256" s="495" t="s">
        <v>5508</v>
      </c>
      <c r="F1256" s="495" t="s">
        <v>5509</v>
      </c>
      <c r="G1256" s="495" t="s">
        <v>1012</v>
      </c>
      <c r="H1256" s="463"/>
    </row>
    <row r="1257">
      <c r="A1257" s="463"/>
      <c r="B1257" s="495" t="s">
        <v>5510</v>
      </c>
      <c r="C1257" s="497">
        <v>45084.0</v>
      </c>
      <c r="D1257" s="495" t="s">
        <v>5511</v>
      </c>
      <c r="E1257" s="495" t="s">
        <v>5512</v>
      </c>
      <c r="F1257" s="495" t="s">
        <v>5513</v>
      </c>
      <c r="G1257" s="495" t="s">
        <v>5514</v>
      </c>
      <c r="H1257" s="463"/>
    </row>
    <row r="1258">
      <c r="A1258" s="463"/>
      <c r="B1258" s="495" t="s">
        <v>5515</v>
      </c>
      <c r="C1258" s="497">
        <v>45084.0</v>
      </c>
      <c r="D1258" s="495" t="s">
        <v>5516</v>
      </c>
      <c r="E1258" s="495" t="s">
        <v>5517</v>
      </c>
      <c r="F1258" s="495" t="s">
        <v>5518</v>
      </c>
      <c r="G1258" s="495" t="s">
        <v>5519</v>
      </c>
      <c r="H1258" s="463"/>
    </row>
    <row r="1259">
      <c r="A1259" s="463"/>
      <c r="B1259" s="495" t="s">
        <v>5520</v>
      </c>
      <c r="C1259" s="497">
        <v>45089.0</v>
      </c>
      <c r="D1259" s="495" t="s">
        <v>5521</v>
      </c>
      <c r="E1259" s="495" t="s">
        <v>5522</v>
      </c>
      <c r="F1259" s="495" t="s">
        <v>5523</v>
      </c>
      <c r="G1259" s="495" t="s">
        <v>5524</v>
      </c>
      <c r="H1259" s="463"/>
    </row>
    <row r="1260">
      <c r="A1260" s="463"/>
      <c r="B1260" s="495" t="s">
        <v>5525</v>
      </c>
      <c r="C1260" s="497">
        <v>45089.0</v>
      </c>
      <c r="D1260" s="495" t="s">
        <v>5526</v>
      </c>
      <c r="E1260" s="495" t="s">
        <v>5527</v>
      </c>
      <c r="F1260" s="495" t="s">
        <v>5528</v>
      </c>
      <c r="G1260" s="495" t="s">
        <v>5529</v>
      </c>
      <c r="H1260" s="463"/>
    </row>
    <row r="1261">
      <c r="A1261" s="463"/>
      <c r="B1261" s="495" t="s">
        <v>5530</v>
      </c>
      <c r="C1261" s="497">
        <v>45104.0</v>
      </c>
      <c r="D1261" s="495" t="s">
        <v>5531</v>
      </c>
      <c r="E1261" s="495" t="s">
        <v>5532</v>
      </c>
      <c r="F1261" s="495" t="s">
        <v>5533</v>
      </c>
      <c r="G1261" s="495" t="s">
        <v>1097</v>
      </c>
      <c r="H1261" s="463"/>
    </row>
    <row r="1262">
      <c r="A1262" s="463"/>
      <c r="B1262" s="495" t="s">
        <v>5534</v>
      </c>
      <c r="C1262" s="497">
        <v>45100.0</v>
      </c>
      <c r="D1262" s="495" t="s">
        <v>5535</v>
      </c>
      <c r="E1262" s="495" t="s">
        <v>5536</v>
      </c>
      <c r="F1262" s="495" t="s">
        <v>5537</v>
      </c>
      <c r="G1262" s="495" t="s">
        <v>5537</v>
      </c>
      <c r="H1262" s="463"/>
    </row>
    <row r="1263">
      <c r="A1263" s="463"/>
      <c r="B1263" s="495" t="s">
        <v>5538</v>
      </c>
      <c r="C1263" s="497">
        <v>45113.0</v>
      </c>
      <c r="D1263" s="495" t="s">
        <v>5539</v>
      </c>
      <c r="E1263" s="495" t="s">
        <v>5540</v>
      </c>
      <c r="F1263" s="495" t="s">
        <v>5541</v>
      </c>
      <c r="G1263" s="495" t="s">
        <v>5542</v>
      </c>
      <c r="H1263" s="463"/>
    </row>
    <row r="1264">
      <c r="A1264" s="463"/>
      <c r="B1264" s="495" t="s">
        <v>5543</v>
      </c>
      <c r="C1264" s="497">
        <v>45113.0</v>
      </c>
      <c r="D1264" s="495" t="s">
        <v>5544</v>
      </c>
      <c r="E1264" s="495" t="s">
        <v>5545</v>
      </c>
      <c r="F1264" s="495" t="s">
        <v>5546</v>
      </c>
      <c r="G1264" s="495" t="s">
        <v>5547</v>
      </c>
      <c r="H1264" s="463"/>
    </row>
    <row r="1265">
      <c r="A1265" s="463"/>
      <c r="B1265" s="495" t="s">
        <v>5548</v>
      </c>
      <c r="C1265" s="497">
        <v>45113.0</v>
      </c>
      <c r="D1265" s="495" t="s">
        <v>5549</v>
      </c>
      <c r="E1265" s="495" t="s">
        <v>5550</v>
      </c>
      <c r="F1265" s="495" t="s">
        <v>5551</v>
      </c>
      <c r="G1265" s="495" t="s">
        <v>5552</v>
      </c>
      <c r="H1265" s="463"/>
    </row>
    <row r="1266">
      <c r="A1266" s="463"/>
      <c r="B1266" s="495" t="s">
        <v>5553</v>
      </c>
      <c r="C1266" s="497">
        <v>45119.0</v>
      </c>
      <c r="D1266" s="495" t="s">
        <v>5554</v>
      </c>
      <c r="E1266" s="495" t="s">
        <v>5555</v>
      </c>
      <c r="F1266" s="495" t="s">
        <v>5556</v>
      </c>
      <c r="G1266" s="495" t="s">
        <v>955</v>
      </c>
      <c r="H1266" s="463"/>
    </row>
    <row r="1267">
      <c r="A1267" s="463"/>
      <c r="B1267" s="495" t="s">
        <v>5557</v>
      </c>
      <c r="C1267" s="497">
        <v>45129.0</v>
      </c>
      <c r="D1267" s="495" t="s">
        <v>5558</v>
      </c>
      <c r="E1267" s="495" t="s">
        <v>5559</v>
      </c>
      <c r="F1267" s="495" t="s">
        <v>5560</v>
      </c>
      <c r="G1267" s="495" t="s">
        <v>5561</v>
      </c>
      <c r="H1267" s="463"/>
    </row>
    <row r="1268">
      <c r="A1268" s="463"/>
      <c r="B1268" s="495" t="s">
        <v>5562</v>
      </c>
      <c r="C1268" s="497">
        <v>45129.0</v>
      </c>
      <c r="D1268" s="495" t="s">
        <v>5563</v>
      </c>
      <c r="E1268" s="495" t="s">
        <v>1714</v>
      </c>
      <c r="F1268" s="495" t="s">
        <v>1715</v>
      </c>
      <c r="G1268" s="495" t="s">
        <v>1285</v>
      </c>
      <c r="H1268" s="463"/>
    </row>
    <row r="1269">
      <c r="A1269" s="463"/>
      <c r="B1269" s="495" t="s">
        <v>5564</v>
      </c>
      <c r="C1269" s="497">
        <v>45132.0</v>
      </c>
      <c r="D1269" s="495" t="s">
        <v>5565</v>
      </c>
      <c r="E1269" s="495" t="s">
        <v>3544</v>
      </c>
      <c r="F1269" s="495" t="s">
        <v>3545</v>
      </c>
      <c r="G1269" s="495" t="s">
        <v>1575</v>
      </c>
      <c r="H1269" s="463"/>
    </row>
    <row r="1270">
      <c r="A1270" s="463"/>
      <c r="B1270" s="495" t="s">
        <v>5566</v>
      </c>
      <c r="C1270" s="497">
        <v>45134.0</v>
      </c>
      <c r="D1270" s="495" t="s">
        <v>5567</v>
      </c>
      <c r="E1270" s="495" t="s">
        <v>5568</v>
      </c>
      <c r="F1270" s="495" t="s">
        <v>4643</v>
      </c>
      <c r="G1270" s="495" t="s">
        <v>4643</v>
      </c>
      <c r="H1270" s="463"/>
    </row>
    <row r="1271">
      <c r="A1271" s="463"/>
      <c r="B1271" s="495" t="s">
        <v>5569</v>
      </c>
      <c r="C1271" s="497">
        <v>45134.0</v>
      </c>
      <c r="D1271" s="495" t="s">
        <v>5570</v>
      </c>
      <c r="E1271" s="495" t="s">
        <v>5571</v>
      </c>
      <c r="F1271" s="495" t="s">
        <v>5572</v>
      </c>
      <c r="G1271" s="495" t="s">
        <v>5573</v>
      </c>
      <c r="H1271" s="463"/>
    </row>
    <row r="1272">
      <c r="A1272" s="463"/>
      <c r="B1272" s="495" t="s">
        <v>5574</v>
      </c>
      <c r="C1272" s="497">
        <v>45134.0</v>
      </c>
      <c r="D1272" s="495" t="s">
        <v>5575</v>
      </c>
      <c r="E1272" s="495" t="s">
        <v>5576</v>
      </c>
      <c r="F1272" s="495" t="s">
        <v>5577</v>
      </c>
      <c r="G1272" s="495" t="s">
        <v>5578</v>
      </c>
      <c r="H1272" s="463"/>
    </row>
    <row r="1273">
      <c r="A1273" s="463"/>
      <c r="B1273" s="495" t="s">
        <v>5579</v>
      </c>
      <c r="C1273" s="497">
        <v>45134.0</v>
      </c>
      <c r="D1273" s="495" t="s">
        <v>5580</v>
      </c>
      <c r="E1273" s="495" t="s">
        <v>5581</v>
      </c>
      <c r="F1273" s="495" t="s">
        <v>5582</v>
      </c>
      <c r="G1273" s="495" t="s">
        <v>1213</v>
      </c>
      <c r="H1273" s="463"/>
    </row>
    <row r="1274">
      <c r="A1274" s="463"/>
      <c r="B1274" s="495" t="s">
        <v>5583</v>
      </c>
      <c r="C1274" s="497">
        <v>45142.0</v>
      </c>
      <c r="D1274" s="495" t="s">
        <v>5584</v>
      </c>
      <c r="E1274" s="495" t="s">
        <v>5585</v>
      </c>
      <c r="F1274" s="495" t="s">
        <v>1591</v>
      </c>
      <c r="G1274" s="495" t="s">
        <v>1562</v>
      </c>
      <c r="H1274" s="463"/>
    </row>
    <row r="1275">
      <c r="A1275" s="463"/>
      <c r="B1275" s="495" t="s">
        <v>5586</v>
      </c>
      <c r="C1275" s="497">
        <v>45145.0</v>
      </c>
      <c r="D1275" s="495" t="s">
        <v>5587</v>
      </c>
      <c r="E1275" s="495" t="s">
        <v>5588</v>
      </c>
      <c r="F1275" s="495" t="s">
        <v>5589</v>
      </c>
      <c r="G1275" s="495" t="s">
        <v>5590</v>
      </c>
      <c r="H1275" s="463"/>
    </row>
    <row r="1276">
      <c r="A1276" s="463"/>
      <c r="B1276" s="495" t="s">
        <v>5591</v>
      </c>
      <c r="C1276" s="497">
        <v>45145.0</v>
      </c>
      <c r="D1276" s="495" t="s">
        <v>5592</v>
      </c>
      <c r="E1276" s="495" t="s">
        <v>5593</v>
      </c>
      <c r="F1276" s="495" t="s">
        <v>5594</v>
      </c>
      <c r="G1276" s="495" t="s">
        <v>5595</v>
      </c>
      <c r="H1276" s="463"/>
    </row>
    <row r="1277">
      <c r="A1277" s="463"/>
      <c r="B1277" s="495" t="s">
        <v>5596</v>
      </c>
      <c r="C1277" s="497">
        <v>45145.0</v>
      </c>
      <c r="D1277" s="495" t="s">
        <v>5597</v>
      </c>
      <c r="E1277" s="495" t="s">
        <v>5598</v>
      </c>
      <c r="F1277" s="495" t="s">
        <v>5599</v>
      </c>
      <c r="G1277" s="495" t="s">
        <v>5600</v>
      </c>
      <c r="H1277" s="463"/>
    </row>
    <row r="1278">
      <c r="A1278" s="463"/>
      <c r="B1278" s="495" t="s">
        <v>5601</v>
      </c>
      <c r="C1278" s="497">
        <v>45145.0</v>
      </c>
      <c r="D1278" s="495" t="s">
        <v>5602</v>
      </c>
      <c r="E1278" s="495" t="s">
        <v>5603</v>
      </c>
      <c r="F1278" s="495" t="s">
        <v>5604</v>
      </c>
      <c r="G1278" s="495" t="s">
        <v>5605</v>
      </c>
      <c r="H1278" s="463"/>
    </row>
    <row r="1279">
      <c r="A1279" s="463"/>
      <c r="B1279" s="495" t="s">
        <v>5606</v>
      </c>
      <c r="C1279" s="497">
        <v>45148.0</v>
      </c>
      <c r="D1279" s="495" t="s">
        <v>5607</v>
      </c>
      <c r="E1279" s="495" t="s">
        <v>5608</v>
      </c>
      <c r="F1279" s="495" t="s">
        <v>5609</v>
      </c>
      <c r="G1279" s="495" t="s">
        <v>5610</v>
      </c>
      <c r="H1279" s="463"/>
    </row>
    <row r="1280">
      <c r="A1280" s="463"/>
      <c r="B1280" s="495" t="s">
        <v>5611</v>
      </c>
      <c r="C1280" s="497">
        <v>45160.0</v>
      </c>
      <c r="D1280" s="495" t="s">
        <v>5612</v>
      </c>
      <c r="E1280" s="495" t="s">
        <v>3252</v>
      </c>
      <c r="F1280" s="495" t="s">
        <v>3253</v>
      </c>
      <c r="G1280" s="495" t="s">
        <v>2134</v>
      </c>
      <c r="H1280" s="463"/>
    </row>
    <row r="1281">
      <c r="A1281" s="463"/>
      <c r="B1281" s="495" t="s">
        <v>5613</v>
      </c>
      <c r="C1281" s="497">
        <v>45163.0</v>
      </c>
      <c r="D1281" s="495" t="s">
        <v>5614</v>
      </c>
      <c r="E1281" s="495" t="s">
        <v>5615</v>
      </c>
      <c r="F1281" s="495" t="s">
        <v>5616</v>
      </c>
      <c r="G1281" s="495" t="s">
        <v>5617</v>
      </c>
      <c r="H1281" s="463"/>
    </row>
    <row r="1282">
      <c r="A1282" s="463"/>
      <c r="B1282" s="495" t="s">
        <v>5618</v>
      </c>
      <c r="C1282" s="497">
        <v>45176.0</v>
      </c>
      <c r="D1282" s="495" t="s">
        <v>5619</v>
      </c>
      <c r="E1282" s="495" t="s">
        <v>5620</v>
      </c>
      <c r="F1282" s="495" t="s">
        <v>5621</v>
      </c>
      <c r="G1282" s="495" t="s">
        <v>5622</v>
      </c>
      <c r="H1282" s="463"/>
    </row>
    <row r="1283">
      <c r="A1283" s="463"/>
      <c r="B1283" s="495" t="s">
        <v>5623</v>
      </c>
      <c r="C1283" s="497">
        <v>45176.0</v>
      </c>
      <c r="D1283" s="495" t="s">
        <v>5624</v>
      </c>
      <c r="E1283" s="495" t="s">
        <v>5625</v>
      </c>
      <c r="F1283" s="495" t="s">
        <v>5626</v>
      </c>
      <c r="G1283" s="495" t="s">
        <v>5627</v>
      </c>
      <c r="H1283" s="463"/>
    </row>
    <row r="1284">
      <c r="A1284" s="463"/>
      <c r="B1284" s="495" t="s">
        <v>5628</v>
      </c>
      <c r="C1284" s="497">
        <v>45176.0</v>
      </c>
      <c r="D1284" s="495" t="s">
        <v>5629</v>
      </c>
      <c r="E1284" s="495" t="s">
        <v>5630</v>
      </c>
      <c r="F1284" s="495" t="s">
        <v>5631</v>
      </c>
      <c r="G1284" s="495" t="s">
        <v>5632</v>
      </c>
      <c r="H1284" s="463"/>
    </row>
    <row r="1285">
      <c r="A1285" s="463"/>
      <c r="B1285" s="495" t="s">
        <v>5633</v>
      </c>
      <c r="C1285" s="497">
        <v>45181.0</v>
      </c>
      <c r="D1285" s="495" t="s">
        <v>5634</v>
      </c>
      <c r="E1285" s="495" t="s">
        <v>5635</v>
      </c>
      <c r="F1285" s="495" t="s">
        <v>5636</v>
      </c>
      <c r="G1285" s="495" t="s">
        <v>5637</v>
      </c>
      <c r="H1285" s="463"/>
    </row>
    <row r="1286">
      <c r="A1286" s="463"/>
      <c r="B1286" s="495" t="s">
        <v>5638</v>
      </c>
      <c r="C1286" s="497">
        <v>45189.0</v>
      </c>
      <c r="D1286" s="495" t="s">
        <v>5639</v>
      </c>
      <c r="E1286" s="495" t="s">
        <v>5640</v>
      </c>
      <c r="F1286" s="495" t="s">
        <v>5641</v>
      </c>
      <c r="G1286" s="495" t="s">
        <v>5642</v>
      </c>
      <c r="H1286" s="463"/>
    </row>
    <row r="1287">
      <c r="A1287" s="463"/>
      <c r="B1287" s="495" t="s">
        <v>5643</v>
      </c>
      <c r="C1287" s="497">
        <v>45181.0</v>
      </c>
      <c r="D1287" s="495" t="s">
        <v>5644</v>
      </c>
      <c r="E1287" s="495" t="s">
        <v>5645</v>
      </c>
      <c r="F1287" s="495" t="s">
        <v>5646</v>
      </c>
      <c r="G1287" s="495" t="s">
        <v>5647</v>
      </c>
      <c r="H1287" s="463"/>
    </row>
    <row r="1288">
      <c r="A1288" s="463"/>
      <c r="B1288" s="495" t="s">
        <v>5648</v>
      </c>
      <c r="C1288" s="497">
        <v>45181.0</v>
      </c>
      <c r="D1288" s="495" t="s">
        <v>5649</v>
      </c>
      <c r="E1288" s="495" t="s">
        <v>5650</v>
      </c>
      <c r="F1288" s="495" t="s">
        <v>5651</v>
      </c>
      <c r="G1288" s="495" t="s">
        <v>5652</v>
      </c>
      <c r="H1288" s="463"/>
    </row>
    <row r="1289">
      <c r="A1289" s="463"/>
      <c r="B1289" s="495" t="s">
        <v>5653</v>
      </c>
      <c r="C1289" s="497">
        <v>45181.0</v>
      </c>
      <c r="D1289" s="495" t="s">
        <v>5654</v>
      </c>
      <c r="E1289" s="495" t="s">
        <v>5655</v>
      </c>
      <c r="F1289" s="495" t="s">
        <v>5656</v>
      </c>
      <c r="G1289" s="495" t="s">
        <v>5657</v>
      </c>
      <c r="H1289" s="495" t="s">
        <v>5658</v>
      </c>
    </row>
    <row r="1290">
      <c r="A1290" s="463"/>
      <c r="B1290" s="495" t="s">
        <v>5659</v>
      </c>
      <c r="C1290" s="497">
        <v>45181.0</v>
      </c>
      <c r="D1290" s="495" t="s">
        <v>5660</v>
      </c>
      <c r="E1290" s="495" t="s">
        <v>5661</v>
      </c>
      <c r="F1290" s="495" t="s">
        <v>5662</v>
      </c>
      <c r="G1290" s="495" t="s">
        <v>5663</v>
      </c>
      <c r="H1290" s="463"/>
    </row>
    <row r="1291">
      <c r="A1291" s="463"/>
      <c r="B1291" s="495" t="s">
        <v>5664</v>
      </c>
      <c r="C1291" s="497">
        <v>45181.0</v>
      </c>
      <c r="D1291" s="495" t="s">
        <v>5665</v>
      </c>
      <c r="E1291" s="495" t="s">
        <v>5045</v>
      </c>
      <c r="F1291" s="495" t="s">
        <v>1164</v>
      </c>
      <c r="G1291" s="495" t="s">
        <v>1165</v>
      </c>
      <c r="H1291" s="463"/>
    </row>
    <row r="1292">
      <c r="A1292" s="463"/>
      <c r="B1292" s="495" t="s">
        <v>5666</v>
      </c>
      <c r="C1292" s="497">
        <v>45190.0</v>
      </c>
      <c r="D1292" s="495" t="s">
        <v>5667</v>
      </c>
      <c r="E1292" s="495" t="s">
        <v>5668</v>
      </c>
      <c r="F1292" s="495" t="s">
        <v>5669</v>
      </c>
      <c r="G1292" s="495" t="s">
        <v>5670</v>
      </c>
      <c r="H1292" s="463"/>
    </row>
    <row r="1293">
      <c r="A1293" s="463"/>
      <c r="B1293" s="495" t="s">
        <v>5671</v>
      </c>
      <c r="C1293" s="497">
        <v>45194.0</v>
      </c>
      <c r="D1293" s="495" t="s">
        <v>5672</v>
      </c>
      <c r="E1293" s="495" t="s">
        <v>976</v>
      </c>
      <c r="F1293" s="495" t="s">
        <v>977</v>
      </c>
      <c r="G1293" s="495" t="s">
        <v>978</v>
      </c>
      <c r="H1293" s="463"/>
    </row>
    <row r="1294">
      <c r="A1294" s="463"/>
      <c r="B1294" s="495" t="s">
        <v>5673</v>
      </c>
      <c r="C1294" s="497">
        <v>45205.0</v>
      </c>
      <c r="D1294" s="495" t="s">
        <v>5674</v>
      </c>
      <c r="E1294" s="495" t="s">
        <v>5675</v>
      </c>
      <c r="F1294" s="495" t="s">
        <v>5676</v>
      </c>
      <c r="G1294" s="495" t="s">
        <v>5677</v>
      </c>
      <c r="H1294" s="463"/>
    </row>
    <row r="1295">
      <c r="A1295" s="463"/>
      <c r="B1295" s="495" t="s">
        <v>5678</v>
      </c>
      <c r="C1295" s="497">
        <v>45205.0</v>
      </c>
      <c r="D1295" s="495" t="s">
        <v>5679</v>
      </c>
      <c r="E1295" s="495" t="s">
        <v>5680</v>
      </c>
      <c r="F1295" s="495" t="s">
        <v>5681</v>
      </c>
      <c r="G1295" s="495" t="s">
        <v>5682</v>
      </c>
      <c r="H1295" s="495" t="s">
        <v>5683</v>
      </c>
    </row>
    <row r="1296">
      <c r="A1296" s="463"/>
      <c r="B1296" s="495" t="s">
        <v>5684</v>
      </c>
      <c r="C1296" s="497">
        <v>45211.0</v>
      </c>
      <c r="D1296" s="495" t="s">
        <v>5685</v>
      </c>
      <c r="E1296" s="495" t="s">
        <v>5686</v>
      </c>
      <c r="F1296" s="495" t="s">
        <v>5687</v>
      </c>
      <c r="G1296" s="495" t="s">
        <v>5688</v>
      </c>
      <c r="H1296" s="495" t="s">
        <v>5689</v>
      </c>
    </row>
    <row r="1297">
      <c r="A1297" s="463"/>
      <c r="B1297" s="495" t="s">
        <v>5690</v>
      </c>
      <c r="C1297" s="497">
        <v>45211.0</v>
      </c>
      <c r="D1297" s="495" t="s">
        <v>5691</v>
      </c>
      <c r="E1297" s="495" t="s">
        <v>5692</v>
      </c>
      <c r="F1297" s="495" t="s">
        <v>5693</v>
      </c>
      <c r="G1297" s="495" t="s">
        <v>5694</v>
      </c>
      <c r="H1297" s="463"/>
    </row>
    <row r="1298">
      <c r="A1298" s="463"/>
      <c r="B1298" s="495" t="s">
        <v>5695</v>
      </c>
      <c r="C1298" s="497">
        <v>45211.0</v>
      </c>
      <c r="D1298" s="495" t="s">
        <v>5696</v>
      </c>
      <c r="E1298" s="495" t="s">
        <v>5697</v>
      </c>
      <c r="F1298" s="495" t="s">
        <v>5698</v>
      </c>
      <c r="G1298" s="495" t="s">
        <v>5699</v>
      </c>
      <c r="H1298" s="463"/>
    </row>
    <row r="1299">
      <c r="A1299" s="463"/>
      <c r="B1299" s="495" t="s">
        <v>5700</v>
      </c>
      <c r="C1299" s="497">
        <v>45211.0</v>
      </c>
      <c r="D1299" s="495" t="s">
        <v>5701</v>
      </c>
      <c r="E1299" s="495" t="s">
        <v>5702</v>
      </c>
      <c r="F1299" s="495" t="s">
        <v>5703</v>
      </c>
      <c r="G1299" s="495" t="s">
        <v>5704</v>
      </c>
      <c r="H1299" s="463"/>
    </row>
    <row r="1300">
      <c r="A1300" s="463"/>
      <c r="B1300" s="495" t="s">
        <v>5705</v>
      </c>
      <c r="C1300" s="497">
        <v>45226.0</v>
      </c>
      <c r="D1300" s="495" t="s">
        <v>5706</v>
      </c>
      <c r="E1300" s="495" t="s">
        <v>5707</v>
      </c>
      <c r="F1300" s="495" t="s">
        <v>5708</v>
      </c>
      <c r="G1300" s="495" t="s">
        <v>1060</v>
      </c>
      <c r="H1300" s="463"/>
    </row>
    <row r="1301">
      <c r="A1301" s="463"/>
      <c r="B1301" s="495" t="s">
        <v>5709</v>
      </c>
      <c r="C1301" s="497">
        <v>45226.0</v>
      </c>
      <c r="D1301" s="495" t="s">
        <v>5710</v>
      </c>
      <c r="E1301" s="495" t="s">
        <v>5711</v>
      </c>
      <c r="F1301" s="495" t="s">
        <v>5712</v>
      </c>
      <c r="G1301" s="495" t="s">
        <v>2956</v>
      </c>
      <c r="H1301" s="463"/>
    </row>
    <row r="1302">
      <c r="A1302" s="463"/>
      <c r="B1302" s="495" t="s">
        <v>5713</v>
      </c>
      <c r="C1302" s="497">
        <v>45237.0</v>
      </c>
      <c r="D1302" s="495" t="s">
        <v>5714</v>
      </c>
      <c r="E1302" s="495" t="s">
        <v>5715</v>
      </c>
      <c r="F1302" s="495" t="s">
        <v>5716</v>
      </c>
      <c r="G1302" s="495" t="s">
        <v>5717</v>
      </c>
      <c r="H1302" s="463"/>
    </row>
    <row r="1303">
      <c r="A1303" s="463"/>
      <c r="B1303" s="495" t="s">
        <v>5718</v>
      </c>
      <c r="C1303" s="497">
        <v>45237.0</v>
      </c>
      <c r="D1303" s="495" t="s">
        <v>5719</v>
      </c>
      <c r="E1303" s="495" t="s">
        <v>5720</v>
      </c>
      <c r="F1303" s="495" t="s">
        <v>5721</v>
      </c>
      <c r="G1303" s="495" t="s">
        <v>5722</v>
      </c>
      <c r="H1303" s="463"/>
    </row>
    <row r="1304">
      <c r="A1304" s="463"/>
      <c r="B1304" s="495" t="s">
        <v>5723</v>
      </c>
      <c r="C1304" s="497">
        <v>45240.0</v>
      </c>
      <c r="D1304" s="495" t="s">
        <v>5724</v>
      </c>
      <c r="E1304" s="495" t="s">
        <v>5725</v>
      </c>
      <c r="F1304" s="495" t="s">
        <v>5726</v>
      </c>
      <c r="G1304" s="495" t="s">
        <v>1502</v>
      </c>
      <c r="H1304" s="463"/>
    </row>
    <row r="1305">
      <c r="A1305" s="463"/>
      <c r="B1305" s="495" t="s">
        <v>5727</v>
      </c>
      <c r="C1305" s="497">
        <v>45255.0</v>
      </c>
      <c r="D1305" s="495" t="s">
        <v>5728</v>
      </c>
      <c r="E1305" s="495" t="s">
        <v>5729</v>
      </c>
      <c r="F1305" s="495" t="s">
        <v>5730</v>
      </c>
      <c r="G1305" s="495" t="s">
        <v>1301</v>
      </c>
      <c r="H1305" s="463"/>
    </row>
    <row r="1306">
      <c r="A1306" s="463"/>
      <c r="B1306" s="495" t="s">
        <v>5731</v>
      </c>
      <c r="C1306" s="497">
        <v>45255.0</v>
      </c>
      <c r="D1306" s="495" t="s">
        <v>5732</v>
      </c>
      <c r="E1306" s="495" t="s">
        <v>5733</v>
      </c>
      <c r="F1306" s="495" t="s">
        <v>5734</v>
      </c>
      <c r="G1306" s="495" t="s">
        <v>5735</v>
      </c>
      <c r="H1306" s="463"/>
    </row>
    <row r="1307">
      <c r="A1307" s="463"/>
      <c r="B1307" s="495" t="s">
        <v>5736</v>
      </c>
      <c r="C1307" s="497">
        <v>45257.0</v>
      </c>
      <c r="D1307" s="495" t="s">
        <v>5737</v>
      </c>
      <c r="E1307" s="495" t="s">
        <v>3849</v>
      </c>
      <c r="F1307" s="495" t="s">
        <v>5738</v>
      </c>
      <c r="G1307" s="495" t="s">
        <v>5739</v>
      </c>
      <c r="H1307" s="463"/>
    </row>
    <row r="1308">
      <c r="A1308" s="463"/>
      <c r="B1308" s="495" t="s">
        <v>5740</v>
      </c>
      <c r="C1308" s="497">
        <v>45267.0</v>
      </c>
      <c r="D1308" s="495" t="s">
        <v>5741</v>
      </c>
      <c r="E1308" s="495" t="s">
        <v>2947</v>
      </c>
      <c r="F1308" s="495" t="s">
        <v>2948</v>
      </c>
      <c r="G1308" s="495" t="s">
        <v>1060</v>
      </c>
      <c r="H1308" s="463"/>
    </row>
    <row r="1309">
      <c r="A1309" s="463"/>
      <c r="B1309" s="495" t="s">
        <v>5742</v>
      </c>
      <c r="C1309" s="497">
        <v>45267.0</v>
      </c>
      <c r="D1309" s="495" t="s">
        <v>5743</v>
      </c>
      <c r="E1309" s="495" t="s">
        <v>5744</v>
      </c>
      <c r="F1309" s="495" t="s">
        <v>5745</v>
      </c>
      <c r="G1309" s="495" t="s">
        <v>5746</v>
      </c>
      <c r="H1309" s="463"/>
    </row>
    <row r="1310">
      <c r="A1310" s="463"/>
      <c r="B1310" s="495" t="s">
        <v>5747</v>
      </c>
      <c r="C1310" s="497">
        <v>45267.0</v>
      </c>
      <c r="D1310" s="495" t="s">
        <v>5748</v>
      </c>
      <c r="E1310" s="495" t="s">
        <v>5749</v>
      </c>
      <c r="F1310" s="495" t="s">
        <v>5750</v>
      </c>
      <c r="G1310" s="495" t="s">
        <v>5751</v>
      </c>
      <c r="H1310" s="463"/>
    </row>
    <row r="1311">
      <c r="A1311" s="463"/>
      <c r="B1311" s="495" t="s">
        <v>5752</v>
      </c>
      <c r="C1311" s="497">
        <v>45272.0</v>
      </c>
      <c r="D1311" s="495" t="s">
        <v>5753</v>
      </c>
      <c r="E1311" s="495" t="s">
        <v>1043</v>
      </c>
      <c r="F1311" s="495" t="s">
        <v>1044</v>
      </c>
      <c r="G1311" s="495" t="s">
        <v>1045</v>
      </c>
      <c r="H1311" s="463"/>
    </row>
    <row r="1312">
      <c r="A1312" s="463"/>
      <c r="B1312" s="495" t="s">
        <v>5754</v>
      </c>
      <c r="C1312" s="497">
        <v>45272.0</v>
      </c>
      <c r="D1312" s="495" t="s">
        <v>5755</v>
      </c>
      <c r="E1312" s="495" t="s">
        <v>4777</v>
      </c>
      <c r="F1312" s="495" t="s">
        <v>4778</v>
      </c>
      <c r="G1312" s="495" t="s">
        <v>1554</v>
      </c>
      <c r="H1312" s="463"/>
    </row>
    <row r="1313">
      <c r="A1313" s="463"/>
      <c r="B1313" s="495" t="s">
        <v>5756</v>
      </c>
      <c r="C1313" s="497">
        <v>45272.0</v>
      </c>
      <c r="D1313" s="495" t="s">
        <v>5757</v>
      </c>
      <c r="E1313" s="495" t="s">
        <v>5758</v>
      </c>
      <c r="F1313" s="495" t="s">
        <v>5759</v>
      </c>
      <c r="G1313" s="495" t="s">
        <v>5760</v>
      </c>
      <c r="H1313" s="463"/>
    </row>
    <row r="1314">
      <c r="A1314" s="463"/>
      <c r="B1314" s="495" t="s">
        <v>5761</v>
      </c>
      <c r="C1314" s="497">
        <v>45281.0</v>
      </c>
      <c r="D1314" s="495" t="s">
        <v>5762</v>
      </c>
      <c r="E1314" s="495" t="s">
        <v>5763</v>
      </c>
      <c r="F1314" s="495" t="s">
        <v>5764</v>
      </c>
      <c r="G1314" s="495" t="s">
        <v>947</v>
      </c>
      <c r="H1314" s="463"/>
    </row>
    <row r="1315">
      <c r="A1315" s="463"/>
      <c r="B1315" s="495" t="s">
        <v>5765</v>
      </c>
      <c r="C1315" s="497">
        <v>45285.0</v>
      </c>
      <c r="D1315" s="495" t="s">
        <v>5766</v>
      </c>
      <c r="E1315" s="495" t="s">
        <v>5203</v>
      </c>
      <c r="F1315" s="495" t="s">
        <v>5204</v>
      </c>
      <c r="G1315" s="495" t="s">
        <v>1795</v>
      </c>
      <c r="H1315" s="463"/>
    </row>
    <row r="1316">
      <c r="A1316" s="463"/>
      <c r="B1316" s="495" t="s">
        <v>5767</v>
      </c>
      <c r="C1316" s="497">
        <v>45297.0</v>
      </c>
      <c r="D1316" s="495" t="s">
        <v>5768</v>
      </c>
      <c r="E1316" s="495" t="s">
        <v>5769</v>
      </c>
      <c r="F1316" s="495" t="s">
        <v>5770</v>
      </c>
      <c r="G1316" s="495" t="s">
        <v>5771</v>
      </c>
      <c r="H1316" s="463"/>
    </row>
    <row r="1317">
      <c r="A1317" s="463"/>
      <c r="B1317" s="495" t="s">
        <v>5772</v>
      </c>
      <c r="C1317" s="497">
        <v>45297.0</v>
      </c>
      <c r="D1317" s="495" t="s">
        <v>5773</v>
      </c>
      <c r="E1317" s="495" t="s">
        <v>5774</v>
      </c>
      <c r="F1317" s="495" t="s">
        <v>5775</v>
      </c>
      <c r="G1317" s="495" t="s">
        <v>5776</v>
      </c>
      <c r="H1317" s="463"/>
    </row>
    <row r="1318">
      <c r="A1318" s="463"/>
      <c r="B1318" s="495" t="s">
        <v>5777</v>
      </c>
      <c r="C1318" s="497">
        <v>45303.0</v>
      </c>
      <c r="D1318" s="495" t="s">
        <v>5778</v>
      </c>
      <c r="E1318" s="495" t="s">
        <v>5779</v>
      </c>
      <c r="F1318" s="495" t="s">
        <v>5780</v>
      </c>
      <c r="G1318" s="495" t="s">
        <v>1045</v>
      </c>
      <c r="H1318" s="463"/>
    </row>
    <row r="1319">
      <c r="A1319" s="463"/>
      <c r="B1319" s="495" t="s">
        <v>5781</v>
      </c>
      <c r="C1319" s="497">
        <v>45317.0</v>
      </c>
      <c r="D1319" s="495" t="s">
        <v>5782</v>
      </c>
      <c r="E1319" s="495" t="s">
        <v>4642</v>
      </c>
      <c r="F1319" s="495" t="s">
        <v>4643</v>
      </c>
      <c r="G1319" s="495" t="s">
        <v>4643</v>
      </c>
      <c r="H1319" s="463"/>
    </row>
    <row r="1320">
      <c r="A1320" s="463"/>
      <c r="B1320" s="495" t="s">
        <v>5783</v>
      </c>
      <c r="C1320" s="497">
        <v>45329.0</v>
      </c>
      <c r="D1320" s="495" t="s">
        <v>5784</v>
      </c>
      <c r="E1320" s="495" t="s">
        <v>5785</v>
      </c>
      <c r="F1320" s="495" t="s">
        <v>5786</v>
      </c>
      <c r="G1320" s="495" t="s">
        <v>5787</v>
      </c>
      <c r="H1320" s="495" t="s">
        <v>5788</v>
      </c>
    </row>
    <row r="1321">
      <c r="A1321" s="463"/>
      <c r="B1321" s="495" t="s">
        <v>5789</v>
      </c>
      <c r="C1321" s="497">
        <v>45331.0</v>
      </c>
      <c r="D1321" s="495" t="s">
        <v>5790</v>
      </c>
      <c r="E1321" s="495" t="s">
        <v>5791</v>
      </c>
      <c r="F1321" s="495" t="s">
        <v>5792</v>
      </c>
      <c r="G1321" s="495" t="s">
        <v>5793</v>
      </c>
      <c r="H1321" s="463"/>
    </row>
    <row r="1322">
      <c r="A1322" s="463"/>
      <c r="B1322" s="495" t="s">
        <v>5794</v>
      </c>
      <c r="C1322" s="497">
        <v>45344.0</v>
      </c>
      <c r="D1322" s="495" t="s">
        <v>5795</v>
      </c>
      <c r="E1322" s="495" t="s">
        <v>5796</v>
      </c>
      <c r="F1322" s="495" t="s">
        <v>5797</v>
      </c>
      <c r="G1322" s="495" t="s">
        <v>1021</v>
      </c>
      <c r="H1322" s="463"/>
    </row>
    <row r="1323">
      <c r="A1323" s="463"/>
      <c r="B1323" s="463"/>
      <c r="C1323" s="463"/>
      <c r="D1323" s="463"/>
      <c r="E1323" s="463"/>
      <c r="F1323" s="463"/>
      <c r="G1323" s="463"/>
      <c r="H1323" s="463"/>
    </row>
    <row r="1324">
      <c r="A1324" s="463"/>
      <c r="B1324" s="463"/>
      <c r="C1324" s="463"/>
      <c r="D1324" s="463"/>
      <c r="E1324" s="463"/>
      <c r="F1324" s="463"/>
      <c r="G1324" s="463"/>
      <c r="H1324" s="463"/>
    </row>
    <row r="1325">
      <c r="A1325" s="463"/>
      <c r="B1325" s="495" t="s">
        <v>5798</v>
      </c>
      <c r="C1325" s="497">
        <v>45331.0</v>
      </c>
      <c r="D1325" s="495" t="s">
        <v>5799</v>
      </c>
      <c r="E1325" s="495" t="s">
        <v>5800</v>
      </c>
      <c r="F1325" s="495" t="s">
        <v>5801</v>
      </c>
      <c r="G1325" s="495" t="s">
        <v>4749</v>
      </c>
      <c r="H1325" s="463"/>
    </row>
    <row r="1326">
      <c r="A1326" s="463"/>
      <c r="B1326" s="495" t="s">
        <v>5802</v>
      </c>
      <c r="C1326" s="497">
        <v>45344.0</v>
      </c>
      <c r="D1326" s="495" t="s">
        <v>5803</v>
      </c>
      <c r="E1326" s="495" t="s">
        <v>5804</v>
      </c>
      <c r="F1326" s="495" t="s">
        <v>5805</v>
      </c>
      <c r="G1326" s="495" t="s">
        <v>5806</v>
      </c>
      <c r="H1326" s="463"/>
    </row>
    <row r="1327">
      <c r="A1327" s="463"/>
      <c r="B1327" s="463"/>
      <c r="C1327" s="463"/>
      <c r="D1327" s="463"/>
      <c r="E1327" s="463"/>
      <c r="F1327" s="463"/>
      <c r="G1327" s="463"/>
      <c r="H1327" s="463"/>
    </row>
    <row r="1328">
      <c r="A1328" s="463"/>
      <c r="B1328" s="463"/>
      <c r="C1328" s="463"/>
      <c r="D1328" s="463"/>
      <c r="E1328" s="463"/>
      <c r="F1328" s="463"/>
      <c r="G1328" s="463"/>
      <c r="H1328" s="463"/>
    </row>
    <row r="1329">
      <c r="A1329" s="463"/>
      <c r="B1329" s="495" t="s">
        <v>5807</v>
      </c>
      <c r="C1329" s="495" t="s">
        <v>5808</v>
      </c>
      <c r="D1329" s="495" t="s">
        <v>5809</v>
      </c>
      <c r="E1329" s="495" t="s">
        <v>5810</v>
      </c>
      <c r="F1329" s="495" t="s">
        <v>5811</v>
      </c>
      <c r="G1329" s="495" t="s">
        <v>5812</v>
      </c>
      <c r="H1329" s="495" t="s">
        <v>5813</v>
      </c>
    </row>
    <row r="1330">
      <c r="A1330" s="463"/>
      <c r="B1330" s="495" t="s">
        <v>5814</v>
      </c>
      <c r="C1330" s="495" t="s">
        <v>5808</v>
      </c>
      <c r="D1330" s="495" t="s">
        <v>5815</v>
      </c>
      <c r="E1330" s="495" t="s">
        <v>5816</v>
      </c>
      <c r="F1330" s="495" t="s">
        <v>5817</v>
      </c>
      <c r="G1330" s="495" t="s">
        <v>5818</v>
      </c>
      <c r="H1330" s="495" t="s">
        <v>5819</v>
      </c>
    </row>
    <row r="1331">
      <c r="A1331" s="463"/>
      <c r="B1331" s="495" t="s">
        <v>5820</v>
      </c>
      <c r="C1331" s="495" t="s">
        <v>5808</v>
      </c>
      <c r="D1331" s="495" t="s">
        <v>5821</v>
      </c>
      <c r="E1331" s="495" t="s">
        <v>5822</v>
      </c>
      <c r="F1331" s="495" t="s">
        <v>5823</v>
      </c>
      <c r="G1331" s="495" t="s">
        <v>5824</v>
      </c>
      <c r="H1331" s="495" t="s">
        <v>5825</v>
      </c>
    </row>
    <row r="1332">
      <c r="A1332" s="463"/>
      <c r="B1332" s="495" t="s">
        <v>5826</v>
      </c>
      <c r="C1332" s="495" t="s">
        <v>5808</v>
      </c>
      <c r="D1332" s="495" t="s">
        <v>5827</v>
      </c>
      <c r="E1332" s="495" t="s">
        <v>5828</v>
      </c>
      <c r="F1332" s="495" t="s">
        <v>5829</v>
      </c>
      <c r="G1332" s="495" t="s">
        <v>5830</v>
      </c>
      <c r="H1332" s="495" t="s">
        <v>5831</v>
      </c>
    </row>
    <row r="1333">
      <c r="A1333" s="463"/>
      <c r="B1333" s="495" t="s">
        <v>5832</v>
      </c>
      <c r="C1333" s="495" t="s">
        <v>5808</v>
      </c>
      <c r="D1333" s="495" t="s">
        <v>5833</v>
      </c>
      <c r="E1333" s="495" t="s">
        <v>5834</v>
      </c>
      <c r="F1333" s="495" t="s">
        <v>5835</v>
      </c>
      <c r="G1333" s="495" t="s">
        <v>974</v>
      </c>
      <c r="H1333" s="463"/>
    </row>
    <row r="1334">
      <c r="A1334" s="463"/>
      <c r="B1334" s="495" t="s">
        <v>5836</v>
      </c>
      <c r="C1334" s="495" t="s">
        <v>5837</v>
      </c>
      <c r="D1334" s="495" t="s">
        <v>5838</v>
      </c>
      <c r="E1334" s="495" t="s">
        <v>5839</v>
      </c>
      <c r="F1334" s="495" t="s">
        <v>5840</v>
      </c>
      <c r="G1334" s="495" t="s">
        <v>5573</v>
      </c>
      <c r="H1334" s="463"/>
    </row>
    <row r="1335">
      <c r="A1335" s="463"/>
      <c r="B1335" s="495" t="s">
        <v>5841</v>
      </c>
      <c r="C1335" s="495" t="s">
        <v>5842</v>
      </c>
      <c r="D1335" s="495" t="s">
        <v>5843</v>
      </c>
      <c r="E1335" s="495" t="s">
        <v>5844</v>
      </c>
      <c r="F1335" s="495" t="s">
        <v>5845</v>
      </c>
      <c r="G1335" s="495" t="s">
        <v>2246</v>
      </c>
      <c r="H1335" s="463"/>
    </row>
    <row r="1336">
      <c r="A1336" s="463"/>
      <c r="B1336" s="495" t="s">
        <v>5846</v>
      </c>
      <c r="C1336" s="495" t="s">
        <v>5842</v>
      </c>
      <c r="D1336" s="495" t="s">
        <v>5847</v>
      </c>
      <c r="E1336" s="495" t="s">
        <v>5848</v>
      </c>
      <c r="F1336" s="495" t="s">
        <v>5849</v>
      </c>
      <c r="G1336" s="495" t="s">
        <v>5850</v>
      </c>
      <c r="H1336" s="463"/>
    </row>
    <row r="1337">
      <c r="A1337" s="463"/>
      <c r="B1337" s="495" t="s">
        <v>5851</v>
      </c>
      <c r="C1337" s="495" t="s">
        <v>5808</v>
      </c>
      <c r="D1337" s="495" t="s">
        <v>5852</v>
      </c>
      <c r="E1337" s="495" t="s">
        <v>1616</v>
      </c>
      <c r="F1337" s="495" t="s">
        <v>1617</v>
      </c>
      <c r="G1337" s="495" t="s">
        <v>1618</v>
      </c>
      <c r="H1337" s="463"/>
    </row>
    <row r="1338">
      <c r="A1338" s="463"/>
      <c r="B1338" s="495" t="s">
        <v>5853</v>
      </c>
      <c r="C1338" s="495" t="s">
        <v>5808</v>
      </c>
      <c r="D1338" s="495" t="s">
        <v>5854</v>
      </c>
      <c r="E1338" s="495" t="s">
        <v>5855</v>
      </c>
      <c r="F1338" s="495" t="s">
        <v>5856</v>
      </c>
      <c r="G1338" s="495" t="s">
        <v>5857</v>
      </c>
      <c r="H1338" s="463"/>
    </row>
  </sheetData>
  <mergeCells count="1">
    <mergeCell ref="B2:G9"/>
  </mergeCells>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2" max="2" width="65.86"/>
  </cols>
  <sheetData>
    <row r="1">
      <c r="A1" s="498" t="s">
        <v>5858</v>
      </c>
      <c r="B1" s="364"/>
      <c r="C1" s="364"/>
    </row>
    <row r="2">
      <c r="A2" s="364" t="s">
        <v>5859</v>
      </c>
      <c r="B2" s="364" t="s">
        <v>532</v>
      </c>
      <c r="C2" s="364" t="s">
        <v>915</v>
      </c>
    </row>
    <row r="3">
      <c r="A3" s="364">
        <v>193584.0</v>
      </c>
      <c r="B3" s="364" t="s">
        <v>5860</v>
      </c>
      <c r="C3" s="364" t="s">
        <v>5861</v>
      </c>
    </row>
    <row r="4">
      <c r="A4" s="364">
        <v>249958.0</v>
      </c>
      <c r="B4" s="364" t="s">
        <v>5862</v>
      </c>
      <c r="C4" s="364" t="s">
        <v>5863</v>
      </c>
    </row>
    <row r="5">
      <c r="A5" s="364">
        <v>223146.0</v>
      </c>
      <c r="B5" s="364" t="s">
        <v>5864</v>
      </c>
      <c r="C5" s="364" t="s">
        <v>485</v>
      </c>
    </row>
    <row r="6">
      <c r="A6" s="364">
        <v>239795.0</v>
      </c>
      <c r="B6" s="364" t="s">
        <v>5865</v>
      </c>
      <c r="C6" s="364" t="s">
        <v>485</v>
      </c>
    </row>
    <row r="7">
      <c r="A7" s="364">
        <v>210281.0</v>
      </c>
      <c r="B7" s="364" t="s">
        <v>5866</v>
      </c>
      <c r="C7" s="364" t="s">
        <v>5867</v>
      </c>
    </row>
    <row r="8">
      <c r="A8" s="364">
        <v>218905.0</v>
      </c>
      <c r="B8" s="364" t="s">
        <v>5868</v>
      </c>
      <c r="C8" s="364" t="s">
        <v>5867</v>
      </c>
    </row>
    <row r="9">
      <c r="A9" s="364">
        <v>230312.0</v>
      </c>
      <c r="B9" s="364" t="s">
        <v>5869</v>
      </c>
      <c r="C9" s="364" t="s">
        <v>5870</v>
      </c>
    </row>
  </sheetData>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8.14"/>
    <col customWidth="1" min="2" max="2" width="14.0"/>
    <col customWidth="1" min="3" max="3" width="76.86"/>
    <col customWidth="1" min="4" max="4" width="67.0"/>
    <col customWidth="1" min="5" max="5" width="40.14"/>
  </cols>
  <sheetData>
    <row r="2" ht="32.25" customHeight="1">
      <c r="B2" s="499" t="s">
        <v>5871</v>
      </c>
    </row>
    <row r="3">
      <c r="A3" s="364"/>
      <c r="B3" s="500" t="s">
        <v>5859</v>
      </c>
      <c r="C3" s="501" t="s">
        <v>532</v>
      </c>
      <c r="D3" s="500" t="s">
        <v>915</v>
      </c>
      <c r="E3" s="502" t="s">
        <v>6</v>
      </c>
    </row>
    <row r="4">
      <c r="B4" s="503">
        <v>157060.0</v>
      </c>
      <c r="C4" s="504" t="s">
        <v>5872</v>
      </c>
      <c r="D4" s="504" t="s">
        <v>5873</v>
      </c>
      <c r="E4" s="505"/>
    </row>
    <row r="5">
      <c r="B5" s="503">
        <v>145084.0</v>
      </c>
      <c r="C5" s="504" t="s">
        <v>5874</v>
      </c>
      <c r="D5" s="504" t="s">
        <v>5875</v>
      </c>
      <c r="E5" s="505"/>
    </row>
    <row r="6">
      <c r="B6" s="503">
        <v>171232.0</v>
      </c>
      <c r="C6" s="504" t="s">
        <v>5876</v>
      </c>
      <c r="D6" s="504" t="s">
        <v>5877</v>
      </c>
      <c r="E6" s="505"/>
    </row>
    <row r="7">
      <c r="B7" s="503">
        <v>210796.0</v>
      </c>
      <c r="C7" s="504" t="s">
        <v>5878</v>
      </c>
      <c r="D7" s="504" t="s">
        <v>5879</v>
      </c>
      <c r="E7" s="505"/>
    </row>
    <row r="8">
      <c r="B8" s="503">
        <v>229220.0</v>
      </c>
      <c r="C8" s="504" t="s">
        <v>5880</v>
      </c>
      <c r="D8" s="504" t="s">
        <v>5881</v>
      </c>
      <c r="E8" s="504" t="s">
        <v>5882</v>
      </c>
    </row>
    <row r="9">
      <c r="B9" s="503">
        <v>270887.0</v>
      </c>
      <c r="C9" s="504" t="s">
        <v>5883</v>
      </c>
      <c r="D9" s="504" t="s">
        <v>5884</v>
      </c>
      <c r="E9" s="505"/>
    </row>
    <row r="10">
      <c r="B10" s="503">
        <v>270888.0</v>
      </c>
      <c r="C10" s="504" t="s">
        <v>5885</v>
      </c>
      <c r="D10" s="504" t="s">
        <v>5886</v>
      </c>
      <c r="E10" s="505"/>
    </row>
    <row r="11">
      <c r="B11" s="506">
        <v>189440.0</v>
      </c>
      <c r="C11" s="504" t="s">
        <v>5887</v>
      </c>
      <c r="D11" s="504" t="s">
        <v>5888</v>
      </c>
      <c r="E11" s="505"/>
    </row>
    <row r="12">
      <c r="B12" s="505"/>
      <c r="C12" s="505"/>
      <c r="D12" s="505"/>
      <c r="E12" s="505"/>
    </row>
    <row r="13">
      <c r="B13" s="505"/>
      <c r="C13" s="505"/>
      <c r="D13" s="505"/>
      <c r="E13" s="505"/>
    </row>
    <row r="14">
      <c r="B14" s="505"/>
      <c r="C14" s="505"/>
      <c r="D14" s="505"/>
      <c r="E14" s="505"/>
    </row>
    <row r="15">
      <c r="B15" s="505"/>
      <c r="C15" s="505"/>
      <c r="D15" s="505"/>
      <c r="E15" s="505"/>
    </row>
  </sheetData>
  <mergeCells count="1">
    <mergeCell ref="B2:E2"/>
  </mergeCells>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41.29"/>
    <col customWidth="1" min="3" max="3" width="79.57"/>
  </cols>
  <sheetData>
    <row r="1">
      <c r="A1" s="507" t="s">
        <v>4</v>
      </c>
      <c r="B1" s="508" t="s">
        <v>5889</v>
      </c>
      <c r="C1" s="508" t="s">
        <v>5890</v>
      </c>
    </row>
    <row r="2">
      <c r="A2" s="509" t="s">
        <v>5891</v>
      </c>
      <c r="B2" s="510">
        <v>268299.0</v>
      </c>
      <c r="C2" s="511" t="s">
        <v>5892</v>
      </c>
    </row>
    <row r="3">
      <c r="A3" s="509" t="s">
        <v>5893</v>
      </c>
      <c r="B3" s="510">
        <v>418525.0</v>
      </c>
      <c r="C3" s="511" t="s">
        <v>5894</v>
      </c>
    </row>
    <row r="4">
      <c r="A4" s="509" t="s">
        <v>5895</v>
      </c>
      <c r="B4" s="510">
        <v>318761.0</v>
      </c>
      <c r="C4" s="511" t="s">
        <v>5896</v>
      </c>
    </row>
    <row r="5">
      <c r="A5" s="509" t="s">
        <v>5897</v>
      </c>
      <c r="B5" s="510">
        <v>369474.0</v>
      </c>
      <c r="C5" s="511" t="s">
        <v>5898</v>
      </c>
    </row>
    <row r="6">
      <c r="A6" s="509" t="s">
        <v>5899</v>
      </c>
      <c r="B6" s="510">
        <v>268298.0</v>
      </c>
      <c r="C6" s="511" t="s">
        <v>5900</v>
      </c>
    </row>
    <row r="7">
      <c r="A7" s="509" t="s">
        <v>5901</v>
      </c>
      <c r="B7" s="510">
        <v>384251.0</v>
      </c>
      <c r="C7" s="511" t="s">
        <v>5902</v>
      </c>
    </row>
    <row r="8">
      <c r="A8" s="509" t="s">
        <v>5903</v>
      </c>
      <c r="B8" s="510">
        <v>268300.0</v>
      </c>
      <c r="C8" s="511" t="s">
        <v>5904</v>
      </c>
    </row>
    <row r="9">
      <c r="A9" s="509" t="s">
        <v>5905</v>
      </c>
      <c r="B9" s="510">
        <v>324358.0</v>
      </c>
      <c r="C9" s="511" t="s">
        <v>5906</v>
      </c>
    </row>
    <row r="10">
      <c r="A10" s="509" t="s">
        <v>5907</v>
      </c>
      <c r="B10" s="510">
        <v>439511.0</v>
      </c>
      <c r="C10" s="511" t="s">
        <v>5908</v>
      </c>
    </row>
    <row r="11">
      <c r="A11" s="509" t="s">
        <v>5909</v>
      </c>
      <c r="B11" s="510">
        <v>278430.0</v>
      </c>
      <c r="C11" s="511" t="s">
        <v>5910</v>
      </c>
    </row>
    <row r="12">
      <c r="A12" s="509" t="s">
        <v>5911</v>
      </c>
      <c r="B12" s="510">
        <v>407385.0</v>
      </c>
      <c r="C12" s="511" t="s">
        <v>5912</v>
      </c>
    </row>
    <row r="13">
      <c r="A13" s="509" t="s">
        <v>5913</v>
      </c>
      <c r="B13" s="510">
        <v>439512.0</v>
      </c>
      <c r="C13" s="511" t="s">
        <v>5912</v>
      </c>
    </row>
    <row r="14">
      <c r="A14" s="509" t="s">
        <v>5914</v>
      </c>
      <c r="B14" s="510">
        <v>268313.0</v>
      </c>
      <c r="C14" s="511" t="s">
        <v>5915</v>
      </c>
    </row>
    <row r="15">
      <c r="A15" s="509" t="s">
        <v>5916</v>
      </c>
      <c r="B15" s="510">
        <v>268302.0</v>
      </c>
      <c r="C15" s="511" t="s">
        <v>5917</v>
      </c>
    </row>
    <row r="16">
      <c r="A16" s="509" t="s">
        <v>5918</v>
      </c>
      <c r="B16" s="510">
        <v>268297.0</v>
      </c>
      <c r="C16" s="511" t="s">
        <v>5919</v>
      </c>
    </row>
    <row r="17">
      <c r="A17" s="509" t="s">
        <v>5920</v>
      </c>
      <c r="B17" s="510">
        <v>278431.0</v>
      </c>
      <c r="C17" s="511" t="s">
        <v>5921</v>
      </c>
    </row>
    <row r="18">
      <c r="A18" s="512" t="s">
        <v>5922</v>
      </c>
      <c r="B18" s="510">
        <v>439513.0</v>
      </c>
      <c r="C18" s="511" t="s">
        <v>5919</v>
      </c>
    </row>
    <row r="19">
      <c r="A19" s="509" t="s">
        <v>5923</v>
      </c>
      <c r="B19" s="510">
        <v>333425.0</v>
      </c>
      <c r="C19" s="511" t="s">
        <v>5919</v>
      </c>
    </row>
    <row r="20">
      <c r="A20" s="509" t="s">
        <v>5924</v>
      </c>
      <c r="B20" s="510">
        <v>295804.0</v>
      </c>
      <c r="C20" s="511" t="s">
        <v>5925</v>
      </c>
    </row>
    <row r="21">
      <c r="A21" s="509" t="s">
        <v>5926</v>
      </c>
      <c r="B21" s="510">
        <v>268314.0</v>
      </c>
      <c r="C21" s="511" t="s">
        <v>5927</v>
      </c>
    </row>
    <row r="22">
      <c r="A22" s="509" t="s">
        <v>5928</v>
      </c>
      <c r="B22" s="510">
        <v>278432.0</v>
      </c>
      <c r="C22" s="511" t="s">
        <v>5929</v>
      </c>
    </row>
    <row r="23">
      <c r="A23" s="509" t="s">
        <v>5930</v>
      </c>
      <c r="B23" s="510">
        <v>268303.0</v>
      </c>
      <c r="C23" s="511" t="s">
        <v>5931</v>
      </c>
    </row>
    <row r="24">
      <c r="A24" s="509" t="s">
        <v>5932</v>
      </c>
      <c r="B24" s="510">
        <v>268304.0</v>
      </c>
      <c r="C24" s="511" t="s">
        <v>5933</v>
      </c>
    </row>
    <row r="25">
      <c r="A25" s="509" t="s">
        <v>5934</v>
      </c>
      <c r="B25" s="510">
        <v>313858.0</v>
      </c>
      <c r="C25" s="511" t="s">
        <v>5935</v>
      </c>
    </row>
    <row r="26">
      <c r="A26" s="512" t="s">
        <v>5936</v>
      </c>
      <c r="B26" s="510">
        <v>268305.0</v>
      </c>
      <c r="C26" s="511" t="s">
        <v>5937</v>
      </c>
    </row>
    <row r="27">
      <c r="A27" s="512" t="s">
        <v>5938</v>
      </c>
      <c r="B27" s="510">
        <v>373835.0</v>
      </c>
      <c r="C27" s="511" t="s">
        <v>5937</v>
      </c>
    </row>
    <row r="28">
      <c r="A28" s="509" t="s">
        <v>5939</v>
      </c>
      <c r="B28" s="510">
        <v>277278.0</v>
      </c>
      <c r="C28" s="511" t="s">
        <v>5902</v>
      </c>
    </row>
    <row r="29">
      <c r="A29" s="512" t="s">
        <v>5940</v>
      </c>
      <c r="B29" s="510">
        <v>343347.0</v>
      </c>
      <c r="C29" s="511" t="s">
        <v>5941</v>
      </c>
    </row>
    <row r="30">
      <c r="A30" s="509" t="s">
        <v>5942</v>
      </c>
      <c r="B30" s="510">
        <v>444265.0</v>
      </c>
      <c r="C30" s="511" t="s">
        <v>5943</v>
      </c>
    </row>
    <row r="31">
      <c r="A31" s="512" t="s">
        <v>5944</v>
      </c>
      <c r="B31" s="510">
        <v>268306.0</v>
      </c>
      <c r="C31" s="511" t="s">
        <v>5945</v>
      </c>
    </row>
    <row r="32">
      <c r="A32" s="509" t="s">
        <v>5946</v>
      </c>
      <c r="B32" s="510">
        <v>268315.0</v>
      </c>
      <c r="C32" s="511" t="s">
        <v>5947</v>
      </c>
    </row>
    <row r="33">
      <c r="A33" s="512" t="s">
        <v>5948</v>
      </c>
      <c r="B33" s="510">
        <v>277279.0</v>
      </c>
      <c r="C33" s="511" t="s">
        <v>5947</v>
      </c>
    </row>
    <row r="34">
      <c r="A34" s="512" t="s">
        <v>5949</v>
      </c>
      <c r="B34" s="510">
        <v>369475.0</v>
      </c>
      <c r="C34" s="511" t="s">
        <v>5947</v>
      </c>
    </row>
    <row r="35">
      <c r="A35" s="509" t="s">
        <v>5950</v>
      </c>
      <c r="B35" s="510">
        <v>268316.0</v>
      </c>
      <c r="C35" s="511" t="s">
        <v>5951</v>
      </c>
    </row>
    <row r="36">
      <c r="A36" s="512" t="s">
        <v>5952</v>
      </c>
      <c r="B36" s="510">
        <v>268307.0</v>
      </c>
      <c r="C36" s="511" t="s">
        <v>5953</v>
      </c>
    </row>
    <row r="37">
      <c r="A37" s="512" t="s">
        <v>5954</v>
      </c>
      <c r="B37" s="510">
        <v>268308.0</v>
      </c>
      <c r="C37" s="511" t="s">
        <v>5908</v>
      </c>
    </row>
    <row r="38">
      <c r="A38" s="512" t="s">
        <v>5955</v>
      </c>
      <c r="B38" s="510">
        <v>268309.0</v>
      </c>
      <c r="C38" s="511" t="s">
        <v>5956</v>
      </c>
    </row>
    <row r="39">
      <c r="A39" s="509" t="s">
        <v>5957</v>
      </c>
      <c r="B39" s="510">
        <v>313859.0</v>
      </c>
      <c r="C39" s="511" t="s">
        <v>5958</v>
      </c>
    </row>
    <row r="40">
      <c r="A40" s="509" t="s">
        <v>5959</v>
      </c>
      <c r="B40" s="510">
        <v>268310.0</v>
      </c>
      <c r="C40" s="511" t="s">
        <v>5960</v>
      </c>
    </row>
    <row r="41">
      <c r="A41" s="509" t="s">
        <v>5961</v>
      </c>
      <c r="B41" s="510">
        <v>268311.0</v>
      </c>
      <c r="C41" s="511" t="s">
        <v>5962</v>
      </c>
    </row>
    <row r="42">
      <c r="A42" s="512" t="s">
        <v>5963</v>
      </c>
      <c r="B42" s="510">
        <v>268317.0</v>
      </c>
      <c r="C42" s="511" t="s">
        <v>5964</v>
      </c>
    </row>
    <row r="43">
      <c r="A43" s="512" t="s">
        <v>5965</v>
      </c>
      <c r="B43" s="510">
        <v>268296.0</v>
      </c>
      <c r="C43" s="511" t="s">
        <v>5966</v>
      </c>
    </row>
    <row r="44">
      <c r="A44" s="509" t="s">
        <v>5967</v>
      </c>
      <c r="B44" s="510">
        <v>278433.0</v>
      </c>
      <c r="C44" s="511" t="s">
        <v>5968</v>
      </c>
    </row>
    <row r="45">
      <c r="A45" s="509" t="s">
        <v>5969</v>
      </c>
      <c r="B45" s="510">
        <v>313860.0</v>
      </c>
      <c r="C45" s="511" t="s">
        <v>5970</v>
      </c>
    </row>
    <row r="46">
      <c r="A46" s="509" t="s">
        <v>5971</v>
      </c>
      <c r="B46" s="510">
        <v>357851.0</v>
      </c>
      <c r="C46" s="511" t="s">
        <v>5972</v>
      </c>
    </row>
    <row r="47">
      <c r="A47" s="512" t="s">
        <v>5973</v>
      </c>
      <c r="B47" s="510">
        <v>337780.0</v>
      </c>
      <c r="C47" s="511" t="s">
        <v>5974</v>
      </c>
    </row>
  </sheetData>
  <drawing r:id="rId1"/>
</worksheet>
</file>