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9.xml" ContentType="application/vnd.openxmlformats-officedocument.spreadsheetml.comment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construction\v3.0\dev\prod\"/>
    </mc:Choice>
  </mc:AlternateContent>
  <xr:revisionPtr revIDLastSave="0" documentId="13_ncr:1_{D07F9093-1A27-4967-A89A-8F29E20CBE90}" xr6:coauthVersionLast="36" xr6:coauthVersionMax="36" xr10:uidLastSave="{00000000-0000-0000-0000-000000000000}"/>
  <workbookProtection workbookAlgorithmName="SHA-512" workbookHashValue="avuIohk5qawYtQHoWOXh0Q01jxOspxX16ybsxABVuUzI4Maad2tUVr4EPOpTSsPfDYWjFhT7vV+BX3ALBtyNOg==" workbookSaltValue="bIaXuk7U5UD10CJH/R1STA==" workbookSpinCount="100000" lockStructure="1"/>
  <bookViews>
    <workbookView xWindow="0" yWindow="0" windowWidth="19200" windowHeight="8150" firstSheet="1" activeTab="1" xr2:uid="{00000000-000D-0000-FFFF-FFFF00000000}"/>
  </bookViews>
  <sheets>
    <sheet name="Macro Instructions" sheetId="20" r:id="rId1"/>
    <sheet name="GMP-PO Breakdown" sheetId="2" r:id="rId2"/>
    <sheet name="Subcontractor Breakdown" sheetId="5" r:id="rId3"/>
    <sheet name="Cash Flow" sheetId="15" r:id="rId4"/>
    <sheet name="TI Allowance &amp; Contingency" sheetId="8" r:id="rId5"/>
    <sheet name="Developer Contingency" sheetId="13" r:id="rId6"/>
    <sheet name="Monthly Weather Report" sheetId="9" r:id="rId7"/>
    <sheet name="Construction Waste Tracker" sheetId="22" r:id="rId8"/>
    <sheet name="Sustainability (GSF Only)" sheetId="23" r:id="rId9"/>
    <sheet name="TI Allowace &amp; Contingency Reset" sheetId="24" state="hidden" r:id="rId10"/>
    <sheet name="GMP-PO Breakdown Reset" sheetId="28" state="hidden" r:id="rId11"/>
    <sheet name="Subcontractor Template Reset" sheetId="21" state="hidden" r:id="rId12"/>
    <sheet name="Cash Flow Reset" sheetId="26" state="hidden" r:id="rId13"/>
    <sheet name="Developer Contingency Reset" sheetId="27" state="hidden" r:id="rId14"/>
    <sheet name="Monthly Weather Report Reset" sheetId="25" state="hidden" r:id="rId15"/>
    <sheet name="Drop Down Menus" sheetId="19" state="hidden" r:id="rId16"/>
  </sheets>
  <functionGroups builtInGroupCount="19"/>
  <externalReferences>
    <externalReference r:id="rId17"/>
    <externalReference r:id="rId18"/>
  </externalReferences>
  <definedNames>
    <definedName name="_xlnm._FilterDatabase" localSheetId="15" hidden="1">'Drop Down Menus'!$G$1:$G$13</definedName>
    <definedName name="ActualBill">'Cash Flow'!$O$25</definedName>
    <definedName name="ActualDevCont">'Cash Flow'!$R$25</definedName>
    <definedName name="ajalfdj" localSheetId="3" hidden="1">{"'vert'!$A$1:$T$117"}</definedName>
    <definedName name="ajalfdj" localSheetId="0" hidden="1">{"'vert'!$A$1:$T$117"}</definedName>
    <definedName name="ajalfdj" localSheetId="11" hidden="1">{"'vert'!$A$1:$T$117"}</definedName>
    <definedName name="ajalfdj" hidden="1">{"'vert'!$A$1:$T$117"}</definedName>
    <definedName name="ajalfdj_1" localSheetId="3" hidden="1">{"'vert'!$A$1:$T$117"}</definedName>
    <definedName name="ajalfdj_1" localSheetId="0" hidden="1">{"'vert'!$A$1:$T$117"}</definedName>
    <definedName name="ajalfdj_1" localSheetId="11" hidden="1">{"'vert'!$A$1:$T$117"}</definedName>
    <definedName name="ajalfdj_1" hidden="1">{"'vert'!$A$1:$T$117"}</definedName>
    <definedName name="ApprovedBillings">'GMP-PO Breakdown'!$H$9</definedName>
    <definedName name="bne" localSheetId="3" hidden="1">#REF!</definedName>
    <definedName name="bne" localSheetId="5" hidden="1">#REF!</definedName>
    <definedName name="bne" localSheetId="0" hidden="1">#REF!</definedName>
    <definedName name="bne" localSheetId="11" hidden="1">#REF!</definedName>
    <definedName name="bne" hidden="1">#REF!</definedName>
    <definedName name="BNE_MESSAGES_HIDDEN" localSheetId="3" hidden="1">#REF!</definedName>
    <definedName name="BNE_MESSAGES_HIDDEN" localSheetId="5" hidden="1">#REF!</definedName>
    <definedName name="BNE_MESSAGES_HIDDEN" localSheetId="0" hidden="1">#REF!</definedName>
    <definedName name="BNE_MESSAGES_HIDDEN" localSheetId="11" hidden="1">#REF!</definedName>
    <definedName name="BNE_MESSAGES_HIDDEN" hidden="1">#REF!</definedName>
    <definedName name="CarData">CarDetails[CarDetails]</definedName>
    <definedName name="carNum">'GMP-PO Breakdown'!$C$15</definedName>
    <definedName name="Comments">'Cash Flow'!$U$25</definedName>
    <definedName name="continueSummary">'GMP-PO Breakdown'!$H$5</definedName>
    <definedName name="coop2" localSheetId="3" hidden="1">{"'vert'!$A$1:$T$117"}</definedName>
    <definedName name="coop2" localSheetId="0" hidden="1">{"'vert'!$A$1:$T$117"}</definedName>
    <definedName name="coop2" localSheetId="11" hidden="1">{"'vert'!$A$1:$T$117"}</definedName>
    <definedName name="coop2" hidden="1">{"'vert'!$A$1:$T$117"}</definedName>
    <definedName name="coop2_1" localSheetId="3" hidden="1">{"'vert'!$A$1:$T$117"}</definedName>
    <definedName name="coop2_1" localSheetId="0" hidden="1">{"'vert'!$A$1:$T$117"}</definedName>
    <definedName name="coop2_1" localSheetId="11" hidden="1">{"'vert'!$A$1:$T$117"}</definedName>
    <definedName name="coop2_1" hidden="1">{"'vert'!$A$1:$T$117"}</definedName>
    <definedName name="Country" localSheetId="11">#REF!</definedName>
    <definedName name="dfgdsfg" localSheetId="3" hidden="1">{"'vert'!$A$1:$T$117"}</definedName>
    <definedName name="dfgdsfg" localSheetId="0" hidden="1">{"'vert'!$A$1:$T$117"}</definedName>
    <definedName name="dfgdsfg" localSheetId="11" hidden="1">{"'vert'!$A$1:$T$117"}</definedName>
    <definedName name="dfgdsfg" hidden="1">{"'vert'!$A$1:$T$117"}</definedName>
    <definedName name="dfgdsfg_1" localSheetId="3" hidden="1">{"'vert'!$A$1:$T$117"}</definedName>
    <definedName name="dfgdsfg_1" localSheetId="0" hidden="1">{"'vert'!$A$1:$T$117"}</definedName>
    <definedName name="dfgdsfg_1" localSheetId="11" hidden="1">{"'vert'!$A$1:$T$117"}</definedName>
    <definedName name="dfgdsfg_1" hidden="1">{"'vert'!$A$1:$T$117"}</definedName>
    <definedName name="ECaC">'GMP-PO Breakdown'!$H$11</definedName>
    <definedName name="ECon" localSheetId="3" hidden="1">{"'vert'!$A$1:$T$117"}</definedName>
    <definedName name="ECon" localSheetId="0" hidden="1">{"'vert'!$A$1:$T$117"}</definedName>
    <definedName name="ECon" localSheetId="11" hidden="1">{"'vert'!$A$1:$T$117"}</definedName>
    <definedName name="ECon" hidden="1">{"'vert'!$A$1:$T$117"}</definedName>
    <definedName name="g" localSheetId="3" hidden="1">{"'vert'!$A$1:$T$117"}</definedName>
    <definedName name="g" localSheetId="0" hidden="1">{"'vert'!$A$1:$T$117"}</definedName>
    <definedName name="g" localSheetId="11" hidden="1">{"'vert'!$A$1:$T$117"}</definedName>
    <definedName name="g" hidden="1">{"'vert'!$A$1:$T$117"}</definedName>
    <definedName name="HTML_CodePage" hidden="1">1252</definedName>
    <definedName name="HTML_Cont" localSheetId="3" hidden="1">{"'vert'!$A$1:$T$117"}</definedName>
    <definedName name="HTML_Cont" localSheetId="0" hidden="1">{"'vert'!$A$1:$T$117"}</definedName>
    <definedName name="HTML_Cont" localSheetId="11" hidden="1">{"'vert'!$A$1:$T$117"}</definedName>
    <definedName name="HTML_Cont" hidden="1">{"'vert'!$A$1:$T$117"}</definedName>
    <definedName name="HTML_Cont_1" localSheetId="3" hidden="1">{"'vert'!$A$1:$T$117"}</definedName>
    <definedName name="HTML_Cont_1" localSheetId="0" hidden="1">{"'vert'!$A$1:$T$117"}</definedName>
    <definedName name="HTML_Cont_1" localSheetId="11" hidden="1">{"'vert'!$A$1:$T$117"}</definedName>
    <definedName name="HTML_Cont_1" hidden="1">{"'vert'!$A$1:$T$117"}</definedName>
    <definedName name="HTML_Control" localSheetId="3" hidden="1">{"'vert'!$A$1:$T$117"}</definedName>
    <definedName name="HTML_Control" localSheetId="0" hidden="1">{"'vert'!$A$1:$T$117"}</definedName>
    <definedName name="HTML_Control" localSheetId="11" hidden="1">{"'vert'!$A$1:$T$117"}</definedName>
    <definedName name="HTML_Control" hidden="1">{"'vert'!$A$1:$T$117"}</definedName>
    <definedName name="HTML_Control_1" localSheetId="3" hidden="1">{"'vert'!$A$1:$T$117"}</definedName>
    <definedName name="HTML_Control_1" localSheetId="0" hidden="1">{"'vert'!$A$1:$T$117"}</definedName>
    <definedName name="HTML_Control_1" localSheetId="11"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3" hidden="1">{"'vert'!$A$1:$T$117"}</definedName>
    <definedName name="kakaw" localSheetId="0" hidden="1">{"'vert'!$A$1:$T$117"}</definedName>
    <definedName name="kakaw" localSheetId="11" hidden="1">{"'vert'!$A$1:$T$117"}</definedName>
    <definedName name="kakaw" hidden="1">{"'vert'!$A$1:$T$117"}</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[1]PopCache!$A$1:$A$2</definedName>
    <definedName name="_xlnm.Print_Area" localSheetId="5">'Developer Contingency'!$A$14:$D$66</definedName>
    <definedName name="_xlnm.Print_Area" localSheetId="1">'GMP-PO Breakdown'!$A$19:$H$116</definedName>
    <definedName name="_xlnm.Print_Area" localSheetId="6">'Monthly Weather Report'!$B$13:$D$504</definedName>
    <definedName name="_xlnm.Print_Area" localSheetId="4">'TI Allowance &amp; Contingency'!$B$14:$F$33</definedName>
    <definedName name="ProjDevCont">'Cash Flow'!$F$25</definedName>
    <definedName name="RevProjBill">'Cash Flow'!$I$25</definedName>
    <definedName name="RSMeans" localSheetId="11">#REF!</definedName>
    <definedName name="siteCode">'GMP-PO Breakdown'!$C$6</definedName>
    <definedName name="start_cwm_detail">'Construction Waste Tracker'!$B$6</definedName>
    <definedName name="startCashFlow">'Cash Flow'!$B$25</definedName>
    <definedName name="startChangeOrder">'GMP-PO Breakdown'!$B$120</definedName>
    <definedName name="startCOMatrix">'GMP-PO Breakdown'!$B$1351</definedName>
    <definedName name="StartCWM">'Construction Waste Tracker'!$B$37</definedName>
    <definedName name="startGMPdetail">'GMP-PO Breakdown'!$B$22</definedName>
    <definedName name="startSummary">'GMP-PO Breakdown'!$C$5</definedName>
    <definedName name="States" localSheetId="11">#REF!</definedName>
    <definedName name="TotalAvailableBudget">'GMP-PO Breakdown'!$H$8</definedName>
    <definedName name="US_States" localSheetId="11">#REF!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3" i="13" l="1"/>
  <c r="D183" i="13"/>
  <c r="E149" i="13"/>
  <c r="D149" i="13"/>
  <c r="E115" i="13"/>
  <c r="D115" i="13"/>
  <c r="E81" i="13"/>
  <c r="D81" i="13"/>
  <c r="E47" i="13"/>
  <c r="D47" i="13"/>
  <c r="D186" i="13" s="1"/>
  <c r="C11" i="13"/>
  <c r="C10" i="13"/>
  <c r="C9" i="13"/>
  <c r="C8" i="13"/>
  <c r="C7" i="13"/>
  <c r="C5" i="13"/>
  <c r="C219" i="8"/>
  <c r="C217" i="8"/>
  <c r="B217" i="8"/>
  <c r="E216" i="8"/>
  <c r="E219" i="8" s="1"/>
  <c r="D216" i="8"/>
  <c r="D219" i="8" s="1"/>
  <c r="E221" i="8" s="1"/>
  <c r="B208" i="8"/>
  <c r="C206" i="8"/>
  <c r="B206" i="8"/>
  <c r="E205" i="8"/>
  <c r="D205" i="8"/>
  <c r="B197" i="8"/>
  <c r="C195" i="8"/>
  <c r="B195" i="8"/>
  <c r="E194" i="8"/>
  <c r="D194" i="8"/>
  <c r="B186" i="8"/>
  <c r="C184" i="8"/>
  <c r="B184" i="8"/>
  <c r="E183" i="8"/>
  <c r="D183" i="8"/>
  <c r="B175" i="8"/>
  <c r="C173" i="8"/>
  <c r="B173" i="8"/>
  <c r="E172" i="8"/>
  <c r="D172" i="8"/>
  <c r="B172" i="8"/>
  <c r="B164" i="8"/>
  <c r="C162" i="8"/>
  <c r="B162" i="8"/>
  <c r="E161" i="8"/>
  <c r="D161" i="8"/>
  <c r="B153" i="8"/>
  <c r="C151" i="8"/>
  <c r="B151" i="8"/>
  <c r="E150" i="8"/>
  <c r="D150" i="8"/>
  <c r="B142" i="8"/>
  <c r="C140" i="8"/>
  <c r="B140" i="8"/>
  <c r="E139" i="8"/>
  <c r="D139" i="8"/>
  <c r="B131" i="8"/>
  <c r="C129" i="8"/>
  <c r="B129" i="8"/>
  <c r="E128" i="8"/>
  <c r="D128" i="8"/>
  <c r="B128" i="8"/>
  <c r="B118" i="8"/>
  <c r="E117" i="8"/>
  <c r="D117" i="8"/>
  <c r="B16" i="8"/>
  <c r="C11" i="8"/>
  <c r="C10" i="8"/>
  <c r="C9" i="8"/>
  <c r="C8" i="8"/>
  <c r="C7" i="8"/>
  <c r="C5" i="8"/>
  <c r="H73" i="9"/>
  <c r="G73" i="9"/>
  <c r="E73" i="9"/>
  <c r="D73" i="9"/>
  <c r="E75" i="9" s="1"/>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73" i="9" s="1"/>
  <c r="D39" i="9"/>
  <c r="C11" i="9"/>
  <c r="C10" i="9"/>
  <c r="C9" i="9"/>
  <c r="C8" i="9"/>
  <c r="C7" i="9"/>
  <c r="C5" i="9"/>
  <c r="I513" i="5"/>
  <c r="F513" i="5"/>
  <c r="E513" i="5"/>
  <c r="H512" i="5"/>
  <c r="J512" i="5" s="1"/>
  <c r="G512" i="5"/>
  <c r="J511" i="5"/>
  <c r="G511" i="5"/>
  <c r="H511" i="5" s="1"/>
  <c r="H510" i="5"/>
  <c r="J510" i="5" s="1"/>
  <c r="G510" i="5"/>
  <c r="G509" i="5"/>
  <c r="H509" i="5" s="1"/>
  <c r="J509" i="5" s="1"/>
  <c r="H508" i="5"/>
  <c r="J508" i="5" s="1"/>
  <c r="G508" i="5"/>
  <c r="G507" i="5"/>
  <c r="H507" i="5" s="1"/>
  <c r="J507" i="5" s="1"/>
  <c r="H506" i="5"/>
  <c r="J506" i="5" s="1"/>
  <c r="G506" i="5"/>
  <c r="G505" i="5"/>
  <c r="H505" i="5" s="1"/>
  <c r="J505" i="5" s="1"/>
  <c r="H504" i="5"/>
  <c r="J504" i="5" s="1"/>
  <c r="G504" i="5"/>
  <c r="G503" i="5"/>
  <c r="H503" i="5" s="1"/>
  <c r="J503" i="5" s="1"/>
  <c r="H502" i="5"/>
  <c r="J502" i="5" s="1"/>
  <c r="G502" i="5"/>
  <c r="G501" i="5"/>
  <c r="I499" i="5"/>
  <c r="F499" i="5"/>
  <c r="E499" i="5"/>
  <c r="H498" i="5"/>
  <c r="J498" i="5" s="1"/>
  <c r="G498" i="5"/>
  <c r="G497" i="5"/>
  <c r="H497" i="5" s="1"/>
  <c r="J497" i="5" s="1"/>
  <c r="H496" i="5"/>
  <c r="J496" i="5" s="1"/>
  <c r="G496" i="5"/>
  <c r="J495" i="5"/>
  <c r="G495" i="5"/>
  <c r="H495" i="5" s="1"/>
  <c r="H494" i="5"/>
  <c r="J494" i="5" s="1"/>
  <c r="G494" i="5"/>
  <c r="G493" i="5"/>
  <c r="H493" i="5" s="1"/>
  <c r="J493" i="5" s="1"/>
  <c r="H492" i="5"/>
  <c r="J492" i="5" s="1"/>
  <c r="G492" i="5"/>
  <c r="G491" i="5"/>
  <c r="H491" i="5" s="1"/>
  <c r="J491" i="5" s="1"/>
  <c r="H490" i="5"/>
  <c r="G490" i="5"/>
  <c r="G499" i="5" s="1"/>
  <c r="I488" i="5"/>
  <c r="F488" i="5"/>
  <c r="E488" i="5"/>
  <c r="G487" i="5"/>
  <c r="H487" i="5" s="1"/>
  <c r="J487" i="5" s="1"/>
  <c r="H486" i="5"/>
  <c r="J486" i="5" s="1"/>
  <c r="G486" i="5"/>
  <c r="G485" i="5"/>
  <c r="H485" i="5" s="1"/>
  <c r="J485" i="5" s="1"/>
  <c r="H484" i="5"/>
  <c r="J484" i="5" s="1"/>
  <c r="G484" i="5"/>
  <c r="G483" i="5"/>
  <c r="I481" i="5"/>
  <c r="F481" i="5"/>
  <c r="E481" i="5"/>
  <c r="H480" i="5"/>
  <c r="J480" i="5" s="1"/>
  <c r="G480" i="5"/>
  <c r="J479" i="5"/>
  <c r="G479" i="5"/>
  <c r="H479" i="5" s="1"/>
  <c r="H478" i="5"/>
  <c r="J478" i="5" s="1"/>
  <c r="G478" i="5"/>
  <c r="G477" i="5"/>
  <c r="H477" i="5" s="1"/>
  <c r="J477" i="5" s="1"/>
  <c r="H476" i="5"/>
  <c r="J476" i="5" s="1"/>
  <c r="G476" i="5"/>
  <c r="G475" i="5"/>
  <c r="H475" i="5" s="1"/>
  <c r="J475" i="5" s="1"/>
  <c r="H474" i="5"/>
  <c r="J474" i="5" s="1"/>
  <c r="G474" i="5"/>
  <c r="G473" i="5"/>
  <c r="H473" i="5" s="1"/>
  <c r="J473" i="5" s="1"/>
  <c r="H472" i="5"/>
  <c r="J472" i="5" s="1"/>
  <c r="G472" i="5"/>
  <c r="G471" i="5"/>
  <c r="H471" i="5" s="1"/>
  <c r="J471" i="5" s="1"/>
  <c r="H470" i="5"/>
  <c r="J470" i="5" s="1"/>
  <c r="G470" i="5"/>
  <c r="G469" i="5"/>
  <c r="I467" i="5"/>
  <c r="F467" i="5"/>
  <c r="E467" i="5"/>
  <c r="H466" i="5"/>
  <c r="J466" i="5" s="1"/>
  <c r="G466" i="5"/>
  <c r="G465" i="5"/>
  <c r="H465" i="5" s="1"/>
  <c r="J465" i="5" s="1"/>
  <c r="H464" i="5"/>
  <c r="J464" i="5" s="1"/>
  <c r="G464" i="5"/>
  <c r="G463" i="5"/>
  <c r="H463" i="5" s="1"/>
  <c r="J463" i="5" s="1"/>
  <c r="G462" i="5"/>
  <c r="H462" i="5" s="1"/>
  <c r="J462" i="5" s="1"/>
  <c r="G461" i="5"/>
  <c r="H461" i="5" s="1"/>
  <c r="J461" i="5" s="1"/>
  <c r="H460" i="5"/>
  <c r="J460" i="5" s="1"/>
  <c r="G460" i="5"/>
  <c r="G459" i="5"/>
  <c r="H459" i="5" s="1"/>
  <c r="J459" i="5" s="1"/>
  <c r="H458" i="5"/>
  <c r="J458" i="5" s="1"/>
  <c r="G458" i="5"/>
  <c r="J457" i="5"/>
  <c r="H457" i="5"/>
  <c r="G457" i="5"/>
  <c r="H456" i="5"/>
  <c r="J456" i="5" s="1"/>
  <c r="G456" i="5"/>
  <c r="J455" i="5"/>
  <c r="G455" i="5"/>
  <c r="H455" i="5" s="1"/>
  <c r="G454" i="5"/>
  <c r="H454" i="5" s="1"/>
  <c r="J454" i="5" s="1"/>
  <c r="G453" i="5"/>
  <c r="H453" i="5" s="1"/>
  <c r="J453" i="5" s="1"/>
  <c r="H452" i="5"/>
  <c r="J452" i="5" s="1"/>
  <c r="G452" i="5"/>
  <c r="G451" i="5"/>
  <c r="H451" i="5" s="1"/>
  <c r="J451" i="5" s="1"/>
  <c r="H450" i="5"/>
  <c r="J450" i="5" s="1"/>
  <c r="G450" i="5"/>
  <c r="J449" i="5"/>
  <c r="H449" i="5"/>
  <c r="G449" i="5"/>
  <c r="H448" i="5"/>
  <c r="J448" i="5" s="1"/>
  <c r="G448" i="5"/>
  <c r="J447" i="5"/>
  <c r="G447" i="5"/>
  <c r="H447" i="5" s="1"/>
  <c r="G446" i="5"/>
  <c r="H446" i="5" s="1"/>
  <c r="J446" i="5" s="1"/>
  <c r="G445" i="5"/>
  <c r="I443" i="5"/>
  <c r="F443" i="5"/>
  <c r="E443" i="5"/>
  <c r="H442" i="5"/>
  <c r="J442" i="5" s="1"/>
  <c r="G442" i="5"/>
  <c r="H441" i="5"/>
  <c r="J441" i="5" s="1"/>
  <c r="G441" i="5"/>
  <c r="H440" i="5"/>
  <c r="J440" i="5" s="1"/>
  <c r="G440" i="5"/>
  <c r="G439" i="5"/>
  <c r="H439" i="5" s="1"/>
  <c r="J439" i="5" s="1"/>
  <c r="G438" i="5"/>
  <c r="H438" i="5" s="1"/>
  <c r="J438" i="5" s="1"/>
  <c r="G437" i="5"/>
  <c r="H437" i="5" s="1"/>
  <c r="J437" i="5" s="1"/>
  <c r="G436" i="5"/>
  <c r="H436" i="5" s="1"/>
  <c r="J436" i="5" s="1"/>
  <c r="G435" i="5"/>
  <c r="H435" i="5" s="1"/>
  <c r="J435" i="5" s="1"/>
  <c r="H434" i="5"/>
  <c r="J434" i="5" s="1"/>
  <c r="G434" i="5"/>
  <c r="H433" i="5"/>
  <c r="J433" i="5" s="1"/>
  <c r="G433" i="5"/>
  <c r="H432" i="5"/>
  <c r="J432" i="5" s="1"/>
  <c r="G432" i="5"/>
  <c r="J431" i="5"/>
  <c r="G431" i="5"/>
  <c r="H431" i="5" s="1"/>
  <c r="I429" i="5"/>
  <c r="F429" i="5"/>
  <c r="E429" i="5"/>
  <c r="G428" i="5"/>
  <c r="H428" i="5" s="1"/>
  <c r="J428" i="5" s="1"/>
  <c r="G427" i="5"/>
  <c r="H427" i="5" s="1"/>
  <c r="J427" i="5" s="1"/>
  <c r="H426" i="5"/>
  <c r="J426" i="5" s="1"/>
  <c r="G426" i="5"/>
  <c r="H425" i="5"/>
  <c r="J425" i="5" s="1"/>
  <c r="G425" i="5"/>
  <c r="H424" i="5"/>
  <c r="J424" i="5" s="1"/>
  <c r="G424" i="5"/>
  <c r="J423" i="5"/>
  <c r="G423" i="5"/>
  <c r="H423" i="5" s="1"/>
  <c r="G422" i="5"/>
  <c r="H422" i="5" s="1"/>
  <c r="J422" i="5" s="1"/>
  <c r="G421" i="5"/>
  <c r="H421" i="5" s="1"/>
  <c r="J421" i="5" s="1"/>
  <c r="G420" i="5"/>
  <c r="H420" i="5" s="1"/>
  <c r="J420" i="5" s="1"/>
  <c r="G419" i="5"/>
  <c r="H419" i="5" s="1"/>
  <c r="J419" i="5" s="1"/>
  <c r="H418" i="5"/>
  <c r="J418" i="5" s="1"/>
  <c r="G418" i="5"/>
  <c r="H417" i="5"/>
  <c r="J417" i="5" s="1"/>
  <c r="G417" i="5"/>
  <c r="I415" i="5"/>
  <c r="F415" i="5"/>
  <c r="E415" i="5"/>
  <c r="G414" i="5"/>
  <c r="H414" i="5" s="1"/>
  <c r="J414" i="5" s="1"/>
  <c r="G413" i="5"/>
  <c r="H413" i="5" s="1"/>
  <c r="J413" i="5" s="1"/>
  <c r="G412" i="5"/>
  <c r="H412" i="5" s="1"/>
  <c r="J412" i="5" s="1"/>
  <c r="G411" i="5"/>
  <c r="H411" i="5" s="1"/>
  <c r="J411" i="5" s="1"/>
  <c r="H410" i="5"/>
  <c r="J410" i="5" s="1"/>
  <c r="G410" i="5"/>
  <c r="H409" i="5"/>
  <c r="J409" i="5" s="1"/>
  <c r="G409" i="5"/>
  <c r="H408" i="5"/>
  <c r="J408" i="5" s="1"/>
  <c r="G408" i="5"/>
  <c r="J407" i="5"/>
  <c r="G407" i="5"/>
  <c r="H407" i="5" s="1"/>
  <c r="G406" i="5"/>
  <c r="H406" i="5" s="1"/>
  <c r="J406" i="5" s="1"/>
  <c r="G405" i="5"/>
  <c r="H405" i="5" s="1"/>
  <c r="J405" i="5" s="1"/>
  <c r="G404" i="5"/>
  <c r="H404" i="5" s="1"/>
  <c r="J404" i="5" s="1"/>
  <c r="G403" i="5"/>
  <c r="H403" i="5" s="1"/>
  <c r="J403" i="5" s="1"/>
  <c r="H402" i="5"/>
  <c r="J402" i="5" s="1"/>
  <c r="G402" i="5"/>
  <c r="H401" i="5"/>
  <c r="J401" i="5" s="1"/>
  <c r="G401" i="5"/>
  <c r="H400" i="5"/>
  <c r="J400" i="5" s="1"/>
  <c r="J415" i="5" s="1"/>
  <c r="G400" i="5"/>
  <c r="I398" i="5"/>
  <c r="F398" i="5"/>
  <c r="E398" i="5"/>
  <c r="G397" i="5"/>
  <c r="H397" i="5" s="1"/>
  <c r="J397" i="5" s="1"/>
  <c r="G396" i="5"/>
  <c r="H396" i="5" s="1"/>
  <c r="J396" i="5" s="1"/>
  <c r="G395" i="5"/>
  <c r="H395" i="5" s="1"/>
  <c r="J395" i="5" s="1"/>
  <c r="H394" i="5"/>
  <c r="J394" i="5" s="1"/>
  <c r="G394" i="5"/>
  <c r="H393" i="5"/>
  <c r="J393" i="5" s="1"/>
  <c r="G393" i="5"/>
  <c r="H392" i="5"/>
  <c r="J392" i="5" s="1"/>
  <c r="G392" i="5"/>
  <c r="G391" i="5"/>
  <c r="H391" i="5" s="1"/>
  <c r="H398" i="5" s="1"/>
  <c r="I389" i="5"/>
  <c r="F389" i="5"/>
  <c r="E389" i="5"/>
  <c r="G388" i="5"/>
  <c r="H388" i="5" s="1"/>
  <c r="J388" i="5" s="1"/>
  <c r="G387" i="5"/>
  <c r="H387" i="5" s="1"/>
  <c r="J387" i="5" s="1"/>
  <c r="H386" i="5"/>
  <c r="J386" i="5" s="1"/>
  <c r="G386" i="5"/>
  <c r="H385" i="5"/>
  <c r="J385" i="5" s="1"/>
  <c r="G385" i="5"/>
  <c r="H384" i="5"/>
  <c r="J384" i="5" s="1"/>
  <c r="G384" i="5"/>
  <c r="G383" i="5"/>
  <c r="H383" i="5" s="1"/>
  <c r="J383" i="5" s="1"/>
  <c r="J382" i="5"/>
  <c r="H382" i="5"/>
  <c r="G382" i="5"/>
  <c r="I380" i="5"/>
  <c r="F380" i="5"/>
  <c r="E380" i="5"/>
  <c r="G379" i="5"/>
  <c r="H379" i="5" s="1"/>
  <c r="J379" i="5" s="1"/>
  <c r="H378" i="5"/>
  <c r="J378" i="5" s="1"/>
  <c r="G378" i="5"/>
  <c r="H377" i="5"/>
  <c r="J377" i="5" s="1"/>
  <c r="G377" i="5"/>
  <c r="H376" i="5"/>
  <c r="J376" i="5" s="1"/>
  <c r="G376" i="5"/>
  <c r="G375" i="5"/>
  <c r="H375" i="5" s="1"/>
  <c r="H380" i="5" s="1"/>
  <c r="E64" i="2" s="1"/>
  <c r="J374" i="5"/>
  <c r="H374" i="5"/>
  <c r="G374" i="5"/>
  <c r="G380" i="5" s="1"/>
  <c r="I372" i="5"/>
  <c r="F372" i="5"/>
  <c r="E372" i="5"/>
  <c r="G371" i="5"/>
  <c r="H371" i="5" s="1"/>
  <c r="J371" i="5" s="1"/>
  <c r="H370" i="5"/>
  <c r="J370" i="5" s="1"/>
  <c r="G370" i="5"/>
  <c r="H369" i="5"/>
  <c r="J369" i="5" s="1"/>
  <c r="G369" i="5"/>
  <c r="H368" i="5"/>
  <c r="J368" i="5" s="1"/>
  <c r="G368" i="5"/>
  <c r="G367" i="5"/>
  <c r="H367" i="5" s="1"/>
  <c r="J367" i="5" s="1"/>
  <c r="J366" i="5"/>
  <c r="H366" i="5"/>
  <c r="G366" i="5"/>
  <c r="G365" i="5"/>
  <c r="H365" i="5" s="1"/>
  <c r="J365" i="5" s="1"/>
  <c r="G364" i="5"/>
  <c r="H364" i="5" s="1"/>
  <c r="J364" i="5" s="1"/>
  <c r="G363" i="5"/>
  <c r="H363" i="5" s="1"/>
  <c r="J363" i="5" s="1"/>
  <c r="H362" i="5"/>
  <c r="J362" i="5" s="1"/>
  <c r="G362" i="5"/>
  <c r="H361" i="5"/>
  <c r="J361" i="5" s="1"/>
  <c r="G361" i="5"/>
  <c r="H360" i="5"/>
  <c r="J360" i="5" s="1"/>
  <c r="G360" i="5"/>
  <c r="J359" i="5"/>
  <c r="G359" i="5"/>
  <c r="H359" i="5" s="1"/>
  <c r="J358" i="5"/>
  <c r="H358" i="5"/>
  <c r="G358" i="5"/>
  <c r="G372" i="5" s="1"/>
  <c r="I356" i="5"/>
  <c r="F356" i="5"/>
  <c r="E356" i="5"/>
  <c r="G355" i="5"/>
  <c r="H355" i="5" s="1"/>
  <c r="J355" i="5" s="1"/>
  <c r="H354" i="5"/>
  <c r="J354" i="5" s="1"/>
  <c r="G354" i="5"/>
  <c r="H353" i="5"/>
  <c r="J353" i="5" s="1"/>
  <c r="G353" i="5"/>
  <c r="H352" i="5"/>
  <c r="J352" i="5" s="1"/>
  <c r="G352" i="5"/>
  <c r="J351" i="5"/>
  <c r="G351" i="5"/>
  <c r="H351" i="5" s="1"/>
  <c r="G350" i="5"/>
  <c r="H350" i="5" s="1"/>
  <c r="J350" i="5" s="1"/>
  <c r="G349" i="5"/>
  <c r="H349" i="5" s="1"/>
  <c r="J349" i="5" s="1"/>
  <c r="G348" i="5"/>
  <c r="H348" i="5" s="1"/>
  <c r="J348" i="5" s="1"/>
  <c r="G347" i="5"/>
  <c r="H347" i="5" s="1"/>
  <c r="J347" i="5" s="1"/>
  <c r="H346" i="5"/>
  <c r="J346" i="5" s="1"/>
  <c r="G346" i="5"/>
  <c r="H345" i="5"/>
  <c r="J345" i="5" s="1"/>
  <c r="G345" i="5"/>
  <c r="H344" i="5"/>
  <c r="J344" i="5" s="1"/>
  <c r="G344" i="5"/>
  <c r="J343" i="5"/>
  <c r="G343" i="5"/>
  <c r="H343" i="5" s="1"/>
  <c r="G342" i="5"/>
  <c r="H342" i="5" s="1"/>
  <c r="J342" i="5" s="1"/>
  <c r="G341" i="5"/>
  <c r="H341" i="5" s="1"/>
  <c r="J341" i="5" s="1"/>
  <c r="G340" i="5"/>
  <c r="H340" i="5" s="1"/>
  <c r="J340" i="5" s="1"/>
  <c r="G339" i="5"/>
  <c r="H339" i="5" s="1"/>
  <c r="J339" i="5" s="1"/>
  <c r="H338" i="5"/>
  <c r="J338" i="5" s="1"/>
  <c r="G338" i="5"/>
  <c r="H337" i="5"/>
  <c r="J337" i="5" s="1"/>
  <c r="G337" i="5"/>
  <c r="H336" i="5"/>
  <c r="J336" i="5" s="1"/>
  <c r="G336" i="5"/>
  <c r="J335" i="5"/>
  <c r="G335" i="5"/>
  <c r="H335" i="5" s="1"/>
  <c r="J334" i="5"/>
  <c r="H334" i="5"/>
  <c r="G334" i="5"/>
  <c r="G333" i="5"/>
  <c r="H333" i="5" s="1"/>
  <c r="J333" i="5" s="1"/>
  <c r="G332" i="5"/>
  <c r="G356" i="5" s="1"/>
  <c r="I330" i="5"/>
  <c r="F330" i="5"/>
  <c r="E330" i="5"/>
  <c r="H329" i="5"/>
  <c r="J329" i="5" s="1"/>
  <c r="G329" i="5"/>
  <c r="H328" i="5"/>
  <c r="J328" i="5" s="1"/>
  <c r="G328" i="5"/>
  <c r="J327" i="5"/>
  <c r="G327" i="5"/>
  <c r="H327" i="5" s="1"/>
  <c r="J326" i="5"/>
  <c r="H326" i="5"/>
  <c r="G326" i="5"/>
  <c r="G325" i="5"/>
  <c r="H325" i="5" s="1"/>
  <c r="J325" i="5" s="1"/>
  <c r="G324" i="5"/>
  <c r="H324" i="5" s="1"/>
  <c r="J324" i="5" s="1"/>
  <c r="G323" i="5"/>
  <c r="H323" i="5" s="1"/>
  <c r="J323" i="5" s="1"/>
  <c r="H322" i="5"/>
  <c r="J322" i="5" s="1"/>
  <c r="G322" i="5"/>
  <c r="H321" i="5"/>
  <c r="J321" i="5" s="1"/>
  <c r="G321" i="5"/>
  <c r="H320" i="5"/>
  <c r="J320" i="5" s="1"/>
  <c r="G320" i="5"/>
  <c r="J319" i="5"/>
  <c r="H319" i="5"/>
  <c r="G319" i="5"/>
  <c r="J318" i="5"/>
  <c r="H318" i="5"/>
  <c r="G318" i="5"/>
  <c r="I316" i="5"/>
  <c r="F316" i="5"/>
  <c r="E316" i="5"/>
  <c r="G315" i="5"/>
  <c r="H315" i="5" s="1"/>
  <c r="J315" i="5" s="1"/>
  <c r="H314" i="5"/>
  <c r="J314" i="5" s="1"/>
  <c r="G314" i="5"/>
  <c r="H313" i="5"/>
  <c r="J313" i="5" s="1"/>
  <c r="G313" i="5"/>
  <c r="H312" i="5"/>
  <c r="J312" i="5" s="1"/>
  <c r="G312" i="5"/>
  <c r="J311" i="5"/>
  <c r="H311" i="5"/>
  <c r="G311" i="5"/>
  <c r="J310" i="5"/>
  <c r="H310" i="5"/>
  <c r="G310" i="5"/>
  <c r="G309" i="5"/>
  <c r="H309" i="5" s="1"/>
  <c r="J309" i="5" s="1"/>
  <c r="G308" i="5"/>
  <c r="G316" i="5" s="1"/>
  <c r="I306" i="5"/>
  <c r="F306" i="5"/>
  <c r="E306" i="5"/>
  <c r="H305" i="5"/>
  <c r="J305" i="5" s="1"/>
  <c r="G305" i="5"/>
  <c r="H304" i="5"/>
  <c r="J304" i="5" s="1"/>
  <c r="G304" i="5"/>
  <c r="J303" i="5"/>
  <c r="H303" i="5"/>
  <c r="G303" i="5"/>
  <c r="J302" i="5"/>
  <c r="H302" i="5"/>
  <c r="G302" i="5"/>
  <c r="G301" i="5"/>
  <c r="H301" i="5" s="1"/>
  <c r="J301" i="5" s="1"/>
  <c r="G300" i="5"/>
  <c r="H300" i="5" s="1"/>
  <c r="J300" i="5" s="1"/>
  <c r="G299" i="5"/>
  <c r="H299" i="5" s="1"/>
  <c r="J299" i="5" s="1"/>
  <c r="H298" i="5"/>
  <c r="J298" i="5" s="1"/>
  <c r="G298" i="5"/>
  <c r="H297" i="5"/>
  <c r="J297" i="5" s="1"/>
  <c r="G297" i="5"/>
  <c r="H296" i="5"/>
  <c r="J296" i="5" s="1"/>
  <c r="G296" i="5"/>
  <c r="G306" i="5" s="1"/>
  <c r="I294" i="5"/>
  <c r="F294" i="5"/>
  <c r="E294" i="5"/>
  <c r="G293" i="5"/>
  <c r="H293" i="5" s="1"/>
  <c r="J293" i="5" s="1"/>
  <c r="G292" i="5"/>
  <c r="H292" i="5" s="1"/>
  <c r="J292" i="5" s="1"/>
  <c r="G291" i="5"/>
  <c r="H291" i="5" s="1"/>
  <c r="J291" i="5" s="1"/>
  <c r="H290" i="5"/>
  <c r="J290" i="5" s="1"/>
  <c r="G290" i="5"/>
  <c r="H289" i="5"/>
  <c r="J289" i="5" s="1"/>
  <c r="G289" i="5"/>
  <c r="H288" i="5"/>
  <c r="J288" i="5" s="1"/>
  <c r="G288" i="5"/>
  <c r="J287" i="5"/>
  <c r="H287" i="5"/>
  <c r="G287" i="5"/>
  <c r="G286" i="5"/>
  <c r="H286" i="5" s="1"/>
  <c r="I284" i="5"/>
  <c r="F284" i="5"/>
  <c r="E284" i="5"/>
  <c r="G283" i="5"/>
  <c r="H283" i="5" s="1"/>
  <c r="J283" i="5" s="1"/>
  <c r="H282" i="5"/>
  <c r="J282" i="5" s="1"/>
  <c r="G282" i="5"/>
  <c r="H281" i="5"/>
  <c r="J281" i="5" s="1"/>
  <c r="G281" i="5"/>
  <c r="H280" i="5"/>
  <c r="J280" i="5" s="1"/>
  <c r="G280" i="5"/>
  <c r="J279" i="5"/>
  <c r="G279" i="5"/>
  <c r="H279" i="5" s="1"/>
  <c r="G278" i="5"/>
  <c r="H278" i="5" s="1"/>
  <c r="J278" i="5" s="1"/>
  <c r="G277" i="5"/>
  <c r="H277" i="5" s="1"/>
  <c r="J277" i="5" s="1"/>
  <c r="G276" i="5"/>
  <c r="G284" i="5" s="1"/>
  <c r="I274" i="5"/>
  <c r="F274" i="5"/>
  <c r="E274" i="5"/>
  <c r="H273" i="5"/>
  <c r="J273" i="5" s="1"/>
  <c r="G273" i="5"/>
  <c r="H272" i="5"/>
  <c r="J272" i="5" s="1"/>
  <c r="G272" i="5"/>
  <c r="J271" i="5"/>
  <c r="H271" i="5"/>
  <c r="G271" i="5"/>
  <c r="G270" i="5"/>
  <c r="H270" i="5" s="1"/>
  <c r="J270" i="5" s="1"/>
  <c r="G269" i="5"/>
  <c r="H269" i="5" s="1"/>
  <c r="J269" i="5" s="1"/>
  <c r="G268" i="5"/>
  <c r="H268" i="5" s="1"/>
  <c r="J268" i="5" s="1"/>
  <c r="G267" i="5"/>
  <c r="H267" i="5" s="1"/>
  <c r="J267" i="5" s="1"/>
  <c r="H266" i="5"/>
  <c r="J266" i="5" s="1"/>
  <c r="G266" i="5"/>
  <c r="H265" i="5"/>
  <c r="J265" i="5" s="1"/>
  <c r="G265" i="5"/>
  <c r="H264" i="5"/>
  <c r="J264" i="5" s="1"/>
  <c r="J274" i="5" s="1"/>
  <c r="G264" i="5"/>
  <c r="G274" i="5" s="1"/>
  <c r="I262" i="5"/>
  <c r="F262" i="5"/>
  <c r="E262" i="5"/>
  <c r="G261" i="5"/>
  <c r="H261" i="5" s="1"/>
  <c r="J261" i="5" s="1"/>
  <c r="G260" i="5"/>
  <c r="H260" i="5" s="1"/>
  <c r="J260" i="5" s="1"/>
  <c r="G259" i="5"/>
  <c r="H259" i="5" s="1"/>
  <c r="J259" i="5" s="1"/>
  <c r="H258" i="5"/>
  <c r="J258" i="5" s="1"/>
  <c r="G258" i="5"/>
  <c r="H257" i="5"/>
  <c r="J257" i="5" s="1"/>
  <c r="G257" i="5"/>
  <c r="H256" i="5"/>
  <c r="J256" i="5" s="1"/>
  <c r="G256" i="5"/>
  <c r="J255" i="5"/>
  <c r="H255" i="5"/>
  <c r="G255" i="5"/>
  <c r="G254" i="5"/>
  <c r="H254" i="5" s="1"/>
  <c r="J254" i="5" s="1"/>
  <c r="G253" i="5"/>
  <c r="H253" i="5" s="1"/>
  <c r="J253" i="5" s="1"/>
  <c r="G252" i="5"/>
  <c r="H252" i="5" s="1"/>
  <c r="J252" i="5" s="1"/>
  <c r="G251" i="5"/>
  <c r="H251" i="5" s="1"/>
  <c r="I249" i="5"/>
  <c r="F249" i="5"/>
  <c r="E249" i="5"/>
  <c r="G248" i="5"/>
  <c r="H248" i="5" s="1"/>
  <c r="J248" i="5" s="1"/>
  <c r="J247" i="5"/>
  <c r="H247" i="5"/>
  <c r="G247" i="5"/>
  <c r="J246" i="5"/>
  <c r="H246" i="5"/>
  <c r="G246" i="5"/>
  <c r="G245" i="5"/>
  <c r="H245" i="5" s="1"/>
  <c r="J245" i="5" s="1"/>
  <c r="G244" i="5"/>
  <c r="H244" i="5" s="1"/>
  <c r="J244" i="5" s="1"/>
  <c r="G243" i="5"/>
  <c r="H243" i="5" s="1"/>
  <c r="J243" i="5" s="1"/>
  <c r="H242" i="5"/>
  <c r="J242" i="5" s="1"/>
  <c r="G242" i="5"/>
  <c r="H241" i="5"/>
  <c r="J241" i="5" s="1"/>
  <c r="G241" i="5"/>
  <c r="G240" i="5"/>
  <c r="H240" i="5" s="1"/>
  <c r="J240" i="5" s="1"/>
  <c r="J239" i="5"/>
  <c r="H239" i="5"/>
  <c r="G239" i="5"/>
  <c r="J238" i="5"/>
  <c r="H238" i="5"/>
  <c r="G238" i="5"/>
  <c r="G237" i="5"/>
  <c r="H237" i="5" s="1"/>
  <c r="J237" i="5" s="1"/>
  <c r="G236" i="5"/>
  <c r="I234" i="5"/>
  <c r="F234" i="5"/>
  <c r="E234" i="5"/>
  <c r="H233" i="5"/>
  <c r="J233" i="5" s="1"/>
  <c r="G233" i="5"/>
  <c r="H232" i="5"/>
  <c r="J232" i="5" s="1"/>
  <c r="G232" i="5"/>
  <c r="J231" i="5"/>
  <c r="H231" i="5"/>
  <c r="G231" i="5"/>
  <c r="J230" i="5"/>
  <c r="H230" i="5"/>
  <c r="G230" i="5"/>
  <c r="G229" i="5"/>
  <c r="H229" i="5" s="1"/>
  <c r="J229" i="5" s="1"/>
  <c r="G228" i="5"/>
  <c r="H228" i="5" s="1"/>
  <c r="J228" i="5" s="1"/>
  <c r="G227" i="5"/>
  <c r="H227" i="5" s="1"/>
  <c r="J227" i="5" s="1"/>
  <c r="H226" i="5"/>
  <c r="J226" i="5" s="1"/>
  <c r="G226" i="5"/>
  <c r="H225" i="5"/>
  <c r="J225" i="5" s="1"/>
  <c r="G225" i="5"/>
  <c r="I223" i="5"/>
  <c r="G223" i="5"/>
  <c r="F223" i="5"/>
  <c r="E223" i="5"/>
  <c r="J222" i="5"/>
  <c r="H222" i="5"/>
  <c r="G222" i="5"/>
  <c r="G221" i="5"/>
  <c r="H221" i="5" s="1"/>
  <c r="J221" i="5" s="1"/>
  <c r="G220" i="5"/>
  <c r="H220" i="5" s="1"/>
  <c r="J220" i="5" s="1"/>
  <c r="G219" i="5"/>
  <c r="H219" i="5" s="1"/>
  <c r="J219" i="5" s="1"/>
  <c r="H218" i="5"/>
  <c r="J218" i="5" s="1"/>
  <c r="G218" i="5"/>
  <c r="H217" i="5"/>
  <c r="J217" i="5" s="1"/>
  <c r="G217" i="5"/>
  <c r="H216" i="5"/>
  <c r="J216" i="5" s="1"/>
  <c r="G216" i="5"/>
  <c r="J215" i="5"/>
  <c r="H215" i="5"/>
  <c r="G215" i="5"/>
  <c r="J214" i="5"/>
  <c r="H214" i="5"/>
  <c r="G214" i="5"/>
  <c r="G213" i="5"/>
  <c r="H213" i="5" s="1"/>
  <c r="J213" i="5" s="1"/>
  <c r="G212" i="5"/>
  <c r="H212" i="5" s="1"/>
  <c r="J212" i="5" s="1"/>
  <c r="G211" i="5"/>
  <c r="H211" i="5" s="1"/>
  <c r="J211" i="5" s="1"/>
  <c r="H210" i="5"/>
  <c r="J210" i="5" s="1"/>
  <c r="G210" i="5"/>
  <c r="H209" i="5"/>
  <c r="J209" i="5" s="1"/>
  <c r="G209" i="5"/>
  <c r="I207" i="5"/>
  <c r="F207" i="5"/>
  <c r="E207" i="5"/>
  <c r="J206" i="5"/>
  <c r="H206" i="5"/>
  <c r="G206" i="5"/>
  <c r="G205" i="5"/>
  <c r="H205" i="5" s="1"/>
  <c r="J205" i="5" s="1"/>
  <c r="H204" i="5"/>
  <c r="J204" i="5" s="1"/>
  <c r="G204" i="5"/>
  <c r="G203" i="5"/>
  <c r="H203" i="5" s="1"/>
  <c r="J203" i="5" s="1"/>
  <c r="H202" i="5"/>
  <c r="J202" i="5" s="1"/>
  <c r="G202" i="5"/>
  <c r="J201" i="5"/>
  <c r="H201" i="5"/>
  <c r="G201" i="5"/>
  <c r="H200" i="5"/>
  <c r="J200" i="5" s="1"/>
  <c r="G200" i="5"/>
  <c r="G199" i="5"/>
  <c r="H199" i="5" s="1"/>
  <c r="J199" i="5" s="1"/>
  <c r="J198" i="5"/>
  <c r="H198" i="5"/>
  <c r="G198" i="5"/>
  <c r="G197" i="5"/>
  <c r="H197" i="5" s="1"/>
  <c r="J197" i="5" s="1"/>
  <c r="H196" i="5"/>
  <c r="J196" i="5" s="1"/>
  <c r="G196" i="5"/>
  <c r="G195" i="5"/>
  <c r="H195" i="5" s="1"/>
  <c r="J195" i="5" s="1"/>
  <c r="H194" i="5"/>
  <c r="J194" i="5" s="1"/>
  <c r="G194" i="5"/>
  <c r="J193" i="5"/>
  <c r="H193" i="5"/>
  <c r="G193" i="5"/>
  <c r="H192" i="5"/>
  <c r="J192" i="5" s="1"/>
  <c r="G192" i="5"/>
  <c r="G191" i="5"/>
  <c r="H191" i="5" s="1"/>
  <c r="J191" i="5" s="1"/>
  <c r="J190" i="5"/>
  <c r="H190" i="5"/>
  <c r="G190" i="5"/>
  <c r="G189" i="5"/>
  <c r="H189" i="5" s="1"/>
  <c r="J189" i="5" s="1"/>
  <c r="H188" i="5"/>
  <c r="J188" i="5" s="1"/>
  <c r="G188" i="5"/>
  <c r="G187" i="5"/>
  <c r="H187" i="5" s="1"/>
  <c r="I185" i="5"/>
  <c r="F185" i="5"/>
  <c r="E185" i="5"/>
  <c r="H184" i="5"/>
  <c r="J184" i="5" s="1"/>
  <c r="G184" i="5"/>
  <c r="J183" i="5"/>
  <c r="G183" i="5"/>
  <c r="H183" i="5" s="1"/>
  <c r="H182" i="5"/>
  <c r="J182" i="5" s="1"/>
  <c r="G182" i="5"/>
  <c r="G181" i="5"/>
  <c r="H181" i="5" s="1"/>
  <c r="J181" i="5" s="1"/>
  <c r="G180" i="5"/>
  <c r="H180" i="5" s="1"/>
  <c r="J180" i="5" s="1"/>
  <c r="G179" i="5"/>
  <c r="I177" i="5"/>
  <c r="F55" i="2" s="1"/>
  <c r="F177" i="5"/>
  <c r="E177" i="5"/>
  <c r="H176" i="5"/>
  <c r="J176" i="5" s="1"/>
  <c r="G176" i="5"/>
  <c r="G175" i="5"/>
  <c r="H175" i="5" s="1"/>
  <c r="J175" i="5" s="1"/>
  <c r="H174" i="5"/>
  <c r="J174" i="5" s="1"/>
  <c r="G174" i="5"/>
  <c r="G173" i="5"/>
  <c r="H173" i="5" s="1"/>
  <c r="J173" i="5" s="1"/>
  <c r="G172" i="5"/>
  <c r="H172" i="5" s="1"/>
  <c r="J172" i="5" s="1"/>
  <c r="G171" i="5"/>
  <c r="H171" i="5" s="1"/>
  <c r="J171" i="5" s="1"/>
  <c r="H170" i="5"/>
  <c r="J170" i="5" s="1"/>
  <c r="G170" i="5"/>
  <c r="G169" i="5"/>
  <c r="H169" i="5" s="1"/>
  <c r="J169" i="5" s="1"/>
  <c r="H168" i="5"/>
  <c r="J168" i="5" s="1"/>
  <c r="G168" i="5"/>
  <c r="J167" i="5"/>
  <c r="G167" i="5"/>
  <c r="H167" i="5" s="1"/>
  <c r="H166" i="5"/>
  <c r="J166" i="5" s="1"/>
  <c r="G166" i="5"/>
  <c r="J165" i="5"/>
  <c r="G165" i="5"/>
  <c r="H165" i="5" s="1"/>
  <c r="J164" i="5"/>
  <c r="H164" i="5"/>
  <c r="G164" i="5"/>
  <c r="G163" i="5"/>
  <c r="H163" i="5" s="1"/>
  <c r="J163" i="5" s="1"/>
  <c r="G162" i="5"/>
  <c r="H162" i="5" s="1"/>
  <c r="J162" i="5" s="1"/>
  <c r="H161" i="5"/>
  <c r="J161" i="5" s="1"/>
  <c r="G161" i="5"/>
  <c r="H160" i="5"/>
  <c r="G160" i="5"/>
  <c r="I158" i="5"/>
  <c r="F158" i="5"/>
  <c r="F10" i="5" s="1"/>
  <c r="E158" i="5"/>
  <c r="G157" i="5"/>
  <c r="H157" i="5" s="1"/>
  <c r="J157" i="5" s="1"/>
  <c r="H156" i="5"/>
  <c r="J156" i="5" s="1"/>
  <c r="G156" i="5"/>
  <c r="J155" i="5"/>
  <c r="H155" i="5"/>
  <c r="G155" i="5"/>
  <c r="G154" i="5"/>
  <c r="H154" i="5" s="1"/>
  <c r="J154" i="5" s="1"/>
  <c r="G153" i="5"/>
  <c r="J152" i="5"/>
  <c r="H152" i="5"/>
  <c r="G152" i="5"/>
  <c r="G158" i="5" s="1"/>
  <c r="I150" i="5"/>
  <c r="F150" i="5"/>
  <c r="E150" i="5"/>
  <c r="G149" i="5"/>
  <c r="H149" i="5" s="1"/>
  <c r="J149" i="5" s="1"/>
  <c r="H148" i="5"/>
  <c r="J148" i="5" s="1"/>
  <c r="G148" i="5"/>
  <c r="J147" i="5"/>
  <c r="H147" i="5"/>
  <c r="G147" i="5"/>
  <c r="G146" i="5"/>
  <c r="H146" i="5" s="1"/>
  <c r="J146" i="5" s="1"/>
  <c r="G145" i="5"/>
  <c r="H145" i="5" s="1"/>
  <c r="J145" i="5" s="1"/>
  <c r="J144" i="5"/>
  <c r="H144" i="5"/>
  <c r="G144" i="5"/>
  <c r="G143" i="5"/>
  <c r="H143" i="5" s="1"/>
  <c r="I141" i="5"/>
  <c r="F141" i="5"/>
  <c r="E141" i="5"/>
  <c r="H140" i="5"/>
  <c r="J140" i="5" s="1"/>
  <c r="G140" i="5"/>
  <c r="J139" i="5"/>
  <c r="H139" i="5"/>
  <c r="G139" i="5"/>
  <c r="G138" i="5"/>
  <c r="H138" i="5" s="1"/>
  <c r="J138" i="5" s="1"/>
  <c r="G137" i="5"/>
  <c r="H137" i="5" s="1"/>
  <c r="J137" i="5" s="1"/>
  <c r="J136" i="5"/>
  <c r="H136" i="5"/>
  <c r="G136" i="5"/>
  <c r="G135" i="5"/>
  <c r="H135" i="5" s="1"/>
  <c r="J135" i="5" s="1"/>
  <c r="H134" i="5"/>
  <c r="J134" i="5" s="1"/>
  <c r="G134" i="5"/>
  <c r="G133" i="5"/>
  <c r="H133" i="5" s="1"/>
  <c r="J133" i="5" s="1"/>
  <c r="H132" i="5"/>
  <c r="J132" i="5" s="1"/>
  <c r="G132" i="5"/>
  <c r="J131" i="5"/>
  <c r="H131" i="5"/>
  <c r="G131" i="5"/>
  <c r="G130" i="5"/>
  <c r="H130" i="5" s="1"/>
  <c r="J130" i="5" s="1"/>
  <c r="G129" i="5"/>
  <c r="G141" i="5" s="1"/>
  <c r="I127" i="5"/>
  <c r="F127" i="5"/>
  <c r="E127" i="5"/>
  <c r="H126" i="5"/>
  <c r="J126" i="5" s="1"/>
  <c r="G126" i="5"/>
  <c r="G125" i="5"/>
  <c r="H125" i="5" s="1"/>
  <c r="J125" i="5" s="1"/>
  <c r="H124" i="5"/>
  <c r="J124" i="5" s="1"/>
  <c r="G124" i="5"/>
  <c r="J123" i="5"/>
  <c r="H123" i="5"/>
  <c r="G123" i="5"/>
  <c r="G122" i="5"/>
  <c r="H122" i="5" s="1"/>
  <c r="J122" i="5" s="1"/>
  <c r="G121" i="5"/>
  <c r="H121" i="5" s="1"/>
  <c r="J121" i="5" s="1"/>
  <c r="J120" i="5"/>
  <c r="H120" i="5"/>
  <c r="G120" i="5"/>
  <c r="G119" i="5"/>
  <c r="G127" i="5" s="1"/>
  <c r="I117" i="5"/>
  <c r="F117" i="5"/>
  <c r="E117" i="5"/>
  <c r="H116" i="5"/>
  <c r="J116" i="5" s="1"/>
  <c r="G116" i="5"/>
  <c r="J115" i="5"/>
  <c r="H115" i="5"/>
  <c r="G115" i="5"/>
  <c r="G114" i="5"/>
  <c r="H114" i="5" s="1"/>
  <c r="J114" i="5" s="1"/>
  <c r="G113" i="5"/>
  <c r="H113" i="5" s="1"/>
  <c r="J113" i="5" s="1"/>
  <c r="J112" i="5"/>
  <c r="H112" i="5"/>
  <c r="G112" i="5"/>
  <c r="G111" i="5"/>
  <c r="H111" i="5" s="1"/>
  <c r="J111" i="5" s="1"/>
  <c r="H110" i="5"/>
  <c r="J110" i="5" s="1"/>
  <c r="G110" i="5"/>
  <c r="G109" i="5"/>
  <c r="H109" i="5" s="1"/>
  <c r="J109" i="5" s="1"/>
  <c r="H108" i="5"/>
  <c r="J108" i="5" s="1"/>
  <c r="G108" i="5"/>
  <c r="J107" i="5"/>
  <c r="H107" i="5"/>
  <c r="G107" i="5"/>
  <c r="G117" i="5" s="1"/>
  <c r="I105" i="5"/>
  <c r="F105" i="5"/>
  <c r="E105" i="5"/>
  <c r="D51" i="2" s="1"/>
  <c r="H51" i="2" s="1"/>
  <c r="J104" i="5"/>
  <c r="H104" i="5"/>
  <c r="G104" i="5"/>
  <c r="G103" i="5"/>
  <c r="H103" i="5" s="1"/>
  <c r="J103" i="5" s="1"/>
  <c r="H102" i="5"/>
  <c r="J102" i="5" s="1"/>
  <c r="G102" i="5"/>
  <c r="G101" i="5"/>
  <c r="H101" i="5" s="1"/>
  <c r="J101" i="5" s="1"/>
  <c r="H100" i="5"/>
  <c r="J100" i="5" s="1"/>
  <c r="G100" i="5"/>
  <c r="J99" i="5"/>
  <c r="H99" i="5"/>
  <c r="G99" i="5"/>
  <c r="G98" i="5"/>
  <c r="H98" i="5" s="1"/>
  <c r="J98" i="5" s="1"/>
  <c r="G97" i="5"/>
  <c r="H97" i="5" s="1"/>
  <c r="J97" i="5" s="1"/>
  <c r="J96" i="5"/>
  <c r="H96" i="5"/>
  <c r="G96" i="5"/>
  <c r="G95" i="5"/>
  <c r="G105" i="5" s="1"/>
  <c r="I93" i="5"/>
  <c r="F51" i="2" s="1"/>
  <c r="F93" i="5"/>
  <c r="E93" i="5"/>
  <c r="H92" i="5"/>
  <c r="J92" i="5" s="1"/>
  <c r="G92" i="5"/>
  <c r="J91" i="5"/>
  <c r="H91" i="5"/>
  <c r="G91" i="5"/>
  <c r="G90" i="5"/>
  <c r="H90" i="5" s="1"/>
  <c r="J90" i="5" s="1"/>
  <c r="G89" i="5"/>
  <c r="H89" i="5" s="1"/>
  <c r="J89" i="5" s="1"/>
  <c r="J88" i="5"/>
  <c r="H88" i="5"/>
  <c r="G88" i="5"/>
  <c r="G87" i="5"/>
  <c r="H87" i="5" s="1"/>
  <c r="J87" i="5" s="1"/>
  <c r="H86" i="5"/>
  <c r="J86" i="5" s="1"/>
  <c r="G86" i="5"/>
  <c r="G85" i="5"/>
  <c r="H85" i="5" s="1"/>
  <c r="J85" i="5" s="1"/>
  <c r="H84" i="5"/>
  <c r="J84" i="5" s="1"/>
  <c r="G84" i="5"/>
  <c r="J83" i="5"/>
  <c r="H83" i="5"/>
  <c r="G83" i="5"/>
  <c r="G82" i="5"/>
  <c r="G93" i="5" s="1"/>
  <c r="I80" i="5"/>
  <c r="F80" i="5"/>
  <c r="E80" i="5"/>
  <c r="G79" i="5"/>
  <c r="H79" i="5" s="1"/>
  <c r="J79" i="5" s="1"/>
  <c r="H78" i="5"/>
  <c r="J78" i="5" s="1"/>
  <c r="G78" i="5"/>
  <c r="G77" i="5"/>
  <c r="H77" i="5" s="1"/>
  <c r="J77" i="5" s="1"/>
  <c r="H76" i="5"/>
  <c r="J76" i="5" s="1"/>
  <c r="G76" i="5"/>
  <c r="J75" i="5"/>
  <c r="H75" i="5"/>
  <c r="G75" i="5"/>
  <c r="G74" i="5"/>
  <c r="H74" i="5" s="1"/>
  <c r="J74" i="5" s="1"/>
  <c r="G73" i="5"/>
  <c r="G80" i="5" s="1"/>
  <c r="I71" i="5"/>
  <c r="F71" i="5"/>
  <c r="E71" i="5"/>
  <c r="D50" i="2" s="1"/>
  <c r="H50" i="2" s="1"/>
  <c r="H70" i="5"/>
  <c r="J70" i="5" s="1"/>
  <c r="G70" i="5"/>
  <c r="G69" i="5"/>
  <c r="H69" i="5" s="1"/>
  <c r="J69" i="5" s="1"/>
  <c r="H68" i="5"/>
  <c r="J68" i="5" s="1"/>
  <c r="G68" i="5"/>
  <c r="J67" i="5"/>
  <c r="H67" i="5"/>
  <c r="G67" i="5"/>
  <c r="G66" i="5"/>
  <c r="H66" i="5" s="1"/>
  <c r="J66" i="5" s="1"/>
  <c r="G65" i="5"/>
  <c r="H65" i="5" s="1"/>
  <c r="J65" i="5" s="1"/>
  <c r="J64" i="5"/>
  <c r="H64" i="5"/>
  <c r="G64" i="5"/>
  <c r="G63" i="5"/>
  <c r="G71" i="5" s="1"/>
  <c r="I61" i="5"/>
  <c r="F50" i="2" s="1"/>
  <c r="F61" i="5"/>
  <c r="E61" i="5"/>
  <c r="H60" i="5"/>
  <c r="J60" i="5" s="1"/>
  <c r="G60" i="5"/>
  <c r="J59" i="5"/>
  <c r="H59" i="5"/>
  <c r="G59" i="5"/>
  <c r="G58" i="5"/>
  <c r="H58" i="5" s="1"/>
  <c r="J58" i="5" s="1"/>
  <c r="G57" i="5"/>
  <c r="H57" i="5" s="1"/>
  <c r="J57" i="5" s="1"/>
  <c r="J56" i="5"/>
  <c r="H56" i="5"/>
  <c r="G56" i="5"/>
  <c r="G55" i="5"/>
  <c r="H55" i="5" s="1"/>
  <c r="J55" i="5" s="1"/>
  <c r="H54" i="5"/>
  <c r="J54" i="5" s="1"/>
  <c r="G54" i="5"/>
  <c r="G53" i="5"/>
  <c r="H53" i="5" s="1"/>
  <c r="J53" i="5" s="1"/>
  <c r="H52" i="5"/>
  <c r="J52" i="5" s="1"/>
  <c r="G52" i="5"/>
  <c r="J51" i="5"/>
  <c r="H51" i="5"/>
  <c r="G51" i="5"/>
  <c r="G50" i="5"/>
  <c r="G61" i="5" s="1"/>
  <c r="I48" i="5"/>
  <c r="F48" i="5"/>
  <c r="E48" i="5"/>
  <c r="G47" i="5"/>
  <c r="H47" i="5" s="1"/>
  <c r="J47" i="5" s="1"/>
  <c r="H46" i="5"/>
  <c r="J46" i="5" s="1"/>
  <c r="G46" i="5"/>
  <c r="G45" i="5"/>
  <c r="H45" i="5" s="1"/>
  <c r="J45" i="5" s="1"/>
  <c r="H44" i="5"/>
  <c r="J44" i="5" s="1"/>
  <c r="G44" i="5"/>
  <c r="J43" i="5"/>
  <c r="H43" i="5"/>
  <c r="G43" i="5"/>
  <c r="G42" i="5"/>
  <c r="H42" i="5" s="1"/>
  <c r="J42" i="5" s="1"/>
  <c r="G41" i="5"/>
  <c r="G48" i="5" s="1"/>
  <c r="I39" i="5"/>
  <c r="F39" i="5"/>
  <c r="F9" i="5" s="1"/>
  <c r="F12" i="5" s="1"/>
  <c r="E39" i="5"/>
  <c r="E9" i="5" s="1"/>
  <c r="E12" i="5" s="1"/>
  <c r="H38" i="5"/>
  <c r="J38" i="5" s="1"/>
  <c r="G38" i="5"/>
  <c r="G37" i="5"/>
  <c r="H37" i="5" s="1"/>
  <c r="J37" i="5" s="1"/>
  <c r="H36" i="5"/>
  <c r="J36" i="5" s="1"/>
  <c r="G36" i="5"/>
  <c r="J35" i="5"/>
  <c r="H35" i="5"/>
  <c r="G35" i="5"/>
  <c r="G34" i="5"/>
  <c r="H34" i="5" s="1"/>
  <c r="J34" i="5" s="1"/>
  <c r="G33" i="5"/>
  <c r="H33" i="5" s="1"/>
  <c r="J33" i="5" s="1"/>
  <c r="J32" i="5"/>
  <c r="H32" i="5"/>
  <c r="G32" i="5"/>
  <c r="G31" i="5"/>
  <c r="H30" i="5"/>
  <c r="G13" i="5"/>
  <c r="F11" i="5"/>
  <c r="E11" i="5"/>
  <c r="B11" i="5"/>
  <c r="E10" i="5"/>
  <c r="B10" i="5"/>
  <c r="B9" i="5"/>
  <c r="B8" i="5"/>
  <c r="B7" i="5"/>
  <c r="B5" i="5"/>
  <c r="S69" i="15"/>
  <c r="R69" i="15"/>
  <c r="M69" i="15"/>
  <c r="M70" i="15" s="1"/>
  <c r="L69" i="15"/>
  <c r="G69" i="15"/>
  <c r="G70" i="15" s="1"/>
  <c r="F69" i="15"/>
  <c r="Q68" i="15"/>
  <c r="O68" i="15"/>
  <c r="O69" i="15" s="1"/>
  <c r="I68" i="15"/>
  <c r="I69" i="15" s="1"/>
  <c r="H68" i="15"/>
  <c r="D68" i="15"/>
  <c r="E68" i="15" s="1"/>
  <c r="C68" i="15"/>
  <c r="C69" i="15" s="1"/>
  <c r="B68" i="15"/>
  <c r="J68" i="15" s="1"/>
  <c r="T67" i="15"/>
  <c r="P67" i="15"/>
  <c r="Q67" i="15" s="1"/>
  <c r="N67" i="15"/>
  <c r="J67" i="15"/>
  <c r="H67" i="15"/>
  <c r="D67" i="15"/>
  <c r="T66" i="15"/>
  <c r="Q66" i="15"/>
  <c r="P66" i="15"/>
  <c r="N66" i="15"/>
  <c r="J66" i="15"/>
  <c r="H66" i="15"/>
  <c r="D66" i="15"/>
  <c r="T65" i="15"/>
  <c r="Q65" i="15"/>
  <c r="P65" i="15"/>
  <c r="N65" i="15"/>
  <c r="J65" i="15"/>
  <c r="H65" i="15"/>
  <c r="D65" i="15"/>
  <c r="E65" i="15" s="1"/>
  <c r="T64" i="15"/>
  <c r="P64" i="15"/>
  <c r="Q64" i="15" s="1"/>
  <c r="N64" i="15"/>
  <c r="J64" i="15"/>
  <c r="H64" i="15"/>
  <c r="D64" i="15"/>
  <c r="T63" i="15"/>
  <c r="Q63" i="15"/>
  <c r="P63" i="15"/>
  <c r="N63" i="15"/>
  <c r="J63" i="15"/>
  <c r="H63" i="15"/>
  <c r="D63" i="15"/>
  <c r="T62" i="15"/>
  <c r="P62" i="15"/>
  <c r="Q62" i="15" s="1"/>
  <c r="N62" i="15"/>
  <c r="J62" i="15"/>
  <c r="H62" i="15"/>
  <c r="D62" i="15"/>
  <c r="E62" i="15" s="1"/>
  <c r="T61" i="15"/>
  <c r="Q61" i="15"/>
  <c r="P61" i="15"/>
  <c r="N61" i="15"/>
  <c r="J61" i="15"/>
  <c r="H61" i="15"/>
  <c r="D61" i="15"/>
  <c r="T60" i="15"/>
  <c r="Q60" i="15"/>
  <c r="P60" i="15"/>
  <c r="N60" i="15"/>
  <c r="J60" i="15"/>
  <c r="H60" i="15"/>
  <c r="D60" i="15"/>
  <c r="T59" i="15"/>
  <c r="P59" i="15"/>
  <c r="Q59" i="15" s="1"/>
  <c r="N59" i="15"/>
  <c r="J59" i="15"/>
  <c r="H59" i="15"/>
  <c r="D59" i="15"/>
  <c r="T58" i="15"/>
  <c r="Q58" i="15"/>
  <c r="P58" i="15"/>
  <c r="N58" i="15"/>
  <c r="J58" i="15"/>
  <c r="H58" i="15"/>
  <c r="D58" i="15"/>
  <c r="T57" i="15"/>
  <c r="Q57" i="15"/>
  <c r="P57" i="15"/>
  <c r="N57" i="15"/>
  <c r="J57" i="15"/>
  <c r="H57" i="15"/>
  <c r="D57" i="15"/>
  <c r="E57" i="15" s="1"/>
  <c r="T56" i="15"/>
  <c r="P56" i="15"/>
  <c r="Q56" i="15" s="1"/>
  <c r="N56" i="15"/>
  <c r="J56" i="15"/>
  <c r="H56" i="15"/>
  <c r="D56" i="15"/>
  <c r="T55" i="15"/>
  <c r="Q55" i="15"/>
  <c r="P55" i="15"/>
  <c r="N55" i="15"/>
  <c r="J55" i="15"/>
  <c r="H55" i="15"/>
  <c r="D55" i="15"/>
  <c r="T54" i="15"/>
  <c r="P54" i="15"/>
  <c r="Q54" i="15" s="1"/>
  <c r="N54" i="15"/>
  <c r="J54" i="15"/>
  <c r="H54" i="15"/>
  <c r="D54" i="15"/>
  <c r="E54" i="15" s="1"/>
  <c r="T53" i="15"/>
  <c r="Q53" i="15"/>
  <c r="P53" i="15"/>
  <c r="N53" i="15"/>
  <c r="J53" i="15"/>
  <c r="H53" i="15"/>
  <c r="D53" i="15"/>
  <c r="T52" i="15"/>
  <c r="Q52" i="15"/>
  <c r="P52" i="15"/>
  <c r="N52" i="15"/>
  <c r="J52" i="15"/>
  <c r="H52" i="15"/>
  <c r="D52" i="15"/>
  <c r="E52" i="15" s="1"/>
  <c r="T51" i="15"/>
  <c r="P51" i="15"/>
  <c r="Q51" i="15" s="1"/>
  <c r="N51" i="15"/>
  <c r="J51" i="15"/>
  <c r="H51" i="15"/>
  <c r="D51" i="15"/>
  <c r="T50" i="15"/>
  <c r="Q50" i="15"/>
  <c r="P50" i="15"/>
  <c r="N50" i="15"/>
  <c r="J50" i="15"/>
  <c r="H50" i="15"/>
  <c r="D50" i="15"/>
  <c r="T49" i="15"/>
  <c r="Q49" i="15"/>
  <c r="P49" i="15"/>
  <c r="N49" i="15"/>
  <c r="J49" i="15"/>
  <c r="K49" i="15" s="1"/>
  <c r="H49" i="15"/>
  <c r="D49" i="15"/>
  <c r="E49" i="15" s="1"/>
  <c r="T48" i="15"/>
  <c r="P48" i="15"/>
  <c r="Q48" i="15" s="1"/>
  <c r="N48" i="15"/>
  <c r="J48" i="15"/>
  <c r="H48" i="15"/>
  <c r="D48" i="15"/>
  <c r="E48" i="15" s="1"/>
  <c r="T47" i="15"/>
  <c r="Q47" i="15"/>
  <c r="P47" i="15"/>
  <c r="N47" i="15"/>
  <c r="J47" i="15"/>
  <c r="H47" i="15"/>
  <c r="D47" i="15"/>
  <c r="T46" i="15"/>
  <c r="P46" i="15"/>
  <c r="Q46" i="15" s="1"/>
  <c r="N46" i="15"/>
  <c r="J46" i="15"/>
  <c r="H46" i="15"/>
  <c r="D46" i="15"/>
  <c r="E46" i="15" s="1"/>
  <c r="T45" i="15"/>
  <c r="Q45" i="15"/>
  <c r="P45" i="15"/>
  <c r="N45" i="15"/>
  <c r="J45" i="15"/>
  <c r="H45" i="15"/>
  <c r="D45" i="15"/>
  <c r="T44" i="15"/>
  <c r="Q44" i="15"/>
  <c r="P44" i="15"/>
  <c r="N44" i="15"/>
  <c r="J44" i="15"/>
  <c r="H44" i="15"/>
  <c r="D44" i="15"/>
  <c r="E44" i="15" s="1"/>
  <c r="T43" i="15"/>
  <c r="P43" i="15"/>
  <c r="Q43" i="15" s="1"/>
  <c r="N43" i="15"/>
  <c r="J43" i="15"/>
  <c r="H43" i="15"/>
  <c r="D43" i="15"/>
  <c r="T42" i="15"/>
  <c r="Q42" i="15"/>
  <c r="P42" i="15"/>
  <c r="N42" i="15"/>
  <c r="J42" i="15"/>
  <c r="H42" i="15"/>
  <c r="D42" i="15"/>
  <c r="T41" i="15"/>
  <c r="Q41" i="15"/>
  <c r="P41" i="15"/>
  <c r="N41" i="15"/>
  <c r="J41" i="15"/>
  <c r="H41" i="15"/>
  <c r="D41" i="15"/>
  <c r="E41" i="15" s="1"/>
  <c r="T40" i="15"/>
  <c r="P40" i="15"/>
  <c r="Q40" i="15" s="1"/>
  <c r="N40" i="15"/>
  <c r="J40" i="15"/>
  <c r="H40" i="15"/>
  <c r="D40" i="15"/>
  <c r="T39" i="15"/>
  <c r="Q39" i="15"/>
  <c r="P39" i="15"/>
  <c r="N39" i="15"/>
  <c r="J39" i="15"/>
  <c r="H39" i="15"/>
  <c r="D39" i="15"/>
  <c r="T38" i="15"/>
  <c r="P38" i="15"/>
  <c r="Q38" i="15" s="1"/>
  <c r="N38" i="15"/>
  <c r="J38" i="15"/>
  <c r="K38" i="15" s="1"/>
  <c r="H38" i="15"/>
  <c r="D38" i="15"/>
  <c r="E38" i="15" s="1"/>
  <c r="T37" i="15"/>
  <c r="Q37" i="15"/>
  <c r="P37" i="15"/>
  <c r="N37" i="15"/>
  <c r="J37" i="15"/>
  <c r="H37" i="15"/>
  <c r="D37" i="15"/>
  <c r="T36" i="15"/>
  <c r="Q36" i="15"/>
  <c r="P36" i="15"/>
  <c r="N36" i="15"/>
  <c r="J36" i="15"/>
  <c r="H36" i="15"/>
  <c r="D36" i="15"/>
  <c r="E36" i="15" s="1"/>
  <c r="T35" i="15"/>
  <c r="P35" i="15"/>
  <c r="Q35" i="15" s="1"/>
  <c r="N35" i="15"/>
  <c r="J35" i="15"/>
  <c r="H35" i="15"/>
  <c r="D35" i="15"/>
  <c r="T34" i="15"/>
  <c r="Q34" i="15"/>
  <c r="P34" i="15"/>
  <c r="N34" i="15"/>
  <c r="J34" i="15"/>
  <c r="H34" i="15"/>
  <c r="D34" i="15"/>
  <c r="T33" i="15"/>
  <c r="Q33" i="15"/>
  <c r="P33" i="15"/>
  <c r="N33" i="15"/>
  <c r="J33" i="15"/>
  <c r="H33" i="15"/>
  <c r="D33" i="15"/>
  <c r="E33" i="15" s="1"/>
  <c r="T32" i="15"/>
  <c r="P32" i="15"/>
  <c r="Q32" i="15" s="1"/>
  <c r="N32" i="15"/>
  <c r="J32" i="15"/>
  <c r="H32" i="15"/>
  <c r="D32" i="15"/>
  <c r="T31" i="15"/>
  <c r="Q31" i="15"/>
  <c r="P31" i="15"/>
  <c r="N31" i="15"/>
  <c r="J31" i="15"/>
  <c r="H31" i="15"/>
  <c r="D31" i="15"/>
  <c r="T30" i="15"/>
  <c r="P30" i="15"/>
  <c r="Q30" i="15" s="1"/>
  <c r="N30" i="15"/>
  <c r="J30" i="15"/>
  <c r="H30" i="15"/>
  <c r="D30" i="15"/>
  <c r="E30" i="15" s="1"/>
  <c r="T29" i="15"/>
  <c r="Q29" i="15"/>
  <c r="P29" i="15"/>
  <c r="N29" i="15"/>
  <c r="J29" i="15"/>
  <c r="H29" i="15"/>
  <c r="D29" i="15"/>
  <c r="T28" i="15"/>
  <c r="Q28" i="15"/>
  <c r="P28" i="15"/>
  <c r="N28" i="15"/>
  <c r="J28" i="15"/>
  <c r="H28" i="15"/>
  <c r="D28" i="15"/>
  <c r="E28" i="15" s="1"/>
  <c r="T27" i="15"/>
  <c r="P27" i="15"/>
  <c r="Q27" i="15" s="1"/>
  <c r="N27" i="15"/>
  <c r="J27" i="15"/>
  <c r="H27" i="15"/>
  <c r="D27" i="15"/>
  <c r="T26" i="15"/>
  <c r="Q26" i="15"/>
  <c r="P26" i="15"/>
  <c r="N26" i="15"/>
  <c r="J26" i="15"/>
  <c r="H26" i="15"/>
  <c r="D26" i="15"/>
  <c r="T25" i="15"/>
  <c r="Q25" i="15"/>
  <c r="P25" i="15"/>
  <c r="N25" i="15"/>
  <c r="J25" i="15"/>
  <c r="H25" i="15"/>
  <c r="H69" i="15" s="1"/>
  <c r="D25" i="15"/>
  <c r="D21" i="15"/>
  <c r="I20" i="15"/>
  <c r="D18" i="15"/>
  <c r="D17" i="15"/>
  <c r="D19" i="15" s="1"/>
  <c r="C11" i="15"/>
  <c r="C10" i="15"/>
  <c r="C9" i="15"/>
  <c r="C8" i="15"/>
  <c r="C7" i="15"/>
  <c r="C5" i="15"/>
  <c r="C153" i="2"/>
  <c r="C152" i="2"/>
  <c r="D151" i="2"/>
  <c r="C151" i="2"/>
  <c r="C150" i="2"/>
  <c r="D149" i="2"/>
  <c r="C149" i="2"/>
  <c r="C148" i="2"/>
  <c r="C147" i="2"/>
  <c r="C146" i="2"/>
  <c r="C145" i="2"/>
  <c r="C144" i="2"/>
  <c r="D143" i="2"/>
  <c r="C143" i="2"/>
  <c r="F139" i="2"/>
  <c r="E139" i="2"/>
  <c r="D148" i="2" s="1"/>
  <c r="D139" i="2"/>
  <c r="F114" i="2"/>
  <c r="E114" i="2"/>
  <c r="D114" i="2"/>
  <c r="G113" i="2"/>
  <c r="G114" i="2" s="1"/>
  <c r="D113" i="2"/>
  <c r="H112" i="2"/>
  <c r="H111" i="2"/>
  <c r="H106" i="2"/>
  <c r="H105" i="2"/>
  <c r="G103" i="2"/>
  <c r="G108" i="2" s="1"/>
  <c r="F103" i="2"/>
  <c r="E103" i="2"/>
  <c r="D103" i="2"/>
  <c r="H102" i="2"/>
  <c r="H103" i="2" s="1"/>
  <c r="H101" i="2"/>
  <c r="H100" i="2"/>
  <c r="G97" i="2"/>
  <c r="F97" i="2"/>
  <c r="E97" i="2"/>
  <c r="D97" i="2"/>
  <c r="H96" i="2"/>
  <c r="H95" i="2"/>
  <c r="H94" i="2"/>
  <c r="H93" i="2"/>
  <c r="H92" i="2"/>
  <c r="H91" i="2"/>
  <c r="H90" i="2"/>
  <c r="H97" i="2" s="1"/>
  <c r="G87" i="2"/>
  <c r="G85" i="2"/>
  <c r="F85" i="2"/>
  <c r="E85" i="2"/>
  <c r="H84" i="2"/>
  <c r="D83" i="2"/>
  <c r="H83" i="2" s="1"/>
  <c r="D82" i="2"/>
  <c r="H82" i="2" s="1"/>
  <c r="H81" i="2"/>
  <c r="D81" i="2"/>
  <c r="H80" i="2"/>
  <c r="D80" i="2"/>
  <c r="E186" i="13" s="1"/>
  <c r="D79" i="2"/>
  <c r="H79" i="2" s="1"/>
  <c r="G76" i="2"/>
  <c r="H75" i="2"/>
  <c r="F74" i="2"/>
  <c r="D74" i="2"/>
  <c r="H74" i="2" s="1"/>
  <c r="H73" i="2"/>
  <c r="F73" i="2"/>
  <c r="D73" i="2"/>
  <c r="F72" i="2"/>
  <c r="D72" i="2"/>
  <c r="H72" i="2" s="1"/>
  <c r="F71" i="2"/>
  <c r="D71" i="2"/>
  <c r="H71" i="2" s="1"/>
  <c r="F70" i="2"/>
  <c r="D70" i="2"/>
  <c r="H70" i="2" s="1"/>
  <c r="H69" i="2"/>
  <c r="F69" i="2"/>
  <c r="D69" i="2"/>
  <c r="F68" i="2"/>
  <c r="D68" i="2"/>
  <c r="H68" i="2" s="1"/>
  <c r="F67" i="2"/>
  <c r="D67" i="2"/>
  <c r="H67" i="2" s="1"/>
  <c r="F66" i="2"/>
  <c r="E66" i="2"/>
  <c r="D66" i="2"/>
  <c r="H66" i="2" s="1"/>
  <c r="F65" i="2"/>
  <c r="D65" i="2"/>
  <c r="H65" i="2" s="1"/>
  <c r="F64" i="2"/>
  <c r="D64" i="2"/>
  <c r="H64" i="2" s="1"/>
  <c r="H63" i="2"/>
  <c r="F63" i="2"/>
  <c r="D63" i="2"/>
  <c r="F62" i="2"/>
  <c r="D62" i="2"/>
  <c r="H62" i="2" s="1"/>
  <c r="H61" i="2"/>
  <c r="F61" i="2"/>
  <c r="D61" i="2"/>
  <c r="F60" i="2"/>
  <c r="D60" i="2"/>
  <c r="H60" i="2" s="1"/>
  <c r="F59" i="2"/>
  <c r="D59" i="2"/>
  <c r="H59" i="2" s="1"/>
  <c r="F58" i="2"/>
  <c r="D58" i="2"/>
  <c r="H58" i="2" s="1"/>
  <c r="H57" i="2"/>
  <c r="F57" i="2"/>
  <c r="D57" i="2"/>
  <c r="F56" i="2"/>
  <c r="D56" i="2"/>
  <c r="H56" i="2" s="1"/>
  <c r="D55" i="2"/>
  <c r="H55" i="2" s="1"/>
  <c r="F54" i="2"/>
  <c r="D54" i="2"/>
  <c r="H54" i="2" s="1"/>
  <c r="H53" i="2"/>
  <c r="F53" i="2"/>
  <c r="D53" i="2"/>
  <c r="F52" i="2"/>
  <c r="D52" i="2"/>
  <c r="H52" i="2" s="1"/>
  <c r="F49" i="2"/>
  <c r="G46" i="2"/>
  <c r="F46" i="2"/>
  <c r="E46" i="2"/>
  <c r="D46" i="2"/>
  <c r="H45" i="2"/>
  <c r="H44" i="2"/>
  <c r="H43" i="2"/>
  <c r="H42" i="2"/>
  <c r="H41" i="2"/>
  <c r="H40" i="2"/>
  <c r="H39" i="2"/>
  <c r="H38" i="2"/>
  <c r="H37" i="2"/>
  <c r="H36" i="2"/>
  <c r="H35" i="2"/>
  <c r="H34" i="2"/>
  <c r="H33" i="2"/>
  <c r="H32" i="2"/>
  <c r="H31" i="2"/>
  <c r="H30" i="2"/>
  <c r="H29" i="2"/>
  <c r="H46" i="2" s="1"/>
  <c r="G26" i="2"/>
  <c r="F26" i="2"/>
  <c r="E26" i="2"/>
  <c r="D26" i="2"/>
  <c r="H25" i="2"/>
  <c r="H24" i="2"/>
  <c r="H23" i="2"/>
  <c r="H22" i="2"/>
  <c r="H26" i="2" s="1"/>
  <c r="H14" i="2"/>
  <c r="H12" i="2"/>
  <c r="H8" i="2"/>
  <c r="H16" i="2" s="1"/>
  <c r="C4" i="2"/>
  <c r="E188" i="13" l="1"/>
  <c r="E190" i="13" s="1"/>
  <c r="D85" i="2"/>
  <c r="E223" i="8"/>
  <c r="H150" i="5"/>
  <c r="E53" i="2" s="1"/>
  <c r="J143" i="5"/>
  <c r="J150" i="5" s="1"/>
  <c r="H117" i="5"/>
  <c r="J117" i="5"/>
  <c r="F76" i="2"/>
  <c r="F87" i="2" s="1"/>
  <c r="H499" i="5"/>
  <c r="E73" i="2" s="1"/>
  <c r="J490" i="5"/>
  <c r="J499" i="5" s="1"/>
  <c r="J30" i="5"/>
  <c r="H41" i="5"/>
  <c r="H73" i="5"/>
  <c r="H129" i="5"/>
  <c r="G150" i="5"/>
  <c r="G11" i="5" s="1"/>
  <c r="H11" i="5" s="1"/>
  <c r="H153" i="5"/>
  <c r="G185" i="5"/>
  <c r="J223" i="5"/>
  <c r="G249" i="5"/>
  <c r="H389" i="5"/>
  <c r="E65" i="2" s="1"/>
  <c r="J391" i="5"/>
  <c r="J398" i="5" s="1"/>
  <c r="G429" i="5"/>
  <c r="G513" i="5"/>
  <c r="H501" i="5"/>
  <c r="J389" i="5"/>
  <c r="J429" i="5"/>
  <c r="D49" i="2"/>
  <c r="H31" i="5"/>
  <c r="J31" i="5" s="1"/>
  <c r="H63" i="5"/>
  <c r="H95" i="5"/>
  <c r="H119" i="5"/>
  <c r="H262" i="5"/>
  <c r="J251" i="5"/>
  <c r="J262" i="5" s="1"/>
  <c r="H294" i="5"/>
  <c r="J286" i="5"/>
  <c r="J294" i="5" s="1"/>
  <c r="G39" i="5"/>
  <c r="G9" i="5" s="1"/>
  <c r="H50" i="5"/>
  <c r="H82" i="5"/>
  <c r="J372" i="5"/>
  <c r="J375" i="5"/>
  <c r="G488" i="5"/>
  <c r="F108" i="2"/>
  <c r="G177" i="5"/>
  <c r="G10" i="5" s="1"/>
  <c r="H10" i="5" s="1"/>
  <c r="J187" i="5"/>
  <c r="J207" i="5" s="1"/>
  <c r="H207" i="5"/>
  <c r="G234" i="5"/>
  <c r="J306" i="5"/>
  <c r="G330" i="5"/>
  <c r="G467" i="5"/>
  <c r="H445" i="5"/>
  <c r="G481" i="5"/>
  <c r="H469" i="5"/>
  <c r="H177" i="5"/>
  <c r="E55" i="2" s="1"/>
  <c r="J160" i="5"/>
  <c r="J177" i="5" s="1"/>
  <c r="G207" i="5"/>
  <c r="J234" i="5"/>
  <c r="H330" i="5"/>
  <c r="H372" i="5"/>
  <c r="E63" i="2" s="1"/>
  <c r="H443" i="5"/>
  <c r="E69" i="2" s="1"/>
  <c r="E516" i="5"/>
  <c r="F516" i="5"/>
  <c r="J380" i="5"/>
  <c r="J330" i="5"/>
  <c r="G415" i="5"/>
  <c r="J443" i="5"/>
  <c r="I516" i="5"/>
  <c r="H223" i="5"/>
  <c r="H415" i="5"/>
  <c r="E67" i="2" s="1"/>
  <c r="H234" i="5"/>
  <c r="E58" i="2" s="1"/>
  <c r="H274" i="5"/>
  <c r="H306" i="5"/>
  <c r="G389" i="5"/>
  <c r="H179" i="5"/>
  <c r="H429" i="5"/>
  <c r="E68" i="2" s="1"/>
  <c r="H483" i="5"/>
  <c r="G443" i="5"/>
  <c r="G262" i="5"/>
  <c r="G294" i="5"/>
  <c r="G398" i="5"/>
  <c r="H236" i="5"/>
  <c r="H276" i="5"/>
  <c r="H308" i="5"/>
  <c r="H332" i="5"/>
  <c r="K67" i="15"/>
  <c r="K43" i="15"/>
  <c r="D15" i="15"/>
  <c r="D20" i="15" s="1"/>
  <c r="H9" i="2"/>
  <c r="N69" i="15"/>
  <c r="K54" i="15"/>
  <c r="K65" i="15"/>
  <c r="K25" i="15"/>
  <c r="K64" i="15"/>
  <c r="K56" i="15"/>
  <c r="K48" i="15"/>
  <c r="K40" i="15"/>
  <c r="K32" i="15"/>
  <c r="K42" i="15"/>
  <c r="K63" i="15"/>
  <c r="K55" i="15"/>
  <c r="K47" i="15"/>
  <c r="K39" i="15"/>
  <c r="K31" i="15"/>
  <c r="K66" i="15"/>
  <c r="K58" i="15"/>
  <c r="K50" i="15"/>
  <c r="K34" i="15"/>
  <c r="K26" i="15"/>
  <c r="K61" i="15"/>
  <c r="K53" i="15"/>
  <c r="K45" i="15"/>
  <c r="K37" i="15"/>
  <c r="K29" i="15"/>
  <c r="K60" i="15"/>
  <c r="K52" i="15"/>
  <c r="K44" i="15"/>
  <c r="K36" i="15"/>
  <c r="K28" i="15"/>
  <c r="K30" i="15"/>
  <c r="K41" i="15"/>
  <c r="K59" i="15"/>
  <c r="K35" i="15"/>
  <c r="K68" i="15"/>
  <c r="T69" i="15"/>
  <c r="K46" i="15"/>
  <c r="K57" i="15"/>
  <c r="E67" i="15"/>
  <c r="E59" i="15"/>
  <c r="E51" i="15"/>
  <c r="E43" i="15"/>
  <c r="E35" i="15"/>
  <c r="E27" i="15"/>
  <c r="E61" i="15"/>
  <c r="E66" i="15"/>
  <c r="E58" i="15"/>
  <c r="E50" i="15"/>
  <c r="E42" i="15"/>
  <c r="E34" i="15"/>
  <c r="E26" i="15"/>
  <c r="E53" i="15"/>
  <c r="E37" i="15"/>
  <c r="E25" i="15"/>
  <c r="E29" i="15"/>
  <c r="E64" i="15"/>
  <c r="E56" i="15"/>
  <c r="E40" i="15"/>
  <c r="E32" i="15"/>
  <c r="E45" i="15"/>
  <c r="E63" i="15"/>
  <c r="E55" i="15"/>
  <c r="E47" i="15"/>
  <c r="E39" i="15"/>
  <c r="E31" i="15"/>
  <c r="K33" i="15"/>
  <c r="K51" i="15"/>
  <c r="K27" i="15"/>
  <c r="E60" i="15"/>
  <c r="K62" i="15"/>
  <c r="T68" i="15"/>
  <c r="N68" i="15"/>
  <c r="E143" i="2"/>
  <c r="G116" i="2"/>
  <c r="E150" i="2" s="1"/>
  <c r="E144" i="2"/>
  <c r="E151" i="2"/>
  <c r="E145" i="2"/>
  <c r="H85" i="2"/>
  <c r="F116" i="2"/>
  <c r="E146" i="2"/>
  <c r="E152" i="2"/>
  <c r="E153" i="2"/>
  <c r="H113" i="2"/>
  <c r="H114" i="2" s="1"/>
  <c r="D146" i="2"/>
  <c r="D144" i="2"/>
  <c r="D152" i="2"/>
  <c r="D147" i="2"/>
  <c r="H10" i="2"/>
  <c r="D150" i="2"/>
  <c r="D145" i="2"/>
  <c r="D153" i="2"/>
  <c r="H9" i="5" l="1"/>
  <c r="G12" i="5"/>
  <c r="H12" i="5" s="1"/>
  <c r="J332" i="5"/>
  <c r="J356" i="5" s="1"/>
  <c r="H356" i="5"/>
  <c r="E62" i="2" s="1"/>
  <c r="J41" i="5"/>
  <c r="J48" i="5" s="1"/>
  <c r="H48" i="5"/>
  <c r="H488" i="5"/>
  <c r="E72" i="2" s="1"/>
  <c r="J483" i="5"/>
  <c r="J488" i="5" s="1"/>
  <c r="J276" i="5"/>
  <c r="J284" i="5" s="1"/>
  <c r="H284" i="5"/>
  <c r="H185" i="5"/>
  <c r="E56" i="2" s="1"/>
  <c r="J179" i="5"/>
  <c r="J185" i="5" s="1"/>
  <c r="H467" i="5"/>
  <c r="E70" i="2" s="1"/>
  <c r="J445" i="5"/>
  <c r="J467" i="5" s="1"/>
  <c r="D76" i="2"/>
  <c r="H49" i="2"/>
  <c r="H76" i="2" s="1"/>
  <c r="J39" i="5"/>
  <c r="H80" i="5"/>
  <c r="J73" i="5"/>
  <c r="J80" i="5" s="1"/>
  <c r="H249" i="5"/>
  <c r="E59" i="2" s="1"/>
  <c r="J236" i="5"/>
  <c r="J249" i="5" s="1"/>
  <c r="H39" i="5"/>
  <c r="E49" i="2" s="1"/>
  <c r="H481" i="5"/>
  <c r="E71" i="2" s="1"/>
  <c r="J469" i="5"/>
  <c r="J481" i="5" s="1"/>
  <c r="J308" i="5"/>
  <c r="J316" i="5" s="1"/>
  <c r="H316" i="5"/>
  <c r="E61" i="2" s="1"/>
  <c r="E60" i="2"/>
  <c r="H127" i="5"/>
  <c r="J119" i="5"/>
  <c r="J127" i="5" s="1"/>
  <c r="H513" i="5"/>
  <c r="J501" i="5"/>
  <c r="J513" i="5" s="1"/>
  <c r="J516" i="5" s="1"/>
  <c r="J153" i="5"/>
  <c r="J158" i="5" s="1"/>
  <c r="H158" i="5"/>
  <c r="E54" i="2" s="1"/>
  <c r="H93" i="5"/>
  <c r="J82" i="5"/>
  <c r="J93" i="5" s="1"/>
  <c r="J95" i="5"/>
  <c r="J105" i="5" s="1"/>
  <c r="H105" i="5"/>
  <c r="G516" i="5"/>
  <c r="E57" i="2"/>
  <c r="H61" i="5"/>
  <c r="J50" i="5"/>
  <c r="J61" i="5" s="1"/>
  <c r="H71" i="5"/>
  <c r="J63" i="5"/>
  <c r="J71" i="5" s="1"/>
  <c r="H141" i="5"/>
  <c r="E52" i="2" s="1"/>
  <c r="J129" i="5"/>
  <c r="J141" i="5" s="1"/>
  <c r="E147" i="2"/>
  <c r="H11" i="2"/>
  <c r="H13" i="2" s="1"/>
  <c r="E148" i="2"/>
  <c r="E149" i="2"/>
  <c r="H516" i="5" l="1"/>
  <c r="E74" i="2"/>
  <c r="D87" i="2"/>
  <c r="D108" i="2"/>
  <c r="D116" i="2" s="1"/>
  <c r="H116" i="2" s="1"/>
  <c r="E50" i="2"/>
  <c r="E76" i="2" s="1"/>
  <c r="H87" i="2"/>
  <c r="H108" i="2"/>
  <c r="E51" i="2"/>
  <c r="E108" i="2" l="1"/>
  <c r="E116" i="2" s="1"/>
  <c r="D14" i="15" s="1"/>
  <c r="D16" i="15" s="1"/>
  <c r="E87" i="2"/>
  <c r="C219" i="24" l="1"/>
  <c r="E85" i="28" l="1"/>
  <c r="F85" i="28"/>
  <c r="G85" i="28"/>
  <c r="C11" i="27" l="1"/>
  <c r="C10" i="27"/>
  <c r="C9" i="27"/>
  <c r="C8" i="27"/>
  <c r="C7" i="27"/>
  <c r="C5" i="27"/>
  <c r="E183" i="27"/>
  <c r="D183" i="27"/>
  <c r="E149" i="27"/>
  <c r="D149" i="27"/>
  <c r="E115" i="27"/>
  <c r="D115" i="27"/>
  <c r="E81" i="27"/>
  <c r="D81" i="27"/>
  <c r="E47" i="27"/>
  <c r="D47" i="27"/>
  <c r="D83" i="28"/>
  <c r="D82" i="28"/>
  <c r="D81" i="28"/>
  <c r="D80" i="28"/>
  <c r="D79" i="28"/>
  <c r="C217" i="24"/>
  <c r="B217" i="24"/>
  <c r="B208" i="24"/>
  <c r="C206" i="24"/>
  <c r="B206" i="24"/>
  <c r="B197" i="24"/>
  <c r="C195" i="24"/>
  <c r="B195" i="24"/>
  <c r="B186" i="24"/>
  <c r="C184" i="24"/>
  <c r="B184" i="24"/>
  <c r="B175" i="24"/>
  <c r="C173" i="24"/>
  <c r="B173" i="24"/>
  <c r="B172" i="24"/>
  <c r="B164" i="24"/>
  <c r="C162" i="24"/>
  <c r="B162" i="24"/>
  <c r="B153" i="24"/>
  <c r="C151" i="24"/>
  <c r="B151" i="24"/>
  <c r="B142" i="24"/>
  <c r="C140" i="24"/>
  <c r="B140" i="24"/>
  <c r="B131" i="24"/>
  <c r="C129" i="24"/>
  <c r="B129" i="24"/>
  <c r="B118" i="24"/>
  <c r="B16" i="24"/>
  <c r="C11" i="24"/>
  <c r="C10" i="24"/>
  <c r="C9" i="24"/>
  <c r="C8" i="24"/>
  <c r="C7" i="24"/>
  <c r="C5" i="24"/>
  <c r="E216" i="24"/>
  <c r="D216" i="24"/>
  <c r="E205" i="24"/>
  <c r="D205" i="24"/>
  <c r="E194" i="24"/>
  <c r="D194" i="24"/>
  <c r="E183" i="24"/>
  <c r="D183" i="24"/>
  <c r="E172" i="24"/>
  <c r="D172" i="24"/>
  <c r="E161" i="24"/>
  <c r="D161" i="24"/>
  <c r="E150" i="24"/>
  <c r="D150" i="24"/>
  <c r="E139" i="24"/>
  <c r="D139" i="24"/>
  <c r="E128" i="24"/>
  <c r="D128" i="24"/>
  <c r="B128" i="24"/>
  <c r="E117" i="24"/>
  <c r="D117" i="24"/>
  <c r="D139" i="28"/>
  <c r="D85" i="28" l="1"/>
  <c r="E219" i="24"/>
  <c r="D219" i="24"/>
  <c r="E223" i="24" s="1"/>
  <c r="D186" i="27"/>
  <c r="E188" i="27" s="1"/>
  <c r="E186" i="27"/>
  <c r="E221" i="24" l="1"/>
  <c r="E190" i="27"/>
  <c r="D21" i="26" l="1"/>
  <c r="D17" i="26"/>
  <c r="D19" i="26" s="1"/>
  <c r="D18" i="26"/>
  <c r="D14" i="26" l="1"/>
  <c r="G70" i="26" l="1"/>
  <c r="S69" i="26"/>
  <c r="R69" i="26"/>
  <c r="M69" i="26"/>
  <c r="M70" i="26" s="1"/>
  <c r="L69" i="26"/>
  <c r="G69" i="26"/>
  <c r="F69" i="26"/>
  <c r="Q68" i="26"/>
  <c r="O68" i="26"/>
  <c r="O69" i="26" s="1"/>
  <c r="D15" i="26" s="1"/>
  <c r="I68" i="26"/>
  <c r="I69" i="26" s="1"/>
  <c r="H68" i="26"/>
  <c r="C68" i="26"/>
  <c r="C69" i="26" s="1"/>
  <c r="B68" i="26"/>
  <c r="T67" i="26"/>
  <c r="P67" i="26"/>
  <c r="Q67" i="26" s="1"/>
  <c r="N67" i="26"/>
  <c r="J67" i="26"/>
  <c r="H67" i="26"/>
  <c r="D67" i="26"/>
  <c r="T66" i="26"/>
  <c r="P66" i="26"/>
  <c r="Q66" i="26" s="1"/>
  <c r="N66" i="26"/>
  <c r="J66" i="26"/>
  <c r="H66" i="26"/>
  <c r="D66" i="26"/>
  <c r="T65" i="26"/>
  <c r="P65" i="26"/>
  <c r="Q65" i="26" s="1"/>
  <c r="N65" i="26"/>
  <c r="J65" i="26"/>
  <c r="H65" i="26"/>
  <c r="D65" i="26"/>
  <c r="T64" i="26"/>
  <c r="Q64" i="26"/>
  <c r="P64" i="26"/>
  <c r="N64" i="26"/>
  <c r="J64" i="26"/>
  <c r="H64" i="26"/>
  <c r="D64" i="26"/>
  <c r="T63" i="26"/>
  <c r="P63" i="26"/>
  <c r="Q63" i="26" s="1"/>
  <c r="N63" i="26"/>
  <c r="J63" i="26"/>
  <c r="H63" i="26"/>
  <c r="D63" i="26"/>
  <c r="T62" i="26"/>
  <c r="P62" i="26"/>
  <c r="Q62" i="26" s="1"/>
  <c r="N62" i="26"/>
  <c r="J62" i="26"/>
  <c r="H62" i="26"/>
  <c r="D62" i="26"/>
  <c r="T61" i="26"/>
  <c r="P61" i="26"/>
  <c r="Q61" i="26" s="1"/>
  <c r="N61" i="26"/>
  <c r="J61" i="26"/>
  <c r="H61" i="26"/>
  <c r="D61" i="26"/>
  <c r="T60" i="26"/>
  <c r="P60" i="26"/>
  <c r="Q60" i="26" s="1"/>
  <c r="N60" i="26"/>
  <c r="J60" i="26"/>
  <c r="H60" i="26"/>
  <c r="D60" i="26"/>
  <c r="T59" i="26"/>
  <c r="P59" i="26"/>
  <c r="Q59" i="26" s="1"/>
  <c r="N59" i="26"/>
  <c r="J59" i="26"/>
  <c r="H59" i="26"/>
  <c r="D59" i="26"/>
  <c r="T58" i="26"/>
  <c r="P58" i="26"/>
  <c r="Q58" i="26" s="1"/>
  <c r="N58" i="26"/>
  <c r="J58" i="26"/>
  <c r="H58" i="26"/>
  <c r="D58" i="26"/>
  <c r="T57" i="26"/>
  <c r="P57" i="26"/>
  <c r="Q57" i="26" s="1"/>
  <c r="N57" i="26"/>
  <c r="J57" i="26"/>
  <c r="H57" i="26"/>
  <c r="D57" i="26"/>
  <c r="T56" i="26"/>
  <c r="P56" i="26"/>
  <c r="Q56" i="26" s="1"/>
  <c r="N56" i="26"/>
  <c r="J56" i="26"/>
  <c r="H56" i="26"/>
  <c r="D56" i="26"/>
  <c r="T55" i="26"/>
  <c r="P55" i="26"/>
  <c r="Q55" i="26" s="1"/>
  <c r="N55" i="26"/>
  <c r="J55" i="26"/>
  <c r="H55" i="26"/>
  <c r="D55" i="26"/>
  <c r="T54" i="26"/>
  <c r="P54" i="26"/>
  <c r="Q54" i="26" s="1"/>
  <c r="N54" i="26"/>
  <c r="J54" i="26"/>
  <c r="H54" i="26"/>
  <c r="D54" i="26"/>
  <c r="T53" i="26"/>
  <c r="Q53" i="26"/>
  <c r="P53" i="26"/>
  <c r="N53" i="26"/>
  <c r="J53" i="26"/>
  <c r="H53" i="26"/>
  <c r="D53" i="26"/>
  <c r="T52" i="26"/>
  <c r="P52" i="26"/>
  <c r="Q52" i="26" s="1"/>
  <c r="N52" i="26"/>
  <c r="J52" i="26"/>
  <c r="H52" i="26"/>
  <c r="D52" i="26"/>
  <c r="T51" i="26"/>
  <c r="P51" i="26"/>
  <c r="Q51" i="26" s="1"/>
  <c r="N51" i="26"/>
  <c r="J51" i="26"/>
  <c r="H51" i="26"/>
  <c r="D51" i="26"/>
  <c r="T50" i="26"/>
  <c r="P50" i="26"/>
  <c r="Q50" i="26" s="1"/>
  <c r="N50" i="26"/>
  <c r="J50" i="26"/>
  <c r="H50" i="26"/>
  <c r="D50" i="26"/>
  <c r="T49" i="26"/>
  <c r="P49" i="26"/>
  <c r="Q49" i="26" s="1"/>
  <c r="N49" i="26"/>
  <c r="J49" i="26"/>
  <c r="H49" i="26"/>
  <c r="D49" i="26"/>
  <c r="T48" i="26"/>
  <c r="Q48" i="26"/>
  <c r="P48" i="26"/>
  <c r="N48" i="26"/>
  <c r="J48" i="26"/>
  <c r="H48" i="26"/>
  <c r="D48" i="26"/>
  <c r="T47" i="26"/>
  <c r="P47" i="26"/>
  <c r="Q47" i="26" s="1"/>
  <c r="N47" i="26"/>
  <c r="J47" i="26"/>
  <c r="H47" i="26"/>
  <c r="D47" i="26"/>
  <c r="T46" i="26"/>
  <c r="P46" i="26"/>
  <c r="Q46" i="26" s="1"/>
  <c r="N46" i="26"/>
  <c r="J46" i="26"/>
  <c r="H46" i="26"/>
  <c r="D46" i="26"/>
  <c r="T45" i="26"/>
  <c r="P45" i="26"/>
  <c r="Q45" i="26" s="1"/>
  <c r="N45" i="26"/>
  <c r="J45" i="26"/>
  <c r="H45" i="26"/>
  <c r="D45" i="26"/>
  <c r="T44" i="26"/>
  <c r="P44" i="26"/>
  <c r="Q44" i="26" s="1"/>
  <c r="N44" i="26"/>
  <c r="J44" i="26"/>
  <c r="H44" i="26"/>
  <c r="D44" i="26"/>
  <c r="T43" i="26"/>
  <c r="P43" i="26"/>
  <c r="Q43" i="26" s="1"/>
  <c r="N43" i="26"/>
  <c r="J43" i="26"/>
  <c r="H43" i="26"/>
  <c r="D43" i="26"/>
  <c r="T42" i="26"/>
  <c r="P42" i="26"/>
  <c r="Q42" i="26" s="1"/>
  <c r="N42" i="26"/>
  <c r="J42" i="26"/>
  <c r="H42" i="26"/>
  <c r="D42" i="26"/>
  <c r="T41" i="26"/>
  <c r="P41" i="26"/>
  <c r="Q41" i="26" s="1"/>
  <c r="N41" i="26"/>
  <c r="J41" i="26"/>
  <c r="H41" i="26"/>
  <c r="D41" i="26"/>
  <c r="T40" i="26"/>
  <c r="Q40" i="26"/>
  <c r="P40" i="26"/>
  <c r="N40" i="26"/>
  <c r="J40" i="26"/>
  <c r="H40" i="26"/>
  <c r="D40" i="26"/>
  <c r="T39" i="26"/>
  <c r="P39" i="26"/>
  <c r="Q39" i="26" s="1"/>
  <c r="N39" i="26"/>
  <c r="J39" i="26"/>
  <c r="H39" i="26"/>
  <c r="D39" i="26"/>
  <c r="T38" i="26"/>
  <c r="P38" i="26"/>
  <c r="Q38" i="26" s="1"/>
  <c r="N38" i="26"/>
  <c r="J38" i="26"/>
  <c r="H38" i="26"/>
  <c r="D38" i="26"/>
  <c r="T37" i="26"/>
  <c r="N37" i="26"/>
  <c r="H37" i="26"/>
  <c r="T36" i="26"/>
  <c r="N36" i="26"/>
  <c r="H36" i="26"/>
  <c r="T35" i="26"/>
  <c r="N35" i="26"/>
  <c r="H35" i="26"/>
  <c r="T34" i="26"/>
  <c r="N34" i="26"/>
  <c r="H34" i="26"/>
  <c r="T33" i="26"/>
  <c r="N33" i="26"/>
  <c r="H33" i="26"/>
  <c r="T32" i="26"/>
  <c r="N32" i="26"/>
  <c r="H32" i="26"/>
  <c r="T31" i="26"/>
  <c r="N31" i="26"/>
  <c r="H31" i="26"/>
  <c r="T30" i="26"/>
  <c r="N30" i="26"/>
  <c r="H30" i="26"/>
  <c r="T29" i="26"/>
  <c r="N29" i="26"/>
  <c r="H29" i="26"/>
  <c r="T28" i="26"/>
  <c r="N28" i="26"/>
  <c r="H28" i="26"/>
  <c r="T27" i="26"/>
  <c r="N27" i="26"/>
  <c r="H27" i="26"/>
  <c r="T26" i="26"/>
  <c r="N26" i="26"/>
  <c r="H26" i="26"/>
  <c r="T25" i="26"/>
  <c r="P25" i="26"/>
  <c r="P26" i="26" s="1"/>
  <c r="N25" i="26"/>
  <c r="J25" i="26"/>
  <c r="J26" i="26" s="1"/>
  <c r="H25" i="26"/>
  <c r="D25" i="26"/>
  <c r="D26" i="26" s="1"/>
  <c r="D20" i="26" l="1"/>
  <c r="D16" i="26"/>
  <c r="K56" i="26"/>
  <c r="K51" i="26"/>
  <c r="K25" i="26"/>
  <c r="K40" i="26"/>
  <c r="K49" i="26"/>
  <c r="K54" i="26"/>
  <c r="K67" i="26"/>
  <c r="N68" i="26"/>
  <c r="N69" i="26" s="1"/>
  <c r="K39" i="26"/>
  <c r="K66" i="26"/>
  <c r="K59" i="26"/>
  <c r="K43" i="26"/>
  <c r="K47" i="26"/>
  <c r="K52" i="26"/>
  <c r="K57" i="26"/>
  <c r="T68" i="26"/>
  <c r="T69" i="26" s="1"/>
  <c r="K45" i="26"/>
  <c r="K38" i="26"/>
  <c r="K65" i="26"/>
  <c r="K48" i="26"/>
  <c r="K62" i="26"/>
  <c r="K42" i="26"/>
  <c r="K46" i="26"/>
  <c r="K60" i="26"/>
  <c r="K64" i="26"/>
  <c r="K41" i="26"/>
  <c r="K63" i="26"/>
  <c r="K44" i="26"/>
  <c r="K58" i="26"/>
  <c r="K50" i="26"/>
  <c r="K55" i="26"/>
  <c r="E44" i="26"/>
  <c r="E50" i="26"/>
  <c r="D68" i="26"/>
  <c r="E68" i="26" s="1"/>
  <c r="H69" i="26"/>
  <c r="P27" i="26"/>
  <c r="Q26" i="26"/>
  <c r="E42" i="26"/>
  <c r="E49" i="26"/>
  <c r="E67" i="26"/>
  <c r="E59" i="26"/>
  <c r="E51" i="26"/>
  <c r="E43" i="26"/>
  <c r="E66" i="26"/>
  <c r="E25" i="26"/>
  <c r="E46" i="26"/>
  <c r="E64" i="26"/>
  <c r="E56" i="26"/>
  <c r="E48" i="26"/>
  <c r="E40" i="26"/>
  <c r="E62" i="26"/>
  <c r="E54" i="26"/>
  <c r="E38" i="26"/>
  <c r="E60" i="26"/>
  <c r="E41" i="26"/>
  <c r="E47" i="26"/>
  <c r="E53" i="26"/>
  <c r="E65" i="26"/>
  <c r="E55" i="26"/>
  <c r="D27" i="26"/>
  <c r="E26" i="26"/>
  <c r="E58" i="26"/>
  <c r="E61" i="26"/>
  <c r="E39" i="26"/>
  <c r="E45" i="26"/>
  <c r="E52" i="26"/>
  <c r="E63" i="26"/>
  <c r="J27" i="26"/>
  <c r="K26" i="26"/>
  <c r="E57" i="26"/>
  <c r="Q25" i="26"/>
  <c r="K53" i="26"/>
  <c r="K61" i="26"/>
  <c r="J68" i="26"/>
  <c r="K68" i="26" s="1"/>
  <c r="J28" i="26" l="1"/>
  <c r="K27" i="26"/>
  <c r="D28" i="26"/>
  <c r="E27" i="26"/>
  <c r="P28" i="26"/>
  <c r="Q27" i="26"/>
  <c r="Q28" i="26" l="1"/>
  <c r="P29" i="26"/>
  <c r="D29" i="26"/>
  <c r="E28" i="26"/>
  <c r="J29" i="26"/>
  <c r="K28" i="26"/>
  <c r="J30" i="26" l="1"/>
  <c r="K29" i="26"/>
  <c r="P30" i="26"/>
  <c r="Q29" i="26"/>
  <c r="D30" i="26"/>
  <c r="E29" i="26"/>
  <c r="D31" i="26" l="1"/>
  <c r="E30" i="26"/>
  <c r="P31" i="26"/>
  <c r="Q30" i="26"/>
  <c r="J31" i="26"/>
  <c r="K30" i="26"/>
  <c r="J32" i="26" l="1"/>
  <c r="K31" i="26"/>
  <c r="P32" i="26"/>
  <c r="Q31" i="26"/>
  <c r="D32" i="26"/>
  <c r="E31" i="26"/>
  <c r="J33" i="26" l="1"/>
  <c r="K32" i="26"/>
  <c r="D33" i="26"/>
  <c r="E32" i="26"/>
  <c r="Q32" i="26"/>
  <c r="P33" i="26"/>
  <c r="P34" i="26" l="1"/>
  <c r="Q33" i="26"/>
  <c r="D34" i="26"/>
  <c r="E33" i="26"/>
  <c r="J34" i="26"/>
  <c r="K33" i="26"/>
  <c r="J35" i="26" l="1"/>
  <c r="K34" i="26"/>
  <c r="D35" i="26"/>
  <c r="E34" i="26"/>
  <c r="P35" i="26"/>
  <c r="Q34" i="26"/>
  <c r="P36" i="26" l="1"/>
  <c r="Q35" i="26"/>
  <c r="D36" i="26"/>
  <c r="E35" i="26"/>
  <c r="J36" i="26"/>
  <c r="K35" i="26"/>
  <c r="P37" i="26" l="1"/>
  <c r="Q37" i="26" s="1"/>
  <c r="Q36" i="26"/>
  <c r="J37" i="26"/>
  <c r="K37" i="26" s="1"/>
  <c r="K36" i="26"/>
  <c r="D37" i="26"/>
  <c r="E37" i="26" s="1"/>
  <c r="E36" i="26"/>
  <c r="K31" i="22" l="1"/>
  <c r="K30" i="22"/>
  <c r="K28" i="22"/>
  <c r="K27" i="22" l="1"/>
  <c r="K26" i="22" l="1"/>
  <c r="K29" i="22" s="1"/>
  <c r="D3" i="22" l="1"/>
  <c r="D2" i="22"/>
  <c r="I20" i="26"/>
  <c r="C11" i="26"/>
  <c r="C10" i="26"/>
  <c r="C9" i="26"/>
  <c r="C8" i="26"/>
  <c r="C7" i="26"/>
  <c r="C5" i="26"/>
  <c r="B11" i="21"/>
  <c r="B10" i="21"/>
  <c r="B9" i="21"/>
  <c r="B8" i="21"/>
  <c r="B7" i="21"/>
  <c r="B5" i="21"/>
  <c r="C11" i="25"/>
  <c r="C10" i="25"/>
  <c r="C9" i="25"/>
  <c r="C8" i="25"/>
  <c r="C7" i="25"/>
  <c r="C5" i="25"/>
  <c r="B11" i="23"/>
  <c r="B10" i="23"/>
  <c r="B9" i="23"/>
  <c r="B8" i="23"/>
  <c r="B7" i="23"/>
  <c r="B5" i="23"/>
  <c r="J512" i="21" l="1"/>
  <c r="J511" i="21"/>
  <c r="J510" i="21"/>
  <c r="J509" i="21"/>
  <c r="J508" i="21"/>
  <c r="J507" i="21"/>
  <c r="J506" i="21"/>
  <c r="J505" i="21"/>
  <c r="J504" i="21"/>
  <c r="J503" i="21"/>
  <c r="J502" i="21"/>
  <c r="J498" i="21"/>
  <c r="J497" i="21"/>
  <c r="J496" i="21"/>
  <c r="J495" i="21"/>
  <c r="J492" i="21"/>
  <c r="J494" i="21"/>
  <c r="J493" i="21"/>
  <c r="J491" i="21"/>
  <c r="J490" i="21"/>
  <c r="H83" i="28" l="1"/>
  <c r="H82" i="28"/>
  <c r="H81" i="28"/>
  <c r="H80" i="28"/>
  <c r="H79" i="28"/>
  <c r="F73" i="28"/>
  <c r="E73" i="28"/>
  <c r="D73" i="28"/>
  <c r="H73" i="28" s="1"/>
  <c r="F74" i="28"/>
  <c r="E74" i="28"/>
  <c r="D74" i="28"/>
  <c r="H74" i="28" s="1"/>
  <c r="F72" i="28"/>
  <c r="E72" i="28"/>
  <c r="D72" i="28"/>
  <c r="H72" i="28" s="1"/>
  <c r="F71" i="28"/>
  <c r="E71" i="28"/>
  <c r="D71" i="28"/>
  <c r="H71" i="28" s="1"/>
  <c r="F70" i="28"/>
  <c r="E70" i="28"/>
  <c r="D70" i="28"/>
  <c r="H70" i="28" s="1"/>
  <c r="F69" i="28"/>
  <c r="E69" i="28"/>
  <c r="D69" i="28"/>
  <c r="H69" i="28" s="1"/>
  <c r="F68" i="28"/>
  <c r="E68" i="28"/>
  <c r="D68" i="28"/>
  <c r="H68" i="28" s="1"/>
  <c r="F67" i="28"/>
  <c r="E67" i="28"/>
  <c r="D67" i="28"/>
  <c r="H67" i="28" s="1"/>
  <c r="F66" i="28"/>
  <c r="E66" i="28"/>
  <c r="D66" i="28"/>
  <c r="H66" i="28" s="1"/>
  <c r="F65" i="28"/>
  <c r="E65" i="28"/>
  <c r="D65" i="28"/>
  <c r="H65" i="28" s="1"/>
  <c r="F64" i="28"/>
  <c r="E64" i="28"/>
  <c r="D64" i="28"/>
  <c r="H64" i="28" s="1"/>
  <c r="F63" i="28"/>
  <c r="E63" i="28"/>
  <c r="D63" i="28"/>
  <c r="H63" i="28" s="1"/>
  <c r="F62" i="28"/>
  <c r="E62" i="28"/>
  <c r="D62" i="28"/>
  <c r="H62" i="28" s="1"/>
  <c r="F61" i="28"/>
  <c r="E61" i="28"/>
  <c r="D61" i="28"/>
  <c r="H61" i="28" s="1"/>
  <c r="F60" i="28"/>
  <c r="E60" i="28"/>
  <c r="D60" i="28"/>
  <c r="H60" i="28" s="1"/>
  <c r="F59" i="28"/>
  <c r="E59" i="28"/>
  <c r="D59" i="28"/>
  <c r="H59" i="28" s="1"/>
  <c r="F58" i="28"/>
  <c r="E58" i="28"/>
  <c r="D58" i="28"/>
  <c r="H58" i="28" s="1"/>
  <c r="F57" i="28"/>
  <c r="E57" i="28"/>
  <c r="D57" i="28"/>
  <c r="H57" i="28" s="1"/>
  <c r="F56" i="28"/>
  <c r="E56" i="28"/>
  <c r="D56" i="28"/>
  <c r="H56" i="28" s="1"/>
  <c r="F55" i="28"/>
  <c r="E55" i="28"/>
  <c r="D55" i="28"/>
  <c r="H55" i="28" s="1"/>
  <c r="F54" i="28"/>
  <c r="E54" i="28"/>
  <c r="D54" i="28"/>
  <c r="H54" i="28" s="1"/>
  <c r="F53" i="28"/>
  <c r="E53" i="28"/>
  <c r="D53" i="28"/>
  <c r="H53" i="28" s="1"/>
  <c r="F52" i="28"/>
  <c r="E52" i="28"/>
  <c r="D52" i="28"/>
  <c r="H52" i="28" s="1"/>
  <c r="F51" i="28"/>
  <c r="E51" i="28"/>
  <c r="D51" i="28"/>
  <c r="H51" i="28" s="1"/>
  <c r="F50" i="28"/>
  <c r="E50" i="28"/>
  <c r="D50" i="28"/>
  <c r="H50" i="28" s="1"/>
  <c r="F49" i="28"/>
  <c r="E49" i="28"/>
  <c r="D49" i="28"/>
  <c r="H49" i="28" s="1"/>
  <c r="H14" i="28"/>
  <c r="H9" i="28"/>
  <c r="C153" i="28"/>
  <c r="C152" i="28"/>
  <c r="C151" i="28"/>
  <c r="C150" i="28"/>
  <c r="C149" i="28"/>
  <c r="C148" i="28"/>
  <c r="C147" i="28"/>
  <c r="C146" i="28"/>
  <c r="C145" i="28"/>
  <c r="D145" i="28" s="1"/>
  <c r="C144" i="28"/>
  <c r="C143" i="28"/>
  <c r="F139" i="28"/>
  <c r="E139" i="28"/>
  <c r="F114" i="28"/>
  <c r="E114" i="28"/>
  <c r="G113" i="28"/>
  <c r="G114" i="28" s="1"/>
  <c r="D113" i="28"/>
  <c r="D114" i="28" s="1"/>
  <c r="H112" i="28"/>
  <c r="H111" i="28"/>
  <c r="H106" i="28"/>
  <c r="H105" i="28"/>
  <c r="G103" i="28"/>
  <c r="F103" i="28"/>
  <c r="E103" i="28"/>
  <c r="D103" i="28"/>
  <c r="H102" i="28"/>
  <c r="H101" i="28"/>
  <c r="H100" i="28"/>
  <c r="G97" i="28"/>
  <c r="F97" i="28"/>
  <c r="E97" i="28"/>
  <c r="D97" i="28"/>
  <c r="H96" i="28"/>
  <c r="H95" i="28"/>
  <c r="H94" i="28"/>
  <c r="H93" i="28"/>
  <c r="H92" i="28"/>
  <c r="H91" i="28"/>
  <c r="H90" i="28"/>
  <c r="H84" i="28"/>
  <c r="G76" i="28"/>
  <c r="H75" i="28"/>
  <c r="G46" i="28"/>
  <c r="F46" i="28"/>
  <c r="E46" i="28"/>
  <c r="D46" i="28"/>
  <c r="H45" i="28"/>
  <c r="H44" i="28"/>
  <c r="H43" i="28"/>
  <c r="H42" i="28"/>
  <c r="H41" i="28"/>
  <c r="H40" i="28"/>
  <c r="H39" i="28"/>
  <c r="H38" i="28"/>
  <c r="H37" i="28"/>
  <c r="H36" i="28"/>
  <c r="H35" i="28"/>
  <c r="H34" i="28"/>
  <c r="H33" i="28"/>
  <c r="H32" i="28"/>
  <c r="H31" i="28"/>
  <c r="H30" i="28"/>
  <c r="H29" i="28"/>
  <c r="G26" i="28"/>
  <c r="F26" i="28"/>
  <c r="E26" i="28"/>
  <c r="D26" i="28"/>
  <c r="H25" i="28"/>
  <c r="H24" i="28"/>
  <c r="H23" i="28"/>
  <c r="H22" i="28"/>
  <c r="H12" i="28"/>
  <c r="H8" i="28"/>
  <c r="C4" i="28"/>
  <c r="H85" i="28" l="1"/>
  <c r="D153" i="28"/>
  <c r="H26" i="28"/>
  <c r="D148" i="28"/>
  <c r="D149" i="28"/>
  <c r="H97" i="28"/>
  <c r="H103" i="28"/>
  <c r="D150" i="28"/>
  <c r="H113" i="28"/>
  <c r="H114" i="28" s="1"/>
  <c r="G108" i="28"/>
  <c r="G116" i="28" s="1"/>
  <c r="H46" i="28"/>
  <c r="G87" i="28"/>
  <c r="F76" i="28"/>
  <c r="E76" i="28"/>
  <c r="D76" i="28"/>
  <c r="H76" i="28"/>
  <c r="D143" i="28"/>
  <c r="D151" i="28"/>
  <c r="H16" i="28"/>
  <c r="H10" i="28"/>
  <c r="D146" i="28"/>
  <c r="D144" i="28"/>
  <c r="D152" i="28"/>
  <c r="D147" i="28"/>
  <c r="E153" i="28" l="1"/>
  <c r="E148" i="28"/>
  <c r="E146" i="28"/>
  <c r="E151" i="28"/>
  <c r="E145" i="28"/>
  <c r="E147" i="28"/>
  <c r="E152" i="28"/>
  <c r="E144" i="28"/>
  <c r="H11" i="28"/>
  <c r="H13" i="28" s="1"/>
  <c r="E150" i="28"/>
  <c r="E143" i="28"/>
  <c r="E149" i="28"/>
  <c r="F87" i="28"/>
  <c r="E87" i="28"/>
  <c r="H87" i="28"/>
  <c r="D87" i="28"/>
  <c r="H108" i="28"/>
  <c r="D108" i="28"/>
  <c r="D116" i="28" s="1"/>
  <c r="H116" i="28" s="1"/>
  <c r="F108" i="28" l="1"/>
  <c r="F116" i="28" s="1"/>
  <c r="E108" i="28"/>
  <c r="E116" i="28" s="1"/>
  <c r="H73" i="25"/>
  <c r="G73" i="25"/>
  <c r="E73" i="25"/>
  <c r="E75" i="25" s="1"/>
  <c r="D73" i="25"/>
  <c r="F72" i="25"/>
  <c r="F71" i="25"/>
  <c r="F70" i="25"/>
  <c r="F69" i="25"/>
  <c r="F68" i="25"/>
  <c r="F67" i="25"/>
  <c r="F66" i="25"/>
  <c r="F65" i="25"/>
  <c r="F64" i="25"/>
  <c r="F63" i="25"/>
  <c r="F62" i="25"/>
  <c r="F61" i="25"/>
  <c r="F60" i="25"/>
  <c r="F59" i="25"/>
  <c r="F58" i="25"/>
  <c r="F57" i="25"/>
  <c r="F56" i="25"/>
  <c r="F55" i="25"/>
  <c r="F54" i="25"/>
  <c r="F53" i="25"/>
  <c r="F52" i="25"/>
  <c r="F51" i="25"/>
  <c r="F50" i="25"/>
  <c r="F49" i="25"/>
  <c r="F48" i="25"/>
  <c r="F47" i="25"/>
  <c r="F46" i="25"/>
  <c r="F45" i="25"/>
  <c r="F44" i="25"/>
  <c r="F73" i="25" s="1"/>
  <c r="D39" i="25"/>
  <c r="J501" i="21"/>
  <c r="J483" i="21"/>
  <c r="J484" i="21"/>
  <c r="J485" i="21"/>
  <c r="J486" i="21"/>
  <c r="J487" i="21"/>
  <c r="J445" i="21"/>
  <c r="J446" i="21"/>
  <c r="J447" i="21"/>
  <c r="J448" i="21"/>
  <c r="J449" i="21"/>
  <c r="J450" i="21"/>
  <c r="J451" i="21"/>
  <c r="J452" i="21"/>
  <c r="J453" i="21"/>
  <c r="J454" i="21"/>
  <c r="J455" i="21"/>
  <c r="J456" i="21"/>
  <c r="J457" i="21"/>
  <c r="J458" i="21"/>
  <c r="J459" i="21"/>
  <c r="J460" i="21"/>
  <c r="J461" i="21"/>
  <c r="J462" i="21"/>
  <c r="J463" i="21"/>
  <c r="J464" i="21"/>
  <c r="J465" i="21"/>
  <c r="J466" i="21"/>
  <c r="J431" i="21"/>
  <c r="J432" i="21"/>
  <c r="J433" i="21"/>
  <c r="J434" i="21"/>
  <c r="J435" i="21"/>
  <c r="J436" i="21"/>
  <c r="J437" i="21"/>
  <c r="J438" i="21"/>
  <c r="J439" i="21"/>
  <c r="J440" i="21"/>
  <c r="J441" i="21"/>
  <c r="J442" i="21"/>
  <c r="J417" i="21"/>
  <c r="J418" i="21"/>
  <c r="J419" i="21"/>
  <c r="J420" i="21"/>
  <c r="J421" i="21"/>
  <c r="J422" i="21"/>
  <c r="J423" i="21"/>
  <c r="J424" i="21"/>
  <c r="J425" i="21"/>
  <c r="J426" i="21"/>
  <c r="J427" i="21"/>
  <c r="J428" i="21"/>
  <c r="J400" i="21"/>
  <c r="J401" i="21"/>
  <c r="J402" i="21"/>
  <c r="J403" i="21"/>
  <c r="J404" i="21"/>
  <c r="J405" i="21"/>
  <c r="J406" i="21"/>
  <c r="J407" i="21"/>
  <c r="J408" i="21"/>
  <c r="J409" i="21"/>
  <c r="J410" i="21"/>
  <c r="J411" i="21"/>
  <c r="J412" i="21"/>
  <c r="J413" i="21"/>
  <c r="J414" i="21"/>
  <c r="J391" i="21"/>
  <c r="J392" i="21"/>
  <c r="J393" i="21"/>
  <c r="J394" i="21"/>
  <c r="J395" i="21"/>
  <c r="J396" i="21"/>
  <c r="J397" i="21"/>
  <c r="J382" i="21"/>
  <c r="J383" i="21"/>
  <c r="J384" i="21"/>
  <c r="J385" i="21"/>
  <c r="J386" i="21"/>
  <c r="J387" i="21"/>
  <c r="J388" i="21"/>
  <c r="J374" i="21"/>
  <c r="J375" i="21"/>
  <c r="J376" i="21"/>
  <c r="J377" i="21"/>
  <c r="J378" i="21"/>
  <c r="J379" i="21"/>
  <c r="J358" i="21"/>
  <c r="J359" i="21"/>
  <c r="J360" i="21"/>
  <c r="J361" i="21"/>
  <c r="J362" i="21"/>
  <c r="J363" i="21"/>
  <c r="J364" i="21"/>
  <c r="J365" i="21"/>
  <c r="J366" i="21"/>
  <c r="J367" i="21"/>
  <c r="J368" i="21"/>
  <c r="J369" i="21"/>
  <c r="J370" i="21"/>
  <c r="J37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18" i="21"/>
  <c r="J319" i="21"/>
  <c r="J320" i="21"/>
  <c r="J321" i="21"/>
  <c r="J322" i="21"/>
  <c r="J323" i="21"/>
  <c r="J324" i="21"/>
  <c r="J325" i="21"/>
  <c r="J326" i="21"/>
  <c r="J327" i="21"/>
  <c r="J328" i="21"/>
  <c r="J329" i="21"/>
  <c r="J308" i="21"/>
  <c r="J309" i="21"/>
  <c r="J310" i="21"/>
  <c r="J311" i="21"/>
  <c r="J312" i="21"/>
  <c r="J313" i="21"/>
  <c r="J314" i="21"/>
  <c r="J315" i="21"/>
  <c r="J296" i="21"/>
  <c r="J297" i="21"/>
  <c r="J298" i="21"/>
  <c r="J299" i="21"/>
  <c r="J300" i="21"/>
  <c r="J301" i="21"/>
  <c r="J302" i="21"/>
  <c r="J303" i="21"/>
  <c r="J304" i="21"/>
  <c r="J305" i="21"/>
  <c r="J286" i="21"/>
  <c r="J287" i="21"/>
  <c r="J288" i="21"/>
  <c r="J289" i="21"/>
  <c r="J290" i="21"/>
  <c r="J291" i="21"/>
  <c r="J292" i="21"/>
  <c r="J293" i="21"/>
  <c r="J276" i="21"/>
  <c r="J277" i="21"/>
  <c r="J278" i="21"/>
  <c r="J279" i="21"/>
  <c r="J280" i="21"/>
  <c r="J281" i="21"/>
  <c r="J282" i="21"/>
  <c r="J283" i="21"/>
  <c r="J264" i="21"/>
  <c r="J265" i="21"/>
  <c r="J266" i="21"/>
  <c r="J267" i="21"/>
  <c r="J268" i="21"/>
  <c r="J269" i="21"/>
  <c r="J270" i="21"/>
  <c r="J271" i="21"/>
  <c r="J272" i="21"/>
  <c r="J273" i="21"/>
  <c r="J251" i="21"/>
  <c r="J252" i="21"/>
  <c r="J253" i="21"/>
  <c r="J254" i="21"/>
  <c r="J255" i="21"/>
  <c r="J256" i="21"/>
  <c r="J257" i="21"/>
  <c r="J258" i="21"/>
  <c r="J259" i="21"/>
  <c r="J260" i="21"/>
  <c r="J261" i="21"/>
  <c r="J236" i="21"/>
  <c r="J237" i="21"/>
  <c r="J238" i="21"/>
  <c r="J239" i="21"/>
  <c r="J240" i="21"/>
  <c r="J241" i="21"/>
  <c r="J242" i="21"/>
  <c r="J243" i="21"/>
  <c r="J244" i="21"/>
  <c r="J245" i="21"/>
  <c r="J246" i="21"/>
  <c r="J247" i="21"/>
  <c r="J248" i="21"/>
  <c r="J225" i="21"/>
  <c r="J226" i="21"/>
  <c r="J227" i="21"/>
  <c r="J228" i="21"/>
  <c r="J229" i="21"/>
  <c r="J230" i="21"/>
  <c r="J231" i="21"/>
  <c r="J232" i="21"/>
  <c r="J233" i="21"/>
  <c r="J209" i="21"/>
  <c r="J210" i="21"/>
  <c r="J211" i="21"/>
  <c r="J212" i="21"/>
  <c r="J213" i="21"/>
  <c r="J214" i="21"/>
  <c r="J215" i="21"/>
  <c r="J216" i="21"/>
  <c r="J217" i="21"/>
  <c r="J218" i="21"/>
  <c r="J219" i="21"/>
  <c r="J220" i="21"/>
  <c r="J221" i="21"/>
  <c r="J222" i="21"/>
  <c r="J187" i="21"/>
  <c r="J188" i="21"/>
  <c r="J189" i="21"/>
  <c r="J190" i="21"/>
  <c r="J191" i="21"/>
  <c r="J192" i="21"/>
  <c r="J193" i="21"/>
  <c r="J194" i="21"/>
  <c r="J195" i="21"/>
  <c r="J196" i="21"/>
  <c r="J197" i="21"/>
  <c r="J198" i="21"/>
  <c r="J199" i="21"/>
  <c r="J200" i="21"/>
  <c r="J201" i="21"/>
  <c r="J202" i="21"/>
  <c r="J203" i="21"/>
  <c r="J204" i="21"/>
  <c r="J205" i="21"/>
  <c r="J206" i="21"/>
  <c r="J179" i="21"/>
  <c r="J180" i="21"/>
  <c r="J181" i="21"/>
  <c r="J182" i="21"/>
  <c r="J183" i="21"/>
  <c r="J184" i="21"/>
  <c r="J160" i="21"/>
  <c r="J161" i="21"/>
  <c r="J162" i="21"/>
  <c r="J163" i="21"/>
  <c r="J164" i="21"/>
  <c r="J165" i="21"/>
  <c r="J166" i="21"/>
  <c r="J167" i="21"/>
  <c r="J168" i="21"/>
  <c r="J169" i="21"/>
  <c r="J170" i="21"/>
  <c r="J171" i="21"/>
  <c r="J172" i="21"/>
  <c r="J173" i="21"/>
  <c r="J174" i="21"/>
  <c r="J175" i="21"/>
  <c r="J176" i="21"/>
  <c r="J152" i="21"/>
  <c r="J153" i="21"/>
  <c r="J154" i="21"/>
  <c r="J155" i="21"/>
  <c r="J156" i="21"/>
  <c r="J157" i="21"/>
  <c r="J143" i="21"/>
  <c r="J144" i="21"/>
  <c r="J145" i="21"/>
  <c r="J146" i="21"/>
  <c r="J147" i="21"/>
  <c r="J148" i="21"/>
  <c r="J149" i="21"/>
  <c r="J129" i="21"/>
  <c r="J130" i="21"/>
  <c r="J131" i="21"/>
  <c r="J132" i="21"/>
  <c r="J133" i="21"/>
  <c r="J134" i="21"/>
  <c r="J135" i="21"/>
  <c r="J136" i="21"/>
  <c r="J137" i="21"/>
  <c r="J138" i="21"/>
  <c r="J139" i="21"/>
  <c r="J140" i="21"/>
  <c r="J119" i="21"/>
  <c r="J120" i="21"/>
  <c r="J121" i="21"/>
  <c r="J122" i="21"/>
  <c r="J123" i="21"/>
  <c r="J124" i="21"/>
  <c r="J125" i="21"/>
  <c r="J126" i="21"/>
  <c r="J107" i="21"/>
  <c r="J108" i="21"/>
  <c r="J109" i="21"/>
  <c r="J110" i="21"/>
  <c r="J111" i="21"/>
  <c r="J112" i="21"/>
  <c r="J113" i="21"/>
  <c r="J114" i="21"/>
  <c r="J115" i="21"/>
  <c r="J116" i="21"/>
  <c r="J95" i="21"/>
  <c r="J96" i="21"/>
  <c r="J97" i="21"/>
  <c r="J98" i="21"/>
  <c r="J99" i="21"/>
  <c r="J100" i="21"/>
  <c r="J101" i="21"/>
  <c r="J102" i="21"/>
  <c r="J103" i="21"/>
  <c r="J104" i="21"/>
  <c r="J82" i="21"/>
  <c r="J83" i="21"/>
  <c r="J84" i="21"/>
  <c r="J85" i="21"/>
  <c r="J86" i="21"/>
  <c r="J87" i="21"/>
  <c r="J88" i="21"/>
  <c r="J89" i="21"/>
  <c r="J90" i="21"/>
  <c r="J91" i="21"/>
  <c r="J92" i="21"/>
  <c r="J73" i="21"/>
  <c r="J74" i="21"/>
  <c r="J75" i="21"/>
  <c r="J76" i="21"/>
  <c r="J77" i="21"/>
  <c r="J78" i="21"/>
  <c r="J79" i="21"/>
  <c r="J63" i="21"/>
  <c r="J64" i="21"/>
  <c r="J65" i="21"/>
  <c r="J66" i="21"/>
  <c r="J67" i="21"/>
  <c r="J68" i="21"/>
  <c r="J69" i="21"/>
  <c r="J70" i="21"/>
  <c r="J50" i="21"/>
  <c r="J51" i="21"/>
  <c r="J52" i="21"/>
  <c r="J53" i="21"/>
  <c r="J54" i="21"/>
  <c r="J55" i="21"/>
  <c r="J56" i="21"/>
  <c r="J57" i="21"/>
  <c r="J58" i="21"/>
  <c r="J59" i="21"/>
  <c r="J60" i="21"/>
  <c r="J41" i="21"/>
  <c r="J42" i="21"/>
  <c r="J43" i="21"/>
  <c r="J44" i="21"/>
  <c r="J45" i="21"/>
  <c r="J46" i="21"/>
  <c r="J47" i="21"/>
  <c r="J31" i="21"/>
  <c r="J32" i="21"/>
  <c r="J33" i="21"/>
  <c r="J34" i="21"/>
  <c r="J35" i="21"/>
  <c r="J36" i="21"/>
  <c r="J37" i="21"/>
  <c r="J38" i="21"/>
  <c r="H512" i="21"/>
  <c r="H511" i="21"/>
  <c r="H510" i="21"/>
  <c r="H509" i="21"/>
  <c r="H508" i="21"/>
  <c r="H507" i="21"/>
  <c r="H506" i="21"/>
  <c r="H505" i="21"/>
  <c r="H504" i="21"/>
  <c r="H503" i="21"/>
  <c r="H502" i="21"/>
  <c r="H501" i="21"/>
  <c r="H498" i="21"/>
  <c r="H497" i="21"/>
  <c r="H496" i="21"/>
  <c r="H495" i="21"/>
  <c r="H494" i="21"/>
  <c r="H493" i="21"/>
  <c r="H492" i="21"/>
  <c r="H491" i="21"/>
  <c r="H490" i="21"/>
  <c r="H487" i="21"/>
  <c r="H486" i="21"/>
  <c r="H485" i="21"/>
  <c r="H484" i="21"/>
  <c r="H483" i="21"/>
  <c r="H480" i="21"/>
  <c r="H479" i="21"/>
  <c r="H478" i="21"/>
  <c r="H477" i="21"/>
  <c r="H476" i="21"/>
  <c r="H475" i="21"/>
  <c r="H474" i="21"/>
  <c r="H473" i="21"/>
  <c r="H472" i="21"/>
  <c r="H471" i="21"/>
  <c r="H470" i="21"/>
  <c r="H469" i="21"/>
  <c r="H466" i="21"/>
  <c r="H465" i="21"/>
  <c r="H464" i="21"/>
  <c r="H463" i="21"/>
  <c r="H462" i="21"/>
  <c r="H461" i="21"/>
  <c r="H460" i="21"/>
  <c r="H459" i="21"/>
  <c r="H458" i="21"/>
  <c r="H457" i="21"/>
  <c r="H456" i="21"/>
  <c r="H455" i="21"/>
  <c r="H454" i="21"/>
  <c r="H453" i="21"/>
  <c r="H452" i="21"/>
  <c r="H451" i="21"/>
  <c r="H450" i="21"/>
  <c r="H449" i="21"/>
  <c r="H448" i="21"/>
  <c r="H447" i="21"/>
  <c r="H446" i="21"/>
  <c r="H445" i="21"/>
  <c r="H442" i="21"/>
  <c r="H441" i="21"/>
  <c r="H440" i="21"/>
  <c r="H439" i="21"/>
  <c r="H438" i="21"/>
  <c r="H437" i="21"/>
  <c r="H436" i="21"/>
  <c r="H435" i="21"/>
  <c r="H434" i="21"/>
  <c r="H433" i="21"/>
  <c r="H432" i="21"/>
  <c r="H431" i="21"/>
  <c r="H428" i="21"/>
  <c r="H427" i="21"/>
  <c r="H426" i="21"/>
  <c r="H425" i="21"/>
  <c r="H424" i="21"/>
  <c r="H423" i="21"/>
  <c r="H422" i="21"/>
  <c r="H421" i="21"/>
  <c r="H420" i="21"/>
  <c r="H419" i="21"/>
  <c r="H418" i="21"/>
  <c r="H417" i="21"/>
  <c r="H414" i="21"/>
  <c r="H413" i="21"/>
  <c r="H412" i="21"/>
  <c r="H411" i="21"/>
  <c r="H410" i="21"/>
  <c r="H409" i="21"/>
  <c r="H408" i="21"/>
  <c r="H407" i="21"/>
  <c r="H406" i="21"/>
  <c r="H405" i="21"/>
  <c r="H404" i="21"/>
  <c r="H403" i="21"/>
  <c r="H402" i="21"/>
  <c r="H401" i="21"/>
  <c r="H400" i="21"/>
  <c r="H397" i="21"/>
  <c r="H396" i="21"/>
  <c r="H395" i="21"/>
  <c r="H394" i="21"/>
  <c r="H393" i="21"/>
  <c r="H392" i="21"/>
  <c r="H391" i="21"/>
  <c r="H388" i="21"/>
  <c r="H387" i="21"/>
  <c r="H386" i="21"/>
  <c r="H385" i="21"/>
  <c r="H384" i="21"/>
  <c r="H383" i="21"/>
  <c r="H382" i="21"/>
  <c r="H379" i="21"/>
  <c r="H378" i="21"/>
  <c r="H377" i="21"/>
  <c r="H376" i="21"/>
  <c r="H375" i="21"/>
  <c r="H374" i="21"/>
  <c r="H371" i="21"/>
  <c r="H370" i="21"/>
  <c r="H369" i="21"/>
  <c r="H368" i="21"/>
  <c r="H367" i="21"/>
  <c r="H366" i="21"/>
  <c r="H365" i="21"/>
  <c r="H364" i="21"/>
  <c r="H363" i="21"/>
  <c r="H362" i="21"/>
  <c r="H361" i="21"/>
  <c r="H360" i="21"/>
  <c r="H359" i="21"/>
  <c r="H358" i="21"/>
  <c r="H355" i="21"/>
  <c r="H354" i="21"/>
  <c r="H353" i="21"/>
  <c r="H352" i="21"/>
  <c r="H351" i="21"/>
  <c r="H350" i="21"/>
  <c r="H349" i="21"/>
  <c r="H348" i="21"/>
  <c r="H347" i="21"/>
  <c r="H346" i="21"/>
  <c r="H345" i="21"/>
  <c r="H344" i="21"/>
  <c r="H343" i="21"/>
  <c r="H342" i="21"/>
  <c r="H341" i="21"/>
  <c r="H340" i="21"/>
  <c r="H339" i="21"/>
  <c r="H338" i="21"/>
  <c r="H337" i="21"/>
  <c r="H336" i="21"/>
  <c r="H335" i="21"/>
  <c r="H334" i="21"/>
  <c r="H333" i="21"/>
  <c r="H332" i="21"/>
  <c r="H329" i="21"/>
  <c r="H328" i="21"/>
  <c r="H327" i="21"/>
  <c r="H326" i="21"/>
  <c r="H325" i="21"/>
  <c r="H324" i="21"/>
  <c r="H323" i="21"/>
  <c r="H322" i="21"/>
  <c r="H321" i="21"/>
  <c r="H320" i="21"/>
  <c r="H319" i="21"/>
  <c r="H318" i="21"/>
  <c r="H315" i="21"/>
  <c r="H314" i="21"/>
  <c r="H313" i="21"/>
  <c r="H312" i="21"/>
  <c r="H311" i="21"/>
  <c r="H310" i="21"/>
  <c r="H309" i="21"/>
  <c r="H308" i="21"/>
  <c r="H305" i="21"/>
  <c r="H304" i="21"/>
  <c r="H303" i="21"/>
  <c r="H302" i="21"/>
  <c r="H301" i="21"/>
  <c r="H300" i="21"/>
  <c r="H299" i="21"/>
  <c r="H298" i="21"/>
  <c r="H297" i="21"/>
  <c r="H296" i="21"/>
  <c r="H293" i="21"/>
  <c r="H292" i="21"/>
  <c r="H291" i="21"/>
  <c r="H290" i="21"/>
  <c r="H289" i="21"/>
  <c r="H288" i="21"/>
  <c r="H287" i="21"/>
  <c r="H286" i="21"/>
  <c r="H283" i="21"/>
  <c r="H282" i="21"/>
  <c r="H281" i="21"/>
  <c r="H280" i="21"/>
  <c r="H279" i="21"/>
  <c r="H278" i="21"/>
  <c r="H277" i="21"/>
  <c r="H276" i="21"/>
  <c r="H273" i="21"/>
  <c r="H272" i="21"/>
  <c r="H271" i="21"/>
  <c r="H270" i="21"/>
  <c r="H269" i="21"/>
  <c r="H268" i="21"/>
  <c r="H267" i="21"/>
  <c r="H266" i="21"/>
  <c r="H265" i="21"/>
  <c r="H264" i="21"/>
  <c r="H261" i="21"/>
  <c r="H260" i="21"/>
  <c r="H259" i="21"/>
  <c r="H258" i="21"/>
  <c r="H257" i="21"/>
  <c r="H256" i="21"/>
  <c r="H255" i="21"/>
  <c r="H254" i="21"/>
  <c r="H253" i="21"/>
  <c r="H252" i="21"/>
  <c r="H251" i="21"/>
  <c r="H248" i="21"/>
  <c r="H247" i="21"/>
  <c r="H246" i="21"/>
  <c r="H245" i="21"/>
  <c r="H244" i="21"/>
  <c r="H243" i="21"/>
  <c r="H242" i="21"/>
  <c r="H241" i="21"/>
  <c r="H240" i="21"/>
  <c r="H239" i="21"/>
  <c r="H238" i="21"/>
  <c r="H237" i="21"/>
  <c r="H236" i="21"/>
  <c r="H233" i="21"/>
  <c r="H232" i="21"/>
  <c r="H231" i="21"/>
  <c r="H230" i="21"/>
  <c r="H229" i="21"/>
  <c r="H228" i="21"/>
  <c r="H227" i="21"/>
  <c r="H226" i="21"/>
  <c r="H225" i="21"/>
  <c r="H222" i="21"/>
  <c r="H221" i="21"/>
  <c r="H220" i="21"/>
  <c r="H219" i="21"/>
  <c r="H218" i="21"/>
  <c r="H217" i="21"/>
  <c r="H216" i="21"/>
  <c r="H215" i="21"/>
  <c r="H214" i="21"/>
  <c r="H213" i="21"/>
  <c r="H212" i="21"/>
  <c r="H211" i="21"/>
  <c r="H210" i="21"/>
  <c r="H209" i="21"/>
  <c r="H206" i="21"/>
  <c r="H205" i="21"/>
  <c r="H204" i="21"/>
  <c r="H203" i="21"/>
  <c r="H202" i="21"/>
  <c r="H201" i="21"/>
  <c r="H200" i="21"/>
  <c r="H199" i="21"/>
  <c r="H198" i="21"/>
  <c r="H197" i="21"/>
  <c r="H196" i="21"/>
  <c r="H195" i="21"/>
  <c r="H194" i="21"/>
  <c r="H193" i="21"/>
  <c r="H192" i="21"/>
  <c r="H191" i="21"/>
  <c r="H190" i="21"/>
  <c r="H189" i="21"/>
  <c r="H188" i="21"/>
  <c r="H187" i="21"/>
  <c r="H184" i="21"/>
  <c r="H183" i="21"/>
  <c r="H182" i="21"/>
  <c r="H181" i="21"/>
  <c r="H180" i="21"/>
  <c r="H179" i="21"/>
  <c r="H176" i="21"/>
  <c r="H175" i="21"/>
  <c r="H174" i="21"/>
  <c r="H173" i="21"/>
  <c r="H172" i="21"/>
  <c r="H171" i="21"/>
  <c r="H170" i="21"/>
  <c r="H169" i="21"/>
  <c r="H168" i="21"/>
  <c r="H167" i="21"/>
  <c r="H166" i="21"/>
  <c r="H165" i="21"/>
  <c r="H164" i="21"/>
  <c r="H163" i="21"/>
  <c r="H162" i="21"/>
  <c r="H161" i="21"/>
  <c r="H160" i="21"/>
  <c r="H157" i="21"/>
  <c r="H156" i="21"/>
  <c r="H155" i="21"/>
  <c r="H154" i="21"/>
  <c r="H153" i="21"/>
  <c r="H152" i="21"/>
  <c r="H149" i="21"/>
  <c r="H148" i="21"/>
  <c r="H147" i="21"/>
  <c r="H146" i="21"/>
  <c r="H145" i="21"/>
  <c r="H144" i="21"/>
  <c r="H143" i="21"/>
  <c r="H140" i="21"/>
  <c r="H139" i="21"/>
  <c r="H138" i="21"/>
  <c r="H137" i="21"/>
  <c r="H136" i="21"/>
  <c r="H135" i="21"/>
  <c r="H134" i="21"/>
  <c r="H133" i="21"/>
  <c r="H132" i="21"/>
  <c r="H131" i="21"/>
  <c r="H130" i="21"/>
  <c r="H129" i="21"/>
  <c r="H126" i="21"/>
  <c r="H125" i="21"/>
  <c r="H124" i="21"/>
  <c r="H123" i="21"/>
  <c r="H122" i="21"/>
  <c r="H121" i="21"/>
  <c r="H120" i="21"/>
  <c r="H119" i="21"/>
  <c r="H116" i="21"/>
  <c r="H115" i="21"/>
  <c r="H114" i="21"/>
  <c r="H113" i="21"/>
  <c r="H112" i="21"/>
  <c r="H111" i="21"/>
  <c r="H110" i="21"/>
  <c r="H109" i="21"/>
  <c r="H108" i="21"/>
  <c r="H107" i="21"/>
  <c r="H104" i="21"/>
  <c r="H103" i="21"/>
  <c r="H102" i="21"/>
  <c r="H101" i="21"/>
  <c r="H100" i="21"/>
  <c r="H99" i="21"/>
  <c r="H98" i="21"/>
  <c r="H97" i="21"/>
  <c r="H96" i="21"/>
  <c r="H95" i="21"/>
  <c r="H92" i="21"/>
  <c r="H91" i="21"/>
  <c r="H90" i="21"/>
  <c r="H89" i="21"/>
  <c r="H88" i="21"/>
  <c r="H87" i="21"/>
  <c r="H86" i="21"/>
  <c r="H85" i="21"/>
  <c r="H84" i="21"/>
  <c r="H83" i="21"/>
  <c r="H82" i="21"/>
  <c r="H79" i="21"/>
  <c r="H78" i="21"/>
  <c r="H77" i="21"/>
  <c r="H76" i="21"/>
  <c r="H75" i="21"/>
  <c r="H74" i="21"/>
  <c r="H73" i="21"/>
  <c r="H70" i="21"/>
  <c r="H69" i="21"/>
  <c r="H68" i="21"/>
  <c r="H67" i="21"/>
  <c r="H66" i="21"/>
  <c r="H65" i="21"/>
  <c r="H64" i="21"/>
  <c r="H63" i="21"/>
  <c r="H60" i="21"/>
  <c r="H59" i="21"/>
  <c r="H58" i="21"/>
  <c r="H57" i="21"/>
  <c r="H56" i="21"/>
  <c r="H55" i="21"/>
  <c r="H54" i="21"/>
  <c r="H53" i="21"/>
  <c r="H52" i="21"/>
  <c r="H51" i="21"/>
  <c r="H50" i="21"/>
  <c r="H47" i="21"/>
  <c r="H46" i="21"/>
  <c r="H45" i="21"/>
  <c r="H44" i="21"/>
  <c r="H43" i="21"/>
  <c r="H42" i="21"/>
  <c r="H41" i="21"/>
  <c r="H38" i="21"/>
  <c r="H37" i="21"/>
  <c r="H36" i="21"/>
  <c r="H35" i="21"/>
  <c r="H34" i="21"/>
  <c r="H33" i="21"/>
  <c r="H32" i="21"/>
  <c r="H31" i="21"/>
  <c r="H30" i="21"/>
  <c r="J30" i="21" s="1"/>
  <c r="G80" i="22" l="1"/>
  <c r="I513" i="21" l="1"/>
  <c r="I516" i="21" s="1"/>
  <c r="F513" i="21"/>
  <c r="E513" i="21"/>
  <c r="G512" i="21"/>
  <c r="G511" i="21"/>
  <c r="G510" i="21"/>
  <c r="G509" i="21"/>
  <c r="G508" i="21"/>
  <c r="G507" i="21"/>
  <c r="G506" i="21"/>
  <c r="G505" i="21"/>
  <c r="G504" i="21"/>
  <c r="G503" i="21"/>
  <c r="G502" i="21"/>
  <c r="G501" i="21"/>
  <c r="G513" i="21" s="1"/>
  <c r="I499" i="21"/>
  <c r="F499" i="21"/>
  <c r="E499" i="21"/>
  <c r="G498" i="21"/>
  <c r="G497" i="21"/>
  <c r="G496" i="21"/>
  <c r="G495" i="21"/>
  <c r="G494" i="21"/>
  <c r="G493" i="21"/>
  <c r="G492" i="21"/>
  <c r="G491" i="21"/>
  <c r="J499" i="21"/>
  <c r="G490" i="21"/>
  <c r="G499" i="21" s="1"/>
  <c r="I488" i="21"/>
  <c r="F488" i="21"/>
  <c r="E488" i="21"/>
  <c r="G487" i="21"/>
  <c r="G486" i="21"/>
  <c r="G485" i="21"/>
  <c r="G484" i="21"/>
  <c r="G483" i="21"/>
  <c r="G488" i="21" s="1"/>
  <c r="I481" i="21"/>
  <c r="F481" i="21"/>
  <c r="E481" i="21"/>
  <c r="G480" i="21"/>
  <c r="J480" i="21" s="1"/>
  <c r="J479" i="21"/>
  <c r="G479" i="21"/>
  <c r="J478" i="21"/>
  <c r="G478" i="21"/>
  <c r="G477" i="21"/>
  <c r="J477" i="21" s="1"/>
  <c r="G476" i="21"/>
  <c r="J476" i="21" s="1"/>
  <c r="G475" i="21"/>
  <c r="J475" i="21" s="1"/>
  <c r="J474" i="21"/>
  <c r="G474" i="21"/>
  <c r="G473" i="21"/>
  <c r="J473" i="21" s="1"/>
  <c r="G472" i="21"/>
  <c r="J472" i="21" s="1"/>
  <c r="G471" i="21"/>
  <c r="J471" i="21" s="1"/>
  <c r="J470" i="21"/>
  <c r="G470" i="21"/>
  <c r="G469" i="21"/>
  <c r="G481" i="21" s="1"/>
  <c r="I467" i="21"/>
  <c r="F467" i="21"/>
  <c r="E467" i="21"/>
  <c r="G466" i="21"/>
  <c r="G465" i="21"/>
  <c r="G464" i="21"/>
  <c r="G463" i="21"/>
  <c r="G462" i="21"/>
  <c r="G461" i="21"/>
  <c r="G460" i="21"/>
  <c r="G459" i="21"/>
  <c r="G458" i="21"/>
  <c r="G457" i="21"/>
  <c r="G456" i="21"/>
  <c r="G455" i="21"/>
  <c r="G454" i="21"/>
  <c r="G453" i="21"/>
  <c r="G452" i="21"/>
  <c r="G451" i="21"/>
  <c r="G450" i="21"/>
  <c r="G449" i="21"/>
  <c r="G448" i="21"/>
  <c r="G447" i="21"/>
  <c r="G446" i="21"/>
  <c r="G445" i="21"/>
  <c r="G467" i="21" s="1"/>
  <c r="I443" i="21"/>
  <c r="F443" i="21"/>
  <c r="E443" i="21"/>
  <c r="G442" i="21"/>
  <c r="G441" i="21"/>
  <c r="G440" i="21"/>
  <c r="G439" i="21"/>
  <c r="G438" i="21"/>
  <c r="G437" i="21"/>
  <c r="G436" i="21"/>
  <c r="G435" i="21"/>
  <c r="G434" i="21"/>
  <c r="G433" i="21"/>
  <c r="G432" i="21"/>
  <c r="G431" i="21"/>
  <c r="I429" i="21"/>
  <c r="F429" i="21"/>
  <c r="E429" i="21"/>
  <c r="G428" i="21"/>
  <c r="G427" i="21"/>
  <c r="G426" i="21"/>
  <c r="G425" i="21"/>
  <c r="G424" i="21"/>
  <c r="G423" i="21"/>
  <c r="G422" i="21"/>
  <c r="G421" i="21"/>
  <c r="G420" i="21"/>
  <c r="G419" i="21"/>
  <c r="G418" i="21"/>
  <c r="J429" i="21"/>
  <c r="G417" i="21"/>
  <c r="G429" i="21" s="1"/>
  <c r="I415" i="21"/>
  <c r="G415" i="21"/>
  <c r="F415" i="21"/>
  <c r="E415" i="21"/>
  <c r="G414" i="21"/>
  <c r="G413" i="21"/>
  <c r="G412" i="21"/>
  <c r="G411" i="21"/>
  <c r="G410" i="21"/>
  <c r="G409" i="21"/>
  <c r="G408" i="21"/>
  <c r="G407" i="21"/>
  <c r="G406" i="21"/>
  <c r="G405" i="21"/>
  <c r="G404" i="21"/>
  <c r="G403" i="21"/>
  <c r="G402" i="21"/>
  <c r="G401" i="21"/>
  <c r="J415" i="21"/>
  <c r="G400" i="21"/>
  <c r="I398" i="21"/>
  <c r="F398" i="21"/>
  <c r="E398" i="21"/>
  <c r="G397" i="21"/>
  <c r="G396" i="21"/>
  <c r="G395" i="21"/>
  <c r="G394" i="21"/>
  <c r="G393" i="21"/>
  <c r="G392" i="21"/>
  <c r="J398" i="21"/>
  <c r="G391" i="21"/>
  <c r="I389" i="21"/>
  <c r="F389" i="21"/>
  <c r="E389" i="21"/>
  <c r="E10" i="21" s="1"/>
  <c r="G388" i="21"/>
  <c r="G387" i="21"/>
  <c r="G386" i="21"/>
  <c r="G385" i="21"/>
  <c r="G384" i="21"/>
  <c r="G383" i="21"/>
  <c r="J389" i="21"/>
  <c r="G382" i="21"/>
  <c r="G389" i="21" s="1"/>
  <c r="I380" i="21"/>
  <c r="F380" i="21"/>
  <c r="E380" i="21"/>
  <c r="G379" i="21"/>
  <c r="G378" i="21"/>
  <c r="G377" i="21"/>
  <c r="G376" i="21"/>
  <c r="G375" i="21"/>
  <c r="J380" i="21"/>
  <c r="G374" i="21"/>
  <c r="G380" i="21" s="1"/>
  <c r="I372" i="21"/>
  <c r="F372" i="21"/>
  <c r="E372" i="21"/>
  <c r="G371" i="21"/>
  <c r="G370" i="21"/>
  <c r="G369" i="21"/>
  <c r="G368" i="21"/>
  <c r="G367" i="21"/>
  <c r="G366" i="21"/>
  <c r="G365" i="21"/>
  <c r="G364" i="21"/>
  <c r="G363" i="21"/>
  <c r="G362" i="21"/>
  <c r="G361" i="21"/>
  <c r="G360" i="21"/>
  <c r="G359" i="21"/>
  <c r="J372" i="21"/>
  <c r="G358" i="21"/>
  <c r="G372" i="21" s="1"/>
  <c r="I356" i="21"/>
  <c r="F356" i="21"/>
  <c r="E356" i="21"/>
  <c r="G355" i="21"/>
  <c r="G354" i="21"/>
  <c r="G353" i="21"/>
  <c r="G352" i="21"/>
  <c r="G351" i="21"/>
  <c r="G350" i="21"/>
  <c r="G349" i="21"/>
  <c r="G348" i="21"/>
  <c r="G347" i="21"/>
  <c r="G346" i="21"/>
  <c r="G345" i="21"/>
  <c r="G344" i="21"/>
  <c r="G343" i="21"/>
  <c r="G342" i="21"/>
  <c r="G341" i="21"/>
  <c r="G340" i="21"/>
  <c r="G339" i="21"/>
  <c r="G338" i="21"/>
  <c r="G337" i="21"/>
  <c r="G336" i="21"/>
  <c r="G335" i="21"/>
  <c r="G334" i="21"/>
  <c r="G333" i="21"/>
  <c r="J356" i="21"/>
  <c r="G332" i="21"/>
  <c r="G356" i="21" s="1"/>
  <c r="I330" i="21"/>
  <c r="F330" i="21"/>
  <c r="E330" i="21"/>
  <c r="G329" i="21"/>
  <c r="G328" i="21"/>
  <c r="G327" i="21"/>
  <c r="G326" i="21"/>
  <c r="G325" i="21"/>
  <c r="G324" i="21"/>
  <c r="G323" i="21"/>
  <c r="G322" i="21"/>
  <c r="G321" i="21"/>
  <c r="G320" i="21"/>
  <c r="G319" i="21"/>
  <c r="J330" i="21"/>
  <c r="G318" i="21"/>
  <c r="H330" i="21" s="1"/>
  <c r="I316" i="21"/>
  <c r="F316" i="21"/>
  <c r="E316" i="21"/>
  <c r="G315" i="21"/>
  <c r="G314" i="21"/>
  <c r="G313" i="21"/>
  <c r="G312" i="21"/>
  <c r="G311" i="21"/>
  <c r="G310" i="21"/>
  <c r="G309" i="21"/>
  <c r="J316" i="21"/>
  <c r="G308" i="21"/>
  <c r="G316" i="21" s="1"/>
  <c r="I306" i="21"/>
  <c r="F306" i="21"/>
  <c r="E306" i="21"/>
  <c r="G305" i="21"/>
  <c r="G304" i="21"/>
  <c r="G303" i="21"/>
  <c r="G302" i="21"/>
  <c r="G301" i="21"/>
  <c r="G300" i="21"/>
  <c r="G299" i="21"/>
  <c r="G298" i="21"/>
  <c r="G297" i="21"/>
  <c r="J306" i="21"/>
  <c r="G296" i="21"/>
  <c r="G306" i="21" s="1"/>
  <c r="I294" i="21"/>
  <c r="F294" i="21"/>
  <c r="E294" i="21"/>
  <c r="G293" i="21"/>
  <c r="G292" i="21"/>
  <c r="G291" i="21"/>
  <c r="G290" i="21"/>
  <c r="G289" i="21"/>
  <c r="G288" i="21"/>
  <c r="J294" i="21"/>
  <c r="G287" i="21"/>
  <c r="H294" i="21"/>
  <c r="G286" i="21"/>
  <c r="G294" i="21" s="1"/>
  <c r="I284" i="21"/>
  <c r="F284" i="21"/>
  <c r="E284" i="21"/>
  <c r="G283" i="21"/>
  <c r="G282" i="21"/>
  <c r="G281" i="21"/>
  <c r="G280" i="21"/>
  <c r="G279" i="21"/>
  <c r="G278" i="21"/>
  <c r="G277" i="21"/>
  <c r="J284" i="21"/>
  <c r="G276" i="21"/>
  <c r="G284" i="21" s="1"/>
  <c r="I274" i="21"/>
  <c r="F274" i="21"/>
  <c r="E274" i="21"/>
  <c r="G273" i="21"/>
  <c r="G272" i="21"/>
  <c r="G271" i="21"/>
  <c r="G270" i="21"/>
  <c r="G269" i="21"/>
  <c r="G268" i="21"/>
  <c r="G267" i="21"/>
  <c r="G266" i="21"/>
  <c r="G265" i="21"/>
  <c r="J274" i="21"/>
  <c r="G264" i="21"/>
  <c r="J262" i="21"/>
  <c r="I262" i="21"/>
  <c r="F262" i="21"/>
  <c r="E262" i="21"/>
  <c r="G261" i="21"/>
  <c r="G260" i="21"/>
  <c r="G259" i="21"/>
  <c r="G258" i="21"/>
  <c r="G257" i="21"/>
  <c r="G256" i="21"/>
  <c r="G255" i="21"/>
  <c r="G254" i="21"/>
  <c r="G253" i="21"/>
  <c r="G252" i="21"/>
  <c r="G251" i="21"/>
  <c r="G262" i="21" s="1"/>
  <c r="I249" i="21"/>
  <c r="F249" i="21"/>
  <c r="E249" i="21"/>
  <c r="G248" i="21"/>
  <c r="G247" i="21"/>
  <c r="G246" i="21"/>
  <c r="G245" i="21"/>
  <c r="G244" i="21"/>
  <c r="G243" i="21"/>
  <c r="G242" i="21"/>
  <c r="G241" i="21"/>
  <c r="G240" i="21"/>
  <c r="G239" i="21"/>
  <c r="G238" i="21"/>
  <c r="G237" i="21"/>
  <c r="J249" i="21"/>
  <c r="G236" i="21"/>
  <c r="G249" i="21" s="1"/>
  <c r="I234" i="21"/>
  <c r="F234" i="21"/>
  <c r="F10" i="21" s="1"/>
  <c r="E234" i="21"/>
  <c r="G233" i="21"/>
  <c r="G232" i="21"/>
  <c r="G231" i="21"/>
  <c r="G230" i="21"/>
  <c r="G229" i="21"/>
  <c r="G228" i="21"/>
  <c r="G227" i="21"/>
  <c r="G226" i="21"/>
  <c r="J234" i="21"/>
  <c r="G225" i="21"/>
  <c r="G234" i="21" s="1"/>
  <c r="I223" i="21"/>
  <c r="G223" i="21"/>
  <c r="F223" i="21"/>
  <c r="E223" i="21"/>
  <c r="G222" i="21"/>
  <c r="G221" i="21"/>
  <c r="G220" i="21"/>
  <c r="G219" i="21"/>
  <c r="G218" i="21"/>
  <c r="G217" i="21"/>
  <c r="G216" i="21"/>
  <c r="G215" i="21"/>
  <c r="G214" i="21"/>
  <c r="G213" i="21"/>
  <c r="G212" i="21"/>
  <c r="G211" i="21"/>
  <c r="G210" i="21"/>
  <c r="J223" i="21"/>
  <c r="G209" i="21"/>
  <c r="H223" i="21" s="1"/>
  <c r="I207" i="21"/>
  <c r="F207" i="21"/>
  <c r="E207" i="21"/>
  <c r="G206" i="21"/>
  <c r="G205" i="21"/>
  <c r="G204" i="21"/>
  <c r="G203" i="21"/>
  <c r="G202" i="21"/>
  <c r="G201" i="21"/>
  <c r="G200" i="21"/>
  <c r="G199" i="21"/>
  <c r="G198" i="21"/>
  <c r="G197" i="21"/>
  <c r="G196" i="21"/>
  <c r="G195" i="21"/>
  <c r="G194" i="21"/>
  <c r="G193" i="21"/>
  <c r="G192" i="21"/>
  <c r="G191" i="21"/>
  <c r="G190" i="21"/>
  <c r="G189" i="21"/>
  <c r="G207" i="21" s="1"/>
  <c r="G188" i="21"/>
  <c r="J207" i="21"/>
  <c r="G187" i="21"/>
  <c r="I185" i="21"/>
  <c r="F185" i="21"/>
  <c r="E185" i="21"/>
  <c r="G184" i="21"/>
  <c r="G183" i="21"/>
  <c r="G182" i="21"/>
  <c r="G181" i="21"/>
  <c r="G180" i="21"/>
  <c r="J185" i="21"/>
  <c r="G179" i="21"/>
  <c r="G185" i="21" s="1"/>
  <c r="I177" i="21"/>
  <c r="F177" i="21"/>
  <c r="E177" i="21"/>
  <c r="G176" i="21"/>
  <c r="G175" i="21"/>
  <c r="G174" i="21"/>
  <c r="G173" i="21"/>
  <c r="G172" i="21"/>
  <c r="G171" i="21"/>
  <c r="G170" i="21"/>
  <c r="G169" i="21"/>
  <c r="G168" i="21"/>
  <c r="G167" i="21"/>
  <c r="G166" i="21"/>
  <c r="G165" i="21"/>
  <c r="G164" i="21"/>
  <c r="G163" i="21"/>
  <c r="G162" i="21"/>
  <c r="G161" i="21"/>
  <c r="J177" i="21"/>
  <c r="G160" i="21"/>
  <c r="G177" i="21" s="1"/>
  <c r="J158" i="21"/>
  <c r="I158" i="21"/>
  <c r="F158" i="21"/>
  <c r="E158" i="21"/>
  <c r="G157" i="21"/>
  <c r="G156" i="21"/>
  <c r="G155" i="21"/>
  <c r="G154" i="21"/>
  <c r="G153" i="21"/>
  <c r="H158" i="21"/>
  <c r="G152" i="21"/>
  <c r="G158" i="21" s="1"/>
  <c r="I150" i="21"/>
  <c r="F150" i="21"/>
  <c r="E150" i="21"/>
  <c r="G149" i="21"/>
  <c r="G148" i="21"/>
  <c r="G147" i="21"/>
  <c r="G146" i="21"/>
  <c r="G145" i="21"/>
  <c r="G144" i="21"/>
  <c r="J150" i="21"/>
  <c r="G143" i="21"/>
  <c r="G150" i="21" s="1"/>
  <c r="I141" i="21"/>
  <c r="F141" i="21"/>
  <c r="E141" i="21"/>
  <c r="G140" i="21"/>
  <c r="G139" i="21"/>
  <c r="G138" i="21"/>
  <c r="G137" i="21"/>
  <c r="G136" i="21"/>
  <c r="G135" i="21"/>
  <c r="G134" i="21"/>
  <c r="G133" i="21"/>
  <c r="G132" i="21"/>
  <c r="G131" i="21"/>
  <c r="G130" i="21"/>
  <c r="J141" i="21"/>
  <c r="G129" i="21"/>
  <c r="I127" i="21"/>
  <c r="G127" i="21"/>
  <c r="F127" i="21"/>
  <c r="E127" i="21"/>
  <c r="G126" i="21"/>
  <c r="G125" i="21"/>
  <c r="G124" i="21"/>
  <c r="G123" i="21"/>
  <c r="G122" i="21"/>
  <c r="G121" i="21"/>
  <c r="G120" i="21"/>
  <c r="J127" i="21"/>
  <c r="G119" i="21"/>
  <c r="I117" i="21"/>
  <c r="F117" i="21"/>
  <c r="E117" i="21"/>
  <c r="G116" i="21"/>
  <c r="G115" i="21"/>
  <c r="G114" i="21"/>
  <c r="G113" i="21"/>
  <c r="G112" i="21"/>
  <c r="G111" i="21"/>
  <c r="G110" i="21"/>
  <c r="G109" i="21"/>
  <c r="G108" i="21"/>
  <c r="J117" i="21"/>
  <c r="G107" i="21"/>
  <c r="G117" i="21" s="1"/>
  <c r="I105" i="21"/>
  <c r="F105" i="21"/>
  <c r="E105" i="21"/>
  <c r="G104" i="21"/>
  <c r="G103" i="21"/>
  <c r="G102" i="21"/>
  <c r="G101" i="21"/>
  <c r="G100" i="21"/>
  <c r="G99" i="21"/>
  <c r="G98" i="21"/>
  <c r="G97" i="21"/>
  <c r="G96" i="21"/>
  <c r="J105" i="21"/>
  <c r="G95" i="21"/>
  <c r="I93" i="21"/>
  <c r="F93" i="21"/>
  <c r="E93" i="21"/>
  <c r="G92" i="21"/>
  <c r="G91" i="21"/>
  <c r="G90" i="21"/>
  <c r="G89" i="21"/>
  <c r="G88" i="21"/>
  <c r="G87" i="21"/>
  <c r="G86" i="21"/>
  <c r="G85" i="21"/>
  <c r="G84" i="21"/>
  <c r="G83" i="21"/>
  <c r="J93" i="21"/>
  <c r="G82" i="21"/>
  <c r="G93" i="21" s="1"/>
  <c r="I80" i="21"/>
  <c r="F80" i="21"/>
  <c r="E80" i="21"/>
  <c r="G79" i="21"/>
  <c r="G78" i="21"/>
  <c r="G77" i="21"/>
  <c r="G76" i="21"/>
  <c r="G75" i="21"/>
  <c r="G74" i="21"/>
  <c r="J80" i="21"/>
  <c r="G73" i="21"/>
  <c r="G80" i="21" s="1"/>
  <c r="I71" i="21"/>
  <c r="G71" i="21"/>
  <c r="F71" i="21"/>
  <c r="E71" i="21"/>
  <c r="G70" i="21"/>
  <c r="G69" i="21"/>
  <c r="G68" i="21"/>
  <c r="G67" i="21"/>
  <c r="G66" i="21"/>
  <c r="G65" i="21"/>
  <c r="G64" i="21"/>
  <c r="J71" i="21"/>
  <c r="G63" i="21"/>
  <c r="I61" i="21"/>
  <c r="F61" i="21"/>
  <c r="E61" i="21"/>
  <c r="G60" i="21"/>
  <c r="G59" i="21"/>
  <c r="G58" i="21"/>
  <c r="G57" i="21"/>
  <c r="G56" i="21"/>
  <c r="G55" i="21"/>
  <c r="G54" i="21"/>
  <c r="G53" i="21"/>
  <c r="G52" i="21"/>
  <c r="G51" i="21"/>
  <c r="J61" i="21"/>
  <c r="G50" i="21"/>
  <c r="G61" i="21" s="1"/>
  <c r="I48" i="21"/>
  <c r="F48" i="21"/>
  <c r="E48" i="21"/>
  <c r="G47" i="21"/>
  <c r="G46" i="21"/>
  <c r="G45" i="21"/>
  <c r="G44" i="21"/>
  <c r="G43" i="21"/>
  <c r="G42" i="21"/>
  <c r="J48" i="21"/>
  <c r="G41" i="21"/>
  <c r="I39" i="21"/>
  <c r="G39" i="21"/>
  <c r="F39" i="21"/>
  <c r="F9" i="21" s="1"/>
  <c r="E39" i="21"/>
  <c r="G38" i="21"/>
  <c r="G37" i="21"/>
  <c r="G36" i="21"/>
  <c r="G35" i="21"/>
  <c r="G34" i="21"/>
  <c r="G33" i="21"/>
  <c r="G32" i="21"/>
  <c r="G31" i="21"/>
  <c r="J39" i="21"/>
  <c r="G13" i="21"/>
  <c r="F11" i="21"/>
  <c r="E11" i="21"/>
  <c r="F516" i="21" l="1"/>
  <c r="E516" i="21"/>
  <c r="E9" i="21"/>
  <c r="E12" i="21" s="1"/>
  <c r="H61" i="21"/>
  <c r="J488" i="21"/>
  <c r="H488" i="21"/>
  <c r="H93" i="21"/>
  <c r="H117" i="21"/>
  <c r="H141" i="21"/>
  <c r="G11" i="21"/>
  <c r="H11" i="21" s="1"/>
  <c r="H389" i="21"/>
  <c r="H48" i="21"/>
  <c r="H127" i="21"/>
  <c r="H274" i="21"/>
  <c r="H372" i="21"/>
  <c r="H415" i="21"/>
  <c r="H429" i="21"/>
  <c r="H356" i="21"/>
  <c r="H443" i="21"/>
  <c r="J443" i="21"/>
  <c r="H150" i="21"/>
  <c r="F12" i="21"/>
  <c r="H71" i="21"/>
  <c r="H80" i="21"/>
  <c r="H262" i="21"/>
  <c r="H398" i="21"/>
  <c r="H105" i="21"/>
  <c r="H207" i="21"/>
  <c r="H316" i="21"/>
  <c r="H234" i="21"/>
  <c r="H306" i="21"/>
  <c r="H39" i="21"/>
  <c r="G274" i="21"/>
  <c r="G10" i="21" s="1"/>
  <c r="H10" i="21" s="1"/>
  <c r="G330" i="21"/>
  <c r="H499" i="21"/>
  <c r="H513" i="21"/>
  <c r="G141" i="21"/>
  <c r="H177" i="21"/>
  <c r="J513" i="21"/>
  <c r="G48" i="21"/>
  <c r="G9" i="21" s="1"/>
  <c r="H185" i="21"/>
  <c r="H380" i="21"/>
  <c r="G443" i="21"/>
  <c r="G516" i="21" s="1"/>
  <c r="G398" i="21"/>
  <c r="G105" i="21"/>
  <c r="H249" i="21"/>
  <c r="H284" i="21"/>
  <c r="G12" i="21" l="1"/>
  <c r="H12" i="21" s="1"/>
  <c r="H9" i="21"/>
  <c r="H481" i="21"/>
  <c r="J469" i="21"/>
  <c r="J481" i="21" s="1"/>
  <c r="H467" i="21"/>
  <c r="J467" i="21"/>
  <c r="J516" i="21" s="1"/>
  <c r="H516" i="21"/>
  <c r="H56" i="23" l="1"/>
  <c r="F56" i="23"/>
  <c r="E56" i="23"/>
  <c r="I56" i="23" l="1"/>
  <c r="G56" i="23"/>
  <c r="N55" i="19" l="1"/>
  <c r="F80" i="22" l="1"/>
  <c r="E80" i="22"/>
  <c r="D80" i="22"/>
  <c r="C8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73BCA550-8766-4256-A369-132ABBB57488}">
      <text>
        <r>
          <rPr>
            <b/>
            <sz val="9"/>
            <color indexed="81"/>
            <rFont val="Tahoma"/>
            <family val="2"/>
          </rPr>
          <t>Please add additional CAR Numbers if any</t>
        </r>
      </text>
    </comment>
    <comment ref="B15" authorId="0" shapeId="0" xr:uid="{425ADBFA-1A91-4B22-91A0-BA5E1DEBD077}">
      <text>
        <r>
          <rPr>
            <b/>
            <sz val="9"/>
            <color indexed="81"/>
            <rFont val="Tahoma"/>
            <family val="2"/>
          </rPr>
          <t>To enter multiple CAR No's, please separate them by comma. 
For example) CAR1, CAR2, CAR3</t>
        </r>
      </text>
    </comment>
    <comment ref="C17" authorId="1" shapeId="0" xr:uid="{503743AA-51E6-46E6-BBEE-E22D975BCB69}">
      <text>
        <r>
          <rPr>
            <b/>
            <sz val="9"/>
            <color indexed="81"/>
            <rFont val="Tahoma"/>
            <family val="2"/>
          </rPr>
          <t>Indicates Reported Currency</t>
        </r>
      </text>
    </comment>
    <comment ref="D73" authorId="2" shapeId="0" xr:uid="{F09122CD-DAFE-4F53-8EBC-A04096F5DBA4}">
      <text>
        <r>
          <rPr>
            <b/>
            <sz val="9"/>
            <color indexed="81"/>
            <rFont val="Tahoma"/>
            <family val="2"/>
          </rPr>
          <t>Auto Populated from  ' Subcontractor Breakdown' Tab</t>
        </r>
      </text>
    </comment>
    <comment ref="D79" authorId="2" shapeId="0" xr:uid="{9044A755-86C1-430B-84C7-C82541284FAC}">
      <text>
        <r>
          <rPr>
            <b/>
            <sz val="9"/>
            <color indexed="81"/>
            <rFont val="Tahoma"/>
            <family val="2"/>
          </rPr>
          <t>Auto Populated from 'Tenant Contingency' Tab</t>
        </r>
      </text>
    </comment>
    <comment ref="D80" authorId="2" shapeId="0" xr:uid="{0EEF886F-C1EB-4F65-9302-01FC7596C3B8}">
      <text>
        <r>
          <rPr>
            <b/>
            <sz val="9"/>
            <color indexed="81"/>
            <rFont val="Tahoma"/>
            <family val="2"/>
          </rPr>
          <t>Auto Populated from 'Developer Contingency' Tab</t>
        </r>
        <r>
          <rPr>
            <sz val="9"/>
            <color indexed="81"/>
            <rFont val="Tahoma"/>
            <family val="2"/>
          </rPr>
          <t xml:space="preserve">
</t>
        </r>
      </text>
    </comment>
    <comment ref="D81" authorId="2" shapeId="0" xr:uid="{63425B4B-C31A-4BE9-BD51-22A064EC75FD}">
      <text>
        <r>
          <rPr>
            <b/>
            <sz val="9"/>
            <color indexed="81"/>
            <rFont val="Tahoma"/>
            <family val="2"/>
          </rPr>
          <t>Auto Populated from 'Developer Contingency' Tab</t>
        </r>
        <r>
          <rPr>
            <sz val="9"/>
            <color indexed="81"/>
            <rFont val="Tahoma"/>
            <family val="2"/>
          </rPr>
          <t xml:space="preserve">
</t>
        </r>
      </text>
    </comment>
    <comment ref="D82" authorId="2" shapeId="0" xr:uid="{8EFAB793-053A-4001-9AE0-3EA1E8B63310}">
      <text>
        <r>
          <rPr>
            <b/>
            <sz val="9"/>
            <color indexed="81"/>
            <rFont val="Tahoma"/>
            <family val="2"/>
          </rPr>
          <t>Auto Populated from 'Developer Contingency' Tab</t>
        </r>
        <r>
          <rPr>
            <sz val="9"/>
            <color indexed="81"/>
            <rFont val="Tahoma"/>
            <family val="2"/>
          </rPr>
          <t xml:space="preserve">
</t>
        </r>
      </text>
    </comment>
    <comment ref="D83" authorId="2" shapeId="0" xr:uid="{43F327F4-E39E-4D33-BA05-238834060CA4}">
      <text>
        <r>
          <rPr>
            <b/>
            <sz val="9"/>
            <color indexed="81"/>
            <rFont val="Tahoma"/>
            <family val="2"/>
          </rPr>
          <t>Auto Populated from 'Developer Contingency' Tab</t>
        </r>
        <r>
          <rPr>
            <sz val="9"/>
            <color indexed="81"/>
            <rFont val="Tahoma"/>
            <family val="2"/>
          </rPr>
          <t xml:space="preserve">
</t>
        </r>
      </text>
    </comment>
    <comment ref="D106" authorId="1" shapeId="0" xr:uid="{745B6E78-8F10-451D-97A9-9D0593306825}">
      <text>
        <r>
          <rPr>
            <sz val="12"/>
            <color indexed="81"/>
            <rFont val="Tahoma"/>
            <family val="2"/>
          </rPr>
          <t>Amount reported in this cell should not be reported on Subcontractor Breakdown to prevent duplication</t>
        </r>
      </text>
    </comment>
    <comment ref="E106" authorId="1" shapeId="0" xr:uid="{A33D766C-B425-4D7D-956C-84E5A9ECD5C8}">
      <text>
        <r>
          <rPr>
            <sz val="12"/>
            <color indexed="81"/>
            <rFont val="Tahoma"/>
            <family val="2"/>
          </rPr>
          <t>Amount reported in this cell should not be reported on Subcontractor Breakdown to prevent duplication</t>
        </r>
      </text>
    </comment>
    <comment ref="F106" authorId="1" shapeId="0" xr:uid="{49A63668-6D2A-477E-8893-ED64BABBD17A}">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3E38D2E8-2678-4CEA-BF64-DBE8469D75E1}">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2D3EEABD-7BBE-4B8E-AB20-5F272EC97F8E}">
      <text>
        <r>
          <rPr>
            <b/>
            <sz val="10"/>
            <color rgb="FF000000"/>
            <rFont val="Tahoma"/>
            <family val="2"/>
          </rPr>
          <t>APPROVED SUPPLEMENTALS:</t>
        </r>
        <r>
          <rPr>
            <sz val="10"/>
            <color rgb="FF000000"/>
            <rFont val="Tahoma"/>
            <family val="2"/>
          </rPr>
          <t xml:space="preserve">
NOTE - populated from cell H7 above.</t>
        </r>
      </text>
    </comment>
    <comment ref="G113" authorId="3" shapeId="0" xr:uid="{2182428E-612D-41FA-ADDC-D736F74978CE}">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9582EC5D-C57E-4485-8AA5-A1A92513F20B}">
      <text>
        <r>
          <rPr>
            <sz val="12"/>
            <color indexed="81"/>
            <rFont val="Tahoma"/>
            <family val="2"/>
          </rPr>
          <t>Currency entry only in this column. Do not enter $0, keep cell blank unless there's actual $ value.</t>
        </r>
      </text>
    </comment>
    <comment ref="F120" authorId="1" shapeId="0" xr:uid="{5A730EC5-2854-464F-835A-49E52DF52CE8}">
      <text>
        <r>
          <rPr>
            <sz val="12"/>
            <color indexed="81"/>
            <rFont val="Tahoma"/>
            <family val="2"/>
          </rPr>
          <t>Currency entry only in this column. Do not enter $0, keep cell blank unless there's actual $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8A981BA8-B3A9-43AF-A91B-EE31E6692025}">
      <text>
        <r>
          <rPr>
            <b/>
            <sz val="9"/>
            <color indexed="81"/>
            <rFont val="Tahoma"/>
            <family val="2"/>
          </rPr>
          <t>Number of days into the project</t>
        </r>
        <r>
          <rPr>
            <sz val="9"/>
            <color indexed="81"/>
            <rFont val="Tahoma"/>
            <family val="2"/>
          </rPr>
          <t xml:space="preserve">
</t>
        </r>
      </text>
    </comment>
    <comment ref="F13" authorId="0" shapeId="0" xr:uid="{7A7B03F9-EB50-402B-9607-D210889BA526}">
      <text>
        <r>
          <rPr>
            <b/>
            <sz val="9"/>
            <color indexed="81"/>
            <rFont val="Tahoma"/>
            <family val="2"/>
          </rPr>
          <t>Total Number of Days projected in the current project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D69091BC-C58B-4097-B416-63AA8CE7578C}">
      <text>
        <r>
          <rPr>
            <b/>
            <sz val="9"/>
            <color indexed="81"/>
            <rFont val="Tahoma"/>
            <family val="2"/>
          </rPr>
          <t>ECAC (Column G) From GMP-PO Breakdown Tab</t>
        </r>
      </text>
    </comment>
    <comment ref="B24" authorId="0" shapeId="0" xr:uid="{4B161A1E-ADD5-4E8F-ABB9-0CECD15120C3}">
      <text>
        <r>
          <rPr>
            <b/>
            <sz val="9"/>
            <color indexed="81"/>
            <rFont val="Tahoma"/>
            <family val="2"/>
          </rPr>
          <t>Date is required for all entered data. 
Data entered below a blank line will not be saved.</t>
        </r>
      </text>
    </comment>
    <comment ref="G24" authorId="1" shapeId="0" xr:uid="{D6DFBE80-4419-41EC-AB5C-527C23CEAD2C}">
      <text>
        <r>
          <rPr>
            <b/>
            <sz val="9"/>
            <color indexed="81"/>
            <rFont val="Tahoma"/>
            <family val="2"/>
          </rPr>
          <t>Total (G69) should be $0.</t>
        </r>
      </text>
    </comment>
    <comment ref="I24" authorId="2" shapeId="0" xr:uid="{C175795A-2243-4969-B1C0-952D5CC3BA32}">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CEEB479-4391-4E72-B154-A49A2B0590D0}">
      <text>
        <r>
          <rPr>
            <b/>
            <sz val="9"/>
            <color indexed="81"/>
            <rFont val="Tahoma"/>
            <family val="2"/>
          </rPr>
          <t>Total (M69) should be $0.</t>
        </r>
      </text>
    </comment>
    <comment ref="I69" authorId="3" shapeId="0" xr:uid="{718E61F9-6F56-4D5B-BDE8-D1BB89F82DBF}">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EDCB65A9-2C72-433F-B825-3464666E3BB3}">
      <text>
        <r>
          <rPr>
            <b/>
            <sz val="9"/>
            <color indexed="81"/>
            <rFont val="Tahoma"/>
            <family val="2"/>
          </rPr>
          <t>Refer to DA to find this Tenant Contingency Allowance</t>
        </r>
        <r>
          <rPr>
            <sz val="9"/>
            <color indexed="81"/>
            <rFont val="Tahoma"/>
            <family val="2"/>
          </rPr>
          <t xml:space="preserve">
</t>
        </r>
      </text>
    </comment>
    <comment ref="C129" authorId="0" shapeId="0" xr:uid="{8EB33946-251E-4D9B-9E13-0AB63FCAAFB8}">
      <text>
        <r>
          <rPr>
            <sz val="9"/>
            <color indexed="81"/>
            <rFont val="Tahoma"/>
            <family val="2"/>
          </rPr>
          <t xml:space="preserve">Auto Populates from 'Subcontractor Breakdown' Tab
</t>
        </r>
      </text>
    </comment>
    <comment ref="C140" authorId="0" shapeId="0" xr:uid="{9B1841B3-F92C-4EAA-B208-F68EE1E2E8C1}">
      <text>
        <r>
          <rPr>
            <b/>
            <sz val="9"/>
            <color indexed="81"/>
            <rFont val="Tahoma"/>
            <family val="2"/>
          </rPr>
          <t>Auto Populates from 'Subcontractor Breakdown' Tab</t>
        </r>
        <r>
          <rPr>
            <sz val="9"/>
            <color indexed="81"/>
            <rFont val="Tahoma"/>
            <family val="2"/>
          </rPr>
          <t xml:space="preserve">
</t>
        </r>
      </text>
    </comment>
    <comment ref="C151" authorId="0" shapeId="0" xr:uid="{1DE0DF81-E36F-4CE1-B3C1-06D30D3F4C67}">
      <text>
        <r>
          <rPr>
            <b/>
            <sz val="9"/>
            <color indexed="81"/>
            <rFont val="Tahoma"/>
            <family val="2"/>
          </rPr>
          <t>Auto Populates from 'Subcontractor Breakdown' Tab</t>
        </r>
        <r>
          <rPr>
            <sz val="9"/>
            <color indexed="81"/>
            <rFont val="Tahoma"/>
            <family val="2"/>
          </rPr>
          <t xml:space="preserve">
</t>
        </r>
      </text>
    </comment>
    <comment ref="C162" authorId="0" shapeId="0" xr:uid="{2F38ABFA-3C30-4CD1-AEB0-95F592EA09AC}">
      <text>
        <r>
          <rPr>
            <sz val="9"/>
            <color indexed="81"/>
            <rFont val="Tahoma"/>
            <family val="2"/>
          </rPr>
          <t xml:space="preserve">Auto Populates from 'Subcontractor Breakdown' Tab
</t>
        </r>
      </text>
    </comment>
    <comment ref="C173" authorId="0" shapeId="0" xr:uid="{B0C78D26-5073-4765-8B0F-0284714E0944}">
      <text>
        <r>
          <rPr>
            <sz val="9"/>
            <color indexed="81"/>
            <rFont val="Tahoma"/>
            <family val="2"/>
          </rPr>
          <t xml:space="preserve">Auto Populates from 'Subcontractor Breakdown' Tab
</t>
        </r>
      </text>
    </comment>
    <comment ref="C184" authorId="0" shapeId="0" xr:uid="{8CBD0577-1204-4B2B-BF79-BBFDD6B575F2}">
      <text>
        <r>
          <rPr>
            <sz val="9"/>
            <color indexed="81"/>
            <rFont val="Tahoma"/>
            <family val="2"/>
          </rPr>
          <t xml:space="preserve">Auto Populates from 'Subcontractor Breakdown' Tab
</t>
        </r>
      </text>
    </comment>
    <comment ref="C195" authorId="0" shapeId="0" xr:uid="{AAAD439C-DF4E-44CA-B275-0FE898077235}">
      <text>
        <r>
          <rPr>
            <sz val="9"/>
            <color indexed="81"/>
            <rFont val="Tahoma"/>
            <family val="2"/>
          </rPr>
          <t xml:space="preserve">Auto Populates from 'Subcontractor Breakdown' Tab
</t>
        </r>
      </text>
    </comment>
    <comment ref="C206" authorId="0" shapeId="0" xr:uid="{AFF415B9-6CE2-4C0B-A5E5-F76E11B928E1}">
      <text>
        <r>
          <rPr>
            <sz val="9"/>
            <color indexed="81"/>
            <rFont val="Tahoma"/>
            <family val="2"/>
          </rPr>
          <t xml:space="preserve">Auto Populates from 'Subcontractor Breakdown' Tab
</t>
        </r>
      </text>
    </comment>
    <comment ref="C217" authorId="0" shapeId="0" xr:uid="{45D8B5F3-CF3B-4733-AB21-E88F1363D2A8}">
      <text>
        <r>
          <rPr>
            <sz val="9"/>
            <color indexed="81"/>
            <rFont val="Tahoma"/>
            <family val="2"/>
          </rPr>
          <t>Auto Populates from 'Subcontractor Breakdown' Tab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1872E27C-050D-42C1-9D96-2F46B96DFD1D}">
      <text>
        <r>
          <rPr>
            <sz val="9"/>
            <color indexed="81"/>
            <rFont val="Tahoma"/>
            <family val="2"/>
          </rPr>
          <t xml:space="preserve">Refer to DA to find this Government Approval Contingency.
</t>
        </r>
      </text>
    </comment>
    <comment ref="C82" authorId="0" shapeId="0" xr:uid="{1CFA0D32-9263-482F-8B30-A051F3FC008C}">
      <text>
        <r>
          <rPr>
            <b/>
            <sz val="9"/>
            <color indexed="81"/>
            <rFont val="Tahoma"/>
            <family val="2"/>
          </rPr>
          <t>Refer to DA to find this Winter Conditions/Schedule Acceleration Contingency.</t>
        </r>
      </text>
    </comment>
    <comment ref="C116" authorId="0" shapeId="0" xr:uid="{B4AA0D6D-FC3B-4A67-9262-74191DFAD42D}">
      <text>
        <r>
          <rPr>
            <sz val="9"/>
            <color indexed="81"/>
            <rFont val="Tahoma"/>
            <family val="2"/>
          </rPr>
          <t xml:space="preserve">Refer to DA to find this General(_% of Hard Cost) Contingency.
</t>
        </r>
      </text>
    </comment>
    <comment ref="C150" authorId="0" shapeId="0" xr:uid="{56FC955C-7C98-4C8F-9164-458476F97E4D}">
      <text>
        <r>
          <rPr>
            <sz val="9"/>
            <color indexed="81"/>
            <rFont val="Tahoma"/>
            <family val="2"/>
          </rPr>
          <t xml:space="preserve">Refer to DA to find this Prelim Bidding to GMP/Material Escalation Contingency.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CC1013AF-1402-423D-9CB9-86447B57B867}">
      <text>
        <r>
          <rPr>
            <b/>
            <sz val="9"/>
            <color indexed="81"/>
            <rFont val="Tahoma"/>
            <family val="2"/>
          </rPr>
          <t xml:space="preserve">All the Contract Dates need to be filled out.
</t>
        </r>
      </text>
    </comment>
    <comment ref="E79" authorId="0" shapeId="0" xr:uid="{789F8AAB-5BFF-4E18-AAB6-FBF3B208E576}">
      <text>
        <r>
          <rPr>
            <b/>
            <sz val="9"/>
            <color indexed="81"/>
            <rFont val="Tahoma"/>
            <family val="2"/>
          </rPr>
          <t xml:space="preserve">All the Revised Dates need to be filled out.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Joshi, Aditi</author>
    <author>Brown, Jeremy</author>
  </authors>
  <commentList>
    <comment ref="B5" authorId="0" shapeId="0" xr:uid="{C13FB214-F47E-4958-B779-C28AB9378495}">
      <text>
        <r>
          <rPr>
            <sz val="9"/>
            <color indexed="81"/>
            <rFont val="Tahoma"/>
            <family val="2"/>
          </rPr>
          <t>Provide a brief description of the material and its source. Examples: "concrete from demolition", "clean wood scaps", or "mixed material recycling bin". 
Include all materials generated by the Project, including materials that are landfilled, incinerated, or diverted.</t>
        </r>
      </text>
    </comment>
    <comment ref="C5" authorId="0" shapeId="0" xr:uid="{FD122E6B-FBD5-4792-A9EB-62E78EE7BAB1}">
      <text>
        <r>
          <rPr>
            <sz val="9"/>
            <color indexed="81"/>
            <rFont val="Tahoma"/>
            <family val="2"/>
          </rPr>
          <t xml:space="preserve">Choose the material type from the drop down menu. Choose "other" if the material type is not listed and provide a short description in column B. </t>
        </r>
      </text>
    </comment>
    <comment ref="D5" authorId="0" shapeId="0" xr:uid="{F4ACB3A2-E721-4FFF-8707-865E51FCE433}">
      <text>
        <r>
          <rPr>
            <sz val="9"/>
            <color indexed="81"/>
            <rFont val="Tahoma"/>
            <family val="2"/>
          </rPr>
          <t xml:space="preserve">Choose the appropriate material stream from the dropdown menu. Choose "other" if the material stream is not listed and provide a short description of the material stream in column B. 
Tip: material streams do not need to be all of the material in that category if collection of all material is not possible. Material streams are recommended to represent 5% of the total materials generated by the Project as a guideline but may be lower if project conditions or quantities make 5% not possible. </t>
        </r>
      </text>
    </comment>
    <comment ref="F5" authorId="0" shapeId="0" xr:uid="{08929DCC-4B69-4F2E-8FC3-7B77B18B1498}">
      <text>
        <r>
          <rPr>
            <sz val="9"/>
            <color indexed="81"/>
            <rFont val="Tahoma"/>
            <family val="2"/>
          </rPr>
          <t>Enter the facility average recycling rate for commingled materials sent for mixed-waste processing. Include residual materials categorized as Alternate Daily Cover (ADC) in this number, if any. 
Single, unmixed materials that are collected and sent to an individual material recycler are assumed to be recycled 100% (categorized as "source seperated" in column D)</t>
        </r>
      </text>
    </comment>
    <comment ref="G5" authorId="0" shapeId="0" xr:uid="{0969D973-4882-4394-8BFF-F0A60691E556}">
      <text>
        <r>
          <rPr>
            <sz val="9"/>
            <color indexed="81"/>
            <rFont val="Tahoma"/>
            <family val="2"/>
          </rPr>
          <t xml:space="preserve">Enter the site average recycling rate MINUS the percentage of recycling processing residuals that are destined to be depoisted in alandfill and / or categorized as Alternate Daily Cover (ADC). This recycling rate minus ADC must be provided by the recycling facility. </t>
        </r>
      </text>
    </comment>
    <comment ref="H5" authorId="0" shapeId="0" xr:uid="{EBA3C14F-29B5-4C4E-AE51-2E6356D506BB}">
      <text>
        <r>
          <rPr>
            <sz val="9"/>
            <color indexed="81"/>
            <rFont val="Tahoma"/>
            <family val="2"/>
          </rPr>
          <t>This column is for commingled materials sent for recyling at a mixed material processing facility. Indicate if the facility's recycling rate has been third party verified. Eligible facilities are those certified by the Recyling Certification Institute or an approved equivalent.</t>
        </r>
      </text>
    </comment>
    <comment ref="I5" authorId="0" shapeId="0" xr:uid="{C901C1BB-382C-4223-91AC-D44B523DF8C6}">
      <text>
        <r>
          <rPr>
            <sz val="9"/>
            <color indexed="81"/>
            <rFont val="Tahoma"/>
            <family val="2"/>
          </rPr>
          <t xml:space="preserve">This column calculates the amount of waste diverted from landfill and incineration. </t>
        </r>
      </text>
    </comment>
    <comment ref="B36" authorId="1" shapeId="0" xr:uid="{6EC974B0-C935-4007-B33C-6C3A8084E358}">
      <text>
        <r>
          <rPr>
            <b/>
            <sz val="9"/>
            <color indexed="81"/>
            <rFont val="Tahoma"/>
            <family val="2"/>
          </rPr>
          <t xml:space="preserve">This column is required and without interruption. </t>
        </r>
        <r>
          <rPr>
            <sz val="9"/>
            <color indexed="81"/>
            <rFont val="Tahoma"/>
            <family val="2"/>
          </rPr>
          <t>Blank cells will end upload.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EADF5D31-3B4C-4816-B83D-F7EB0C58DC5D}">
      <text>
        <r>
          <rPr>
            <b/>
            <sz val="9"/>
            <color indexed="81"/>
            <rFont val="Tahoma"/>
            <family val="2"/>
          </rPr>
          <t>Refer to DA to find this Tenant Contingency Allowance</t>
        </r>
        <r>
          <rPr>
            <sz val="9"/>
            <color indexed="81"/>
            <rFont val="Tahoma"/>
            <family val="2"/>
          </rPr>
          <t xml:space="preserve">
</t>
        </r>
      </text>
    </comment>
    <comment ref="C129" authorId="0" shapeId="0" xr:uid="{D8524558-DBA4-40D4-9ADE-A9E2BF3DEB3C}">
      <text>
        <r>
          <rPr>
            <sz val="9"/>
            <color indexed="81"/>
            <rFont val="Tahoma"/>
            <family val="2"/>
          </rPr>
          <t xml:space="preserve">Auto Populates from 'Subcontractor Breakdown' Tab
</t>
        </r>
      </text>
    </comment>
    <comment ref="C140" authorId="0" shapeId="0" xr:uid="{F488B584-B68B-4953-8C37-BD4EDCB19651}">
      <text>
        <r>
          <rPr>
            <b/>
            <sz val="9"/>
            <color indexed="81"/>
            <rFont val="Tahoma"/>
            <family val="2"/>
          </rPr>
          <t>Auto Populates from 'Subcontractor Breakdown' Tab</t>
        </r>
        <r>
          <rPr>
            <sz val="9"/>
            <color indexed="81"/>
            <rFont val="Tahoma"/>
            <family val="2"/>
          </rPr>
          <t xml:space="preserve">
</t>
        </r>
      </text>
    </comment>
    <comment ref="C151" authorId="0" shapeId="0" xr:uid="{CB7AA189-D6FE-4BD4-A876-96D4E2E64B92}">
      <text>
        <r>
          <rPr>
            <b/>
            <sz val="9"/>
            <color indexed="81"/>
            <rFont val="Tahoma"/>
            <family val="2"/>
          </rPr>
          <t>Auto Populates from 'Subcontractor Breakdown' Tab</t>
        </r>
        <r>
          <rPr>
            <sz val="9"/>
            <color indexed="81"/>
            <rFont val="Tahoma"/>
            <family val="2"/>
          </rPr>
          <t xml:space="preserve">
</t>
        </r>
      </text>
    </comment>
    <comment ref="C162" authorId="0" shapeId="0" xr:uid="{89788D10-8401-4CB7-9EE9-DF4A177C57AE}">
      <text>
        <r>
          <rPr>
            <sz val="9"/>
            <color indexed="81"/>
            <rFont val="Tahoma"/>
            <family val="2"/>
          </rPr>
          <t xml:space="preserve">Auto Populates from 'Subcontractor Breakdown' Tab
</t>
        </r>
      </text>
    </comment>
    <comment ref="C173" authorId="0" shapeId="0" xr:uid="{CA3A4548-A393-4204-86F8-FCC112BD4D8B}">
      <text>
        <r>
          <rPr>
            <sz val="9"/>
            <color indexed="81"/>
            <rFont val="Tahoma"/>
            <family val="2"/>
          </rPr>
          <t xml:space="preserve">Auto Populates from 'Subcontractor Breakdown' Tab
</t>
        </r>
      </text>
    </comment>
    <comment ref="C184" authorId="0" shapeId="0" xr:uid="{2AE36CE2-DABA-47E9-93A0-4361B72686DC}">
      <text>
        <r>
          <rPr>
            <sz val="9"/>
            <color indexed="81"/>
            <rFont val="Tahoma"/>
            <family val="2"/>
          </rPr>
          <t xml:space="preserve">Auto Populates from 'Subcontractor Breakdown' Tab
</t>
        </r>
      </text>
    </comment>
    <comment ref="C195" authorId="0" shapeId="0" xr:uid="{63062F78-8AA4-40E8-8FCA-9A15BF433CCD}">
      <text>
        <r>
          <rPr>
            <sz val="9"/>
            <color indexed="81"/>
            <rFont val="Tahoma"/>
            <family val="2"/>
          </rPr>
          <t xml:space="preserve">Auto Populates from 'Subcontractor Breakdown' Tab
</t>
        </r>
      </text>
    </comment>
    <comment ref="C206" authorId="0" shapeId="0" xr:uid="{E5816ACB-B60C-4313-8A9E-48F97B0752F0}">
      <text>
        <r>
          <rPr>
            <sz val="9"/>
            <color indexed="81"/>
            <rFont val="Tahoma"/>
            <family val="2"/>
          </rPr>
          <t xml:space="preserve">Auto Populates from 'Subcontractor Breakdown' Tab
</t>
        </r>
      </text>
    </comment>
    <comment ref="C217" authorId="0" shapeId="0" xr:uid="{8C32B235-85CD-4D5B-A8AD-5FA280615501}">
      <text>
        <r>
          <rPr>
            <sz val="9"/>
            <color indexed="81"/>
            <rFont val="Tahoma"/>
            <family val="2"/>
          </rPr>
          <t>Auto Populates from 'Subcontractor Breakdown'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AF15850B-3ADA-4DFE-AA1C-576FF2DD84F2}">
      <text>
        <r>
          <rPr>
            <b/>
            <sz val="9"/>
            <color indexed="81"/>
            <rFont val="Tahoma"/>
            <family val="2"/>
          </rPr>
          <t>Please add additional CAR Numbers if any</t>
        </r>
      </text>
    </comment>
    <comment ref="B15" authorId="0" shapeId="0" xr:uid="{8EA45D01-C865-4069-8771-8CFC7DC9C62C}">
      <text>
        <r>
          <rPr>
            <b/>
            <sz val="9"/>
            <color indexed="81"/>
            <rFont val="Tahoma"/>
            <family val="2"/>
          </rPr>
          <t>To enter multiple CAR No's, please separate them by comma. 
For example) CAR1, CAR2, CAR3</t>
        </r>
      </text>
    </comment>
    <comment ref="C17" authorId="1" shapeId="0" xr:uid="{80A54BA7-F7CA-4C9B-95E8-CB986E6EEE17}">
      <text>
        <r>
          <rPr>
            <b/>
            <sz val="9"/>
            <color indexed="81"/>
            <rFont val="Tahoma"/>
            <family val="2"/>
          </rPr>
          <t>Indicates Reported Currency</t>
        </r>
      </text>
    </comment>
    <comment ref="D73" authorId="2" shapeId="0" xr:uid="{8A0F7604-32F7-4819-8779-CA96ED63E6A6}">
      <text>
        <r>
          <rPr>
            <b/>
            <sz val="9"/>
            <color indexed="81"/>
            <rFont val="Tahoma"/>
            <family val="2"/>
          </rPr>
          <t>Auto Populated from  ' Subcontractor Breakdown' Tab</t>
        </r>
      </text>
    </comment>
    <comment ref="D79" authorId="2" shapeId="0" xr:uid="{409B9D31-4E68-4682-AE9A-14F62C9E0D17}">
      <text>
        <r>
          <rPr>
            <b/>
            <sz val="9"/>
            <color indexed="81"/>
            <rFont val="Tahoma"/>
            <family val="2"/>
          </rPr>
          <t>Auto Populated from 'Tenant Contingency' Tab</t>
        </r>
      </text>
    </comment>
    <comment ref="D80" authorId="2" shapeId="0" xr:uid="{C46E0E21-9A42-4958-96B6-DAAC3180E07E}">
      <text>
        <r>
          <rPr>
            <b/>
            <sz val="9"/>
            <color indexed="81"/>
            <rFont val="Tahoma"/>
            <family val="2"/>
          </rPr>
          <t>Auto Populated from 'Developer Contingency' Tab</t>
        </r>
        <r>
          <rPr>
            <sz val="9"/>
            <color indexed="81"/>
            <rFont val="Tahoma"/>
            <family val="2"/>
          </rPr>
          <t xml:space="preserve">
</t>
        </r>
      </text>
    </comment>
    <comment ref="D81" authorId="2" shapeId="0" xr:uid="{F05E311D-EBAF-41A3-AF20-D2C686524611}">
      <text>
        <r>
          <rPr>
            <b/>
            <sz val="9"/>
            <color indexed="81"/>
            <rFont val="Tahoma"/>
            <family val="2"/>
          </rPr>
          <t>Auto Populated from 'Developer Contingency' Tab</t>
        </r>
        <r>
          <rPr>
            <sz val="9"/>
            <color indexed="81"/>
            <rFont val="Tahoma"/>
            <family val="2"/>
          </rPr>
          <t xml:space="preserve">
</t>
        </r>
      </text>
    </comment>
    <comment ref="D82" authorId="2" shapeId="0" xr:uid="{B5D20790-A85E-4DFA-9FF3-ADBE7A8DB200}">
      <text>
        <r>
          <rPr>
            <b/>
            <sz val="9"/>
            <color indexed="81"/>
            <rFont val="Tahoma"/>
            <family val="2"/>
          </rPr>
          <t>Auto Populated from 'Developer Contingency' Tab</t>
        </r>
        <r>
          <rPr>
            <sz val="9"/>
            <color indexed="81"/>
            <rFont val="Tahoma"/>
            <family val="2"/>
          </rPr>
          <t xml:space="preserve">
</t>
        </r>
      </text>
    </comment>
    <comment ref="D83" authorId="2" shapeId="0" xr:uid="{59E067A2-DE34-428F-B817-FDB1FD958B1F}">
      <text>
        <r>
          <rPr>
            <b/>
            <sz val="9"/>
            <color indexed="81"/>
            <rFont val="Tahoma"/>
            <family val="2"/>
          </rPr>
          <t>Auto Populated from 'Developer Contingency' Tab</t>
        </r>
        <r>
          <rPr>
            <sz val="9"/>
            <color indexed="81"/>
            <rFont val="Tahoma"/>
            <family val="2"/>
          </rPr>
          <t xml:space="preserve">
</t>
        </r>
      </text>
    </comment>
    <comment ref="D106" authorId="1" shapeId="0" xr:uid="{8ABC553D-4A7C-471A-AC11-325DCB4EBB94}">
      <text>
        <r>
          <rPr>
            <sz val="12"/>
            <color indexed="81"/>
            <rFont val="Tahoma"/>
            <family val="2"/>
          </rPr>
          <t>Amount reported in this cell should not be reported on Subcontractor Breakdown to prevent duplication</t>
        </r>
      </text>
    </comment>
    <comment ref="E106" authorId="1" shapeId="0" xr:uid="{6124199E-4371-445B-B010-BF98CF153C88}">
      <text>
        <r>
          <rPr>
            <sz val="12"/>
            <color indexed="81"/>
            <rFont val="Tahoma"/>
            <family val="2"/>
          </rPr>
          <t>Amount reported in this cell should not be reported on Subcontractor Breakdown to prevent duplication</t>
        </r>
      </text>
    </comment>
    <comment ref="F106" authorId="1" shapeId="0" xr:uid="{564E6B5C-10A3-4CBC-9A29-1A4C84C598DC}">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51F43578-09C6-4E02-81D5-7EB1DC9C3A52}">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030DF903-0C99-4F63-AD37-94004502EB2B}">
      <text>
        <r>
          <rPr>
            <b/>
            <sz val="10"/>
            <color rgb="FF000000"/>
            <rFont val="Tahoma"/>
            <family val="2"/>
          </rPr>
          <t>APPROVED SUPPLEMENTALS:</t>
        </r>
        <r>
          <rPr>
            <sz val="10"/>
            <color rgb="FF000000"/>
            <rFont val="Tahoma"/>
            <family val="2"/>
          </rPr>
          <t xml:space="preserve">
NOTE - populated from cell H7 above.</t>
        </r>
      </text>
    </comment>
    <comment ref="G113" authorId="3" shapeId="0" xr:uid="{4D7DDA8D-E615-4462-8A97-EA069960A65C}">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B588215A-241A-4508-B3E9-E96F04E247D6}">
      <text>
        <r>
          <rPr>
            <sz val="12"/>
            <color indexed="81"/>
            <rFont val="Tahoma"/>
            <family val="2"/>
          </rPr>
          <t>Currency entry only in this column. Do not enter $0, keep cell blank unless there's actual $ value.</t>
        </r>
      </text>
    </comment>
    <comment ref="F120" authorId="1" shapeId="0" xr:uid="{A85065C1-A064-42B8-9FD4-A1653E022DB8}">
      <text>
        <r>
          <rPr>
            <sz val="12"/>
            <color indexed="81"/>
            <rFont val="Tahoma"/>
            <family val="2"/>
          </rPr>
          <t>Currency entry only in this column. Do not enter $0, keep cell blank unless there's actual $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B08FB45F-337D-406A-9F43-9148C7D4BB23}">
      <text>
        <r>
          <rPr>
            <b/>
            <sz val="9"/>
            <color indexed="81"/>
            <rFont val="Tahoma"/>
            <family val="2"/>
          </rPr>
          <t>Number of days into the project</t>
        </r>
        <r>
          <rPr>
            <sz val="9"/>
            <color indexed="81"/>
            <rFont val="Tahoma"/>
            <family val="2"/>
          </rPr>
          <t xml:space="preserve">
</t>
        </r>
      </text>
    </comment>
    <comment ref="F13" authorId="0" shapeId="0" xr:uid="{C456C292-EB3E-4C35-BEE5-02A189C48F50}">
      <text>
        <r>
          <rPr>
            <b/>
            <sz val="9"/>
            <color indexed="81"/>
            <rFont val="Tahoma"/>
            <family val="2"/>
          </rPr>
          <t>Total Number of Days projected in the current project schedule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D832A510-325E-4C5D-89D5-3B89FFFA4803}">
      <text>
        <r>
          <rPr>
            <b/>
            <sz val="9"/>
            <color indexed="81"/>
            <rFont val="Tahoma"/>
            <family val="2"/>
          </rPr>
          <t>ECAC (Column G) From GMP-PO Breakdown Tab</t>
        </r>
      </text>
    </comment>
    <comment ref="B24" authorId="0" shapeId="0" xr:uid="{10F8BBD4-0B0A-4381-970D-132C42A4DD10}">
      <text>
        <r>
          <rPr>
            <b/>
            <sz val="9"/>
            <color indexed="81"/>
            <rFont val="Tahoma"/>
            <family val="2"/>
          </rPr>
          <t>Date is required for all entered data. 
Data entered below a blank line will not be saved.</t>
        </r>
      </text>
    </comment>
    <comment ref="G24" authorId="1" shapeId="0" xr:uid="{098C65E9-58C9-4060-BB2F-D7925958A107}">
      <text>
        <r>
          <rPr>
            <b/>
            <sz val="9"/>
            <color indexed="81"/>
            <rFont val="Tahoma"/>
            <family val="2"/>
          </rPr>
          <t>Total (G69) should be $0.</t>
        </r>
      </text>
    </comment>
    <comment ref="I24" authorId="2" shapeId="0" xr:uid="{CE286C93-7920-4954-9676-A8FF11E19858}">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EFA3494-B958-411E-85A5-C1BF1E861BE0}">
      <text>
        <r>
          <rPr>
            <b/>
            <sz val="9"/>
            <color indexed="81"/>
            <rFont val="Tahoma"/>
            <family val="2"/>
          </rPr>
          <t>Total (M69) should be $0.</t>
        </r>
      </text>
    </comment>
    <comment ref="I69" authorId="3" shapeId="0" xr:uid="{BA043242-D7FB-442B-9F96-5A23E779CE8F}">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5C507C1D-8C89-46E4-8C87-34DBC7B60597}">
      <text>
        <r>
          <rPr>
            <sz val="9"/>
            <color indexed="81"/>
            <rFont val="Tahoma"/>
            <family val="2"/>
          </rPr>
          <t xml:space="preserve">Refer to DA to find this Government Approval Contingency.
</t>
        </r>
      </text>
    </comment>
    <comment ref="C82" authorId="0" shapeId="0" xr:uid="{93580B42-15A9-41F2-9C8D-F8FD0F3ADD26}">
      <text>
        <r>
          <rPr>
            <b/>
            <sz val="9"/>
            <color indexed="81"/>
            <rFont val="Tahoma"/>
            <family val="2"/>
          </rPr>
          <t>Refer to DA to find this Winter Conditions/Schedule Acceleration Contingency.</t>
        </r>
      </text>
    </comment>
    <comment ref="C116" authorId="0" shapeId="0" xr:uid="{03CDBEB0-5766-4645-9C29-65B8E5030A21}">
      <text>
        <r>
          <rPr>
            <sz val="9"/>
            <color indexed="81"/>
            <rFont val="Tahoma"/>
            <family val="2"/>
          </rPr>
          <t xml:space="preserve">Refer to DA to find this General(_% of Hard Cost) Contingency.
</t>
        </r>
      </text>
    </comment>
    <comment ref="C150" authorId="0" shapeId="0" xr:uid="{52994FF1-70E9-4611-A92D-BDB437D3DFA5}">
      <text>
        <r>
          <rPr>
            <sz val="9"/>
            <color indexed="81"/>
            <rFont val="Tahoma"/>
            <family val="2"/>
          </rPr>
          <t xml:space="preserve">Refer to DA to find this Prelim Bidding to GMP/Material Escalation Contingency.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C55E04A2-BB4C-470F-92D4-44B427CBC9A2}">
      <text>
        <r>
          <rPr>
            <b/>
            <sz val="9"/>
            <color indexed="81"/>
            <rFont val="Tahoma"/>
            <family val="2"/>
          </rPr>
          <t xml:space="preserve">All the Contract Dates need to be filled out.
</t>
        </r>
      </text>
    </comment>
    <comment ref="E79" authorId="0" shapeId="0" xr:uid="{B36ABBB0-DB97-4C54-A86B-96849EF800DE}">
      <text>
        <r>
          <rPr>
            <b/>
            <sz val="9"/>
            <color indexed="81"/>
            <rFont val="Tahoma"/>
            <family val="2"/>
          </rPr>
          <t xml:space="preserve">All the Revised Dates need to be filled out.
</t>
        </r>
        <r>
          <rPr>
            <sz val="9"/>
            <color indexed="81"/>
            <rFont val="Tahoma"/>
            <family val="2"/>
          </rPr>
          <t xml:space="preserve">
</t>
        </r>
      </text>
    </comment>
  </commentList>
</comments>
</file>

<file path=xl/sharedStrings.xml><?xml version="1.0" encoding="utf-8"?>
<sst xmlns="http://schemas.openxmlformats.org/spreadsheetml/2006/main" count="3834" uniqueCount="1153">
  <si>
    <t>Masonry</t>
  </si>
  <si>
    <t>Structural Steel</t>
  </si>
  <si>
    <t>ESTIMATED COST AT COMPLETION</t>
  </si>
  <si>
    <t>Demolition</t>
  </si>
  <si>
    <t>Flooring</t>
  </si>
  <si>
    <t>Plumbing</t>
  </si>
  <si>
    <t>HVAC</t>
  </si>
  <si>
    <t>Electrical</t>
  </si>
  <si>
    <t>Site Lighting</t>
  </si>
  <si>
    <t>DESCRIPTION</t>
  </si>
  <si>
    <t>ESTIMATE</t>
  </si>
  <si>
    <t>Subtotals</t>
  </si>
  <si>
    <t>Security Services During Construction</t>
  </si>
  <si>
    <t>Aerial Photos/Web Cam/Drone</t>
  </si>
  <si>
    <t>Developer Travel Expenses</t>
  </si>
  <si>
    <t>Property Taxes Construction Period</t>
  </si>
  <si>
    <t>Construction Carry Costs</t>
  </si>
  <si>
    <t>Due Diligence Costs</t>
  </si>
  <si>
    <t>Land Closing Costs</t>
  </si>
  <si>
    <t>Land Cost</t>
  </si>
  <si>
    <t>Debt Finance Fees &amp; Origination</t>
  </si>
  <si>
    <t>SUBTOTAL- SOFT COSTS</t>
  </si>
  <si>
    <t>SUBTOTAL- FINANCE/CARRY COSTS</t>
  </si>
  <si>
    <t>TOTAL DEVELOPMENT COSTS</t>
  </si>
  <si>
    <t>LAND, CLOSING, DUE DILIGENCE COSTS</t>
  </si>
  <si>
    <t>Permit/Impact Fees</t>
  </si>
  <si>
    <t>Description of work</t>
  </si>
  <si>
    <t>Asphalt Paving</t>
  </si>
  <si>
    <t>Site Utilities</t>
  </si>
  <si>
    <t>Wheel Stops</t>
  </si>
  <si>
    <t>Turnstiles</t>
  </si>
  <si>
    <t>Operable Partitions</t>
  </si>
  <si>
    <t>Elevator</t>
  </si>
  <si>
    <t xml:space="preserve">Off-Site Infrastructure </t>
  </si>
  <si>
    <t>Site Utilities (Describe)</t>
  </si>
  <si>
    <t>Road Improvements  (Describe)</t>
  </si>
  <si>
    <t>Existing Utility Relocation (Describe)</t>
  </si>
  <si>
    <t>Other (Describe)</t>
  </si>
  <si>
    <t xml:space="preserve">SUBTOTAL </t>
  </si>
  <si>
    <t>Utilities Demolition</t>
  </si>
  <si>
    <t>Existing Structures Demolition</t>
  </si>
  <si>
    <t>Mass Grading (Cut/Fill)</t>
  </si>
  <si>
    <t>Import/Export (Circle One)</t>
  </si>
  <si>
    <t>Rock Removal (Mass/Blast)</t>
  </si>
  <si>
    <t xml:space="preserve">Rock Removal - (Trench) </t>
  </si>
  <si>
    <t>Site Fire Line</t>
  </si>
  <si>
    <t>Domestic Water Line</t>
  </si>
  <si>
    <t>Sanitary Sewer</t>
  </si>
  <si>
    <t>Roof Drain Collection System</t>
  </si>
  <si>
    <t>Erosion Controls/Maintenance</t>
  </si>
  <si>
    <t>Erosions Controls &amp; Maintenance</t>
  </si>
  <si>
    <t>Lay Down Yards and Access Roads</t>
  </si>
  <si>
    <t>HD Asphalt</t>
  </si>
  <si>
    <t>LD Asphalt</t>
  </si>
  <si>
    <t>Concrete Paving, Curb and Gutter, and Sidewalks</t>
  </si>
  <si>
    <t>Dock Apron Concrete Paving</t>
  </si>
  <si>
    <t>Truck Court Concrete Paving</t>
  </si>
  <si>
    <t>Dolly Pads</t>
  </si>
  <si>
    <t>Auto Parking Concrete Paving</t>
  </si>
  <si>
    <t>Sidewalks</t>
  </si>
  <si>
    <t>Pavement Markings and Signage</t>
  </si>
  <si>
    <t>Pavement Markings</t>
  </si>
  <si>
    <t>Site Signage (DOT Type signage)</t>
  </si>
  <si>
    <t>Fencing &amp; Gates</t>
  </si>
  <si>
    <t>Site Perimeter Fencing and Gates</t>
  </si>
  <si>
    <t>Smokers Canopy Fencing</t>
  </si>
  <si>
    <t>Truckers Cage Fencing</t>
  </si>
  <si>
    <t>Landscaping</t>
  </si>
  <si>
    <t>Irrigation</t>
  </si>
  <si>
    <t>Plantings/Trees</t>
  </si>
  <si>
    <t>Sod/Grassing/Groundcover</t>
  </si>
  <si>
    <t>Building Concrete</t>
  </si>
  <si>
    <t>Slab on Grade Including Dock Pits</t>
  </si>
  <si>
    <t>Process Mezzanine Concrete</t>
  </si>
  <si>
    <t>Shell Structural Steel</t>
  </si>
  <si>
    <t>Shell Joist</t>
  </si>
  <si>
    <t>Steel Erection</t>
  </si>
  <si>
    <t>Carpentry and Millwork</t>
  </si>
  <si>
    <t>Shell Rough Carpentry</t>
  </si>
  <si>
    <t>TI Rough Carpentry</t>
  </si>
  <si>
    <t>Millwork/Casework</t>
  </si>
  <si>
    <t>Shell Roofing Membrane</t>
  </si>
  <si>
    <t>Guardhouse Roofing</t>
  </si>
  <si>
    <t>Canopy Roofing</t>
  </si>
  <si>
    <t>Thermax Wall Insulation</t>
  </si>
  <si>
    <t>Aluminum Composite Metal Panels</t>
  </si>
  <si>
    <t>Caulking &amp; Sealants</t>
  </si>
  <si>
    <t>Tilt Panel Caulking</t>
  </si>
  <si>
    <t>Slab on Grade Caulking</t>
  </si>
  <si>
    <t>Concrete Paving &amp; Sidewalk Caulking</t>
  </si>
  <si>
    <t>Waterproofing</t>
  </si>
  <si>
    <t>Glass/Glazing</t>
  </si>
  <si>
    <t>Exterior Glazing</t>
  </si>
  <si>
    <t>Guardhouse Glazing</t>
  </si>
  <si>
    <t>Interior Glazing</t>
  </si>
  <si>
    <t>Dock &amp; Drive in Doors</t>
  </si>
  <si>
    <t>OHD Dock Doors</t>
  </si>
  <si>
    <t>Drive In Doors</t>
  </si>
  <si>
    <t>Doors, Frames, &amp; Hardware</t>
  </si>
  <si>
    <t>TI Shell/Doors/Frames/Hardware (incl install)</t>
  </si>
  <si>
    <t>Shell Drywall/Framing</t>
  </si>
  <si>
    <t>TI Drywall/Framing</t>
  </si>
  <si>
    <t>Carpet</t>
  </si>
  <si>
    <t>VCT/Resilient Flooring</t>
  </si>
  <si>
    <t>Ceramic/Hard Tile including walls</t>
  </si>
  <si>
    <t>Painting &amp; Coatings</t>
  </si>
  <si>
    <t>Exterior Texture Coatings</t>
  </si>
  <si>
    <t>Interior Tilt Wall Painting</t>
  </si>
  <si>
    <t>Interior Warehouse Painting</t>
  </si>
  <si>
    <t>Office/Interior Space Painting</t>
  </si>
  <si>
    <t>Epoxy Flooring</t>
  </si>
  <si>
    <t>Polished/Sealed Concrete</t>
  </si>
  <si>
    <t>EIFS</t>
  </si>
  <si>
    <t xml:space="preserve">Specialties </t>
  </si>
  <si>
    <t>Toilet Partitions/Accessories</t>
  </si>
  <si>
    <t>Dock Canopies</t>
  </si>
  <si>
    <t>Employee Shelters</t>
  </si>
  <si>
    <t>Fire Extinguishers/Cabinets</t>
  </si>
  <si>
    <t>Flagpole</t>
  </si>
  <si>
    <t>Bicycle Racks</t>
  </si>
  <si>
    <t>Locker Installation</t>
  </si>
  <si>
    <t>Interior Signage</t>
  </si>
  <si>
    <t>Dock Equipment</t>
  </si>
  <si>
    <t>Dock Levelers</t>
  </si>
  <si>
    <t>Truck Restraints</t>
  </si>
  <si>
    <t>Dock Seal/Shelters</t>
  </si>
  <si>
    <t>Light/Fan</t>
  </si>
  <si>
    <t>Track Guards</t>
  </si>
  <si>
    <t>Elevators</t>
  </si>
  <si>
    <t>Fire Suppression</t>
  </si>
  <si>
    <t>Roof ESFR System</t>
  </si>
  <si>
    <t>Hose Drops</t>
  </si>
  <si>
    <t>Fire Pump</t>
  </si>
  <si>
    <t>Fire Tank</t>
  </si>
  <si>
    <t>RSP System</t>
  </si>
  <si>
    <t>Office Fire Protection</t>
  </si>
  <si>
    <t>Warehouse Plumbing</t>
  </si>
  <si>
    <t>Office Plumbing</t>
  </si>
  <si>
    <t>Gas Piping</t>
  </si>
  <si>
    <t>Warehouse HVAC</t>
  </si>
  <si>
    <t xml:space="preserve">Smoke Evacuation </t>
  </si>
  <si>
    <t>Office HVAC</t>
  </si>
  <si>
    <t>Test and Balance</t>
  </si>
  <si>
    <t>Main Service and Switchgear</t>
  </si>
  <si>
    <t>Office Electrical</t>
  </si>
  <si>
    <t>RSP Lighting</t>
  </si>
  <si>
    <t>Temp Lighting</t>
  </si>
  <si>
    <t>Lightning Protection</t>
  </si>
  <si>
    <t>Warehouse Fire Alarm</t>
  </si>
  <si>
    <t>Office Fire Alarm</t>
  </si>
  <si>
    <t>Process Mezz Fire Alarm</t>
  </si>
  <si>
    <t>RSP Mezz Fire Alarm</t>
  </si>
  <si>
    <t>Sprinkler Head Adjustments @ MHE</t>
  </si>
  <si>
    <t>Temporary Toilets</t>
  </si>
  <si>
    <t>Tenant's Power Usage from Early Access to TCO</t>
  </si>
  <si>
    <t>GC General Conditions &amp; Fee</t>
  </si>
  <si>
    <t>Insurance</t>
  </si>
  <si>
    <t>Construction - Offsite Improvements (Outside GC Scope)</t>
  </si>
  <si>
    <t>Construction Entrances</t>
  </si>
  <si>
    <t>Metal Framing, Drywall, Acoustical</t>
  </si>
  <si>
    <t>Acoustical Ceilings</t>
  </si>
  <si>
    <t>Condensate System (if required)</t>
  </si>
  <si>
    <t>Building Management System</t>
  </si>
  <si>
    <t>Warehouse Electrical</t>
  </si>
  <si>
    <t>Warehouse Lighting</t>
  </si>
  <si>
    <t>Miscellaneous/Other</t>
  </si>
  <si>
    <t>CSI Div</t>
  </si>
  <si>
    <t>CSI Sec</t>
  </si>
  <si>
    <t>CSI Name</t>
  </si>
  <si>
    <t>Concrete</t>
  </si>
  <si>
    <t>Clean/Seal Warehouse Floor</t>
  </si>
  <si>
    <t>03 30 00</t>
  </si>
  <si>
    <t>03 35 00</t>
  </si>
  <si>
    <t>Polished Concrete</t>
  </si>
  <si>
    <t>04 00 00</t>
  </si>
  <si>
    <t>05 10 00</t>
  </si>
  <si>
    <t>05 12 00</t>
  </si>
  <si>
    <t>06 10 00</t>
  </si>
  <si>
    <t>06 20 00</t>
  </si>
  <si>
    <t>07 46 00</t>
  </si>
  <si>
    <t>Main Entrance Storefront</t>
  </si>
  <si>
    <t>08 60 00</t>
  </si>
  <si>
    <t>Skylights</t>
  </si>
  <si>
    <t>09 20 00</t>
  </si>
  <si>
    <t>09 30 00</t>
  </si>
  <si>
    <t>09 68 00</t>
  </si>
  <si>
    <t>AFE Sound Attenuation Panels</t>
  </si>
  <si>
    <t>10 14 00</t>
  </si>
  <si>
    <t>10 20 00</t>
  </si>
  <si>
    <t>10 73 43</t>
  </si>
  <si>
    <t>Bus Stop - Transportation Stop Shelters</t>
  </si>
  <si>
    <t>Smokers Shelter</t>
  </si>
  <si>
    <t>Special Construction</t>
  </si>
  <si>
    <t>13 00 00</t>
  </si>
  <si>
    <t xml:space="preserve">Special Construction </t>
  </si>
  <si>
    <t>14 20 00</t>
  </si>
  <si>
    <t>21 30 00</t>
  </si>
  <si>
    <t>21 40 00</t>
  </si>
  <si>
    <t>Water Cooler Infrastructure</t>
  </si>
  <si>
    <t>Scrubber Dump</t>
  </si>
  <si>
    <t>Floor Drains &amp; Oil/Water Separator</t>
  </si>
  <si>
    <t>23 09 00</t>
  </si>
  <si>
    <t>23 30 00</t>
  </si>
  <si>
    <t>23 60 00</t>
  </si>
  <si>
    <t>Refrigeration system</t>
  </si>
  <si>
    <t>PIT Battery Charging</t>
  </si>
  <si>
    <t>26 20 00</t>
  </si>
  <si>
    <t>Elec Generators/ Automatic or Manual Transfer Switch</t>
  </si>
  <si>
    <t>26 56 00</t>
  </si>
  <si>
    <t>Electronic Safety and Security</t>
  </si>
  <si>
    <t>28 10 00</t>
  </si>
  <si>
    <t>28 46 00</t>
  </si>
  <si>
    <t>31 23 00</t>
  </si>
  <si>
    <t>31 23 19</t>
  </si>
  <si>
    <t>Dewatering</t>
  </si>
  <si>
    <t>31 25 00</t>
  </si>
  <si>
    <t>32 90 00</t>
  </si>
  <si>
    <t>32 13 00</t>
  </si>
  <si>
    <t>32 16 00</t>
  </si>
  <si>
    <t>32 31 00</t>
  </si>
  <si>
    <t>32 35 00</t>
  </si>
  <si>
    <t>Screen Wall</t>
  </si>
  <si>
    <t>32 92 00</t>
  </si>
  <si>
    <t>Utilities</t>
  </si>
  <si>
    <t>33 10 00</t>
  </si>
  <si>
    <t>33 30 00</t>
  </si>
  <si>
    <t>33 40 00</t>
  </si>
  <si>
    <t>Site Communications</t>
  </si>
  <si>
    <t>Site Gas Connections</t>
  </si>
  <si>
    <t>34 41 00</t>
  </si>
  <si>
    <t>Traffic Signals</t>
  </si>
  <si>
    <t>34 71 00</t>
  </si>
  <si>
    <t>Winter Conditions</t>
  </si>
  <si>
    <t>01 21 43</t>
  </si>
  <si>
    <t>Acceleration</t>
  </si>
  <si>
    <t>02 40 00</t>
  </si>
  <si>
    <t>11 13 00</t>
  </si>
  <si>
    <t>Time Allowances</t>
  </si>
  <si>
    <t>Amazon Interior Signage Package</t>
  </si>
  <si>
    <t>Furnishings</t>
  </si>
  <si>
    <t>Window Treatments</t>
  </si>
  <si>
    <t>12 20 00</t>
  </si>
  <si>
    <t>28 48 00</t>
  </si>
  <si>
    <t>Civil Design- On Site</t>
  </si>
  <si>
    <t>Civil Design- Off Site Infrastructure</t>
  </si>
  <si>
    <t>Traffic Study/Signal Warrant Study</t>
  </si>
  <si>
    <t xml:space="preserve">Wetland Consulting &amp; Mitigation </t>
  </si>
  <si>
    <t>Tenant Programming Services</t>
  </si>
  <si>
    <t>Commissioning</t>
  </si>
  <si>
    <t>Roof and Owner Concrete Consultant &amp; Misc. Design Consultants</t>
  </si>
  <si>
    <t>Consultant Peer Review</t>
  </si>
  <si>
    <t>Tenant Development Consultant</t>
  </si>
  <si>
    <t>Lease Costs (Legal, etc.)</t>
  </si>
  <si>
    <t>Less: Economic Incentives (Grants, Rebates, Etc.)</t>
  </si>
  <si>
    <t>Earthwork</t>
  </si>
  <si>
    <t>Thermal and Moisture Protection</t>
  </si>
  <si>
    <t>Postage, Printing &amp; Design Reimbursable</t>
  </si>
  <si>
    <t>Roadway Signaling and Control Equipment</t>
  </si>
  <si>
    <t>Roadway Construction</t>
  </si>
  <si>
    <t>31 05 05</t>
  </si>
  <si>
    <t>Selective Demolition for Earthwork</t>
  </si>
  <si>
    <t>31 22 00</t>
  </si>
  <si>
    <t>Grading</t>
  </si>
  <si>
    <t>Excavation and Fill</t>
  </si>
  <si>
    <t>31 10 00</t>
  </si>
  <si>
    <t>Site Clearing</t>
  </si>
  <si>
    <t>Erosion and Sedimentation Controls</t>
  </si>
  <si>
    <t>32 12 00</t>
  </si>
  <si>
    <t>Flexible Paving</t>
  </si>
  <si>
    <t>Rigid Paving</t>
  </si>
  <si>
    <t>Curbs, Gutters, Sidewalks, Driveways</t>
  </si>
  <si>
    <t>32 17 23</t>
  </si>
  <si>
    <t>32 17 13</t>
  </si>
  <si>
    <t>Parking Bumpers</t>
  </si>
  <si>
    <t>32 33 00</t>
  </si>
  <si>
    <t>Site Furnishings</t>
  </si>
  <si>
    <t>Fencing and Gates</t>
  </si>
  <si>
    <t>32 31 13</t>
  </si>
  <si>
    <t>Chain Link Fencing and Gates</t>
  </si>
  <si>
    <t>Screening Devices</t>
  </si>
  <si>
    <t>32 84 00</t>
  </si>
  <si>
    <t>Planting Irrigation</t>
  </si>
  <si>
    <t>Planting</t>
  </si>
  <si>
    <t>Turf and Grasses</t>
  </si>
  <si>
    <t>Storm Water Utilities</t>
  </si>
  <si>
    <t>Water Utilities</t>
  </si>
  <si>
    <t>Sanitary Sewerage</t>
  </si>
  <si>
    <t>33 80 00</t>
  </si>
  <si>
    <t>35 52 00</t>
  </si>
  <si>
    <t>Hydrocarbon Transmission and Distribution</t>
  </si>
  <si>
    <t>Communications Utilities</t>
  </si>
  <si>
    <t>31 60 00</t>
  </si>
  <si>
    <t>Special Foundations and Load-Bearing Elements</t>
  </si>
  <si>
    <t>Demolition and Structure Moving</t>
  </si>
  <si>
    <t>Cast in Place Concrete</t>
  </si>
  <si>
    <t>03 37 00</t>
  </si>
  <si>
    <t>Specialty Placed Concrete</t>
  </si>
  <si>
    <t>Concrete Finishing</t>
  </si>
  <si>
    <t>Structural Steel Framing</t>
  </si>
  <si>
    <t>05 21 00</t>
  </si>
  <si>
    <t>Steel Joist Framing</t>
  </si>
  <si>
    <t>05 31 00</t>
  </si>
  <si>
    <t>Steel Decking</t>
  </si>
  <si>
    <t>Structural Metal Framing</t>
  </si>
  <si>
    <t>07 10 00</t>
  </si>
  <si>
    <t>Rough Carpentry</t>
  </si>
  <si>
    <t>Finish Carpentry</t>
  </si>
  <si>
    <t>07 50 00</t>
  </si>
  <si>
    <t>Membrane Roofing</t>
  </si>
  <si>
    <t>07 21 00</t>
  </si>
  <si>
    <t>Thermal Insulation</t>
  </si>
  <si>
    <t>Siding</t>
  </si>
  <si>
    <t>07 92 00</t>
  </si>
  <si>
    <t>Joint Sealants</t>
  </si>
  <si>
    <t>Dampproofing and Waterproofing</t>
  </si>
  <si>
    <t>08 81 26</t>
  </si>
  <si>
    <t>08 81 13</t>
  </si>
  <si>
    <t>Exterior Glass Glazing</t>
  </si>
  <si>
    <t>Interior Glass  Glazing</t>
  </si>
  <si>
    <t>Roof Windows and Skylights</t>
  </si>
  <si>
    <t>08 36 00</t>
  </si>
  <si>
    <t>Panel Doors</t>
  </si>
  <si>
    <t>08 11 00</t>
  </si>
  <si>
    <t>Metal Doors and Frames</t>
  </si>
  <si>
    <t>08 14 00</t>
  </si>
  <si>
    <t>Wood Doors</t>
  </si>
  <si>
    <t>08 40 00</t>
  </si>
  <si>
    <t>Entrance, Storefronts, and Curtain Walls</t>
  </si>
  <si>
    <t>08 42 33</t>
  </si>
  <si>
    <t>Revolving Door Entrances</t>
  </si>
  <si>
    <t>Plaster and Gypsum Board</t>
  </si>
  <si>
    <t>09 51 00</t>
  </si>
  <si>
    <t>09 80 00</t>
  </si>
  <si>
    <t>Acoustic Treatments</t>
  </si>
  <si>
    <t>Carpeting</t>
  </si>
  <si>
    <t>09 65 00</t>
  </si>
  <si>
    <t>Resilient Flooring</t>
  </si>
  <si>
    <t>Tiling</t>
  </si>
  <si>
    <t>09 91 13</t>
  </si>
  <si>
    <t>Exterior Painting</t>
  </si>
  <si>
    <t>Interior Painting</t>
  </si>
  <si>
    <t>09 91 23</t>
  </si>
  <si>
    <t>09 62 00</t>
  </si>
  <si>
    <t>Specialty Flooring</t>
  </si>
  <si>
    <t>Cement Plastering</t>
  </si>
  <si>
    <t>09 24 00</t>
  </si>
  <si>
    <t>Signage</t>
  </si>
  <si>
    <t>Protective Covers</t>
  </si>
  <si>
    <t>Interior Specialties</t>
  </si>
  <si>
    <t>10 22 00</t>
  </si>
  <si>
    <t>Partitions</t>
  </si>
  <si>
    <t>10 21 00</t>
  </si>
  <si>
    <t>Compartments and Cubicles</t>
  </si>
  <si>
    <t>10 51 00</t>
  </si>
  <si>
    <t>Metal Lockers</t>
  </si>
  <si>
    <t>10 50 00</t>
  </si>
  <si>
    <t>Storage Specialties</t>
  </si>
  <si>
    <t>10 73 00</t>
  </si>
  <si>
    <t>Flagpoles</t>
  </si>
  <si>
    <t>10 75 00</t>
  </si>
  <si>
    <t>Fire Protection Specialties</t>
  </si>
  <si>
    <t>10 44 00</t>
  </si>
  <si>
    <t>Loading Dock Equipment</t>
  </si>
  <si>
    <t>21 10 00</t>
  </si>
  <si>
    <t>22 10 00</t>
  </si>
  <si>
    <t>21 12 00</t>
  </si>
  <si>
    <t>Fire Pumps</t>
  </si>
  <si>
    <t>Fire Suppression Storage Tanks</t>
  </si>
  <si>
    <t>Plumbing Piping</t>
  </si>
  <si>
    <t>22 47 00</t>
  </si>
  <si>
    <t>Drinking Fountains and Water Coolers</t>
  </si>
  <si>
    <t>HVAC Air Distribution</t>
  </si>
  <si>
    <t>Instrumentation and Control for HVAC</t>
  </si>
  <si>
    <t>23 08 00</t>
  </si>
  <si>
    <t>Central Cooling Equipment</t>
  </si>
  <si>
    <t>23 35 00</t>
  </si>
  <si>
    <t>Special Exhaust Systems</t>
  </si>
  <si>
    <t>26 10 00</t>
  </si>
  <si>
    <t>Medium Voltage Electrical Distribution</t>
  </si>
  <si>
    <t>26 51 00</t>
  </si>
  <si>
    <t>Interior Lighting</t>
  </si>
  <si>
    <t>26 40 00</t>
  </si>
  <si>
    <t>Electrical Protection</t>
  </si>
  <si>
    <t>26 32 00</t>
  </si>
  <si>
    <t>Packaged Generator Assemblies</t>
  </si>
  <si>
    <t>Exterior Lighting</t>
  </si>
  <si>
    <t>Fire Detection and Alarm</t>
  </si>
  <si>
    <t>Emergency Response Systems</t>
  </si>
  <si>
    <t>Existing Conditions</t>
  </si>
  <si>
    <t>Exterior Improvements</t>
  </si>
  <si>
    <t>Metals</t>
  </si>
  <si>
    <t>Wood, Plastics and Composites</t>
  </si>
  <si>
    <t>Openings</t>
  </si>
  <si>
    <t>Finishes</t>
  </si>
  <si>
    <t>Equipment</t>
  </si>
  <si>
    <t>Conveying Equipment</t>
  </si>
  <si>
    <t>Environmental Consultant</t>
  </si>
  <si>
    <t>Geotechnical Consultant</t>
  </si>
  <si>
    <t>SUBTOTAL</t>
  </si>
  <si>
    <t>COMMENT</t>
  </si>
  <si>
    <t>MONTH/YEAR</t>
  </si>
  <si>
    <t>Contingency -  Winter Conditions/Schedule Acceleration</t>
  </si>
  <si>
    <t>Contingency - General (____% of Hard Cost)</t>
  </si>
  <si>
    <t>TOTAL WEATHER DELAY</t>
  </si>
  <si>
    <t>MONTHLY WEATHER DAYS</t>
  </si>
  <si>
    <t>SCHEDULE IMPACTS</t>
  </si>
  <si>
    <t>CONTRACT DATES</t>
  </si>
  <si>
    <t>REVISED DATES</t>
  </si>
  <si>
    <t>EARLY ACCESS AREA / MILESTONE</t>
  </si>
  <si>
    <t>Designated Tenant Allowances</t>
  </si>
  <si>
    <t>Tenant Contingency</t>
  </si>
  <si>
    <t>ACTUAL WEATHER DAY</t>
  </si>
  <si>
    <t>SCHEDULED WEATHER DAY</t>
  </si>
  <si>
    <t>CRITICAL ACTIVITY AFFECTED</t>
  </si>
  <si>
    <t>DIFFERENCE PER MONTH</t>
  </si>
  <si>
    <t>CO# / REFERENCE</t>
  </si>
  <si>
    <t>AMOUNT RETURNED TO AMAZON</t>
  </si>
  <si>
    <t>Current GMP:</t>
  </si>
  <si>
    <t>Total Approved Billings to Date:</t>
  </si>
  <si>
    <t>Remaining Billings:</t>
  </si>
  <si>
    <t>Total Developer Contribution:</t>
  </si>
  <si>
    <t>Developer Contribution to Date:</t>
  </si>
  <si>
    <t>Developer Contribution Remaining:</t>
  </si>
  <si>
    <t>AMZN Capital To Date:</t>
  </si>
  <si>
    <t>Cumulative Projected Billings (Auto)</t>
  </si>
  <si>
    <t>% Complete - Initial</t>
  </si>
  <si>
    <t>Comments</t>
  </si>
  <si>
    <t>TOTALS:</t>
  </si>
  <si>
    <t>Date:</t>
  </si>
  <si>
    <t>Site Code:</t>
  </si>
  <si>
    <t>Contractor:</t>
  </si>
  <si>
    <t>Architect:</t>
  </si>
  <si>
    <t>Developer:</t>
  </si>
  <si>
    <t>CONFIDENTIAL INFORMATION</t>
  </si>
  <si>
    <t>SUBCONTRACTOR BREAKDOWN</t>
  </si>
  <si>
    <t>CASH FLOW ANALYSIS</t>
  </si>
  <si>
    <t>MONTHLY WEATHER REPORT</t>
  </si>
  <si>
    <t>VARIANCE TO LINE ITEM AMOUNT</t>
  </si>
  <si>
    <t>Contingency - Government Approvals</t>
  </si>
  <si>
    <t>Other (describe)</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</si>
  <si>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</si>
  <si>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</si>
  <si>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</si>
  <si>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</si>
  <si>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</si>
  <si>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</si>
  <si>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</si>
  <si>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</si>
  <si>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</si>
  <si>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</si>
  <si>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</si>
  <si>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</si>
  <si>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</si>
  <si>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</si>
  <si>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</si>
  <si>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</si>
  <si>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</si>
  <si>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</si>
  <si>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</si>
  <si>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</si>
  <si>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</si>
  <si>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</si>
  <si>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</si>
  <si>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</si>
  <si>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</si>
  <si>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</si>
  <si>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</si>
  <si>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</si>
  <si>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</si>
  <si>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</si>
  <si>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</si>
  <si>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</si>
  <si>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</si>
  <si>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</si>
  <si>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</si>
  <si>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</si>
  <si>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</si>
  <si>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</si>
  <si>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</si>
  <si>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</si>
  <si>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</si>
  <si>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</si>
  <si>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</si>
  <si>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</si>
  <si>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</si>
  <si>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</si>
  <si>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</si>
  <si>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</si>
  <si>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</si>
  <si>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</si>
  <si>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</si>
  <si>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</si>
  <si>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</si>
  <si>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</si>
  <si>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</si>
  <si>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</si>
  <si>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</si>
  <si>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</si>
  <si>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</si>
  <si>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</si>
  <si>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</si>
  <si>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</si>
  <si>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</si>
  <si>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</si>
  <si>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</si>
  <si>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</si>
  <si>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</si>
  <si>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</si>
  <si>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</si>
  <si>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</si>
  <si>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</si>
  <si>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</si>
  <si>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</si>
  <si>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</si>
  <si>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</si>
  <si>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</si>
  <si>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</si>
  <si>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</si>
  <si>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</si>
  <si>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</si>
  <si>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</si>
  <si>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</si>
  <si>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</si>
  <si>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</si>
  <si>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</si>
  <si>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</si>
  <si>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</si>
  <si>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</si>
  <si>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</si>
  <si>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</si>
  <si>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</si>
  <si>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</si>
  <si>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</si>
  <si>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</si>
  <si>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</si>
  <si>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</si>
  <si>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</si>
  <si>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</si>
  <si>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</si>
  <si>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</si>
  <si>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</si>
  <si>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</si>
  <si>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</si>
  <si>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</si>
  <si>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</si>
  <si>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</si>
  <si>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</si>
  <si>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</si>
  <si>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</si>
  <si>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</si>
  <si>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</si>
  <si>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</si>
  <si>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</si>
  <si>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</si>
  <si>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</si>
  <si>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</si>
  <si>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</si>
  <si>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</si>
  <si>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</si>
  <si>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</si>
  <si>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</si>
  <si>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</si>
  <si>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</si>
  <si>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</si>
  <si>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</si>
  <si>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City</t>
  </si>
  <si>
    <t>CAR No.:</t>
  </si>
  <si>
    <t>DESIGNATED TENANT IMPROVEMENT ALLOWANCE AND TENANT CONTINGENCY TRACKER</t>
  </si>
  <si>
    <t>TOTAL DESIGNATED TENANT IMPROVEMENT ALLOWANCE AND TENANT CONTINGENCY</t>
  </si>
  <si>
    <t>ACTUAL WEATHER DAYS IN PREVIOUS MONTH</t>
  </si>
  <si>
    <t>TOTAL - ACTUAL WEATHER DAYS IN PREVIOUS MONTH</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</si>
  <si>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</si>
  <si>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</si>
  <si>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</si>
  <si>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</si>
  <si>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</si>
  <si>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</si>
  <si>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</si>
  <si>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</si>
  <si>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</si>
  <si>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</si>
  <si>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</si>
  <si>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</si>
  <si>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</si>
  <si>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</si>
  <si>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</si>
  <si>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</si>
  <si>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</si>
  <si>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</si>
  <si>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</si>
  <si>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</si>
  <si>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</si>
  <si>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</si>
  <si>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</si>
  <si>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</si>
  <si>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</si>
  <si>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</si>
  <si>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</si>
  <si>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</si>
  <si>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</si>
  <si>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</si>
  <si>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</si>
  <si>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</si>
  <si>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</si>
  <si>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</si>
  <si>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</si>
  <si>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</si>
  <si>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</si>
  <si>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</si>
  <si>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</si>
  <si>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</si>
  <si>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</si>
  <si>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</si>
  <si>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</si>
  <si>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</si>
  <si>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</si>
  <si>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</si>
  <si>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</si>
  <si>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</si>
  <si>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</si>
  <si>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</si>
  <si>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</si>
  <si>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</si>
  <si>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</si>
  <si>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</si>
  <si>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</si>
  <si>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</si>
  <si>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</si>
  <si>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</si>
  <si>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</si>
  <si>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</si>
  <si>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</si>
  <si>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</si>
  <si>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</si>
  <si>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</si>
  <si>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</si>
  <si>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</si>
  <si>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</si>
  <si>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</si>
  <si>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</si>
  <si>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</si>
  <si>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</si>
  <si>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</si>
  <si>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</si>
  <si>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</si>
  <si>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</si>
  <si>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</si>
  <si>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</si>
  <si>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</si>
  <si>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</si>
  <si>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</si>
  <si>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</si>
  <si>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</si>
  <si>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</si>
  <si>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</si>
  <si>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</si>
  <si>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</si>
  <si>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</si>
  <si>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</si>
  <si>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</si>
  <si>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</si>
  <si>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</si>
  <si>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</si>
  <si>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</si>
  <si>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</si>
  <si>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</si>
  <si>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</si>
  <si>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</si>
  <si>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</si>
  <si>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</si>
  <si>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</si>
  <si>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</si>
  <si>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</si>
  <si>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Soil Stabilization- (Specify Type)</t>
  </si>
  <si>
    <t>Curb &amp; Gutter</t>
  </si>
  <si>
    <t>Pavement Marking</t>
  </si>
  <si>
    <t>Pavement Markings - Auto</t>
  </si>
  <si>
    <t>Wheel Stops - Auto</t>
  </si>
  <si>
    <t>Concrete Repair</t>
  </si>
  <si>
    <t>Composite Decking</t>
  </si>
  <si>
    <t>06 73 00</t>
  </si>
  <si>
    <t>MHE Platforms Carpentry</t>
  </si>
  <si>
    <t>07 20 00</t>
  </si>
  <si>
    <t>Insulated Panels</t>
  </si>
  <si>
    <t>07 42 14</t>
  </si>
  <si>
    <t>Insulated Metal Panels</t>
  </si>
  <si>
    <t>Fireproofing</t>
  </si>
  <si>
    <t>07 82 00</t>
  </si>
  <si>
    <t>07 84 00</t>
  </si>
  <si>
    <t>Overhead Coiling Doors</t>
  </si>
  <si>
    <t>08 33 23</t>
  </si>
  <si>
    <t>Fire Shutters</t>
  </si>
  <si>
    <t>Metal Furring</t>
  </si>
  <si>
    <t>09 22 13</t>
  </si>
  <si>
    <t>Light Gauge Metal Framing @ IMP</t>
  </si>
  <si>
    <t>12 13 00</t>
  </si>
  <si>
    <t>Dock Position Removal of Knockout &amp; Floor</t>
  </si>
  <si>
    <t>13 13 00</t>
  </si>
  <si>
    <t>Construct New Dock Pits</t>
  </si>
  <si>
    <t>14 13 00</t>
  </si>
  <si>
    <t>Dock Door Wall Knockout - Widen Bays</t>
  </si>
  <si>
    <t>15 13 00</t>
  </si>
  <si>
    <t>Concrete Ramps for Dock Doors</t>
  </si>
  <si>
    <t>Guardhouse</t>
  </si>
  <si>
    <t>Material Lifts</t>
  </si>
  <si>
    <t>14 45 51</t>
  </si>
  <si>
    <t>VRC</t>
  </si>
  <si>
    <t>HVAC HVLS Fans</t>
  </si>
  <si>
    <t>Tenant Vendor Dumpster Allowance</t>
  </si>
  <si>
    <t>Storm water Systems</t>
  </si>
  <si>
    <t>Pump house Roofing</t>
  </si>
  <si>
    <t>Fire stopping</t>
  </si>
  <si>
    <t>Shell Doors/Frames/Hardware (incl install)</t>
  </si>
  <si>
    <t>Exterior Signage and Markings</t>
  </si>
  <si>
    <t>Specialties (ex. Corner Guards)</t>
  </si>
  <si>
    <t>Transportation Stop Shelters</t>
  </si>
  <si>
    <t>Water Based Fire Suppression Systems</t>
  </si>
  <si>
    <t>Fire Suppression Stand Pipes</t>
  </si>
  <si>
    <t>Commissioning of HVAC</t>
  </si>
  <si>
    <t>Low Voltage Electrical Distribution</t>
  </si>
  <si>
    <t>Site Electrical/Duct banks</t>
  </si>
  <si>
    <t>GC Contingency</t>
  </si>
  <si>
    <t>General Conditions</t>
  </si>
  <si>
    <t>GC - Overhead &amp; Fee</t>
  </si>
  <si>
    <t>Subcontractor Bond/Subcontractor Default Insurance</t>
  </si>
  <si>
    <t>General Liability Insurance</t>
  </si>
  <si>
    <t>Builders Risk Insurance</t>
  </si>
  <si>
    <t>GRAND TOTAL</t>
  </si>
  <si>
    <t>Project Type</t>
  </si>
  <si>
    <t>Amazon Project Type</t>
  </si>
  <si>
    <t>Total Site Size</t>
  </si>
  <si>
    <t>Acres</t>
  </si>
  <si>
    <t>Interrupted site area</t>
  </si>
  <si>
    <t>Total Building Size</t>
  </si>
  <si>
    <t>SF</t>
  </si>
  <si>
    <t>Include all mezzanine area and floors</t>
  </si>
  <si>
    <t>Site Cost and $/SF per site SF</t>
  </si>
  <si>
    <t>Building Cost and $/SF per building SF</t>
  </si>
  <si>
    <t>GC related Cost and $/SF per building SF</t>
  </si>
  <si>
    <t xml:space="preserve">Total </t>
  </si>
  <si>
    <t>Deep Foundation (Specify Type)</t>
  </si>
  <si>
    <t>Foundations For Main Building</t>
  </si>
  <si>
    <t>Foundations for Platform and Process Mezzanine</t>
  </si>
  <si>
    <t xml:space="preserve">Foundations for RSP </t>
  </si>
  <si>
    <t>RSP Mezzanine or Floor Concrete</t>
  </si>
  <si>
    <t>Precast/Tilt Wall Panels (Specify)</t>
  </si>
  <si>
    <t>RSP Floor Remediation</t>
  </si>
  <si>
    <t>Slab Curvature Grinding for Construction Joints</t>
  </si>
  <si>
    <t>Shell Roof Deck</t>
  </si>
  <si>
    <t xml:space="preserve">Shell Miscellaneous - Exterior Steel, Stairs, etc. </t>
  </si>
  <si>
    <t xml:space="preserve">Platform Mezzanine Steel/Deck </t>
  </si>
  <si>
    <t>Process Mezzanine Steel/Deck</t>
  </si>
  <si>
    <t>RSP Mezzanine/Floor Steel</t>
  </si>
  <si>
    <t>RSP Mezzanine/Floor Joist</t>
  </si>
  <si>
    <t>RSP Mezzanine/Floor Deck</t>
  </si>
  <si>
    <t>Shell Structural Steel/Joist/Deck - Erect</t>
  </si>
  <si>
    <t>Platform Steel/Deck - Erect</t>
  </si>
  <si>
    <t>Process Mezzanine Steel/Joist/Deck - Erect</t>
  </si>
  <si>
    <t>RSP Mezzanine Steel/Joist/Deck - Erect</t>
  </si>
  <si>
    <t xml:space="preserve">Misc. Steel </t>
  </si>
  <si>
    <t>Roof Membrane and Insulation Replacement - Retrofit</t>
  </si>
  <si>
    <t>Expansion Joints - Mezzanine and RSP</t>
  </si>
  <si>
    <t xml:space="preserve">Interior Temp. Partitions </t>
  </si>
  <si>
    <t>Telecommunications</t>
  </si>
  <si>
    <t>27 00 00</t>
  </si>
  <si>
    <t xml:space="preserve">Telecom </t>
  </si>
  <si>
    <t>Interior Fencing and Gates</t>
  </si>
  <si>
    <t>10 22 14</t>
  </si>
  <si>
    <t>Interior Chain Link Fencing and Gate</t>
  </si>
  <si>
    <t>Interior Fencing and Gates - RSP</t>
  </si>
  <si>
    <t>10 22 15</t>
  </si>
  <si>
    <t>RSP Fencing and Gates - Perimeter and Station Guarding</t>
  </si>
  <si>
    <t>Process and Platform Mezz System</t>
  </si>
  <si>
    <t>Pickmod Sprinkler</t>
  </si>
  <si>
    <t xml:space="preserve">In-Rack Sprinkler </t>
  </si>
  <si>
    <t>Process and Platform Mezz Lighting</t>
  </si>
  <si>
    <t>EV Charging Stations</t>
  </si>
  <si>
    <t>Security and Telcom pathway allowance</t>
  </si>
  <si>
    <t>Security System</t>
  </si>
  <si>
    <t>Elec First Responder Radio Amp and Dist</t>
  </si>
  <si>
    <t>Special Tax</t>
  </si>
  <si>
    <t>Original Contract</t>
  </si>
  <si>
    <t>Change Orders</t>
  </si>
  <si>
    <t>Revised Contract</t>
  </si>
  <si>
    <t>Total Completed and Stored</t>
  </si>
  <si>
    <t>Total completed and Stored</t>
  </si>
  <si>
    <r>
      <t xml:space="preserve">WARNING: </t>
    </r>
    <r>
      <rPr>
        <sz val="11"/>
        <color theme="0"/>
        <rFont val="Calibri"/>
        <family val="2"/>
        <scheme val="minor"/>
      </rPr>
      <t>Do not add or remove rows from this form</t>
    </r>
  </si>
  <si>
    <t>There are 38 categories ending at row 516</t>
  </si>
  <si>
    <t>If this form does not end at 516, reject this file and request corrections</t>
  </si>
  <si>
    <t>Projected Billings $ (Initial)</t>
  </si>
  <si>
    <t>Projected Developer Contribution $ (Initial)</t>
  </si>
  <si>
    <t>Projected Retainage $ (Initial)</t>
  </si>
  <si>
    <t>Projected Amazon Contribution $ Initial (Auto)</t>
  </si>
  <si>
    <t>Revised Projected Retainage $</t>
  </si>
  <si>
    <t>Revised Projected Amazon Contribution $ (Auto)</t>
  </si>
  <si>
    <t>Actual Billings This Period $</t>
  </si>
  <si>
    <t>Actual Retainage this period $</t>
  </si>
  <si>
    <t>Actual Amzn Contribution this Period $ (Auto)</t>
  </si>
  <si>
    <t xml:space="preserve">Land cost </t>
  </si>
  <si>
    <t>Offsite Lift Station &amp; Water</t>
  </si>
  <si>
    <t>Ground Improvement</t>
  </si>
  <si>
    <t xml:space="preserve">RSP Fencing &amp; Gates </t>
  </si>
  <si>
    <t>Hot/Cold Weather Concrete Provisions</t>
  </si>
  <si>
    <t>Temporary Road Maintenance</t>
  </si>
  <si>
    <t>Building Pad Work</t>
  </si>
  <si>
    <t>Caulking</t>
  </si>
  <si>
    <t>Cold Formed Metal Framing</t>
  </si>
  <si>
    <t>IMP Framing Cover Plates</t>
  </si>
  <si>
    <t>Underground plumbing</t>
  </si>
  <si>
    <t>Security System Allowance</t>
  </si>
  <si>
    <t>Data System Allowance</t>
  </si>
  <si>
    <t>Conduit for Low Voltage</t>
  </si>
  <si>
    <t>Safety, QC &amp; Street Sweeping</t>
  </si>
  <si>
    <t>Temporary Vertical Access</t>
  </si>
  <si>
    <t>Site Safety &amp; Cleanup</t>
  </si>
  <si>
    <t>Site Labor for Receiving/Moving/Access</t>
  </si>
  <si>
    <t>Exterior Signage &amp; Markings</t>
  </si>
  <si>
    <t>MEP for Amazon Platforms</t>
  </si>
  <si>
    <t>Floor Remediation @ RSP &amp; Sorter Platforms</t>
  </si>
  <si>
    <t>Scanning for Curvature</t>
  </si>
  <si>
    <t>Surveyor</t>
  </si>
  <si>
    <t>MBE Consultant</t>
  </si>
  <si>
    <t>Owner</t>
  </si>
  <si>
    <t>Closing Date</t>
  </si>
  <si>
    <t>END FILE</t>
  </si>
  <si>
    <t>Chris Hodrick</t>
  </si>
  <si>
    <t>Hope Hall</t>
  </si>
  <si>
    <t>Robert Zalewski</t>
  </si>
  <si>
    <t>Andy Davis</t>
  </si>
  <si>
    <t>Darrin Sanders</t>
  </si>
  <si>
    <t>Scott Palma</t>
  </si>
  <si>
    <t>Ryan Kaminski</t>
  </si>
  <si>
    <t>Regional CM</t>
  </si>
  <si>
    <t>Land Cost ECaC</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</si>
  <si>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</si>
  <si>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</si>
  <si>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</si>
  <si>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</si>
  <si>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</si>
  <si>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</si>
  <si>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</si>
  <si>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</si>
  <si>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</si>
  <si>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</si>
  <si>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</si>
  <si>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</si>
  <si>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</si>
  <si>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</si>
  <si>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</si>
  <si>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</si>
  <si>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</si>
  <si>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</si>
  <si>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</si>
  <si>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</si>
  <si>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</si>
  <si>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</si>
  <si>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</si>
  <si>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</si>
  <si>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</si>
  <si>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</si>
  <si>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</si>
  <si>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</si>
  <si>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</si>
  <si>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</si>
  <si>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</si>
  <si>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</si>
  <si>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</si>
  <si>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</si>
  <si>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</si>
  <si>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</si>
  <si>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</si>
  <si>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</si>
  <si>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</si>
  <si>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</si>
  <si>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</si>
  <si>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</si>
  <si>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</si>
  <si>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</si>
  <si>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</si>
  <si>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</si>
  <si>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</si>
  <si>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</si>
  <si>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</si>
  <si>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</si>
  <si>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</si>
  <si>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</si>
  <si>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</si>
  <si>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</si>
  <si>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</si>
  <si>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</si>
  <si>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</si>
  <si>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</si>
  <si>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</si>
  <si>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</si>
  <si>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</si>
  <si>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</si>
  <si>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</si>
  <si>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</si>
  <si>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</si>
  <si>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</si>
  <si>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</si>
  <si>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</si>
  <si>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</si>
  <si>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</si>
  <si>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</si>
  <si>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</si>
  <si>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</si>
  <si>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</si>
  <si>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</si>
  <si>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</si>
  <si>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</si>
  <si>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</si>
  <si>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</si>
  <si>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</si>
  <si>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</si>
  <si>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</si>
  <si>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</si>
  <si>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</si>
  <si>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</si>
  <si>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</si>
  <si>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</si>
  <si>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</si>
  <si>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</si>
  <si>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</si>
  <si>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</si>
  <si>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</si>
  <si>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</si>
  <si>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</si>
  <si>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</si>
  <si>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</si>
  <si>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</si>
  <si>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</si>
  <si>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</si>
  <si>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</si>
  <si>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</si>
  <si>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</si>
  <si>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</si>
  <si>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</si>
  <si>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</si>
  <si>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</si>
  <si>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</si>
  <si>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</si>
  <si>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</si>
  <si>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</si>
  <si>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</si>
  <si>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</si>
  <si>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</si>
  <si>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</si>
  <si>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</si>
  <si>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</si>
  <si>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</si>
  <si>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</si>
  <si>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</si>
  <si>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</si>
  <si>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</si>
  <si>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</si>
  <si>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</si>
  <si>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</si>
  <si>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</si>
  <si>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</si>
  <si>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</si>
  <si>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</si>
  <si>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</si>
  <si>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</si>
  <si>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</si>
  <si>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</si>
  <si>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</si>
  <si>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</si>
  <si>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</si>
  <si>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</si>
  <si>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</si>
  <si>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Cumulative Approved Billings to Date (Auto)</t>
  </si>
  <si>
    <t>INITIAL PROJECTED VALUES - DO NOT CHANGE AFTER INITIAL INPUT</t>
  </si>
  <si>
    <t>John Osborne</t>
  </si>
  <si>
    <t>Chris Via</t>
  </si>
  <si>
    <t>Modify future months ONLY.</t>
  </si>
  <si>
    <t>Revised Projected Billings* $</t>
  </si>
  <si>
    <t>Reserved for Amazon Owned Land Costs</t>
  </si>
  <si>
    <t>Total diverted waste (tons)</t>
  </si>
  <si>
    <t>Percentage of construction waste diverted from landfill (%)</t>
  </si>
  <si>
    <t>Total</t>
  </si>
  <si>
    <t>CarDetails</t>
  </si>
  <si>
    <t>Percentage Complete by Day</t>
  </si>
  <si>
    <t>Cumulative Revised Projected Billings (Auto)</t>
  </si>
  <si>
    <t>Sustainability</t>
  </si>
  <si>
    <t>Environmental Product Declarations</t>
  </si>
  <si>
    <t>Construction Waste</t>
  </si>
  <si>
    <t>Dock Seals and Shelters</t>
  </si>
  <si>
    <t>Integrated Automation System</t>
  </si>
  <si>
    <t>Carbon Sequestration</t>
  </si>
  <si>
    <t>EV - Underground Conduit</t>
  </si>
  <si>
    <t>Low VOC</t>
  </si>
  <si>
    <r>
      <t>If the Land Cost owner is</t>
    </r>
    <r>
      <rPr>
        <b/>
        <sz val="12"/>
        <color theme="1"/>
        <rFont val="Calibri"/>
        <family val="2"/>
        <scheme val="minor"/>
      </rPr>
      <t xml:space="preserve"> Amazon</t>
    </r>
    <r>
      <rPr>
        <sz val="12"/>
        <color theme="1"/>
        <rFont val="Calibri"/>
        <family val="2"/>
        <scheme val="minor"/>
      </rPr>
      <t xml:space="preserve">, the </t>
    </r>
    <r>
      <rPr>
        <sz val="12"/>
        <color rgb="FF008000"/>
        <rFont val="Calibri"/>
        <family val="2"/>
        <scheme val="minor"/>
      </rPr>
      <t>Land Cost ECaC</t>
    </r>
    <r>
      <rPr>
        <sz val="12"/>
        <color theme="1"/>
        <rFont val="Calibri"/>
        <family val="2"/>
        <scheme val="minor"/>
      </rPr>
      <t xml:space="preserve"> is added to </t>
    </r>
    <r>
      <rPr>
        <u/>
        <sz val="12"/>
        <color theme="1"/>
        <rFont val="Calibri"/>
        <family val="2"/>
        <scheme val="minor"/>
      </rPr>
      <t>Projected Amazon Contribution</t>
    </r>
    <r>
      <rPr>
        <sz val="12"/>
        <color theme="1"/>
        <rFont val="Calibri"/>
        <family val="2"/>
        <scheme val="minor"/>
      </rPr>
      <t xml:space="preserve"> for the month of the </t>
    </r>
    <r>
      <rPr>
        <b/>
        <sz val="12"/>
        <color theme="1"/>
        <rFont val="Calibri"/>
        <family val="2"/>
        <scheme val="minor"/>
      </rPr>
      <t>Closing Date</t>
    </r>
  </si>
  <si>
    <t>REVISED FORECAST UPDATED MONTHLY</t>
  </si>
  <si>
    <t>REVISED ACTUALS  - UPDATED MONTHLY</t>
  </si>
  <si>
    <t>% Complete Revised Projected Billings</t>
  </si>
  <si>
    <t>% Complete Cumulative (Auto)</t>
  </si>
  <si>
    <t>Cash Flow Analysis</t>
  </si>
  <si>
    <t>David Schleiff</t>
  </si>
  <si>
    <t>Jean Lambert</t>
  </si>
  <si>
    <t>Jim Cornwell</t>
  </si>
  <si>
    <t>KC Rounsaville</t>
  </si>
  <si>
    <t>Manuel Nuno</t>
  </si>
  <si>
    <t>Tom Gercak</t>
  </si>
  <si>
    <t>Site - Carbon Sequestering</t>
  </si>
  <si>
    <t>Low Carbon Concrete</t>
  </si>
  <si>
    <t>01 74 19</t>
  </si>
  <si>
    <t>Construction Waste Diversion and Management</t>
  </si>
  <si>
    <t>Improved Dock Seals</t>
  </si>
  <si>
    <t>LED Lighting - LED Fixtures</t>
  </si>
  <si>
    <t>26 09 23</t>
  </si>
  <si>
    <t>LED Lighting Controls</t>
  </si>
  <si>
    <t>Exterior Lighting Wall Packs - LED Fixtures</t>
  </si>
  <si>
    <t>Electrical / Metering</t>
  </si>
  <si>
    <t>26 27 13</t>
  </si>
  <si>
    <t>Submetering</t>
  </si>
  <si>
    <t>01 33 29</t>
  </si>
  <si>
    <t>EPD Reporting and Sustainability Management</t>
  </si>
  <si>
    <t>EV - Charging Stations</t>
  </si>
  <si>
    <t>26 27 46</t>
  </si>
  <si>
    <t>Electric Vehicle Service Equipment</t>
  </si>
  <si>
    <t>EV - Earthwork</t>
  </si>
  <si>
    <t>26 00 10</t>
  </si>
  <si>
    <t>General Electrical Requirements for EV</t>
  </si>
  <si>
    <t>EV - Underground Cable</t>
  </si>
  <si>
    <t>26 05 19</t>
  </si>
  <si>
    <t>EV Related raceways and boxes for electrical systems (cable)</t>
  </si>
  <si>
    <t>26 05 33</t>
  </si>
  <si>
    <t>EV Related raceways and boxes for electrical systems (conduit)</t>
  </si>
  <si>
    <t>07 54 23</t>
  </si>
  <si>
    <t>White Roof (TPO)</t>
  </si>
  <si>
    <t>23 62 00
23 74 13
23 74 33
23 81 26
23 81 49</t>
  </si>
  <si>
    <t>Electrification of HVAC (ASHP)</t>
  </si>
  <si>
    <t>22 07 00
23 07 00
23 31 13</t>
  </si>
  <si>
    <t>Duct and Pipe Insulation</t>
  </si>
  <si>
    <t>23 05 13</t>
  </si>
  <si>
    <t>Premium Efficiency Motors</t>
  </si>
  <si>
    <t>25 13 00</t>
  </si>
  <si>
    <t>BMS Installation</t>
  </si>
  <si>
    <t>01 61 16</t>
  </si>
  <si>
    <t>Low VOC Materials</t>
  </si>
  <si>
    <t>22 33 00</t>
  </si>
  <si>
    <t>Heat Pump Water Heaters</t>
  </si>
  <si>
    <t>22 40 00</t>
  </si>
  <si>
    <t>Low flow and low flush fixtures</t>
  </si>
  <si>
    <t>24 05 50</t>
  </si>
  <si>
    <t>Low-GWP Refrigerants</t>
  </si>
  <si>
    <t>24 23 00</t>
  </si>
  <si>
    <t>Improved Pipe Insulation for Refrigeration</t>
  </si>
  <si>
    <t>32 12 16</t>
  </si>
  <si>
    <t>Site Parking/truck court paving (low carbon concrete)</t>
  </si>
  <si>
    <t>32 13 13</t>
  </si>
  <si>
    <t>Site Parking/truck court paving (low carbon asphalt)</t>
  </si>
  <si>
    <t>08 62 00</t>
  </si>
  <si>
    <t>Additional Skylights for Daylighting</t>
  </si>
  <si>
    <t>Additional CAR</t>
  </si>
  <si>
    <t>TOTAL CAR BUDGET: (Initial CAR + SUPPLEMENTALS)</t>
  </si>
  <si>
    <r>
      <t xml:space="preserve">TOTAL COMPLETED </t>
    </r>
    <r>
      <rPr>
        <b/>
        <sz val="9"/>
        <rFont val="Arial Narrow"/>
        <family val="2"/>
      </rPr>
      <t>AND/OR</t>
    </r>
    <r>
      <rPr>
        <b/>
        <sz val="10"/>
        <rFont val="Arial Narrow"/>
        <family val="2"/>
      </rPr>
      <t xml:space="preserve"> STORED TO DATE</t>
    </r>
  </si>
  <si>
    <t>SUBTOTAL: LAND, CLOSING and DUE DILIGENCE</t>
  </si>
  <si>
    <t>SOFT COST: PROJECT DESIGN TEAM AND TESTNG TEAM FEES</t>
  </si>
  <si>
    <t>Architecture, S, MEP, FP Design Services</t>
  </si>
  <si>
    <t>Utility Delivery Costs/Fees:Electric, Gas, Data, Phone, Cable</t>
  </si>
  <si>
    <t>SUBTOTAL: DESIGN AND TESTING FEES</t>
  </si>
  <si>
    <t>HARD COST: CONSTRUCTION BASE BUILDING CONTRACT</t>
  </si>
  <si>
    <t>SUBTOTAL: HARD COST</t>
  </si>
  <si>
    <t>CONTINGENCIES and  Allowances</t>
  </si>
  <si>
    <t>SUBTOTAL: CONTINGENCIES</t>
  </si>
  <si>
    <t>SOFT COST (MISCELLANEOUS)</t>
  </si>
  <si>
    <t>Utilities prior to Lease Comm not included in GC Contract</t>
  </si>
  <si>
    <t>FINANCE/CARRY COST</t>
  </si>
  <si>
    <t>Approved Supplementas and Estimated Future Increases</t>
  </si>
  <si>
    <t>TOTAL COMPLETED AND/OR STORED TO DATE</t>
  </si>
  <si>
    <t>PC ID #</t>
  </si>
  <si>
    <t>APPROVED - INCREASE TO GMP/PO</t>
  </si>
  <si>
    <t>APPROVED - COVERED BY GMP/PO</t>
  </si>
  <si>
    <t>Source (IT, ENG, AHJ, Etc.)</t>
  </si>
  <si>
    <t>FUNDING</t>
  </si>
  <si>
    <t>Release: 3.0</t>
  </si>
  <si>
    <t>Actual Buyout</t>
  </si>
  <si>
    <t>Delta</t>
  </si>
  <si>
    <t>Commingled Recycling</t>
  </si>
  <si>
    <t>Material Description</t>
  </si>
  <si>
    <t>Material Type</t>
  </si>
  <si>
    <t>Material Stream</t>
  </si>
  <si>
    <t>Total Amount of materials generated (Tons)</t>
  </si>
  <si>
    <t>Average recycling rate of the sorting facility used during the project active timeline. Include ADC in the recycling rate</t>
  </si>
  <si>
    <t>Average recycling rate of the sorting facility NOT including ADC (%)</t>
  </si>
  <si>
    <t>Certified Commingled Recycling Facility?</t>
  </si>
  <si>
    <t>Diverted Materials (tons)</t>
  </si>
  <si>
    <t>Percent Diverted (%)</t>
  </si>
  <si>
    <t>Total Waste Generated (tons)</t>
  </si>
  <si>
    <t>Total amount of materials generated for the product (tons)</t>
  </si>
  <si>
    <t>Total # of diverted material streams</t>
  </si>
  <si>
    <t xml:space="preserve">Additional material stream if all commingled materials are processed by certified recycling facilities </t>
  </si>
  <si>
    <t>Date *</t>
  </si>
  <si>
    <t>Total construction waste generated (tons)</t>
  </si>
  <si>
    <t>Number of material streams diverted</t>
  </si>
  <si>
    <t>CONTINGENCY CATEGORY</t>
  </si>
  <si>
    <t>ACTUAL COST</t>
  </si>
  <si>
    <t>TI ALLOWANCE &amp; CONTINGENCY REMAINING</t>
  </si>
  <si>
    <t>EC3</t>
  </si>
  <si>
    <t>MEDIUM</t>
  </si>
  <si>
    <t>3PQA</t>
  </si>
  <si>
    <t>Consultants (Direct Hire By Amazon)</t>
  </si>
  <si>
    <t>TOTAL: Soft Cost (Design Team), Hard Cost and Contingencies</t>
  </si>
  <si>
    <t>Quality Control Testing  (Soil, Concrete, Steel etc.)</t>
  </si>
  <si>
    <t>Refrigeration(EU Only)</t>
  </si>
  <si>
    <t>CHANGE ORDER TRACKING LOG</t>
  </si>
  <si>
    <t>Construction by DEV/LL</t>
  </si>
  <si>
    <t>Construction by LL</t>
  </si>
  <si>
    <t>TOTAL - DEVELOPER CONTINGENCY</t>
  </si>
  <si>
    <t>TOTAL - DEVELOPER CONTINGENCY COMMITMENTS</t>
  </si>
  <si>
    <t>TOTAL - DEVELOPER CONTINGENCY REMAINING</t>
  </si>
  <si>
    <t>`</t>
  </si>
  <si>
    <t>CULMULATIVE DELTA</t>
  </si>
  <si>
    <t>IMPACT TO ANY MILESTONE</t>
  </si>
  <si>
    <t>Insert Here</t>
  </si>
  <si>
    <t>Drop Down 2: Material Type</t>
  </si>
  <si>
    <t>Asphalt</t>
  </si>
  <si>
    <t>Cardboard and Paper</t>
  </si>
  <si>
    <t>Exterior Finishes</t>
  </si>
  <si>
    <t>Insulation</t>
  </si>
  <si>
    <t>Interior Finishes</t>
  </si>
  <si>
    <t>Glass / Fenestration</t>
  </si>
  <si>
    <t>Gympsum Board</t>
  </si>
  <si>
    <t>Mixed Materials</t>
  </si>
  <si>
    <t>Plastics</t>
  </si>
  <si>
    <t>Roofing</t>
  </si>
  <si>
    <t>Wood</t>
  </si>
  <si>
    <t>Waste / Trash</t>
  </si>
  <si>
    <t>Other (Specify)</t>
  </si>
  <si>
    <t>Drop Down 3: Material Stream</t>
  </si>
  <si>
    <t>Donated</t>
  </si>
  <si>
    <t>Reused</t>
  </si>
  <si>
    <t>Return to manufacturer</t>
  </si>
  <si>
    <t>Salvaged</t>
  </si>
  <si>
    <t>Recycled - single material (source seperated)</t>
  </si>
  <si>
    <t>Recycled - mixed processing (commingled)</t>
  </si>
  <si>
    <t>Waste Prevention</t>
  </si>
  <si>
    <t>Incineration / Waste-to-energy</t>
  </si>
  <si>
    <t>Landfill / Trash / Waste</t>
  </si>
  <si>
    <t>Revised Projected Developer Contribution $ *</t>
  </si>
  <si>
    <t>Actual Developer Contribution This Period $ *</t>
  </si>
  <si>
    <t>Yes</t>
  </si>
  <si>
    <r>
      <t xml:space="preserve">Click </t>
    </r>
    <r>
      <rPr>
        <sz val="11"/>
        <color theme="1"/>
        <rFont val="Calibri"/>
        <family val="2"/>
        <scheme val="minor"/>
      </rPr>
      <t xml:space="preserve">on "Drivers" tab. Check if </t>
    </r>
    <r>
      <rPr>
        <b/>
        <sz val="11"/>
        <color theme="1"/>
        <rFont val="Calibri"/>
        <family val="2"/>
        <scheme val="minor"/>
      </rPr>
      <t xml:space="preserve"> "MySQL ODBC 5.3 ANSI Driver"</t>
    </r>
  </si>
  <si>
    <t>If "MySQL ODBC 5.3 ANSI Driver" exists, the install is completed.</t>
  </si>
  <si>
    <t>Otherwise, Please process the steps below</t>
  </si>
  <si>
    <t>Winter Conditions/Schedule Acceleration</t>
  </si>
  <si>
    <t>Prelim Bidding to GMP/Material Escalation</t>
  </si>
  <si>
    <t>Other</t>
  </si>
  <si>
    <t>Designated Tenant Allowance - Sprinkler Head Adjustments @ MHE</t>
  </si>
  <si>
    <t>Step 3: Clear Template</t>
  </si>
  <si>
    <t>WHS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</si>
</sst>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m/d/yy;@"/>
    <numFmt numFmtId="167" formatCode="&quot;$&quot;#,##0.00"/>
    <numFmt numFmtId="168" formatCode="mm/dd/yy;@"/>
    <numFmt numFmtId="169" formatCode="[$-409]mmm\-yy;@"/>
    <numFmt numFmtId="170" formatCode="0.0"/>
    <numFmt numFmtId="171" formatCode="0.0%"/>
    <numFmt numFmtId="172" formatCode="_(* #,##0.000_);_(* \(#,##0.000\);_(* &quot;-&quot;??_);_(@_)"/>
  </numFmts>
  <fonts count="94" x14ac:knownFonts="1">
    <font>
      <sz val="11"/>
      <color theme="1"/>
      <name val="Calibri"/>
      <family val="2"/>
      <scheme val="minor"/>
    </font>
    <font>
      <sz val="11"/>
      <color theme="1"/>
      <name val="Calibri"/>
      <family val="2"/>
      <scheme val="minor"/>
    </font>
    <font>
      <sz val="10"/>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name val="Calibri"/>
      <family val="2"/>
      <scheme val="minor"/>
    </font>
    <font>
      <sz val="10"/>
      <name val="Calibri"/>
      <family val="2"/>
      <scheme val="minor"/>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b/>
      <sz val="12"/>
      <color rgb="FF000000"/>
      <name val="Arial Narrow"/>
      <family val="2"/>
    </font>
    <font>
      <sz val="12"/>
      <color rgb="FF000000"/>
      <name val="Arial Narrow"/>
      <family val="2"/>
    </font>
    <font>
      <sz val="12"/>
      <color theme="1"/>
      <name val="Calibri"/>
      <family val="2"/>
      <scheme val="minor"/>
    </font>
    <font>
      <sz val="12"/>
      <color rgb="FF000000"/>
      <name val="Calibri"/>
      <family val="2"/>
      <scheme val="minor"/>
    </font>
    <font>
      <b/>
      <sz val="12"/>
      <name val="Calibri"/>
      <family val="2"/>
      <scheme val="minor"/>
    </font>
    <font>
      <b/>
      <sz val="9"/>
      <color rgb="FF000000"/>
      <name val="Arial Narrow"/>
      <family val="2"/>
    </font>
    <font>
      <b/>
      <sz val="14"/>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b/>
      <sz val="10"/>
      <color theme="0"/>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sz val="12"/>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10"/>
      <color rgb="FF073FDD"/>
      <name val="Calibri"/>
      <family val="2"/>
      <scheme val="minor"/>
    </font>
    <font>
      <sz val="9"/>
      <color indexed="81"/>
      <name val="Tahoma"/>
      <family val="2"/>
    </font>
    <font>
      <b/>
      <sz val="11"/>
      <color theme="0"/>
      <name val="Calibri"/>
      <family val="2"/>
      <scheme val="minor"/>
    </font>
    <font>
      <sz val="11"/>
      <color theme="0"/>
      <name val="Calibri"/>
      <family val="2"/>
      <scheme val="minor"/>
    </font>
    <font>
      <sz val="12"/>
      <color rgb="FF073FDD"/>
      <name val="Calibri"/>
      <family val="2"/>
      <scheme val="minor"/>
    </font>
    <font>
      <b/>
      <sz val="9"/>
      <name val="Calibri"/>
      <family val="2"/>
      <scheme val="minor"/>
    </font>
    <font>
      <sz val="12"/>
      <color rgb="FF0000FF"/>
      <name val="Calibri"/>
      <family val="2"/>
      <scheme val="minor"/>
    </font>
    <font>
      <sz val="12"/>
      <color rgb="FF008000"/>
      <name val="Calibri"/>
      <family val="2"/>
      <scheme val="minor"/>
    </font>
    <font>
      <sz val="12"/>
      <name val="Calibri"/>
      <family val="2"/>
      <scheme val="minor"/>
    </font>
    <font>
      <sz val="12"/>
      <color indexed="81"/>
      <name val="Tahoma"/>
      <family val="2"/>
    </font>
    <font>
      <b/>
      <sz val="12"/>
      <color indexed="81"/>
      <name val="Tahoma"/>
      <family val="2"/>
    </font>
    <font>
      <b/>
      <sz val="12"/>
      <color rgb="FFFF0000"/>
      <name val="Calibri"/>
      <family val="2"/>
      <scheme val="minor"/>
    </font>
    <font>
      <b/>
      <sz val="14"/>
      <name val="Calibri"/>
      <family val="2"/>
      <scheme val="minor"/>
    </font>
    <font>
      <u/>
      <sz val="12"/>
      <color theme="1"/>
      <name val="Calibri"/>
      <family val="2"/>
      <scheme val="minor"/>
    </font>
    <font>
      <b/>
      <sz val="14"/>
      <color theme="1"/>
      <name val="Calibri"/>
      <family val="2"/>
      <scheme val="minor"/>
    </font>
    <font>
      <b/>
      <sz val="14"/>
      <color theme="1"/>
      <name val="Arial Narrow"/>
      <family val="2"/>
    </font>
    <font>
      <b/>
      <sz val="14"/>
      <color theme="0"/>
      <name val="Arial Narrow"/>
      <family val="2"/>
    </font>
    <font>
      <b/>
      <sz val="9"/>
      <name val="Arial Narrow"/>
      <family val="2"/>
    </font>
    <font>
      <sz val="12"/>
      <color theme="1"/>
      <name val="Arial Narrow"/>
      <family val="2"/>
    </font>
    <font>
      <sz val="14"/>
      <color theme="1"/>
      <name val="Arial Narrow"/>
      <family val="2"/>
    </font>
    <font>
      <b/>
      <sz val="10"/>
      <color rgb="FF000000"/>
      <name val="Arial Narrow"/>
      <family val="2"/>
    </font>
    <font>
      <b/>
      <sz val="11"/>
      <color rgb="FFFF0000"/>
      <name val="Arial Narrow"/>
      <family val="2"/>
    </font>
    <font>
      <b/>
      <sz val="12"/>
      <color theme="0"/>
      <name val="Arial Narrow"/>
      <family val="2"/>
    </font>
    <font>
      <b/>
      <sz val="12"/>
      <color theme="0"/>
      <name val="Calibri"/>
      <family val="2"/>
      <scheme val="minor"/>
    </font>
    <font>
      <b/>
      <sz val="11"/>
      <color theme="1"/>
      <name val="Cambria"/>
      <family val="1"/>
    </font>
    <font>
      <sz val="11"/>
      <color theme="1"/>
      <name val="Cambria"/>
      <family val="1"/>
    </font>
  </fonts>
  <fills count="30">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rgb="FFFF0000"/>
        <bgColor indexed="64"/>
      </patternFill>
    </fill>
    <fill>
      <patternFill patternType="lightUp">
        <bgColor rgb="FFFFFF00"/>
      </patternFill>
    </fill>
    <fill>
      <patternFill patternType="solid">
        <fgColor theme="4" tint="-0.249977111117893"/>
        <bgColor indexed="64"/>
      </patternFill>
    </fill>
    <fill>
      <patternFill patternType="lightUp">
        <fgColor theme="2" tint="-0.24994659260841701"/>
        <bgColor indexed="65"/>
      </patternFill>
    </fill>
    <fill>
      <patternFill patternType="solid">
        <fgColor theme="8" tint="0.79998168889431442"/>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indexed="22"/>
        <bgColor indexed="64"/>
      </patternFill>
    </fill>
    <fill>
      <patternFill patternType="solid">
        <fgColor theme="7"/>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4" tint="0.59996337778862885"/>
        <bgColor indexed="64"/>
      </patternFill>
    </fill>
    <fill>
      <patternFill patternType="solid">
        <fgColor theme="5" tint="0.39997558519241921"/>
        <bgColor indexed="64"/>
      </patternFill>
    </fill>
    <fill>
      <patternFill patternType="solid">
        <fgColor rgb="FFF8F8F8"/>
        <bgColor indexed="64"/>
      </patternFill>
    </fill>
  </fills>
  <borders count="16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indexed="64"/>
      </right>
      <top style="hair">
        <color auto="1"/>
      </top>
      <bottom style="medium">
        <color auto="1"/>
      </bottom>
      <diagonal/>
    </border>
    <border>
      <left style="medium">
        <color auto="1"/>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style="double">
        <color auto="1"/>
      </bottom>
      <diagonal/>
    </border>
    <border>
      <left/>
      <right/>
      <top/>
      <bottom style="double">
        <color auto="1"/>
      </bottom>
      <diagonal/>
    </border>
    <border>
      <left/>
      <right style="medium">
        <color auto="1"/>
      </right>
      <top/>
      <bottom style="double">
        <color auto="1"/>
      </bottom>
      <diagonal/>
    </border>
    <border>
      <left style="medium">
        <color auto="1"/>
      </left>
      <right style="thin">
        <color theme="0"/>
      </right>
      <top style="double">
        <color auto="1"/>
      </top>
      <bottom style="thin">
        <color theme="0"/>
      </bottom>
      <diagonal/>
    </border>
    <border>
      <left style="thin">
        <color theme="0"/>
      </left>
      <right style="thin">
        <color theme="0"/>
      </right>
      <top style="double">
        <color auto="1"/>
      </top>
      <bottom style="thin">
        <color theme="0"/>
      </bottom>
      <diagonal/>
    </border>
    <border>
      <left style="thin">
        <color theme="0"/>
      </left>
      <right style="medium">
        <color auto="1"/>
      </right>
      <top style="double">
        <color auto="1"/>
      </top>
      <bottom style="thin">
        <color theme="0"/>
      </bottom>
      <diagonal/>
    </border>
    <border>
      <left style="medium">
        <color auto="1"/>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medium">
        <color auto="1"/>
      </left>
      <right/>
      <top style="thin">
        <color theme="0"/>
      </top>
      <bottom/>
      <diagonal/>
    </border>
    <border>
      <left/>
      <right/>
      <top style="thin">
        <color theme="0"/>
      </top>
      <bottom/>
      <diagonal/>
    </border>
    <border>
      <left/>
      <right style="medium">
        <color auto="1"/>
      </right>
      <top style="thin">
        <color theme="0"/>
      </top>
      <bottom/>
      <diagonal/>
    </border>
    <border>
      <left style="medium">
        <color auto="1"/>
      </left>
      <right/>
      <top/>
      <bottom style="thin">
        <color theme="0"/>
      </bottom>
      <diagonal/>
    </border>
    <border>
      <left/>
      <right/>
      <top/>
      <bottom style="thin">
        <color theme="0"/>
      </bottom>
      <diagonal/>
    </border>
    <border>
      <left/>
      <right style="medium">
        <color auto="1"/>
      </right>
      <top/>
      <bottom style="thin">
        <color theme="0"/>
      </bottom>
      <diagonal/>
    </border>
    <border>
      <left style="medium">
        <color auto="1"/>
      </left>
      <right/>
      <top style="thin">
        <color theme="0"/>
      </top>
      <bottom style="thin">
        <color theme="0"/>
      </bottom>
      <diagonal/>
    </border>
    <border>
      <left/>
      <right/>
      <top style="thin">
        <color theme="0"/>
      </top>
      <bottom style="thin">
        <color theme="0"/>
      </bottom>
      <diagonal/>
    </border>
    <border>
      <left/>
      <right style="medium">
        <color auto="1"/>
      </right>
      <top style="thin">
        <color theme="0"/>
      </top>
      <bottom style="thin">
        <color theme="0"/>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thick">
        <color auto="1"/>
      </left>
      <right/>
      <top style="thick">
        <color auto="1"/>
      </top>
      <bottom/>
      <diagonal/>
    </border>
    <border>
      <left/>
      <right style="thick">
        <color auto="1"/>
      </right>
      <top/>
      <bottom/>
      <diagonal/>
    </border>
    <border>
      <left/>
      <right style="thin">
        <color auto="1"/>
      </right>
      <top style="medium">
        <color indexed="64"/>
      </top>
      <bottom style="thin">
        <color auto="1"/>
      </bottom>
      <diagonal/>
    </border>
    <border>
      <left/>
      <right style="medium">
        <color indexed="64"/>
      </right>
      <top style="thin">
        <color indexed="64"/>
      </top>
      <bottom style="medium">
        <color indexed="64"/>
      </bottom>
      <diagonal/>
    </border>
    <border>
      <left style="thick">
        <color auto="1"/>
      </left>
      <right/>
      <top/>
      <bottom/>
      <diagonal/>
    </border>
    <border>
      <left/>
      <right/>
      <top style="thick">
        <color auto="1"/>
      </top>
      <bottom/>
      <diagonal/>
    </border>
    <border>
      <left/>
      <right style="thick">
        <color auto="1"/>
      </right>
      <top style="thick">
        <color auto="1"/>
      </top>
      <bottom/>
      <diagonal/>
    </border>
    <border>
      <left style="thick">
        <color auto="1"/>
      </left>
      <right style="thin">
        <color auto="1"/>
      </right>
      <top style="thick">
        <color auto="1"/>
      </top>
      <bottom style="double">
        <color auto="1"/>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medium">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auto="1"/>
      </right>
      <top style="thin">
        <color auto="1"/>
      </top>
      <bottom style="medium">
        <color auto="1"/>
      </bottom>
      <diagonal/>
    </border>
    <border>
      <left style="thin">
        <color auto="1"/>
      </left>
      <right style="thin">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style="medium">
        <color auto="1"/>
      </bottom>
      <diagonal/>
    </border>
    <border>
      <left/>
      <right style="thin">
        <color auto="1"/>
      </right>
      <top/>
      <bottom style="medium">
        <color auto="1"/>
      </bottom>
      <diagonal/>
    </border>
    <border>
      <left style="thin">
        <color auto="1"/>
      </left>
      <right/>
      <top style="thin">
        <color auto="1"/>
      </top>
      <bottom/>
      <diagonal/>
    </border>
    <border>
      <left style="thin">
        <color auto="1"/>
      </left>
      <right/>
      <top/>
      <bottom style="thin">
        <color auto="1"/>
      </bottom>
      <diagonal/>
    </border>
    <border>
      <left style="thick">
        <color auto="1"/>
      </left>
      <right style="thin">
        <color theme="4" tint="0.39994506668294322"/>
      </right>
      <top style="double">
        <color auto="1"/>
      </top>
      <bottom style="thin">
        <color theme="4" tint="0.39994506668294322"/>
      </bottom>
      <diagonal/>
    </border>
    <border>
      <left style="thin">
        <color theme="4" tint="0.39994506668294322"/>
      </left>
      <right style="thin">
        <color theme="4" tint="0.39994506668294322"/>
      </right>
      <top style="double">
        <color auto="1"/>
      </top>
      <bottom style="thin">
        <color theme="4" tint="0.39994506668294322"/>
      </bottom>
      <diagonal/>
    </border>
    <border>
      <left style="thin">
        <color theme="4" tint="0.39994506668294322"/>
      </left>
      <right style="thick">
        <color auto="1"/>
      </right>
      <top style="double">
        <color auto="1"/>
      </top>
      <bottom style="thin">
        <color theme="4" tint="0.39994506668294322"/>
      </bottom>
      <diagonal/>
    </border>
    <border>
      <left style="thick">
        <color auto="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auto="1"/>
      </right>
      <top style="thin">
        <color theme="4" tint="0.39994506668294322"/>
      </top>
      <bottom style="thin">
        <color theme="4" tint="0.39994506668294322"/>
      </bottom>
      <diagonal/>
    </border>
    <border>
      <left style="thick">
        <color auto="1"/>
      </left>
      <right style="thin">
        <color theme="4" tint="0.39994506668294322"/>
      </right>
      <top style="thin">
        <color theme="4" tint="0.39994506668294322"/>
      </top>
      <bottom style="thick">
        <color auto="1"/>
      </bottom>
      <diagonal/>
    </border>
    <border>
      <left style="thin">
        <color theme="4" tint="0.39994506668294322"/>
      </left>
      <right style="thin">
        <color theme="4" tint="0.39994506668294322"/>
      </right>
      <top style="thin">
        <color theme="4" tint="0.39994506668294322"/>
      </top>
      <bottom style="thick">
        <color auto="1"/>
      </bottom>
      <diagonal/>
    </border>
    <border>
      <left style="thin">
        <color theme="4" tint="0.39994506668294322"/>
      </left>
      <right style="thick">
        <color auto="1"/>
      </right>
      <top style="thin">
        <color theme="4" tint="0.39994506668294322"/>
      </top>
      <bottom style="thick">
        <color auto="1"/>
      </bottom>
      <diagonal/>
    </border>
    <border>
      <left style="thin">
        <color auto="1"/>
      </left>
      <right/>
      <top/>
      <bottom/>
      <diagonal/>
    </border>
    <border>
      <left style="thin">
        <color auto="1"/>
      </left>
      <right style="thin">
        <color auto="1"/>
      </right>
      <top/>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bottom style="thin">
        <color auto="1"/>
      </bottom>
      <diagonal/>
    </border>
    <border>
      <left style="thin">
        <color auto="1"/>
      </left>
      <right/>
      <top style="thick">
        <color auto="1"/>
      </top>
      <bottom style="double">
        <color auto="1"/>
      </bottom>
      <diagonal/>
    </border>
    <border>
      <left/>
      <right style="slantDashDot">
        <color auto="1"/>
      </right>
      <top/>
      <bottom/>
      <diagonal/>
    </border>
    <border>
      <left/>
      <right style="thick">
        <color indexed="64"/>
      </right>
      <top style="medium">
        <color auto="1"/>
      </top>
      <bottom/>
      <diagonal/>
    </border>
    <border>
      <left style="thin">
        <color auto="1"/>
      </left>
      <right style="thick">
        <color indexed="64"/>
      </right>
      <top style="medium">
        <color auto="1"/>
      </top>
      <bottom style="medium">
        <color auto="1"/>
      </bottom>
      <diagonal/>
    </border>
    <border>
      <left style="medium">
        <color auto="1"/>
      </left>
      <right style="thin">
        <color theme="0" tint="-0.249977111117893"/>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thin">
        <color theme="0" tint="-0.249977111117893"/>
      </left>
      <right style="medium">
        <color auto="1"/>
      </right>
      <top style="medium">
        <color auto="1"/>
      </top>
      <bottom style="medium">
        <color auto="1"/>
      </bottom>
      <diagonal/>
    </border>
    <border>
      <left style="medium">
        <color auto="1"/>
      </left>
      <right style="thin">
        <color auto="1"/>
      </right>
      <top style="medium">
        <color auto="1"/>
      </top>
      <bottom style="thin">
        <color theme="0" tint="-0.249977111117893"/>
      </bottom>
      <diagonal/>
    </border>
    <border>
      <left style="thin">
        <color auto="1"/>
      </left>
      <right style="thin">
        <color auto="1"/>
      </right>
      <top style="medium">
        <color auto="1"/>
      </top>
      <bottom style="thin">
        <color theme="0" tint="-0.249977111117893"/>
      </bottom>
      <diagonal/>
    </border>
    <border>
      <left style="thin">
        <color auto="1"/>
      </left>
      <right style="medium">
        <color auto="1"/>
      </right>
      <top style="medium">
        <color auto="1"/>
      </top>
      <bottom style="thin">
        <color theme="0" tint="-0.249977111117893"/>
      </bottom>
      <diagonal/>
    </border>
    <border>
      <left style="medium">
        <color auto="1"/>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rgb="FFBFBFBF"/>
      </left>
      <right style="thin">
        <color rgb="FFBFBFBF"/>
      </right>
      <top/>
      <bottom style="thin">
        <color rgb="FFBFBFBF"/>
      </bottom>
      <diagonal/>
    </border>
    <border>
      <left style="thin">
        <color theme="0" tint="-0.249977111117893"/>
      </left>
      <right style="medium">
        <color auto="1"/>
      </right>
      <top/>
      <bottom style="thin">
        <color theme="0" tint="-0.249977111117893"/>
      </bottom>
      <diagonal/>
    </border>
    <border>
      <left style="thin">
        <color theme="0" tint="-0.249977111117893"/>
      </left>
      <right style="thin">
        <color theme="0" tint="-0.249977111117893"/>
      </right>
      <top/>
      <bottom/>
      <diagonal/>
    </border>
    <border>
      <left style="thin">
        <color rgb="FFBFBFBF"/>
      </left>
      <right style="thin">
        <color rgb="FFBFBFBF"/>
      </right>
      <top/>
      <bottom/>
      <diagonal/>
    </border>
    <border>
      <left style="medium">
        <color auto="1"/>
      </left>
      <right/>
      <top style="thin">
        <color auto="1"/>
      </top>
      <bottom/>
      <diagonal/>
    </border>
    <border>
      <left/>
      <right/>
      <top style="thin">
        <color auto="1"/>
      </top>
      <bottom/>
      <diagonal/>
    </border>
    <border>
      <left/>
      <right style="medium">
        <color auto="1"/>
      </right>
      <top style="thin">
        <color theme="0" tint="-0.499984740745262"/>
      </top>
      <bottom style="thin">
        <color theme="0" tint="-0.24994659260841701"/>
      </bottom>
      <diagonal/>
    </border>
    <border>
      <left style="medium">
        <color auto="1"/>
      </left>
      <right style="thin">
        <color indexed="64"/>
      </right>
      <top/>
      <bottom/>
      <diagonal/>
    </border>
    <border>
      <left/>
      <right style="medium">
        <color auto="1"/>
      </right>
      <top style="thin">
        <color theme="0" tint="-0.249977111117893"/>
      </top>
      <bottom style="thin">
        <color theme="0" tint="-0.249977111117893"/>
      </bottom>
      <diagonal/>
    </border>
    <border>
      <left/>
      <right style="medium">
        <color auto="1"/>
      </right>
      <top style="thin">
        <color theme="0" tint="-0.249977111117893"/>
      </top>
      <bottom/>
      <diagonal/>
    </border>
    <border>
      <left style="medium">
        <color auto="1"/>
      </left>
      <right/>
      <top/>
      <bottom style="thin">
        <color auto="1"/>
      </bottom>
      <diagonal/>
    </border>
    <border>
      <left/>
      <right style="medium">
        <color auto="1"/>
      </right>
      <top/>
      <bottom style="thin">
        <color theme="0" tint="-0.499984740745262"/>
      </bottom>
      <diagonal/>
    </border>
    <border>
      <left/>
      <right style="medium">
        <color auto="1"/>
      </right>
      <top style="thin">
        <color theme="0" tint="-0.249977111117893"/>
      </top>
      <bottom style="medium">
        <color auto="1"/>
      </bottom>
      <diagonal/>
    </border>
    <border>
      <left style="thin">
        <color auto="1"/>
      </left>
      <right/>
      <top style="medium">
        <color auto="1"/>
      </top>
      <bottom/>
      <diagonal/>
    </border>
    <border>
      <left style="thin">
        <color auto="1"/>
      </left>
      <right style="medium">
        <color auto="1"/>
      </right>
      <top style="medium">
        <color auto="1"/>
      </top>
      <bottom/>
      <diagonal/>
    </border>
    <border>
      <left style="medium">
        <color auto="1"/>
      </left>
      <right style="dotted">
        <color indexed="64"/>
      </right>
      <top/>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indexed="64"/>
      </right>
      <top style="hair">
        <color auto="1"/>
      </top>
      <bottom/>
      <diagonal/>
    </border>
    <border>
      <left/>
      <right style="medium">
        <color indexed="64"/>
      </right>
      <top style="hair">
        <color auto="1"/>
      </top>
      <bottom style="medium">
        <color auto="1"/>
      </bottom>
      <diagonal/>
    </border>
    <border>
      <left style="thin">
        <color auto="1"/>
      </left>
      <right style="medium">
        <color indexed="64"/>
      </right>
      <top style="hair">
        <color auto="1"/>
      </top>
      <bottom/>
      <diagonal/>
    </border>
  </borders>
  <cellStyleXfs count="20">
    <xf numFmtId="0" fontId="0" fillId="0" borderId="0"/>
    <xf numFmtId="44" fontId="1"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20" fillId="0" borderId="0" applyNumberFormat="0" applyFill="0" applyBorder="0" applyAlignment="0" applyProtection="0">
      <alignment vertical="top"/>
      <protection locked="0"/>
    </xf>
    <xf numFmtId="0" fontId="1" fillId="0" borderId="0"/>
    <xf numFmtId="9" fontId="4" fillId="0" borderId="0" applyFont="0" applyFill="0" applyBorder="0" applyAlignment="0" applyProtection="0"/>
    <xf numFmtId="9" fontId="4" fillId="0" borderId="0" applyFont="0" applyFill="0" applyBorder="0" applyAlignment="0" applyProtection="0"/>
    <xf numFmtId="0" fontId="24" fillId="0" borderId="0"/>
    <xf numFmtId="9" fontId="1" fillId="0" borderId="0" applyFont="0" applyFill="0" applyBorder="0" applyAlignment="0" applyProtection="0"/>
    <xf numFmtId="0" fontId="52" fillId="0" borderId="0" applyNumberFormat="0" applyFill="0" applyBorder="0" applyAlignment="0" applyProtection="0"/>
    <xf numFmtId="43" fontId="1" fillId="0" borderId="0" applyFont="0" applyFill="0" applyBorder="0" applyAlignment="0" applyProtection="0"/>
  </cellStyleXfs>
  <cellXfs count="631">
    <xf numFmtId="0" fontId="0" fillId="0" borderId="0" xfId="0"/>
    <xf numFmtId="0" fontId="19" fillId="0" borderId="0" xfId="0" applyFont="1"/>
    <xf numFmtId="0" fontId="2" fillId="0" borderId="12" xfId="1" applyNumberFormat="1" applyFont="1" applyBorder="1" applyAlignment="1" applyProtection="1"/>
    <xf numFmtId="44" fontId="2" fillId="0" borderId="13" xfId="1" applyNumberFormat="1" applyFont="1" applyBorder="1" applyAlignment="1" applyProtection="1"/>
    <xf numFmtId="9" fontId="2" fillId="0" borderId="13" xfId="17" applyFont="1" applyBorder="1" applyAlignment="1" applyProtection="1"/>
    <xf numFmtId="9" fontId="2" fillId="0" borderId="14" xfId="17"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9" fontId="2" fillId="0" borderId="9" xfId="17" applyFont="1" applyBorder="1" applyAlignment="1" applyProtection="1"/>
    <xf numFmtId="9" fontId="2" fillId="0" borderId="15" xfId="17" applyFont="1" applyBorder="1" applyAlignment="1" applyProtection="1"/>
    <xf numFmtId="0" fontId="9" fillId="0" borderId="49" xfId="3" applyFont="1" applyBorder="1" applyAlignment="1" applyProtection="1">
      <alignment horizontal="left"/>
    </xf>
    <xf numFmtId="0" fontId="10" fillId="0" borderId="0" xfId="0" applyFont="1" applyAlignment="1" applyProtection="1">
      <alignment horizontal="left"/>
    </xf>
    <xf numFmtId="0" fontId="5" fillId="0" borderId="4" xfId="2" applyFont="1" applyBorder="1" applyAlignment="1" applyProtection="1">
      <alignment horizontal="left"/>
    </xf>
    <xf numFmtId="0" fontId="5" fillId="0" borderId="47" xfId="2" applyFont="1" applyBorder="1" applyAlignment="1" applyProtection="1">
      <alignment horizontal="left"/>
    </xf>
    <xf numFmtId="0" fontId="5" fillId="0" borderId="49" xfId="2" applyFont="1" applyBorder="1" applyAlignment="1" applyProtection="1">
      <alignment horizontal="left"/>
    </xf>
    <xf numFmtId="0" fontId="3" fillId="3" borderId="23" xfId="0" applyFont="1" applyFill="1" applyBorder="1" applyAlignment="1" applyProtection="1">
      <alignment horizontal="left"/>
    </xf>
    <xf numFmtId="0" fontId="3" fillId="3" borderId="20" xfId="0" applyFont="1" applyFill="1" applyBorder="1" applyProtection="1"/>
    <xf numFmtId="0" fontId="3" fillId="3" borderId="24" xfId="0" applyFont="1" applyFill="1" applyBorder="1" applyProtection="1"/>
    <xf numFmtId="0" fontId="8" fillId="0" borderId="22" xfId="0" applyFont="1" applyBorder="1" applyProtection="1"/>
    <xf numFmtId="0" fontId="8" fillId="0" borderId="0" xfId="0" applyFont="1" applyProtection="1"/>
    <xf numFmtId="0" fontId="9" fillId="0" borderId="48" xfId="2" applyFont="1" applyBorder="1" applyAlignment="1" applyProtection="1">
      <alignment horizontal="left"/>
    </xf>
    <xf numFmtId="0" fontId="9" fillId="0" borderId="25" xfId="2" applyFont="1" applyBorder="1" applyAlignment="1" applyProtection="1">
      <alignment horizontal="left"/>
    </xf>
    <xf numFmtId="0" fontId="9" fillId="0" borderId="55" xfId="2" applyFont="1" applyBorder="1" applyAlignment="1" applyProtection="1">
      <alignment horizontal="left"/>
    </xf>
    <xf numFmtId="0" fontId="5" fillId="0" borderId="54" xfId="2" applyFont="1" applyBorder="1" applyAlignment="1" applyProtection="1">
      <alignment horizontal="left"/>
    </xf>
    <xf numFmtId="44" fontId="21" fillId="2" borderId="11" xfId="16" applyNumberFormat="1" applyFont="1" applyFill="1" applyBorder="1" applyProtection="1"/>
    <xf numFmtId="0" fontId="21" fillId="0" borderId="0" xfId="16" applyFont="1" applyProtection="1"/>
    <xf numFmtId="0" fontId="24" fillId="0" borderId="0" xfId="16" applyProtection="1"/>
    <xf numFmtId="44" fontId="3" fillId="3" borderId="3" xfId="0" applyNumberFormat="1" applyFont="1" applyFill="1" applyBorder="1" applyAlignment="1" applyProtection="1">
      <alignment horizontal="center"/>
    </xf>
    <xf numFmtId="44" fontId="3" fillId="3" borderId="10" xfId="0" applyNumberFormat="1" applyFont="1" applyFill="1" applyBorder="1" applyAlignment="1" applyProtection="1">
      <alignment horizontal="center"/>
    </xf>
    <xf numFmtId="0" fontId="3" fillId="3" borderId="20" xfId="0" applyFont="1" applyFill="1" applyBorder="1" applyAlignment="1" applyProtection="1">
      <alignment horizontal="center"/>
    </xf>
    <xf numFmtId="0" fontId="3" fillId="3" borderId="2" xfId="0" applyFont="1" applyFill="1" applyBorder="1" applyAlignment="1" applyProtection="1">
      <alignment horizontal="left"/>
    </xf>
    <xf numFmtId="0" fontId="25" fillId="5" borderId="7" xfId="0" applyNumberFormat="1" applyFont="1" applyFill="1" applyBorder="1" applyProtection="1"/>
    <xf numFmtId="0" fontId="0" fillId="0" borderId="10" xfId="0" applyBorder="1" applyProtection="1"/>
    <xf numFmtId="0" fontId="21" fillId="0" borderId="0" xfId="0" applyFont="1" applyProtection="1"/>
    <xf numFmtId="0" fontId="19" fillId="0" borderId="2" xfId="0" applyFont="1" applyBorder="1" applyProtection="1"/>
    <xf numFmtId="0" fontId="26" fillId="5" borderId="2" xfId="3" applyFont="1" applyFill="1" applyBorder="1" applyAlignment="1" applyProtection="1">
      <alignment horizontal="left"/>
    </xf>
    <xf numFmtId="0" fontId="8" fillId="0" borderId="0" xfId="0" applyFont="1" applyAlignment="1" applyProtection="1">
      <alignment horizontal="left"/>
    </xf>
    <xf numFmtId="0" fontId="38" fillId="3" borderId="2" xfId="0" applyFont="1" applyFill="1" applyBorder="1" applyAlignment="1" applyProtection="1">
      <alignment horizontal="left"/>
    </xf>
    <xf numFmtId="0" fontId="40" fillId="0" borderId="22" xfId="3" applyFont="1" applyBorder="1" applyAlignment="1" applyProtection="1"/>
    <xf numFmtId="0" fontId="40" fillId="6" borderId="22" xfId="3" applyFont="1" applyFill="1" applyBorder="1" applyAlignment="1" applyProtection="1">
      <alignment horizontal="left"/>
    </xf>
    <xf numFmtId="0" fontId="40" fillId="0" borderId="22" xfId="3" applyFont="1" applyBorder="1" applyAlignment="1" applyProtection="1">
      <alignment horizontal="left"/>
    </xf>
    <xf numFmtId="0" fontId="43" fillId="6" borderId="71" xfId="0" applyFont="1" applyFill="1" applyBorder="1" applyAlignment="1" applyProtection="1">
      <alignment vertical="center"/>
    </xf>
    <xf numFmtId="0" fontId="43" fillId="6" borderId="72" xfId="0" applyFont="1" applyFill="1" applyBorder="1" applyAlignment="1" applyProtection="1">
      <alignment vertical="center"/>
    </xf>
    <xf numFmtId="0" fontId="43" fillId="6" borderId="73" xfId="0" applyFont="1" applyFill="1" applyBorder="1" applyAlignment="1" applyProtection="1">
      <alignment vertical="center"/>
    </xf>
    <xf numFmtId="0" fontId="43" fillId="0" borderId="74" xfId="0" applyFont="1" applyFill="1" applyBorder="1" applyAlignment="1" applyProtection="1">
      <alignment horizontal="center" vertical="center"/>
    </xf>
    <xf numFmtId="0" fontId="43" fillId="0" borderId="75" xfId="0" applyFont="1" applyFill="1" applyBorder="1" applyAlignment="1" applyProtection="1">
      <alignment horizontal="center" vertical="center"/>
    </xf>
    <xf numFmtId="0" fontId="43" fillId="0" borderId="76" xfId="0" applyFont="1" applyFill="1" applyBorder="1" applyAlignment="1" applyProtection="1">
      <alignment horizontal="center" vertical="center"/>
    </xf>
    <xf numFmtId="0" fontId="47" fillId="0" borderId="86" xfId="0" applyFont="1" applyFill="1" applyBorder="1" applyAlignment="1">
      <alignment vertical="center"/>
    </xf>
    <xf numFmtId="0" fontId="39" fillId="0" borderId="86" xfId="0" applyFont="1" applyFill="1" applyBorder="1"/>
    <xf numFmtId="14" fontId="39" fillId="0" borderId="86" xfId="0" applyNumberFormat="1" applyFont="1" applyFill="1" applyBorder="1"/>
    <xf numFmtId="0" fontId="48" fillId="8" borderId="0" xfId="0" applyFont="1" applyFill="1" applyAlignment="1"/>
    <xf numFmtId="0" fontId="0" fillId="8" borderId="0" xfId="0" applyFill="1"/>
    <xf numFmtId="14" fontId="0" fillId="8" borderId="0" xfId="0" applyNumberFormat="1" applyFill="1"/>
    <xf numFmtId="14" fontId="0" fillId="0" borderId="0" xfId="0" applyNumberFormat="1"/>
    <xf numFmtId="0" fontId="50" fillId="10" borderId="0" xfId="0" applyFont="1" applyFill="1"/>
    <xf numFmtId="0" fontId="0" fillId="10" borderId="0" xfId="0" applyFill="1"/>
    <xf numFmtId="14" fontId="0" fillId="10" borderId="0" xfId="0" applyNumberFormat="1" applyFill="1"/>
    <xf numFmtId="0" fontId="48" fillId="0" borderId="0" xfId="0" applyFont="1"/>
    <xf numFmtId="0" fontId="0" fillId="0" borderId="0" xfId="0" applyFill="1"/>
    <xf numFmtId="0" fontId="54" fillId="0" borderId="87" xfId="0" applyFont="1" applyFill="1" applyBorder="1" applyAlignment="1">
      <alignment vertical="center"/>
    </xf>
    <xf numFmtId="0" fontId="0" fillId="0" borderId="87" xfId="0" applyFill="1" applyBorder="1"/>
    <xf numFmtId="14" fontId="0" fillId="0" borderId="87" xfId="0" applyNumberFormat="1" applyFill="1" applyBorder="1"/>
    <xf numFmtId="0" fontId="16" fillId="0" borderId="0" xfId="0" applyFont="1" applyFill="1" applyAlignment="1">
      <alignment vertical="center"/>
    </xf>
    <xf numFmtId="0" fontId="0" fillId="0" borderId="0" xfId="0" applyFill="1" applyBorder="1"/>
    <xf numFmtId="14" fontId="0" fillId="0" borderId="0" xfId="0" applyNumberFormat="1" applyFill="1" applyBorder="1"/>
    <xf numFmtId="0" fontId="21" fillId="0" borderId="0" xfId="0" applyFont="1"/>
    <xf numFmtId="0" fontId="56" fillId="0" borderId="0" xfId="0" applyFont="1"/>
    <xf numFmtId="0" fontId="50" fillId="0" borderId="0" xfId="0" applyFont="1"/>
    <xf numFmtId="0" fontId="55" fillId="0" borderId="0" xfId="0" applyFont="1"/>
    <xf numFmtId="0" fontId="48" fillId="10" borderId="0" xfId="0" applyFont="1" applyFill="1"/>
    <xf numFmtId="0" fontId="60" fillId="0" borderId="87" xfId="0" applyFont="1" applyFill="1" applyBorder="1" applyAlignment="1"/>
    <xf numFmtId="0" fontId="46" fillId="0" borderId="87" xfId="0" applyFont="1" applyFill="1" applyBorder="1"/>
    <xf numFmtId="14" fontId="46" fillId="0" borderId="87" xfId="0" applyNumberFormat="1" applyFont="1" applyFill="1" applyBorder="1"/>
    <xf numFmtId="0" fontId="46" fillId="0" borderId="0" xfId="0" applyFont="1" applyFill="1" applyBorder="1"/>
    <xf numFmtId="14" fontId="46" fillId="0" borderId="0" xfId="0" applyNumberFormat="1" applyFont="1" applyFill="1" applyBorder="1"/>
    <xf numFmtId="0" fontId="61" fillId="0" borderId="0" xfId="0" applyFont="1" applyFill="1" applyBorder="1" applyAlignment="1">
      <alignment vertical="center"/>
    </xf>
    <xf numFmtId="0" fontId="19" fillId="0" borderId="88" xfId="0" applyFont="1" applyBorder="1"/>
    <xf numFmtId="0" fontId="46" fillId="0" borderId="88" xfId="0" applyFont="1" applyFill="1" applyBorder="1"/>
    <xf numFmtId="14" fontId="46" fillId="0" borderId="88" xfId="0" applyNumberFormat="1" applyFont="1" applyFill="1" applyBorder="1"/>
    <xf numFmtId="0" fontId="63" fillId="11" borderId="0" xfId="0" applyFont="1" applyFill="1"/>
    <xf numFmtId="0" fontId="46" fillId="11" borderId="0" xfId="0" applyFont="1" applyFill="1" applyBorder="1"/>
    <xf numFmtId="14" fontId="46" fillId="11" borderId="0" xfId="0" applyNumberFormat="1" applyFont="1" applyFill="1" applyBorder="1"/>
    <xf numFmtId="0" fontId="62" fillId="0" borderId="0" xfId="0" applyFont="1"/>
    <xf numFmtId="0" fontId="52" fillId="0" borderId="0" xfId="18" applyAlignment="1"/>
    <xf numFmtId="0" fontId="62"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7" fillId="0" borderId="0" xfId="0" applyFont="1" applyFill="1" applyBorder="1"/>
    <xf numFmtId="0" fontId="19" fillId="0" borderId="0" xfId="0" applyFont="1" applyBorder="1"/>
    <xf numFmtId="0" fontId="65" fillId="0" borderId="0" xfId="0" applyFont="1"/>
    <xf numFmtId="0" fontId="6" fillId="0" borderId="2" xfId="0" applyFont="1" applyBorder="1" applyAlignment="1" applyProtection="1">
      <alignment wrapText="1"/>
    </xf>
    <xf numFmtId="6" fontId="2" fillId="0" borderId="16" xfId="1" applyNumberFormat="1" applyFont="1" applyBorder="1" applyAlignment="1" applyProtection="1"/>
    <xf numFmtId="44" fontId="2" fillId="0" borderId="17" xfId="1" applyNumberFormat="1" applyFont="1" applyBorder="1" applyAlignment="1" applyProtection="1"/>
    <xf numFmtId="9" fontId="2" fillId="0" borderId="17" xfId="17" applyFont="1" applyBorder="1" applyAlignment="1" applyProtection="1"/>
    <xf numFmtId="9" fontId="2" fillId="0" borderId="18" xfId="17" applyFont="1" applyBorder="1" applyAlignment="1" applyProtection="1"/>
    <xf numFmtId="166" fontId="9" fillId="0" borderId="11" xfId="2" applyNumberFormat="1" applyFont="1" applyBorder="1" applyAlignment="1" applyProtection="1">
      <alignment horizontal="left"/>
    </xf>
    <xf numFmtId="0" fontId="0" fillId="0" borderId="0" xfId="0" applyProtection="1"/>
    <xf numFmtId="0" fontId="5" fillId="0" borderId="0" xfId="2" applyFont="1" applyBorder="1" applyAlignment="1" applyProtection="1">
      <alignment horizontal="left"/>
    </xf>
    <xf numFmtId="0" fontId="9" fillId="0" borderId="0" xfId="2" applyFont="1" applyBorder="1" applyAlignment="1" applyProtection="1">
      <alignment horizontal="left"/>
    </xf>
    <xf numFmtId="0" fontId="0" fillId="0" borderId="0" xfId="0" applyAlignment="1" applyProtection="1">
      <alignment horizontal="center"/>
    </xf>
    <xf numFmtId="0" fontId="39" fillId="0" borderId="47" xfId="0" applyFont="1" applyBorder="1" applyAlignment="1" applyProtection="1">
      <alignment horizontal="center"/>
    </xf>
    <xf numFmtId="0" fontId="39" fillId="0" borderId="49" xfId="0" applyFont="1" applyBorder="1" applyAlignment="1" applyProtection="1">
      <alignment horizontal="center"/>
    </xf>
    <xf numFmtId="0" fontId="39" fillId="0" borderId="1" xfId="0" applyFont="1" applyBorder="1" applyAlignment="1" applyProtection="1">
      <alignment horizontal="center"/>
    </xf>
    <xf numFmtId="0" fontId="39" fillId="0" borderId="54" xfId="0" applyFont="1" applyBorder="1" applyAlignment="1" applyProtection="1">
      <alignment horizontal="center"/>
    </xf>
    <xf numFmtId="0" fontId="39" fillId="0" borderId="27" xfId="0" applyFont="1" applyBorder="1" applyAlignment="1" applyProtection="1">
      <alignment horizontal="center"/>
    </xf>
    <xf numFmtId="0" fontId="39" fillId="0" borderId="0" xfId="0" applyFont="1" applyProtection="1"/>
    <xf numFmtId="0" fontId="39" fillId="0" borderId="47" xfId="0" applyFont="1" applyBorder="1" applyAlignment="1" applyProtection="1">
      <alignment horizontal="center" vertical="center"/>
    </xf>
    <xf numFmtId="164" fontId="39" fillId="0" borderId="56" xfId="1" applyNumberFormat="1" applyFont="1" applyBorder="1" applyAlignment="1" applyProtection="1">
      <alignment horizontal="center"/>
    </xf>
    <xf numFmtId="167" fontId="39" fillId="0" borderId="48" xfId="0" applyNumberFormat="1" applyFont="1" applyBorder="1" applyAlignment="1" applyProtection="1">
      <alignment horizontal="center"/>
    </xf>
    <xf numFmtId="0" fontId="39" fillId="0" borderId="49" xfId="0" applyFont="1" applyBorder="1" applyAlignment="1" applyProtection="1">
      <alignment horizontal="center" vertical="center"/>
    </xf>
    <xf numFmtId="164" fontId="39" fillId="0" borderId="1" xfId="1" applyNumberFormat="1" applyFont="1" applyBorder="1" applyAlignment="1" applyProtection="1">
      <alignment horizontal="center"/>
    </xf>
    <xf numFmtId="167" fontId="39" fillId="0" borderId="25" xfId="0" applyNumberFormat="1" applyFont="1" applyBorder="1" applyAlignment="1" applyProtection="1">
      <alignment horizontal="center"/>
    </xf>
    <xf numFmtId="0" fontId="17" fillId="0" borderId="54" xfId="0" applyFont="1" applyBorder="1" applyAlignment="1" applyProtection="1">
      <alignment horizontal="center"/>
    </xf>
    <xf numFmtId="164" fontId="17" fillId="0" borderId="27" xfId="0" applyNumberFormat="1" applyFont="1" applyBorder="1" applyProtection="1"/>
    <xf numFmtId="167" fontId="17" fillId="0" borderId="55" xfId="0" applyNumberFormat="1" applyFont="1" applyBorder="1" applyAlignment="1" applyProtection="1">
      <alignment horizontal="center"/>
    </xf>
    <xf numFmtId="44" fontId="21" fillId="2" borderId="6" xfId="16" applyNumberFormat="1" applyFont="1" applyFill="1" applyBorder="1" applyProtection="1"/>
    <xf numFmtId="0" fontId="24" fillId="0" borderId="4" xfId="16" applyBorder="1" applyProtection="1"/>
    <xf numFmtId="0" fontId="21" fillId="2" borderId="4" xfId="16" applyFont="1" applyFill="1" applyBorder="1" applyProtection="1"/>
    <xf numFmtId="44" fontId="24" fillId="4" borderId="1" xfId="16" applyNumberFormat="1" applyFill="1" applyBorder="1" applyProtection="1"/>
    <xf numFmtId="0" fontId="9" fillId="4" borderId="48" xfId="2" applyFont="1" applyFill="1" applyBorder="1" applyAlignment="1" applyProtection="1">
      <alignment horizontal="left"/>
    </xf>
    <xf numFmtId="0" fontId="9" fillId="4" borderId="25" xfId="2" applyFont="1" applyFill="1" applyBorder="1" applyAlignment="1" applyProtection="1">
      <alignment horizontal="left"/>
    </xf>
    <xf numFmtId="0" fontId="9" fillId="4" borderId="55" xfId="2" applyFont="1" applyFill="1" applyBorder="1" applyAlignment="1" applyProtection="1">
      <alignment horizontal="left"/>
    </xf>
    <xf numFmtId="44" fontId="21" fillId="13" borderId="6" xfId="16" applyNumberFormat="1" applyFont="1" applyFill="1" applyBorder="1" applyProtection="1"/>
    <xf numFmtId="9" fontId="21" fillId="13" borderId="6" xfId="17" applyFont="1" applyFill="1" applyBorder="1" applyProtection="1"/>
    <xf numFmtId="0" fontId="3" fillId="14" borderId="96" xfId="0" applyFont="1" applyFill="1" applyBorder="1" applyAlignment="1" applyProtection="1">
      <alignment horizontal="center"/>
    </xf>
    <xf numFmtId="0" fontId="3" fillId="14" borderId="97" xfId="0" applyFont="1" applyFill="1" applyBorder="1" applyAlignment="1" applyProtection="1">
      <alignment horizontal="center"/>
    </xf>
    <xf numFmtId="0" fontId="3" fillId="14" borderId="98" xfId="0" applyFont="1" applyFill="1" applyBorder="1" applyAlignment="1" applyProtection="1">
      <alignment horizontal="center"/>
    </xf>
    <xf numFmtId="0" fontId="14" fillId="0" borderId="93" xfId="2" applyNumberFormat="1" applyFont="1" applyFill="1" applyBorder="1" applyAlignment="1" applyProtection="1">
      <alignment horizontal="center"/>
    </xf>
    <xf numFmtId="164" fontId="14" fillId="0" borderId="0" xfId="5" applyNumberFormat="1" applyFont="1" applyFill="1" applyBorder="1" applyProtection="1"/>
    <xf numFmtId="0" fontId="14" fillId="0" borderId="93" xfId="2" applyFont="1" applyFill="1" applyBorder="1" applyAlignment="1" applyProtection="1">
      <alignment horizontal="center"/>
    </xf>
    <xf numFmtId="0" fontId="14" fillId="0" borderId="0" xfId="2"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14" fillId="0" borderId="0" xfId="2" applyNumberFormat="1" applyFont="1" applyFill="1" applyBorder="1" applyAlignment="1" applyProtection="1"/>
    <xf numFmtId="0" fontId="14" fillId="0" borderId="89" xfId="2" applyFont="1" applyFill="1" applyBorder="1" applyAlignment="1" applyProtection="1">
      <alignment horizontal="center"/>
    </xf>
    <xf numFmtId="0" fontId="14" fillId="0" borderId="94" xfId="2" applyFont="1" applyFill="1" applyBorder="1" applyAlignment="1" applyProtection="1">
      <alignment horizontal="center"/>
    </xf>
    <xf numFmtId="165" fontId="14" fillId="0" borderId="94" xfId="6" applyNumberFormat="1" applyFont="1" applyFill="1" applyBorder="1" applyAlignment="1" applyProtection="1">
      <alignment horizontal="right"/>
    </xf>
    <xf numFmtId="164" fontId="14" fillId="0" borderId="94" xfId="5" applyNumberFormat="1" applyFont="1" applyFill="1" applyBorder="1" applyProtection="1"/>
    <xf numFmtId="164" fontId="14" fillId="0" borderId="95" xfId="5" applyNumberFormat="1" applyFont="1" applyFill="1" applyBorder="1" applyProtection="1"/>
    <xf numFmtId="0" fontId="73" fillId="0" borderId="99" xfId="0" applyFont="1" applyFill="1" applyBorder="1" applyAlignment="1" applyProtection="1">
      <alignment horizontal="center"/>
    </xf>
    <xf numFmtId="0" fontId="13" fillId="0" borderId="100" xfId="0" applyFont="1" applyFill="1" applyBorder="1" applyAlignment="1" applyProtection="1">
      <alignment horizontal="center"/>
    </xf>
    <xf numFmtId="0" fontId="73" fillId="0" borderId="100" xfId="0" applyFont="1" applyFill="1" applyBorder="1" applyAlignment="1" applyProtection="1">
      <alignment horizontal="center"/>
    </xf>
    <xf numFmtId="165" fontId="13" fillId="0" borderId="100" xfId="6" applyNumberFormat="1" applyFont="1" applyFill="1" applyBorder="1" applyAlignment="1" applyProtection="1">
      <alignment horizontal="right"/>
    </xf>
    <xf numFmtId="164" fontId="14" fillId="0" borderId="100" xfId="0" applyNumberFormat="1" applyFont="1" applyFill="1" applyBorder="1" applyProtection="1"/>
    <xf numFmtId="164" fontId="14" fillId="0" borderId="101" xfId="0" applyNumberFormat="1" applyFont="1" applyFill="1" applyBorder="1" applyProtection="1"/>
    <xf numFmtId="0" fontId="14" fillId="0" borderId="99" xfId="0" applyFont="1" applyFill="1" applyBorder="1" applyAlignment="1" applyProtection="1">
      <alignment horizontal="center"/>
    </xf>
    <xf numFmtId="0" fontId="14" fillId="0" borderId="100" xfId="0" applyFont="1" applyFill="1" applyBorder="1" applyAlignment="1" applyProtection="1">
      <alignment horizontal="center"/>
    </xf>
    <xf numFmtId="165" fontId="17" fillId="0" borderId="100" xfId="6" applyNumberFormat="1" applyFont="1" applyFill="1" applyBorder="1" applyAlignment="1" applyProtection="1">
      <alignment horizontal="right"/>
    </xf>
    <xf numFmtId="164" fontId="13" fillId="0" borderId="100" xfId="5" applyNumberFormat="1" applyFont="1" applyFill="1" applyBorder="1" applyProtection="1"/>
    <xf numFmtId="164" fontId="13" fillId="0" borderId="101" xfId="5" applyNumberFormat="1" applyFont="1" applyFill="1" applyBorder="1" applyProtection="1"/>
    <xf numFmtId="164" fontId="68" fillId="0" borderId="90" xfId="5" applyNumberFormat="1" applyFont="1" applyFill="1" applyBorder="1" applyProtection="1"/>
    <xf numFmtId="164" fontId="17" fillId="8" borderId="0" xfId="5" applyNumberFormat="1" applyFont="1" applyFill="1" applyBorder="1" applyProtection="1"/>
    <xf numFmtId="164" fontId="17" fillId="8" borderId="90" xfId="5" applyNumberFormat="1" applyFont="1" applyFill="1" applyBorder="1" applyProtection="1"/>
    <xf numFmtId="44" fontId="2" fillId="0" borderId="27" xfId="1" applyNumberFormat="1" applyFont="1" applyFill="1" applyBorder="1" applyAlignment="1" applyProtection="1"/>
    <xf numFmtId="44" fontId="2" fillId="0" borderId="55" xfId="1" applyNumberFormat="1" applyFont="1" applyFill="1" applyBorder="1" applyAlignment="1" applyProtection="1"/>
    <xf numFmtId="44" fontId="5" fillId="0" borderId="65" xfId="1" applyFont="1" applyFill="1" applyBorder="1" applyAlignment="1" applyProtection="1"/>
    <xf numFmtId="44" fontId="9" fillId="0" borderId="65" xfId="1" applyFont="1" applyFill="1" applyBorder="1" applyAlignment="1" applyProtection="1"/>
    <xf numFmtId="44" fontId="29" fillId="0" borderId="65" xfId="1" applyFont="1" applyFill="1" applyBorder="1" applyAlignment="1" applyProtection="1"/>
    <xf numFmtId="44" fontId="30" fillId="0" borderId="60" xfId="1" applyNumberFormat="1" applyFont="1" applyFill="1" applyBorder="1" applyAlignment="1" applyProtection="1">
      <alignment horizontal="right"/>
    </xf>
    <xf numFmtId="44" fontId="2" fillId="0" borderId="27" xfId="1" applyFont="1" applyFill="1" applyBorder="1" applyAlignment="1" applyProtection="1"/>
    <xf numFmtId="44" fontId="2" fillId="0" borderId="41" xfId="1" applyNumberFormat="1" applyFont="1" applyFill="1" applyBorder="1" applyAlignment="1" applyProtection="1"/>
    <xf numFmtId="44" fontId="2" fillId="0" borderId="30" xfId="1" applyNumberFormat="1" applyFont="1" applyFill="1" applyBorder="1" applyAlignment="1" applyProtection="1"/>
    <xf numFmtId="0" fontId="24" fillId="0" borderId="0" xfId="16" applyNumberFormat="1" applyProtection="1"/>
    <xf numFmtId="0" fontId="8" fillId="17" borderId="1" xfId="0" applyFont="1" applyFill="1" applyBorder="1" applyAlignment="1" applyProtection="1">
      <alignment horizontal="center"/>
    </xf>
    <xf numFmtId="0" fontId="3" fillId="14" borderId="2" xfId="0" applyFont="1" applyFill="1" applyBorder="1" applyAlignment="1" applyProtection="1"/>
    <xf numFmtId="0" fontId="3" fillId="14" borderId="3" xfId="0" applyFont="1" applyFill="1" applyBorder="1" applyAlignment="1" applyProtection="1"/>
    <xf numFmtId="0" fontId="24" fillId="5" borderId="4" xfId="16" applyFill="1" applyBorder="1" applyProtection="1"/>
    <xf numFmtId="0" fontId="24" fillId="5" borderId="7" xfId="16" applyFill="1" applyBorder="1" applyProtection="1"/>
    <xf numFmtId="0" fontId="0" fillId="20" borderId="103" xfId="0" applyFont="1" applyFill="1" applyBorder="1"/>
    <xf numFmtId="0" fontId="0" fillId="0" borderId="103" xfId="0" applyFont="1" applyBorder="1"/>
    <xf numFmtId="0" fontId="70" fillId="19" borderId="104" xfId="0" applyFont="1" applyFill="1" applyBorder="1"/>
    <xf numFmtId="0" fontId="0" fillId="0" borderId="105" xfId="0" applyFont="1" applyBorder="1"/>
    <xf numFmtId="44" fontId="24" fillId="21" borderId="1" xfId="16" applyNumberFormat="1" applyFill="1" applyBorder="1" applyProtection="1"/>
    <xf numFmtId="10" fontId="24" fillId="21" borderId="1" xfId="16" applyNumberFormat="1" applyFill="1" applyBorder="1" applyProtection="1"/>
    <xf numFmtId="44" fontId="76" fillId="21" borderId="25" xfId="16" applyNumberFormat="1" applyFont="1" applyFill="1" applyBorder="1" applyProtection="1"/>
    <xf numFmtId="44" fontId="24" fillId="21" borderId="28" xfId="16" applyNumberFormat="1" applyFill="1" applyBorder="1" applyProtection="1"/>
    <xf numFmtId="9" fontId="24" fillId="21" borderId="1" xfId="16" applyNumberFormat="1" applyFill="1" applyBorder="1" applyProtection="1"/>
    <xf numFmtId="0" fontId="24" fillId="5" borderId="11" xfId="16" applyFill="1" applyBorder="1" applyProtection="1"/>
    <xf numFmtId="0" fontId="7" fillId="0" borderId="0" xfId="0" applyFont="1" applyProtection="1"/>
    <xf numFmtId="10" fontId="24" fillId="21" borderId="107" xfId="16" applyNumberFormat="1" applyFill="1" applyBorder="1" applyProtection="1"/>
    <xf numFmtId="14" fontId="10" fillId="0" borderId="0" xfId="0" applyNumberFormat="1" applyFont="1" applyAlignment="1" applyProtection="1">
      <alignment horizontal="left"/>
    </xf>
    <xf numFmtId="0" fontId="5" fillId="0" borderId="66" xfId="2" applyFont="1" applyBorder="1" applyAlignment="1" applyProtection="1">
      <alignment horizontal="left"/>
    </xf>
    <xf numFmtId="0" fontId="5" fillId="17" borderId="50" xfId="2" applyFont="1" applyFill="1" applyBorder="1" applyAlignment="1" applyProtection="1">
      <alignment horizontal="left"/>
    </xf>
    <xf numFmtId="0" fontId="37" fillId="0" borderId="0" xfId="0" applyFont="1" applyProtection="1"/>
    <xf numFmtId="0" fontId="5" fillId="17" borderId="54" xfId="2" applyFont="1" applyFill="1" applyBorder="1" applyAlignment="1" applyProtection="1">
      <alignment horizontal="left"/>
    </xf>
    <xf numFmtId="0" fontId="9" fillId="0" borderId="0" xfId="2" applyFont="1" applyAlignment="1" applyProtection="1"/>
    <xf numFmtId="0" fontId="37" fillId="0" borderId="0" xfId="0" applyFont="1" applyFill="1" applyProtection="1"/>
    <xf numFmtId="0" fontId="5" fillId="0" borderId="3" xfId="3" applyFont="1" applyBorder="1" applyAlignment="1" applyProtection="1">
      <alignment horizontal="left"/>
    </xf>
    <xf numFmtId="0" fontId="5" fillId="0" borderId="3" xfId="3" applyFont="1" applyBorder="1" applyAlignment="1" applyProtection="1">
      <alignment horizontal="left" indent="1"/>
    </xf>
    <xf numFmtId="0" fontId="2" fillId="0" borderId="3" xfId="0" applyFont="1" applyBorder="1" applyProtection="1"/>
    <xf numFmtId="0" fontId="8" fillId="0" borderId="0" xfId="0" applyFont="1" applyFill="1" applyProtection="1"/>
    <xf numFmtId="0" fontId="5" fillId="0" borderId="0" xfId="3" applyFont="1" applyFill="1" applyBorder="1" applyAlignment="1" applyProtection="1">
      <alignment horizontal="left"/>
    </xf>
    <xf numFmtId="0" fontId="5" fillId="0" borderId="0" xfId="3" applyFont="1" applyFill="1" applyBorder="1" applyAlignment="1" applyProtection="1">
      <alignment horizontal="left" indent="1"/>
    </xf>
    <xf numFmtId="44" fontId="11" fillId="0" borderId="0" xfId="0" applyNumberFormat="1" applyFont="1" applyFill="1" applyBorder="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9" fillId="0" borderId="0" xfId="0" applyNumberFormat="1" applyFont="1" applyProtection="1"/>
    <xf numFmtId="0" fontId="0" fillId="0" borderId="0" xfId="0" applyFill="1" applyProtection="1"/>
    <xf numFmtId="0" fontId="46" fillId="0" borderId="0" xfId="0" applyFont="1" applyFill="1" applyProtection="1"/>
    <xf numFmtId="0" fontId="0" fillId="15" borderId="0" xfId="0" applyFill="1" applyProtection="1"/>
    <xf numFmtId="0" fontId="24" fillId="0" borderId="0" xfId="16" applyAlignment="1" applyProtection="1">
      <alignment wrapText="1"/>
    </xf>
    <xf numFmtId="166" fontId="9" fillId="4" borderId="11" xfId="2" applyNumberFormat="1" applyFont="1" applyFill="1" applyBorder="1" applyAlignment="1" applyProtection="1">
      <alignment horizontal="left"/>
    </xf>
    <xf numFmtId="0" fontId="24" fillId="0" borderId="0" xfId="16" applyAlignment="1" applyProtection="1">
      <alignment horizontal="center"/>
    </xf>
    <xf numFmtId="0" fontId="24" fillId="0" borderId="0" xfId="16" applyFill="1" applyBorder="1" applyProtection="1"/>
    <xf numFmtId="0" fontId="24" fillId="0" borderId="0" xfId="16" applyAlignment="1" applyProtection="1">
      <alignment horizontal="center" wrapText="1"/>
    </xf>
    <xf numFmtId="17" fontId="72" fillId="0" borderId="47" xfId="16" applyNumberFormat="1" applyFont="1" applyFill="1" applyBorder="1" applyProtection="1"/>
    <xf numFmtId="44" fontId="72" fillId="0" borderId="1" xfId="16" applyNumberFormat="1" applyFont="1" applyFill="1" applyBorder="1" applyProtection="1"/>
    <xf numFmtId="0" fontId="24" fillId="0" borderId="25" xfId="16" applyBorder="1" applyAlignment="1" applyProtection="1">
      <alignment wrapText="1"/>
    </xf>
    <xf numFmtId="17" fontId="72" fillId="0" borderId="49" xfId="16" applyNumberFormat="1" applyFont="1" applyFill="1" applyBorder="1" applyProtection="1"/>
    <xf numFmtId="0" fontId="21" fillId="13" borderId="11" xfId="16" applyFont="1" applyFill="1" applyBorder="1" applyAlignment="1" applyProtection="1">
      <alignment wrapText="1"/>
    </xf>
    <xf numFmtId="0" fontId="9" fillId="4" borderId="11" xfId="2" applyNumberFormat="1" applyFont="1" applyFill="1" applyBorder="1" applyAlignment="1" applyProtection="1">
      <alignment horizontal="left"/>
    </xf>
    <xf numFmtId="169" fontId="80" fillId="5" borderId="54" xfId="16" applyNumberFormat="1" applyFont="1" applyFill="1" applyBorder="1" applyProtection="1"/>
    <xf numFmtId="1" fontId="80" fillId="5" borderId="54" xfId="16" applyNumberFormat="1" applyFont="1" applyFill="1" applyBorder="1" applyProtection="1"/>
    <xf numFmtId="10" fontId="80" fillId="5" borderId="60" xfId="17" applyNumberFormat="1" applyFont="1" applyFill="1" applyBorder="1" applyProtection="1"/>
    <xf numFmtId="1" fontId="80" fillId="5" borderId="60" xfId="16" applyNumberFormat="1" applyFont="1" applyFill="1" applyBorder="1" applyProtection="1"/>
    <xf numFmtId="44" fontId="75" fillId="21" borderId="11" xfId="1" applyFont="1" applyFill="1" applyBorder="1" applyProtection="1"/>
    <xf numFmtId="170" fontId="80" fillId="5" borderId="54" xfId="16" applyNumberFormat="1" applyFont="1" applyFill="1" applyBorder="1" applyProtection="1"/>
    <xf numFmtId="17" fontId="76" fillId="4" borderId="54" xfId="16" applyNumberFormat="1" applyFont="1" applyFill="1" applyBorder="1" applyProtection="1"/>
    <xf numFmtId="44" fontId="76" fillId="4" borderId="106" xfId="16" applyNumberFormat="1" applyFont="1" applyFill="1" applyBorder="1" applyProtection="1"/>
    <xf numFmtId="44" fontId="76" fillId="4" borderId="27" xfId="16" applyNumberFormat="1" applyFont="1" applyFill="1" applyBorder="1" applyProtection="1"/>
    <xf numFmtId="10" fontId="76" fillId="4" borderId="27" xfId="16" applyNumberFormat="1" applyFont="1" applyFill="1" applyBorder="1" applyProtection="1"/>
    <xf numFmtId="44" fontId="76" fillId="4" borderId="26" xfId="16" applyNumberFormat="1" applyFont="1" applyFill="1" applyBorder="1" applyProtection="1"/>
    <xf numFmtId="44" fontId="76" fillId="4" borderId="54" xfId="16" applyNumberFormat="1" applyFont="1" applyFill="1" applyBorder="1" applyProtection="1"/>
    <xf numFmtId="44" fontId="24" fillId="4" borderId="28" xfId="16" applyNumberFormat="1" applyFill="1" applyBorder="1" applyProtection="1"/>
    <xf numFmtId="9" fontId="76" fillId="4" borderId="27" xfId="16" applyNumberFormat="1" applyFont="1" applyFill="1" applyBorder="1" applyProtection="1"/>
    <xf numFmtId="0" fontId="76" fillId="4" borderId="55" xfId="16" applyFont="1" applyFill="1" applyBorder="1" applyAlignment="1" applyProtection="1">
      <alignment wrapText="1"/>
    </xf>
    <xf numFmtId="171" fontId="24" fillId="4" borderId="1" xfId="17" applyNumberFormat="1" applyFont="1" applyFill="1" applyBorder="1" applyProtection="1"/>
    <xf numFmtId="0" fontId="28" fillId="5" borderId="4" xfId="2" applyFont="1" applyFill="1" applyBorder="1" applyAlignment="1" applyProtection="1">
      <alignment horizontal="center" vertical="center" wrapText="1"/>
    </xf>
    <xf numFmtId="0" fontId="28" fillId="5" borderId="7" xfId="2" applyFont="1" applyFill="1" applyBorder="1" applyAlignment="1" applyProtection="1">
      <alignment horizontal="center" vertical="center" wrapText="1"/>
    </xf>
    <xf numFmtId="0" fontId="29" fillId="5" borderId="7" xfId="2" applyFont="1" applyFill="1" applyBorder="1" applyAlignment="1" applyProtection="1">
      <alignment horizontal="center" vertical="center" wrapText="1"/>
    </xf>
    <xf numFmtId="0" fontId="28" fillId="5" borderId="11" xfId="2" applyFont="1" applyFill="1" applyBorder="1" applyAlignment="1" applyProtection="1">
      <alignment horizontal="center" vertical="center" wrapText="1"/>
    </xf>
    <xf numFmtId="0" fontId="28" fillId="22" borderId="57" xfId="2" applyFont="1" applyFill="1" applyBorder="1" applyAlignment="1" applyProtection="1">
      <alignment horizontal="center" vertical="center" wrapText="1"/>
    </xf>
    <xf numFmtId="0" fontId="28" fillId="22" borderId="111" xfId="2" applyFont="1" applyFill="1" applyBorder="1" applyAlignment="1" applyProtection="1">
      <alignment horizontal="center" vertical="center" wrapText="1"/>
    </xf>
    <xf numFmtId="0" fontId="29" fillId="22" borderId="111" xfId="2" applyFont="1" applyFill="1" applyBorder="1" applyAlignment="1" applyProtection="1">
      <alignment horizontal="center" vertical="center" wrapText="1"/>
    </xf>
    <xf numFmtId="0" fontId="28" fillId="5" borderId="111" xfId="2" applyFont="1" applyFill="1" applyBorder="1" applyAlignment="1" applyProtection="1">
      <alignment horizontal="center" vertical="center" wrapText="1"/>
    </xf>
    <xf numFmtId="0" fontId="28" fillId="5" borderId="58" xfId="2" applyFont="1" applyFill="1" applyBorder="1" applyAlignment="1" applyProtection="1">
      <alignment horizontal="center" vertical="center" wrapText="1"/>
    </xf>
    <xf numFmtId="0" fontId="29" fillId="5" borderId="58" xfId="2" applyFont="1" applyFill="1" applyBorder="1" applyAlignment="1" applyProtection="1">
      <alignment horizontal="center" vertical="center" wrapText="1"/>
    </xf>
    <xf numFmtId="0" fontId="28" fillId="5" borderId="59" xfId="2" applyFont="1" applyFill="1" applyBorder="1" applyAlignment="1" applyProtection="1">
      <alignment horizontal="center" vertical="center" wrapText="1"/>
    </xf>
    <xf numFmtId="0" fontId="28" fillId="5" borderId="19" xfId="2" applyFont="1" applyFill="1" applyBorder="1" applyAlignment="1" applyProtection="1">
      <alignment horizontal="center" vertical="center" wrapText="1"/>
    </xf>
    <xf numFmtId="0" fontId="28" fillId="5" borderId="57" xfId="2" applyFont="1" applyFill="1" applyBorder="1" applyAlignment="1" applyProtection="1">
      <alignment horizontal="center" vertical="center" wrapText="1"/>
    </xf>
    <xf numFmtId="0" fontId="82" fillId="0" borderId="0" xfId="16" applyFont="1" applyProtection="1"/>
    <xf numFmtId="169" fontId="72" fillId="0" borderId="49" xfId="16" applyNumberFormat="1" applyFont="1" applyFill="1" applyBorder="1" applyProtection="1"/>
    <xf numFmtId="170" fontId="72" fillId="0" borderId="49" xfId="16" applyNumberFormat="1" applyFont="1" applyFill="1" applyBorder="1" applyProtection="1"/>
    <xf numFmtId="1" fontId="72" fillId="0" borderId="49" xfId="16" applyNumberFormat="1" applyFont="1" applyFill="1" applyBorder="1" applyProtection="1"/>
    <xf numFmtId="10" fontId="72" fillId="0" borderId="65" xfId="17" applyNumberFormat="1" applyFont="1" applyFill="1" applyBorder="1" applyProtection="1"/>
    <xf numFmtId="1" fontId="72" fillId="0" borderId="65" xfId="16" applyNumberFormat="1" applyFont="1" applyFill="1" applyBorder="1" applyProtection="1"/>
    <xf numFmtId="0" fontId="84" fillId="0" borderId="113" xfId="0" applyFont="1" applyFill="1" applyBorder="1" applyAlignment="1" applyProtection="1"/>
    <xf numFmtId="0" fontId="82" fillId="0" borderId="0" xfId="16" applyFont="1" applyBorder="1" applyProtection="1"/>
    <xf numFmtId="0" fontId="19" fillId="25" borderId="112" xfId="0" applyFont="1" applyFill="1" applyBorder="1" applyAlignment="1" applyProtection="1">
      <alignment horizontal="center" wrapText="1"/>
    </xf>
    <xf numFmtId="0" fontId="39" fillId="8" borderId="1" xfId="0" applyFont="1" applyFill="1" applyBorder="1" applyAlignment="1" applyProtection="1">
      <alignment horizontal="center"/>
    </xf>
    <xf numFmtId="3" fontId="39" fillId="8" borderId="27" xfId="0" applyNumberFormat="1" applyFont="1" applyFill="1" applyBorder="1" applyAlignment="1" applyProtection="1">
      <alignment horizontal="center"/>
    </xf>
    <xf numFmtId="164" fontId="39" fillId="0" borderId="27" xfId="0" applyNumberFormat="1" applyFont="1" applyBorder="1" applyProtection="1"/>
    <xf numFmtId="171" fontId="17" fillId="0" borderId="27" xfId="17" applyNumberFormat="1" applyFont="1" applyBorder="1" applyProtection="1"/>
    <xf numFmtId="0" fontId="70" fillId="12" borderId="0" xfId="0" applyFont="1" applyFill="1" applyAlignment="1" applyProtection="1">
      <alignment horizontal="center"/>
    </xf>
    <xf numFmtId="164" fontId="68" fillId="0" borderId="0" xfId="5" applyNumberFormat="1" applyFont="1" applyFill="1" applyBorder="1" applyProtection="1"/>
    <xf numFmtId="165" fontId="17" fillId="8" borderId="0" xfId="6" applyNumberFormat="1" applyFont="1" applyFill="1" applyBorder="1" applyAlignment="1" applyProtection="1">
      <alignment horizontal="right"/>
    </xf>
    <xf numFmtId="0" fontId="13" fillId="0" borderId="93" xfId="2"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14" fillId="0" borderId="0" xfId="2" applyNumberFormat="1" applyFont="1" applyFill="1" applyAlignment="1" applyProtection="1">
      <alignment horizontal="center"/>
    </xf>
    <xf numFmtId="0" fontId="14" fillId="0" borderId="0" xfId="2" applyNumberFormat="1" applyFont="1" applyFill="1" applyAlignment="1" applyProtection="1"/>
    <xf numFmtId="0" fontId="14" fillId="0" borderId="0" xfId="2" applyNumberFormat="1" applyFont="1" applyFill="1" applyBorder="1" applyAlignment="1" applyProtection="1">
      <alignment horizontal="left"/>
    </xf>
    <xf numFmtId="0" fontId="14" fillId="0" borderId="0" xfId="2" applyNumberFormat="1" applyFont="1" applyFill="1" applyBorder="1" applyAlignment="1" applyProtection="1">
      <alignment wrapText="1"/>
    </xf>
    <xf numFmtId="0" fontId="39" fillId="0" borderId="0" xfId="0" applyFont="1" applyFill="1" applyBorder="1" applyAlignment="1" applyProtection="1">
      <alignment horizontal="center"/>
    </xf>
    <xf numFmtId="44" fontId="14" fillId="0" borderId="0" xfId="9" applyNumberFormat="1" applyFont="1" applyFill="1" applyBorder="1" applyAlignment="1" applyProtection="1">
      <alignment vertical="center" wrapText="1"/>
    </xf>
    <xf numFmtId="0" fontId="4" fillId="0" borderId="0" xfId="0" applyFont="1" applyFill="1" applyBorder="1" applyAlignment="1" applyProtection="1">
      <alignment horizontal="center"/>
    </xf>
    <xf numFmtId="0" fontId="14" fillId="0" borderId="0" xfId="0" applyFont="1" applyFill="1" applyBorder="1" applyProtection="1"/>
    <xf numFmtId="0" fontId="70" fillId="19" borderId="115" xfId="0" applyFont="1" applyFill="1" applyBorder="1" applyAlignment="1" applyProtection="1">
      <alignment horizontal="center"/>
    </xf>
    <xf numFmtId="164" fontId="17" fillId="26" borderId="121" xfId="5" applyNumberFormat="1" applyFont="1" applyFill="1" applyBorder="1" applyProtection="1"/>
    <xf numFmtId="164" fontId="17" fillId="26" borderId="122" xfId="5" applyNumberFormat="1" applyFont="1" applyFill="1" applyBorder="1" applyProtection="1"/>
    <xf numFmtId="0" fontId="79" fillId="0" borderId="0" xfId="16" applyFont="1" applyAlignment="1" applyProtection="1">
      <alignment wrapText="1"/>
    </xf>
    <xf numFmtId="0" fontId="5" fillId="27" borderId="1" xfId="2" applyFont="1" applyFill="1" applyBorder="1" applyAlignment="1" applyProtection="1">
      <alignment horizontal="left" vertical="center"/>
    </xf>
    <xf numFmtId="0" fontId="5" fillId="22" borderId="7" xfId="2" applyFont="1" applyFill="1" applyBorder="1" applyAlignment="1" applyProtection="1">
      <alignment horizontal="center" vertical="center" wrapText="1"/>
    </xf>
    <xf numFmtId="0" fontId="5" fillId="22" borderId="11" xfId="2" applyFont="1" applyFill="1" applyBorder="1" applyAlignment="1" applyProtection="1">
      <alignment horizontal="center" vertical="center" wrapText="1"/>
    </xf>
    <xf numFmtId="0" fontId="5" fillId="17" borderId="2" xfId="3" applyFont="1" applyFill="1" applyBorder="1" applyAlignment="1" applyProtection="1">
      <alignment horizontal="left"/>
    </xf>
    <xf numFmtId="0" fontId="5" fillId="17" borderId="3" xfId="3" applyFont="1" applyFill="1" applyBorder="1" applyAlignment="1" applyProtection="1">
      <alignment horizontal="left" indent="1"/>
    </xf>
    <xf numFmtId="44" fontId="11" fillId="17" borderId="7" xfId="0" applyNumberFormat="1" applyFont="1" applyFill="1" applyBorder="1" applyProtection="1"/>
    <xf numFmtId="44" fontId="11" fillId="17" borderId="11" xfId="0" applyNumberFormat="1" applyFont="1" applyFill="1" applyBorder="1" applyProtection="1"/>
    <xf numFmtId="0" fontId="5" fillId="0" borderId="3" xfId="3" applyFont="1" applyFill="1" applyBorder="1" applyAlignment="1" applyProtection="1">
      <alignment horizontal="left"/>
    </xf>
    <xf numFmtId="44" fontId="11" fillId="0" borderId="20" xfId="0" applyNumberFormat="1" applyFont="1" applyFill="1" applyBorder="1" applyProtection="1"/>
    <xf numFmtId="44" fontId="11" fillId="0" borderId="3" xfId="0" applyNumberFormat="1" applyFont="1" applyFill="1" applyBorder="1" applyProtection="1"/>
    <xf numFmtId="44" fontId="11" fillId="0" borderId="123" xfId="0" applyNumberFormat="1" applyFont="1" applyFill="1" applyBorder="1" applyProtection="1"/>
    <xf numFmtId="0" fontId="5" fillId="0" borderId="3" xfId="3" applyFont="1" applyFill="1" applyBorder="1" applyAlignment="1" applyProtection="1">
      <alignment horizontal="left" indent="1"/>
    </xf>
    <xf numFmtId="44" fontId="11" fillId="0" borderId="7" xfId="0" applyNumberFormat="1" applyFont="1" applyFill="1" applyBorder="1" applyProtection="1"/>
    <xf numFmtId="44" fontId="11" fillId="0" borderId="5" xfId="0" applyNumberFormat="1" applyFont="1" applyFill="1" applyBorder="1" applyProtection="1"/>
    <xf numFmtId="0" fontId="40" fillId="0" borderId="1" xfId="3" applyFont="1" applyBorder="1" applyAlignment="1" applyProtection="1">
      <alignment horizontal="left"/>
    </xf>
    <xf numFmtId="0" fontId="40" fillId="0" borderId="27" xfId="3" applyFont="1" applyBorder="1" applyAlignment="1" applyProtection="1">
      <alignment horizontal="left"/>
    </xf>
    <xf numFmtId="0" fontId="9" fillId="0" borderId="3" xfId="3" applyFont="1" applyBorder="1" applyAlignment="1" applyProtection="1">
      <alignment horizontal="left"/>
    </xf>
    <xf numFmtId="0" fontId="40" fillId="0" borderId="111" xfId="3" applyFont="1" applyBorder="1" applyAlignment="1" applyProtection="1">
      <alignment horizontal="left"/>
    </xf>
    <xf numFmtId="0" fontId="32" fillId="28" borderId="4" xfId="0" applyFont="1" applyFill="1" applyBorder="1" applyAlignment="1" applyProtection="1"/>
    <xf numFmtId="0" fontId="32" fillId="28" borderId="7" xfId="0" applyFont="1" applyFill="1" applyBorder="1" applyAlignment="1" applyProtection="1"/>
    <xf numFmtId="44" fontId="32" fillId="28" borderId="7" xfId="0" applyNumberFormat="1" applyFont="1" applyFill="1" applyBorder="1" applyAlignment="1" applyProtection="1"/>
    <xf numFmtId="44" fontId="32" fillId="28" borderId="7" xfId="1" applyNumberFormat="1" applyFont="1" applyFill="1" applyBorder="1" applyAlignment="1" applyProtection="1"/>
    <xf numFmtId="44" fontId="32" fillId="28" borderId="11" xfId="1" applyNumberFormat="1" applyFont="1" applyFill="1" applyBorder="1" applyAlignment="1" applyProtection="1"/>
    <xf numFmtId="0" fontId="2" fillId="0" borderId="47" xfId="0" applyFont="1" applyFill="1" applyBorder="1" applyAlignment="1" applyProtection="1"/>
    <xf numFmtId="0" fontId="2" fillId="0" borderId="49" xfId="0" applyFont="1" applyFill="1" applyBorder="1" applyAlignment="1" applyProtection="1"/>
    <xf numFmtId="0" fontId="2" fillId="0" borderId="54" xfId="0" applyFont="1" applyFill="1" applyBorder="1" applyAlignment="1" applyProtection="1"/>
    <xf numFmtId="0" fontId="6" fillId="17" borderId="2" xfId="0" applyFont="1" applyFill="1" applyBorder="1" applyAlignment="1" applyProtection="1"/>
    <xf numFmtId="0" fontId="6" fillId="17" borderId="3" xfId="0" applyFont="1" applyFill="1" applyBorder="1" applyAlignment="1" applyProtection="1"/>
    <xf numFmtId="0" fontId="5" fillId="22" borderId="57" xfId="2" applyFont="1" applyFill="1" applyBorder="1" applyAlignment="1" applyProtection="1">
      <alignment horizontal="center"/>
    </xf>
    <xf numFmtId="0" fontId="5" fillId="22" borderId="58" xfId="2" applyFont="1" applyFill="1" applyBorder="1" applyAlignment="1" applyProtection="1"/>
    <xf numFmtId="44" fontId="5" fillId="22" borderId="59" xfId="2" applyNumberFormat="1" applyFont="1" applyFill="1" applyBorder="1" applyAlignment="1" applyProtection="1">
      <alignment horizontal="center"/>
    </xf>
    <xf numFmtId="0" fontId="6" fillId="0" borderId="52" xfId="0" applyFont="1" applyBorder="1" applyAlignment="1" applyProtection="1">
      <alignment horizontal="right" vertical="center" wrapText="1"/>
    </xf>
    <xf numFmtId="44" fontId="11" fillId="0" borderId="25" xfId="0" applyNumberFormat="1" applyFont="1" applyFill="1" applyBorder="1" applyProtection="1"/>
    <xf numFmtId="44" fontId="18" fillId="0" borderId="1" xfId="0" applyNumberFormat="1" applyFont="1" applyFill="1" applyBorder="1" applyProtection="1"/>
    <xf numFmtId="0" fontId="2" fillId="0" borderId="3" xfId="0" applyFont="1" applyFill="1" applyBorder="1" applyProtection="1"/>
    <xf numFmtId="0" fontId="8" fillId="0" borderId="0" xfId="0" applyFont="1" applyBorder="1" applyProtection="1"/>
    <xf numFmtId="0" fontId="8" fillId="0" borderId="19" xfId="0" applyFont="1" applyBorder="1" applyProtection="1"/>
    <xf numFmtId="0" fontId="8" fillId="0" borderId="125" xfId="0" applyFont="1" applyBorder="1" applyProtection="1"/>
    <xf numFmtId="0" fontId="7" fillId="5" borderId="126" xfId="3" applyFont="1" applyFill="1" applyBorder="1" applyAlignment="1" applyProtection="1">
      <alignment horizontal="left" vertical="center"/>
    </xf>
    <xf numFmtId="0" fontId="7" fillId="5" borderId="19" xfId="3" applyFont="1" applyFill="1" applyBorder="1" applyAlignment="1" applyProtection="1">
      <alignment horizontal="left" vertical="center"/>
    </xf>
    <xf numFmtId="0" fontId="5" fillId="5" borderId="7" xfId="2" applyFont="1" applyFill="1" applyBorder="1" applyAlignment="1" applyProtection="1">
      <alignment horizontal="center" vertical="center" wrapText="1"/>
    </xf>
    <xf numFmtId="0" fontId="5" fillId="5" borderId="11" xfId="2" applyFont="1" applyFill="1" applyBorder="1" applyAlignment="1" applyProtection="1">
      <alignment horizontal="center" vertical="center" wrapText="1"/>
    </xf>
    <xf numFmtId="0" fontId="8" fillId="0" borderId="1" xfId="0" applyFont="1" applyBorder="1" applyProtection="1"/>
    <xf numFmtId="0" fontId="8" fillId="0" borderId="77" xfId="0" applyFont="1" applyBorder="1" applyProtection="1"/>
    <xf numFmtId="0" fontId="8" fillId="0" borderId="78" xfId="0" applyFont="1" applyBorder="1" applyProtection="1"/>
    <xf numFmtId="0" fontId="8" fillId="0" borderId="79" xfId="0" applyFont="1" applyBorder="1" applyProtection="1"/>
    <xf numFmtId="0" fontId="8" fillId="0" borderId="21" xfId="0" applyFont="1" applyBorder="1" applyProtection="1"/>
    <xf numFmtId="0" fontId="8" fillId="0" borderId="102" xfId="0" applyFont="1" applyBorder="1" applyProtection="1"/>
    <xf numFmtId="44" fontId="12" fillId="0" borderId="1" xfId="0" applyNumberFormat="1" applyFont="1" applyFill="1" applyBorder="1" applyProtection="1"/>
    <xf numFmtId="0" fontId="8" fillId="0" borderId="126" xfId="0" applyFont="1" applyBorder="1" applyProtection="1"/>
    <xf numFmtId="0" fontId="8" fillId="0" borderId="127" xfId="0" applyFont="1" applyBorder="1" applyProtection="1"/>
    <xf numFmtId="0" fontId="8" fillId="0" borderId="0" xfId="0" applyFont="1" applyFill="1" applyBorder="1" applyProtection="1"/>
    <xf numFmtId="44" fontId="12" fillId="0" borderId="124" xfId="0" applyNumberFormat="1" applyFont="1" applyFill="1" applyBorder="1" applyProtection="1"/>
    <xf numFmtId="44" fontId="12" fillId="0" borderId="7" xfId="0" applyNumberFormat="1" applyFont="1" applyFill="1" applyBorder="1" applyProtection="1"/>
    <xf numFmtId="0" fontId="9" fillId="0" borderId="0" xfId="0" applyFont="1" applyProtection="1"/>
    <xf numFmtId="0" fontId="5" fillId="0" borderId="0" xfId="0" applyFont="1" applyProtection="1"/>
    <xf numFmtId="44" fontId="12" fillId="0" borderId="1" xfId="1" applyNumberFormat="1" applyFont="1" applyFill="1" applyBorder="1" applyAlignment="1" applyProtection="1"/>
    <xf numFmtId="0" fontId="32" fillId="6" borderId="0" xfId="0" applyFont="1" applyFill="1" applyBorder="1" applyAlignment="1" applyProtection="1"/>
    <xf numFmtId="44" fontId="32" fillId="6" borderId="0" xfId="0" applyNumberFormat="1" applyFont="1" applyFill="1" applyBorder="1" applyAlignment="1" applyProtection="1"/>
    <xf numFmtId="44" fontId="32" fillId="6" borderId="0" xfId="1" applyNumberFormat="1" applyFont="1" applyFill="1" applyBorder="1" applyAlignment="1" applyProtection="1"/>
    <xf numFmtId="0" fontId="3" fillId="14" borderId="3" xfId="0" applyFont="1" applyFill="1" applyBorder="1" applyProtection="1"/>
    <xf numFmtId="0" fontId="0" fillId="0" borderId="0" xfId="0" applyFill="1" applyAlignment="1" applyProtection="1">
      <alignment horizontal="center"/>
    </xf>
    <xf numFmtId="164" fontId="14" fillId="0" borderId="90" xfId="5" applyNumberFormat="1" applyFont="1" applyFill="1" applyBorder="1" applyProtection="1"/>
    <xf numFmtId="0" fontId="0" fillId="0" borderId="0" xfId="0" applyBorder="1" applyAlignment="1" applyProtection="1">
      <alignment horizontal="center"/>
    </xf>
    <xf numFmtId="0" fontId="46" fillId="0" borderId="0" xfId="0" applyFont="1" applyFill="1" applyBorder="1" applyProtection="1"/>
    <xf numFmtId="0" fontId="3" fillId="14" borderId="129" xfId="0" applyFont="1" applyFill="1" applyBorder="1" applyAlignment="1" applyProtection="1">
      <alignment horizontal="center"/>
    </xf>
    <xf numFmtId="0" fontId="3" fillId="14" borderId="7" xfId="0" applyFont="1" applyFill="1" applyBorder="1" applyAlignment="1" applyProtection="1">
      <alignment horizontal="center"/>
    </xf>
    <xf numFmtId="0" fontId="3" fillId="14" borderId="5" xfId="0" applyFont="1" applyFill="1" applyBorder="1" applyAlignment="1" applyProtection="1">
      <alignment horizontal="center"/>
    </xf>
    <xf numFmtId="0" fontId="3" fillId="14" borderId="4" xfId="0"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Protection="1"/>
    <xf numFmtId="164" fontId="14" fillId="0" borderId="130" xfId="5" applyNumberFormat="1" applyFont="1" applyFill="1" applyBorder="1" applyProtection="1"/>
    <xf numFmtId="0" fontId="0" fillId="0" borderId="0" xfId="0" applyBorder="1" applyProtection="1"/>
    <xf numFmtId="164" fontId="13" fillId="8" borderId="100" xfId="0" applyNumberFormat="1" applyFont="1" applyFill="1" applyBorder="1" applyProtection="1"/>
    <xf numFmtId="0" fontId="0" fillId="0" borderId="131" xfId="0" applyFill="1" applyBorder="1" applyAlignment="1" applyProtection="1">
      <alignment horizontal="center"/>
    </xf>
    <xf numFmtId="0" fontId="0" fillId="0" borderId="90" xfId="0" applyFill="1" applyBorder="1" applyAlignment="1" applyProtection="1">
      <alignment horizontal="center"/>
    </xf>
    <xf numFmtId="0" fontId="46" fillId="0" borderId="93" xfId="0" applyFont="1" applyFill="1" applyBorder="1" applyProtection="1"/>
    <xf numFmtId="0" fontId="0" fillId="0" borderId="93" xfId="0" applyBorder="1" applyProtection="1"/>
    <xf numFmtId="0" fontId="3" fillId="14" borderId="132" xfId="0" applyFont="1" applyFill="1" applyBorder="1" applyAlignment="1" applyProtection="1">
      <alignment horizontal="center"/>
    </xf>
    <xf numFmtId="10" fontId="23" fillId="0" borderId="141" xfId="0" applyNumberFormat="1" applyFont="1" applyFill="1" applyBorder="1" applyAlignment="1" applyProtection="1">
      <alignment horizontal="right" vertical="center" wrapText="1"/>
    </xf>
    <xf numFmtId="10" fontId="23" fillId="0" borderId="144" xfId="0" applyNumberFormat="1" applyFont="1" applyFill="1" applyBorder="1" applyAlignment="1" applyProtection="1">
      <alignment horizontal="right" vertical="center" wrapText="1"/>
    </xf>
    <xf numFmtId="0" fontId="3" fillId="14" borderId="2" xfId="0" applyFont="1" applyFill="1" applyBorder="1" applyProtection="1"/>
    <xf numFmtId="0" fontId="3" fillId="14" borderId="10" xfId="0" applyFont="1" applyFill="1" applyBorder="1" applyProtection="1"/>
    <xf numFmtId="0" fontId="28" fillId="22" borderId="4" xfId="2" applyFont="1" applyFill="1" applyBorder="1" applyAlignment="1" applyProtection="1">
      <alignment horizontal="center" vertical="center" wrapText="1"/>
    </xf>
    <xf numFmtId="0" fontId="28" fillId="22" borderId="110" xfId="2" applyFont="1" applyFill="1" applyBorder="1" applyAlignment="1" applyProtection="1">
      <alignment horizontal="center" vertical="center" wrapText="1"/>
    </xf>
    <xf numFmtId="0" fontId="3" fillId="0" borderId="20" xfId="0" applyFont="1" applyFill="1" applyBorder="1" applyAlignment="1" applyProtection="1">
      <alignment horizontal="left"/>
    </xf>
    <xf numFmtId="0" fontId="3" fillId="0" borderId="20" xfId="0" applyFont="1" applyFill="1" applyBorder="1" applyAlignment="1" applyProtection="1">
      <alignment horizontal="center"/>
    </xf>
    <xf numFmtId="0" fontId="3" fillId="0" borderId="3" xfId="0" applyFont="1" applyFill="1" applyBorder="1" applyProtection="1"/>
    <xf numFmtId="44" fontId="88" fillId="5" borderId="110" xfId="0" applyNumberFormat="1" applyFont="1" applyFill="1" applyBorder="1" applyProtection="1"/>
    <xf numFmtId="44" fontId="88" fillId="5" borderId="11" xfId="0" applyNumberFormat="1" applyFont="1" applyFill="1" applyBorder="1" applyAlignment="1" applyProtection="1">
      <alignment horizontal="center" vertical="center"/>
    </xf>
    <xf numFmtId="44" fontId="88" fillId="5" borderId="11" xfId="0" applyNumberFormat="1" applyFont="1" applyFill="1" applyBorder="1" applyAlignment="1" applyProtection="1">
      <alignment horizontal="left" vertical="center"/>
    </xf>
    <xf numFmtId="44" fontId="5" fillId="17" borderId="110" xfId="3" applyNumberFormat="1" applyFont="1" applyFill="1" applyBorder="1" applyAlignment="1" applyProtection="1">
      <alignment horizontal="left" indent="1"/>
    </xf>
    <xf numFmtId="44" fontId="11" fillId="17" borderId="6" xfId="0" applyNumberFormat="1" applyFont="1" applyFill="1" applyBorder="1" applyProtection="1"/>
    <xf numFmtId="0" fontId="3" fillId="3" borderId="3" xfId="0" applyFont="1" applyFill="1" applyBorder="1" applyAlignment="1" applyProtection="1">
      <alignment horizontal="center"/>
    </xf>
    <xf numFmtId="0" fontId="24" fillId="0" borderId="43" xfId="0" applyFont="1" applyBorder="1" applyProtection="1"/>
    <xf numFmtId="0" fontId="0" fillId="0" borderId="3" xfId="0" applyBorder="1" applyProtection="1"/>
    <xf numFmtId="17" fontId="24" fillId="0" borderId="42" xfId="0" applyNumberFormat="1" applyFont="1" applyBorder="1" applyProtection="1"/>
    <xf numFmtId="0" fontId="24" fillId="0" borderId="35" xfId="0" applyFont="1" applyBorder="1" applyProtection="1"/>
    <xf numFmtId="17" fontId="24" fillId="0" borderId="34" xfId="0" applyNumberFormat="1" applyFont="1" applyBorder="1" applyProtection="1"/>
    <xf numFmtId="17" fontId="24" fillId="0" borderId="37" xfId="0" applyNumberFormat="1" applyFont="1" applyBorder="1" applyProtection="1"/>
    <xf numFmtId="0" fontId="24" fillId="0" borderId="38" xfId="0" applyFont="1" applyBorder="1" applyProtection="1"/>
    <xf numFmtId="0" fontId="19" fillId="0" borderId="0" xfId="0" applyFont="1" applyBorder="1" applyProtection="1"/>
    <xf numFmtId="0" fontId="0" fillId="0" borderId="42" xfId="0" applyBorder="1" applyProtection="1"/>
    <xf numFmtId="166" fontId="0" fillId="0" borderId="43" xfId="0" applyNumberFormat="1" applyBorder="1" applyProtection="1"/>
    <xf numFmtId="166" fontId="0" fillId="0" borderId="44" xfId="0" applyNumberFormat="1" applyBorder="1" applyProtection="1"/>
    <xf numFmtId="0" fontId="0" fillId="0" borderId="34" xfId="0" applyBorder="1" applyProtection="1"/>
    <xf numFmtId="166" fontId="0" fillId="0" borderId="35" xfId="0" applyNumberFormat="1" applyBorder="1" applyProtection="1"/>
    <xf numFmtId="166" fontId="0" fillId="0" borderId="36" xfId="0" applyNumberFormat="1" applyBorder="1" applyProtection="1"/>
    <xf numFmtId="0" fontId="0" fillId="0" borderId="37" xfId="0" applyBorder="1" applyProtection="1"/>
    <xf numFmtId="166" fontId="0" fillId="0" borderId="38" xfId="0" applyNumberFormat="1" applyBorder="1" applyProtection="1"/>
    <xf numFmtId="166" fontId="0" fillId="0" borderId="39" xfId="0" applyNumberFormat="1" applyBorder="1" applyProtection="1"/>
    <xf numFmtId="0" fontId="19" fillId="0" borderId="0" xfId="0" applyFont="1" applyProtection="1"/>
    <xf numFmtId="0" fontId="3" fillId="0" borderId="0" xfId="0" applyFont="1" applyFill="1" applyBorder="1" applyProtection="1"/>
    <xf numFmtId="44" fontId="5" fillId="22" borderId="19" xfId="2" applyNumberFormat="1" applyFont="1" applyFill="1" applyBorder="1" applyAlignment="1" applyProtection="1">
      <alignment horizontal="center"/>
    </xf>
    <xf numFmtId="0" fontId="52" fillId="0" borderId="0" xfId="18" applyFill="1" applyBorder="1" applyAlignment="1">
      <alignment horizontal="left"/>
    </xf>
    <xf numFmtId="0" fontId="40" fillId="0" borderId="0" xfId="3" applyFont="1" applyBorder="1" applyAlignment="1" applyProtection="1"/>
    <xf numFmtId="0" fontId="40" fillId="0" borderId="1" xfId="3" applyFont="1" applyBorder="1" applyAlignment="1" applyProtection="1"/>
    <xf numFmtId="0" fontId="3" fillId="3" borderId="20" xfId="0" applyFont="1" applyFill="1" applyBorder="1" applyAlignment="1" applyProtection="1">
      <alignment horizontal="center" vertical="center"/>
    </xf>
    <xf numFmtId="0" fontId="89" fillId="3" borderId="20" xfId="0" applyFont="1" applyFill="1" applyBorder="1" applyAlignment="1" applyProtection="1">
      <alignment horizontal="center" vertical="center"/>
    </xf>
    <xf numFmtId="44" fontId="11" fillId="0" borderId="25" xfId="0" applyNumberFormat="1" applyFont="1" applyBorder="1" applyProtection="1"/>
    <xf numFmtId="44" fontId="18" fillId="0" borderId="1" xfId="0" applyNumberFormat="1" applyFont="1" applyBorder="1" applyProtection="1"/>
    <xf numFmtId="0" fontId="40" fillId="0" borderId="22" xfId="3" applyFont="1" applyFill="1" applyBorder="1" applyAlignment="1" applyProtection="1">
      <alignment horizontal="left"/>
    </xf>
    <xf numFmtId="0" fontId="8" fillId="0" borderId="22" xfId="0" applyFont="1" applyFill="1" applyBorder="1" applyProtection="1"/>
    <xf numFmtId="0" fontId="5" fillId="0" borderId="20" xfId="3" applyFont="1" applyBorder="1" applyAlignment="1" applyProtection="1">
      <alignment horizontal="left"/>
    </xf>
    <xf numFmtId="0" fontId="5" fillId="0" borderId="20" xfId="3" applyFont="1" applyBorder="1" applyAlignment="1" applyProtection="1">
      <alignment horizontal="left" indent="1"/>
    </xf>
    <xf numFmtId="44" fontId="2" fillId="0" borderId="20" xfId="0" applyNumberFormat="1" applyFont="1" applyFill="1" applyBorder="1" applyProtection="1"/>
    <xf numFmtId="0" fontId="5" fillId="0" borderId="19" xfId="3" applyFont="1" applyBorder="1" applyAlignment="1" applyProtection="1">
      <alignment horizontal="left"/>
    </xf>
    <xf numFmtId="0" fontId="5" fillId="0" borderId="19" xfId="3" applyFont="1" applyBorder="1" applyAlignment="1" applyProtection="1">
      <alignment horizontal="left" indent="1"/>
    </xf>
    <xf numFmtId="0" fontId="2" fillId="0" borderId="19" xfId="0" applyFont="1" applyFill="1" applyBorder="1" applyProtection="1"/>
    <xf numFmtId="44" fontId="11" fillId="0" borderId="55" xfId="0" applyNumberFormat="1" applyFont="1" applyBorder="1" applyProtection="1"/>
    <xf numFmtId="0" fontId="3" fillId="14" borderId="3" xfId="0" applyFont="1" applyFill="1" applyBorder="1" applyAlignment="1" applyProtection="1">
      <alignment horizontal="center" vertical="center"/>
    </xf>
    <xf numFmtId="0" fontId="89" fillId="14" borderId="3" xfId="0" applyFont="1" applyFill="1" applyBorder="1" applyAlignment="1" applyProtection="1">
      <alignment horizontal="center" vertical="center"/>
    </xf>
    <xf numFmtId="0" fontId="5" fillId="22" borderId="108" xfId="2" applyFont="1" applyFill="1" applyBorder="1" applyAlignment="1" applyProtection="1">
      <alignment horizontal="center"/>
    </xf>
    <xf numFmtId="0" fontId="5" fillId="5" borderId="109" xfId="2" applyFont="1" applyFill="1" applyBorder="1" applyAlignment="1" applyProtection="1">
      <alignment horizontal="center"/>
    </xf>
    <xf numFmtId="0" fontId="5" fillId="5" borderId="109" xfId="2" applyFont="1" applyFill="1" applyBorder="1" applyAlignment="1" applyProtection="1">
      <alignment horizontal="center" wrapText="1"/>
    </xf>
    <xf numFmtId="0" fontId="5" fillId="22" borderId="154" xfId="2" applyFont="1" applyFill="1" applyBorder="1" applyAlignment="1" applyProtection="1">
      <alignment horizontal="center"/>
    </xf>
    <xf numFmtId="0" fontId="5" fillId="22" borderId="155" xfId="2" applyFont="1" applyFill="1" applyBorder="1" applyAlignment="1" applyProtection="1">
      <alignment horizontal="center"/>
    </xf>
    <xf numFmtId="49" fontId="32" fillId="0" borderId="1" xfId="1" applyNumberFormat="1" applyFont="1" applyFill="1" applyBorder="1" applyAlignment="1" applyProtection="1">
      <alignment horizontal="center"/>
    </xf>
    <xf numFmtId="49" fontId="8" fillId="0" borderId="156" xfId="1" applyNumberFormat="1" applyFont="1" applyBorder="1" applyProtection="1"/>
    <xf numFmtId="6" fontId="8" fillId="27" borderId="0" xfId="1" applyNumberFormat="1" applyFont="1" applyFill="1" applyBorder="1" applyProtection="1"/>
    <xf numFmtId="44" fontId="5" fillId="22" borderId="58" xfId="2" applyNumberFormat="1" applyFont="1" applyFill="1" applyBorder="1" applyAlignment="1" applyProtection="1">
      <alignment horizontal="center"/>
    </xf>
    <xf numFmtId="44" fontId="27" fillId="0" borderId="53" xfId="1" applyFont="1" applyBorder="1" applyProtection="1"/>
    <xf numFmtId="44" fontId="27" fillId="0" borderId="10" xfId="1" applyFont="1" applyBorder="1" applyProtection="1"/>
    <xf numFmtId="0" fontId="3" fillId="14" borderId="3" xfId="0" applyFont="1" applyFill="1" applyBorder="1" applyAlignment="1" applyProtection="1">
      <alignment horizontal="center"/>
    </xf>
    <xf numFmtId="0" fontId="89" fillId="14" borderId="10" xfId="0" applyFont="1" applyFill="1" applyBorder="1" applyAlignment="1" applyProtection="1">
      <alignment horizontal="center" vertical="center"/>
    </xf>
    <xf numFmtId="0" fontId="5" fillId="22" borderId="4" xfId="2" applyFont="1" applyFill="1" applyBorder="1" applyAlignment="1" applyProtection="1">
      <alignment horizontal="center"/>
    </xf>
    <xf numFmtId="0" fontId="5" fillId="22" borderId="5" xfId="2" applyFont="1" applyFill="1" applyBorder="1" applyAlignment="1" applyProtection="1">
      <alignment horizontal="center"/>
    </xf>
    <xf numFmtId="0" fontId="5" fillId="22" borderId="7" xfId="2" applyFont="1" applyFill="1" applyBorder="1" applyAlignment="1" applyProtection="1">
      <alignment horizontal="center" wrapText="1"/>
    </xf>
    <xf numFmtId="0" fontId="5" fillId="22" borderId="11" xfId="2" applyFont="1" applyFill="1" applyBorder="1" applyAlignment="1" applyProtection="1">
      <alignment horizontal="center" wrapText="1"/>
    </xf>
    <xf numFmtId="0" fontId="16" fillId="0" borderId="0" xfId="16" applyFont="1" applyFill="1" applyBorder="1" applyProtection="1"/>
    <xf numFmtId="0" fontId="24" fillId="0" borderId="0" xfId="16" applyBorder="1" applyProtection="1"/>
    <xf numFmtId="0" fontId="3" fillId="3" borderId="40" xfId="0" applyFont="1" applyFill="1" applyBorder="1" applyAlignment="1" applyProtection="1">
      <alignment horizontal="center"/>
    </xf>
    <xf numFmtId="49" fontId="90" fillId="0" borderId="37" xfId="1" applyNumberFormat="1" applyFont="1" applyFill="1" applyBorder="1" applyAlignment="1" applyProtection="1">
      <alignment horizontal="center"/>
    </xf>
    <xf numFmtId="0" fontId="0" fillId="0" borderId="102" xfId="0" applyBorder="1" applyProtection="1"/>
    <xf numFmtId="0" fontId="22" fillId="5" borderId="4" xfId="0" applyNumberFormat="1" applyFont="1" applyFill="1" applyBorder="1" applyAlignment="1" applyProtection="1">
      <alignment horizontal="left"/>
    </xf>
    <xf numFmtId="0" fontId="23" fillId="5" borderId="7" xfId="0" applyNumberFormat="1" applyFont="1" applyFill="1" applyBorder="1" applyAlignment="1" applyProtection="1">
      <alignment horizontal="center"/>
    </xf>
    <xf numFmtId="0" fontId="11" fillId="5" borderId="10" xfId="0" applyNumberFormat="1" applyFont="1" applyFill="1" applyBorder="1" applyProtection="1"/>
    <xf numFmtId="0" fontId="0" fillId="0" borderId="0" xfId="0" applyFont="1" applyAlignment="1" applyProtection="1">
      <alignment horizontal="center" vertical="center" wrapText="1"/>
    </xf>
    <xf numFmtId="0" fontId="3" fillId="3" borderId="40"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0" borderId="45"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157" xfId="0" applyBorder="1" applyAlignment="1" applyProtection="1">
      <alignment horizontal="left" vertical="top" wrapText="1"/>
    </xf>
    <xf numFmtId="44" fontId="24" fillId="0" borderId="1" xfId="16" applyNumberFormat="1" applyFill="1" applyBorder="1" applyProtection="1"/>
    <xf numFmtId="168" fontId="72" fillId="0" borderId="0" xfId="16" applyNumberFormat="1" applyFont="1" applyFill="1" applyBorder="1" applyProtection="1"/>
    <xf numFmtId="44" fontId="74" fillId="0" borderId="7" xfId="16" applyNumberFormat="1" applyFont="1" applyFill="1" applyBorder="1" applyProtection="1"/>
    <xf numFmtId="168" fontId="72" fillId="0" borderId="7" xfId="16" applyNumberFormat="1" applyFont="1" applyFill="1" applyBorder="1" applyProtection="1"/>
    <xf numFmtId="0" fontId="8" fillId="0" borderId="49" xfId="0" applyFont="1" applyBorder="1" applyAlignment="1" applyProtection="1">
      <alignment horizontal="left"/>
    </xf>
    <xf numFmtId="0" fontId="8" fillId="0" borderId="49" xfId="0" applyFont="1" applyBorder="1" applyProtection="1"/>
    <xf numFmtId="0" fontId="9" fillId="0" borderId="54" xfId="3" applyFont="1" applyBorder="1" applyAlignment="1" applyProtection="1">
      <alignment horizontal="left"/>
    </xf>
    <xf numFmtId="49" fontId="0" fillId="0" borderId="0" xfId="0" applyNumberFormat="1" applyAlignment="1" applyProtection="1">
      <alignment horizontal="center"/>
    </xf>
    <xf numFmtId="44" fontId="11" fillId="0" borderId="67" xfId="0" applyNumberFormat="1" applyFont="1" applyFill="1" applyBorder="1" applyProtection="1"/>
    <xf numFmtId="0" fontId="5" fillId="22" borderId="27" xfId="2" applyFont="1" applyFill="1" applyBorder="1" applyAlignment="1" applyProtection="1">
      <alignment horizontal="center" vertical="center" wrapText="1"/>
    </xf>
    <xf numFmtId="0" fontId="5" fillId="22" borderId="106" xfId="2" applyFont="1" applyFill="1" applyBorder="1" applyAlignment="1" applyProtection="1">
      <alignment horizontal="center" vertical="center" wrapText="1"/>
    </xf>
    <xf numFmtId="0" fontId="5" fillId="22" borderId="55" xfId="2" applyFont="1" applyFill="1" applyBorder="1" applyAlignment="1" applyProtection="1">
      <alignment horizontal="center" vertical="center" wrapText="1"/>
    </xf>
    <xf numFmtId="0" fontId="3" fillId="3" borderId="64" xfId="0" applyFont="1" applyFill="1" applyBorder="1" applyAlignment="1" applyProtection="1">
      <alignment horizontal="center" vertical="center" wrapText="1"/>
    </xf>
    <xf numFmtId="166" fontId="9" fillId="0" borderId="11" xfId="2" applyNumberFormat="1" applyFont="1" applyFill="1" applyBorder="1" applyAlignment="1" applyProtection="1">
      <alignment horizontal="left"/>
    </xf>
    <xf numFmtId="0" fontId="8" fillId="0" borderId="48" xfId="0" applyFont="1" applyFill="1" applyBorder="1" applyProtection="1"/>
    <xf numFmtId="0" fontId="9" fillId="0" borderId="67" xfId="2" applyFont="1" applyFill="1" applyBorder="1" applyAlignment="1" applyProtection="1">
      <alignment horizontal="left"/>
    </xf>
    <xf numFmtId="0" fontId="9" fillId="0" borderId="25" xfId="2" applyFont="1" applyFill="1" applyBorder="1" applyAlignment="1" applyProtection="1">
      <alignment horizontal="left"/>
    </xf>
    <xf numFmtId="0" fontId="9" fillId="18" borderId="51" xfId="2" applyFont="1" applyFill="1" applyBorder="1" applyAlignment="1" applyProtection="1">
      <alignment horizontal="left"/>
    </xf>
    <xf numFmtId="44" fontId="2" fillId="17" borderId="65" xfId="1" applyNumberFormat="1" applyFont="1" applyFill="1" applyBorder="1" applyAlignment="1" applyProtection="1"/>
    <xf numFmtId="0" fontId="9" fillId="0" borderId="55" xfId="2" applyFont="1" applyFill="1" applyBorder="1" applyAlignment="1" applyProtection="1">
      <alignment horizontal="left"/>
    </xf>
    <xf numFmtId="0" fontId="9" fillId="17" borderId="55" xfId="2" applyFont="1" applyFill="1" applyBorder="1" applyAlignment="1" applyProtection="1">
      <alignment horizontal="left"/>
    </xf>
    <xf numFmtId="0" fontId="9" fillId="18" borderId="55" xfId="2" applyFont="1" applyFill="1" applyBorder="1" applyAlignment="1" applyProtection="1">
      <alignment horizontal="left"/>
    </xf>
    <xf numFmtId="0" fontId="5" fillId="0" borderId="11" xfId="2" applyFont="1" applyFill="1" applyBorder="1" applyAlignment="1" applyProtection="1"/>
    <xf numFmtId="44" fontId="12" fillId="0" borderId="128" xfId="0" applyNumberFormat="1" applyFont="1" applyFill="1" applyBorder="1" applyProtection="1"/>
    <xf numFmtId="44" fontId="12" fillId="0" borderId="27" xfId="0" applyNumberFormat="1" applyFont="1" applyBorder="1" applyProtection="1"/>
    <xf numFmtId="44" fontId="12" fillId="0" borderId="107" xfId="0" applyNumberFormat="1" applyFont="1" applyBorder="1" applyProtection="1"/>
    <xf numFmtId="44" fontId="12" fillId="0" borderId="27" xfId="1" applyNumberFormat="1" applyFont="1" applyFill="1" applyBorder="1" applyAlignment="1" applyProtection="1"/>
    <xf numFmtId="49" fontId="8" fillId="0" borderId="1" xfId="1" applyNumberFormat="1" applyFont="1" applyBorder="1" applyProtection="1"/>
    <xf numFmtId="6" fontId="8" fillId="0" borderId="1" xfId="1" applyNumberFormat="1" applyFont="1" applyFill="1" applyBorder="1" applyAlignment="1" applyProtection="1">
      <alignment wrapText="1"/>
    </xf>
    <xf numFmtId="44" fontId="2" fillId="0" borderId="1" xfId="1" applyFont="1" applyFill="1" applyBorder="1" applyProtection="1"/>
    <xf numFmtId="44" fontId="2" fillId="0" borderId="1" xfId="1" applyFont="1" applyBorder="1" applyProtection="1"/>
    <xf numFmtId="6" fontId="8" fillId="0" borderId="1" xfId="1" applyNumberFormat="1" applyFont="1" applyBorder="1" applyAlignment="1" applyProtection="1">
      <alignment wrapText="1"/>
    </xf>
    <xf numFmtId="44" fontId="2" fillId="27" borderId="9" xfId="1" applyFont="1" applyFill="1" applyBorder="1" applyProtection="1"/>
    <xf numFmtId="44" fontId="2" fillId="0" borderId="61" xfId="1" applyFont="1" applyBorder="1" applyProtection="1"/>
    <xf numFmtId="44" fontId="2" fillId="0" borderId="9" xfId="1" applyFont="1" applyBorder="1" applyProtection="1"/>
    <xf numFmtId="44" fontId="2" fillId="0" borderId="15" xfId="1" applyFont="1" applyBorder="1" applyProtection="1"/>
    <xf numFmtId="4" fontId="86" fillId="6" borderId="147" xfId="0" applyNumberFormat="1" applyFont="1" applyFill="1" applyBorder="1" applyAlignment="1" applyProtection="1">
      <alignment horizontal="right" vertical="center" wrapText="1"/>
    </xf>
    <xf numFmtId="1" fontId="86" fillId="0" borderId="152" xfId="0" applyNumberFormat="1" applyFont="1" applyBorder="1" applyAlignment="1" applyProtection="1">
      <alignment horizontal="right" vertical="center"/>
    </xf>
    <xf numFmtId="0" fontId="92" fillId="0" borderId="0" xfId="0" applyFont="1"/>
    <xf numFmtId="0" fontId="93" fillId="0" borderId="0" xfId="0" applyFont="1"/>
    <xf numFmtId="0" fontId="70" fillId="19" borderId="114" xfId="0" applyFont="1" applyFill="1" applyBorder="1" applyAlignment="1" applyProtection="1">
      <alignment horizontal="center"/>
    </xf>
    <xf numFmtId="0" fontId="70" fillId="19" borderId="116" xfId="0" applyFont="1" applyFill="1" applyBorder="1" applyAlignment="1" applyProtection="1">
      <alignment horizontal="center"/>
    </xf>
    <xf numFmtId="0" fontId="14" fillId="0" borderId="117" xfId="2" applyNumberFormat="1" applyFont="1" applyFill="1" applyBorder="1" applyAlignment="1" applyProtection="1">
      <alignment horizontal="center"/>
    </xf>
    <xf numFmtId="0" fontId="14" fillId="0" borderId="118" xfId="2" applyNumberFormat="1" applyFont="1" applyFill="1" applyBorder="1" applyAlignment="1" applyProtection="1">
      <alignment horizontal="center"/>
    </xf>
    <xf numFmtId="0" fontId="14" fillId="0" borderId="118" xfId="2" applyNumberFormat="1" applyFont="1" applyFill="1" applyBorder="1" applyAlignment="1" applyProtection="1">
      <alignment horizontal="left"/>
    </xf>
    <xf numFmtId="0" fontId="14" fillId="0" borderId="117"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left" vertical="center"/>
    </xf>
    <xf numFmtId="0" fontId="17" fillId="26" borderId="120"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right"/>
    </xf>
    <xf numFmtId="164" fontId="0" fillId="0" borderId="0" xfId="0" applyNumberFormat="1" applyProtection="1"/>
    <xf numFmtId="0" fontId="79" fillId="0" borderId="0" xfId="16" applyFont="1" applyProtection="1"/>
    <xf numFmtId="17" fontId="72" fillId="0" borderId="50" xfId="16" applyNumberFormat="1" applyFont="1" applyFill="1" applyBorder="1" applyProtection="1"/>
    <xf numFmtId="49" fontId="14" fillId="0" borderId="118" xfId="2" applyNumberFormat="1" applyFont="1" applyFill="1" applyBorder="1" applyAlignment="1" applyProtection="1">
      <alignment horizontal="center"/>
    </xf>
    <xf numFmtId="49" fontId="14" fillId="0" borderId="118" xfId="2" applyNumberFormat="1" applyFont="1" applyFill="1" applyBorder="1" applyAlignment="1" applyProtection="1">
      <alignment horizontal="center" vertical="center" wrapText="1"/>
    </xf>
    <xf numFmtId="0" fontId="8" fillId="0" borderId="0" xfId="0" applyFont="1" applyAlignment="1" applyProtection="1">
      <alignment vertical="center" wrapText="1"/>
    </xf>
    <xf numFmtId="44" fontId="68" fillId="0" borderId="118" xfId="5" applyNumberFormat="1" applyFont="1" applyFill="1" applyBorder="1" applyProtection="1"/>
    <xf numFmtId="44" fontId="14" fillId="0" borderId="118" xfId="5" applyNumberFormat="1" applyFont="1" applyFill="1" applyBorder="1" applyProtection="1"/>
    <xf numFmtId="44" fontId="68" fillId="0" borderId="119" xfId="5" applyNumberFormat="1" applyFont="1" applyFill="1" applyBorder="1" applyProtection="1"/>
    <xf numFmtId="44" fontId="68" fillId="0" borderId="118" xfId="5" applyNumberFormat="1" applyFont="1" applyFill="1" applyBorder="1" applyAlignment="1" applyProtection="1">
      <alignment vertical="center"/>
    </xf>
    <xf numFmtId="44" fontId="14" fillId="0" borderId="118" xfId="5" applyNumberFormat="1" applyFont="1" applyFill="1" applyBorder="1" applyAlignment="1" applyProtection="1">
      <alignment vertical="center"/>
    </xf>
    <xf numFmtId="44" fontId="68" fillId="0" borderId="119" xfId="5" applyNumberFormat="1" applyFont="1" applyFill="1" applyBorder="1" applyAlignment="1" applyProtection="1">
      <alignment vertical="center"/>
    </xf>
    <xf numFmtId="14" fontId="0" fillId="0" borderId="36" xfId="0" applyNumberFormat="1" applyBorder="1" applyAlignment="1" applyProtection="1">
      <alignment horizontal="left" vertical="top"/>
    </xf>
    <xf numFmtId="14" fontId="0" fillId="0" borderId="159" xfId="0" applyNumberFormat="1" applyBorder="1" applyAlignment="1" applyProtection="1">
      <alignment horizontal="left" vertical="top"/>
    </xf>
    <xf numFmtId="14" fontId="32" fillId="0" borderId="160" xfId="1" applyNumberFormat="1" applyFont="1" applyFill="1" applyBorder="1" applyAlignment="1" applyProtection="1">
      <alignment horizontal="center"/>
    </xf>
    <xf numFmtId="0" fontId="8" fillId="0" borderId="0" xfId="0" applyFont="1" applyFill="1" applyAlignment="1" applyProtection="1">
      <alignment horizontal="left"/>
    </xf>
    <xf numFmtId="44" fontId="11" fillId="17" borderId="4" xfId="0" applyNumberFormat="1" applyFont="1" applyFill="1" applyBorder="1" applyProtection="1"/>
    <xf numFmtId="44" fontId="38" fillId="3" borderId="110" xfId="3" applyNumberFormat="1" applyFont="1" applyFill="1" applyBorder="1" applyAlignment="1" applyProtection="1">
      <alignment horizontal="left" indent="1"/>
    </xf>
    <xf numFmtId="44" fontId="11" fillId="0" borderId="19" xfId="0" applyNumberFormat="1" applyFont="1" applyFill="1" applyBorder="1" applyProtection="1"/>
    <xf numFmtId="44" fontId="38" fillId="3" borderId="2" xfId="3" applyNumberFormat="1" applyFont="1" applyFill="1" applyBorder="1" applyAlignment="1" applyProtection="1">
      <alignment horizontal="left"/>
    </xf>
    <xf numFmtId="0" fontId="38" fillId="3" borderId="2" xfId="3" applyFont="1" applyFill="1" applyBorder="1" applyAlignment="1" applyProtection="1">
      <alignment horizontal="left"/>
    </xf>
    <xf numFmtId="44" fontId="11" fillId="17" borderId="1" xfId="0" applyNumberFormat="1" applyFont="1" applyFill="1" applyBorder="1" applyProtection="1"/>
    <xf numFmtId="0" fontId="0" fillId="0" borderId="46"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158" xfId="0" applyBorder="1" applyAlignment="1" applyProtection="1">
      <alignment horizontal="left" vertical="top" wrapText="1"/>
    </xf>
    <xf numFmtId="49" fontId="32" fillId="0" borderId="38" xfId="1" applyNumberFormat="1" applyFont="1" applyFill="1" applyBorder="1" applyAlignment="1" applyProtection="1">
      <alignment horizontal="center" wrapText="1"/>
    </xf>
    <xf numFmtId="8" fontId="27" fillId="0" borderId="53" xfId="1" applyNumberFormat="1" applyFont="1" applyBorder="1" applyProtection="1"/>
    <xf numFmtId="0" fontId="43" fillId="0" borderId="77" xfId="0" applyFont="1" applyFill="1" applyBorder="1" applyAlignment="1" applyProtection="1">
      <alignment vertical="center"/>
    </xf>
    <xf numFmtId="0" fontId="43" fillId="0" borderId="78" xfId="0" applyFont="1" applyFill="1" applyBorder="1" applyAlignment="1" applyProtection="1">
      <alignment vertical="center"/>
    </xf>
    <xf numFmtId="0" fontId="43" fillId="0" borderId="79" xfId="0" applyFont="1" applyFill="1" applyBorder="1" applyAlignment="1" applyProtection="1">
      <alignment vertical="center"/>
    </xf>
    <xf numFmtId="0" fontId="0" fillId="0" borderId="31" xfId="0" applyFont="1" applyBorder="1" applyProtection="1"/>
    <xf numFmtId="0" fontId="0" fillId="0" borderId="32" xfId="0" applyBorder="1" applyProtection="1"/>
    <xf numFmtId="44" fontId="0" fillId="0" borderId="32" xfId="0" applyNumberFormat="1" applyBorder="1" applyProtection="1"/>
    <xf numFmtId="0" fontId="0" fillId="0" borderId="33" xfId="0" applyBorder="1" applyProtection="1"/>
    <xf numFmtId="0" fontId="0" fillId="0" borderId="42" xfId="0" applyFont="1" applyBorder="1" applyProtection="1"/>
    <xf numFmtId="0" fontId="0" fillId="0" borderId="43" xfId="0" applyBorder="1" applyProtection="1"/>
    <xf numFmtId="44" fontId="0" fillId="0" borderId="43" xfId="0" applyNumberFormat="1" applyBorder="1" applyProtection="1"/>
    <xf numFmtId="0" fontId="0" fillId="0" borderId="44" xfId="0" applyBorder="1" applyProtection="1"/>
    <xf numFmtId="0" fontId="0" fillId="0" borderId="34" xfId="0" applyFont="1" applyBorder="1" applyProtection="1"/>
    <xf numFmtId="0" fontId="0" fillId="0" borderId="35" xfId="0" applyBorder="1" applyProtection="1"/>
    <xf numFmtId="44" fontId="0" fillId="0" borderId="35" xfId="0" applyNumberFormat="1" applyBorder="1" applyProtection="1"/>
    <xf numFmtId="0" fontId="0" fillId="0" borderId="36" xfId="0" applyBorder="1" applyProtection="1"/>
    <xf numFmtId="44" fontId="0" fillId="0" borderId="158" xfId="0" applyNumberFormat="1" applyBorder="1" applyProtection="1"/>
    <xf numFmtId="0" fontId="0" fillId="0" borderId="161" xfId="0" applyBorder="1" applyProtection="1"/>
    <xf numFmtId="44" fontId="5" fillId="17" borderId="2" xfId="3" applyNumberFormat="1" applyFont="1" applyFill="1" applyBorder="1" applyAlignment="1" applyProtection="1">
      <alignment horizontal="left" indent="1"/>
    </xf>
    <xf numFmtId="0" fontId="32" fillId="5" borderId="136" xfId="0" applyFont="1" applyFill="1" applyBorder="1" applyAlignment="1" applyProtection="1">
      <alignment horizontal="center" vertical="center" wrapText="1"/>
    </xf>
    <xf numFmtId="0" fontId="32" fillId="5" borderId="137" xfId="0" applyFont="1" applyFill="1" applyBorder="1" applyAlignment="1" applyProtection="1">
      <alignment horizontal="center" vertical="center" wrapText="1"/>
    </xf>
    <xf numFmtId="0" fontId="32" fillId="5" borderId="138" xfId="0" applyFont="1" applyFill="1" applyBorder="1" applyAlignment="1" applyProtection="1">
      <alignment horizontal="center" vertical="center" wrapText="1"/>
    </xf>
    <xf numFmtId="0" fontId="86" fillId="0" borderId="139" xfId="0" applyFont="1" applyFill="1" applyBorder="1" applyProtection="1"/>
    <xf numFmtId="0" fontId="86" fillId="0" borderId="140" xfId="0" applyFont="1" applyFill="1" applyBorder="1" applyProtection="1"/>
    <xf numFmtId="172" fontId="86" fillId="0" borderId="140" xfId="19" applyNumberFormat="1" applyFont="1" applyFill="1" applyBorder="1" applyProtection="1"/>
    <xf numFmtId="9" fontId="86" fillId="0" borderId="140" xfId="17" applyFont="1" applyFill="1" applyBorder="1" applyProtection="1"/>
    <xf numFmtId="2" fontId="86" fillId="0" borderId="140" xfId="0" applyNumberFormat="1" applyFont="1" applyFill="1" applyBorder="1" applyProtection="1"/>
    <xf numFmtId="2" fontId="86" fillId="0" borderId="142" xfId="0" applyNumberFormat="1" applyFont="1" applyFill="1" applyBorder="1" applyProtection="1"/>
    <xf numFmtId="2" fontId="86" fillId="0" borderId="143" xfId="0" applyNumberFormat="1" applyFont="1" applyFill="1" applyBorder="1" applyProtection="1"/>
    <xf numFmtId="0" fontId="86" fillId="29" borderId="145" xfId="0" applyFont="1" applyFill="1" applyBorder="1" applyProtection="1"/>
    <xf numFmtId="0" fontId="86" fillId="29" borderId="146" xfId="0" applyFont="1" applyFill="1" applyBorder="1" applyProtection="1"/>
    <xf numFmtId="0" fontId="87" fillId="29" borderId="146" xfId="0" applyFont="1" applyFill="1" applyBorder="1" applyProtection="1"/>
    <xf numFmtId="0" fontId="87" fillId="29" borderId="50" xfId="0" applyFont="1" applyFill="1" applyBorder="1" applyAlignment="1" applyProtection="1">
      <alignment horizontal="right"/>
    </xf>
    <xf numFmtId="0" fontId="86" fillId="29" borderId="21" xfId="0" applyFont="1" applyFill="1" applyBorder="1" applyProtection="1"/>
    <xf numFmtId="0" fontId="86" fillId="29" borderId="0" xfId="0" applyFont="1" applyFill="1" applyBorder="1" applyProtection="1"/>
    <xf numFmtId="0" fontId="87" fillId="29" borderId="0" xfId="0" applyFont="1" applyFill="1" applyBorder="1" applyProtection="1"/>
    <xf numFmtId="0" fontId="87" fillId="29" borderId="148" xfId="0" applyFont="1" applyFill="1" applyBorder="1" applyAlignment="1" applyProtection="1">
      <alignment horizontal="right"/>
    </xf>
    <xf numFmtId="4" fontId="86" fillId="0" borderId="149" xfId="0" applyNumberFormat="1" applyFont="1" applyBorder="1" applyProtection="1"/>
    <xf numFmtId="4" fontId="86" fillId="0" borderId="150" xfId="0" applyNumberFormat="1" applyFont="1" applyBorder="1" applyProtection="1"/>
    <xf numFmtId="0" fontId="86" fillId="29" borderId="151" xfId="0" applyFont="1" applyFill="1" applyBorder="1" applyProtection="1"/>
    <xf numFmtId="0" fontId="86" fillId="29" borderId="125" xfId="0" applyFont="1" applyFill="1" applyBorder="1" applyProtection="1"/>
    <xf numFmtId="0" fontId="87" fillId="29" borderId="125" xfId="0" applyFont="1" applyFill="1" applyBorder="1" applyProtection="1"/>
    <xf numFmtId="0" fontId="87" fillId="0" borderId="66" xfId="0" applyFont="1" applyBorder="1" applyAlignment="1" applyProtection="1">
      <alignment horizontal="right"/>
    </xf>
    <xf numFmtId="9" fontId="8" fillId="0" borderId="30" xfId="17" applyFont="1" applyBorder="1" applyProtection="1"/>
    <xf numFmtId="0" fontId="86" fillId="29" borderId="126" xfId="0" applyFont="1" applyFill="1" applyBorder="1" applyProtection="1"/>
    <xf numFmtId="0" fontId="86" fillId="29" borderId="19" xfId="0" applyFont="1" applyFill="1" applyBorder="1" applyProtection="1"/>
    <xf numFmtId="0" fontId="87" fillId="29" borderId="19" xfId="0" applyFont="1" applyFill="1" applyBorder="1" applyProtection="1"/>
    <xf numFmtId="0" fontId="87" fillId="29" borderId="57" xfId="0" applyFont="1" applyFill="1" applyBorder="1" applyAlignment="1" applyProtection="1">
      <alignment horizontal="right"/>
    </xf>
    <xf numFmtId="0" fontId="86" fillId="0" borderId="153" xfId="0" applyFont="1" applyBorder="1" applyAlignment="1" applyProtection="1">
      <alignment horizontal="right"/>
    </xf>
    <xf numFmtId="0" fontId="52" fillId="10" borderId="0" xfId="18" applyFill="1" applyAlignment="1">
      <alignment horizontal="left"/>
    </xf>
    <xf numFmtId="0" fontId="56" fillId="0" borderId="0" xfId="0" applyFont="1" applyAlignment="1">
      <alignment horizontal="left" vertical="top" wrapText="1"/>
    </xf>
    <xf numFmtId="0" fontId="48" fillId="10" borderId="0" xfId="0" applyFont="1" applyFill="1" applyAlignment="1">
      <alignment horizontal="left" vertical="center" wrapText="1"/>
    </xf>
    <xf numFmtId="0" fontId="52" fillId="0" borderId="0" xfId="18" applyFill="1" applyBorder="1" applyAlignment="1">
      <alignment horizontal="left"/>
    </xf>
    <xf numFmtId="0" fontId="42" fillId="7" borderId="23" xfId="0" applyFont="1" applyFill="1" applyBorder="1" applyAlignment="1" applyProtection="1">
      <alignment horizontal="center" vertical="center"/>
    </xf>
    <xf numFmtId="0" fontId="42" fillId="7" borderId="20" xfId="0" applyFont="1" applyFill="1" applyBorder="1" applyAlignment="1" applyProtection="1">
      <alignment horizontal="center" vertical="center"/>
    </xf>
    <xf numFmtId="0" fontId="42" fillId="7" borderId="24" xfId="0" applyFont="1" applyFill="1" applyBorder="1" applyAlignment="1" applyProtection="1">
      <alignment horizontal="center" vertical="center"/>
    </xf>
    <xf numFmtId="0" fontId="42" fillId="7" borderId="68" xfId="0" applyFont="1" applyFill="1" applyBorder="1" applyAlignment="1" applyProtection="1">
      <alignment horizontal="center" vertical="center"/>
    </xf>
    <xf numFmtId="0" fontId="42" fillId="7" borderId="69" xfId="0" applyFont="1" applyFill="1" applyBorder="1" applyAlignment="1" applyProtection="1">
      <alignment horizontal="center" vertical="center"/>
    </xf>
    <xf numFmtId="0" fontId="42" fillId="7" borderId="70" xfId="0" applyFont="1" applyFill="1" applyBorder="1" applyAlignment="1" applyProtection="1">
      <alignment horizontal="center" vertical="center"/>
    </xf>
    <xf numFmtId="0" fontId="44" fillId="8" borderId="77" xfId="0" applyFont="1" applyFill="1" applyBorder="1" applyAlignment="1" applyProtection="1">
      <alignment horizontal="center" vertical="center"/>
    </xf>
    <xf numFmtId="0" fontId="44" fillId="8" borderId="78"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80"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4" fillId="8" borderId="82" xfId="0" applyFont="1" applyFill="1" applyBorder="1" applyAlignment="1" applyProtection="1">
      <alignment horizontal="center" vertical="center"/>
    </xf>
    <xf numFmtId="0" fontId="45" fillId="0" borderId="83" xfId="0" applyFont="1" applyFill="1" applyBorder="1" applyAlignment="1" applyProtection="1">
      <alignment horizontal="center" vertical="center"/>
    </xf>
    <xf numFmtId="0" fontId="45" fillId="0" borderId="84" xfId="0" applyFont="1" applyFill="1" applyBorder="1" applyAlignment="1" applyProtection="1">
      <alignment horizontal="center" vertical="center"/>
    </xf>
    <xf numFmtId="0" fontId="45" fillId="0" borderId="85" xfId="0" applyFont="1" applyFill="1" applyBorder="1" applyAlignment="1" applyProtection="1">
      <alignment horizontal="center" vertical="center"/>
    </xf>
    <xf numFmtId="0" fontId="44" fillId="9" borderId="77" xfId="0" applyFont="1" applyFill="1" applyBorder="1" applyAlignment="1" applyProtection="1">
      <alignment horizontal="center" vertical="center"/>
    </xf>
    <xf numFmtId="0" fontId="44" fillId="9" borderId="78" xfId="0" applyFont="1" applyFill="1" applyBorder="1" applyAlignment="1" applyProtection="1">
      <alignment horizontal="center" vertical="center"/>
    </xf>
    <xf numFmtId="0" fontId="44" fillId="9" borderId="79" xfId="0" applyFont="1" applyFill="1" applyBorder="1" applyAlignment="1" applyProtection="1">
      <alignment horizontal="center" vertical="center"/>
    </xf>
    <xf numFmtId="0" fontId="44" fillId="9" borderId="80" xfId="0" applyFont="1" applyFill="1" applyBorder="1" applyAlignment="1" applyProtection="1">
      <alignment horizontal="center" vertical="center"/>
    </xf>
    <xf numFmtId="0" fontId="44" fillId="9" borderId="81" xfId="0" applyFont="1" applyFill="1" applyBorder="1" applyAlignment="1" applyProtection="1">
      <alignment horizontal="center" vertical="center"/>
    </xf>
    <xf numFmtId="0" fontId="44" fillId="9" borderId="82" xfId="0" applyFont="1" applyFill="1" applyBorder="1" applyAlignment="1" applyProtection="1">
      <alignment horizontal="center" vertical="center"/>
    </xf>
    <xf numFmtId="0" fontId="7" fillId="17" borderId="2" xfId="2" applyFont="1" applyFill="1" applyBorder="1" applyAlignment="1" applyProtection="1">
      <alignment horizontal="center"/>
    </xf>
    <xf numFmtId="0" fontId="7" fillId="17" borderId="10" xfId="2" applyFont="1" applyFill="1" applyBorder="1" applyAlignment="1" applyProtection="1">
      <alignment horizontal="center"/>
    </xf>
    <xf numFmtId="0" fontId="5" fillId="27" borderId="49" xfId="2" applyFont="1" applyFill="1" applyBorder="1" applyAlignment="1" applyProtection="1">
      <alignment horizontal="center" wrapText="1"/>
    </xf>
    <xf numFmtId="0" fontId="5" fillId="27" borderId="1" xfId="2" applyFont="1" applyFill="1" applyBorder="1" applyAlignment="1" applyProtection="1">
      <alignment horizontal="center" wrapText="1"/>
    </xf>
    <xf numFmtId="0" fontId="5" fillId="27" borderId="29" xfId="2" applyFont="1" applyFill="1" applyBorder="1" applyAlignment="1" applyProtection="1">
      <alignment horizontal="center" wrapText="1"/>
    </xf>
    <xf numFmtId="0" fontId="5" fillId="6" borderId="49" xfId="2" applyFont="1" applyFill="1" applyBorder="1" applyAlignment="1" applyProtection="1">
      <alignment horizontal="center"/>
    </xf>
    <xf numFmtId="0" fontId="5" fillId="6" borderId="1" xfId="2" applyFont="1" applyFill="1" applyBorder="1" applyAlignment="1" applyProtection="1">
      <alignment horizontal="center"/>
    </xf>
    <xf numFmtId="0" fontId="5" fillId="6" borderId="29" xfId="2" applyFont="1" applyFill="1" applyBorder="1" applyAlignment="1" applyProtection="1">
      <alignment horizontal="center"/>
    </xf>
    <xf numFmtId="0" fontId="29" fillId="6" borderId="49" xfId="2" applyFont="1" applyFill="1" applyBorder="1" applyAlignment="1" applyProtection="1">
      <alignment horizontal="center"/>
    </xf>
    <xf numFmtId="0" fontId="29" fillId="6" borderId="1" xfId="2" applyFont="1" applyFill="1" applyBorder="1" applyAlignment="1" applyProtection="1">
      <alignment horizontal="center"/>
    </xf>
    <xf numFmtId="0" fontId="29" fillId="6" borderId="29" xfId="2" applyFont="1" applyFill="1" applyBorder="1" applyAlignment="1" applyProtection="1">
      <alignment horizontal="center"/>
    </xf>
    <xf numFmtId="0" fontId="5" fillId="6" borderId="47" xfId="2" applyFont="1" applyFill="1" applyBorder="1" applyAlignment="1" applyProtection="1">
      <alignment horizontal="center"/>
    </xf>
    <xf numFmtId="0" fontId="5" fillId="6" borderId="56" xfId="2" applyFont="1" applyFill="1" applyBorder="1" applyAlignment="1" applyProtection="1">
      <alignment horizontal="center"/>
    </xf>
    <xf numFmtId="0" fontId="5" fillId="6" borderId="62" xfId="2" applyFont="1" applyFill="1" applyBorder="1" applyAlignment="1" applyProtection="1">
      <alignment horizontal="center"/>
    </xf>
    <xf numFmtId="0" fontId="5" fillId="17" borderId="49" xfId="2" applyFont="1" applyFill="1" applyBorder="1" applyAlignment="1" applyProtection="1">
      <alignment horizontal="center"/>
    </xf>
    <xf numFmtId="0" fontId="5" fillId="17" borderId="1" xfId="2" applyFont="1" applyFill="1" applyBorder="1" applyAlignment="1" applyProtection="1">
      <alignment horizontal="center"/>
    </xf>
    <xf numFmtId="0" fontId="5" fillId="17" borderId="29" xfId="2" applyFont="1" applyFill="1" applyBorder="1" applyAlignment="1" applyProtection="1">
      <alignment horizontal="center"/>
    </xf>
    <xf numFmtId="0" fontId="43" fillId="17" borderId="21" xfId="0" applyFont="1" applyFill="1" applyBorder="1" applyAlignment="1" applyProtection="1">
      <alignment horizontal="center" vertical="center"/>
    </xf>
    <xf numFmtId="0" fontId="43" fillId="17" borderId="0" xfId="0" applyFont="1" applyFill="1" applyBorder="1" applyAlignment="1" applyProtection="1">
      <alignment horizontal="center" vertical="center"/>
    </xf>
    <xf numFmtId="0" fontId="43" fillId="17" borderId="102" xfId="0" applyFont="1" applyFill="1" applyBorder="1" applyAlignment="1" applyProtection="1">
      <alignment horizontal="center" vertical="center"/>
    </xf>
    <xf numFmtId="0" fontId="7" fillId="5" borderId="2" xfId="3" applyFont="1" applyFill="1" applyBorder="1" applyAlignment="1" applyProtection="1">
      <alignment horizontal="left" vertical="center"/>
    </xf>
    <xf numFmtId="0" fontId="7" fillId="5" borderId="6" xfId="3" applyFont="1" applyFill="1" applyBorder="1" applyAlignment="1" applyProtection="1">
      <alignment horizontal="left" vertical="center"/>
    </xf>
    <xf numFmtId="0" fontId="6" fillId="6" borderId="54" xfId="0" applyFont="1" applyFill="1" applyBorder="1" applyAlignment="1" applyProtection="1">
      <alignment horizontal="center"/>
    </xf>
    <xf numFmtId="0" fontId="6" fillId="6" borderId="27" xfId="0" applyFont="1" applyFill="1" applyBorder="1" applyAlignment="1" applyProtection="1">
      <alignment horizontal="center"/>
    </xf>
    <xf numFmtId="0" fontId="6" fillId="6" borderId="63" xfId="0" applyFont="1" applyFill="1" applyBorder="1" applyAlignment="1" applyProtection="1">
      <alignment horizontal="center"/>
    </xf>
    <xf numFmtId="0" fontId="39" fillId="8" borderId="62" xfId="0" applyFont="1" applyFill="1" applyBorder="1" applyAlignment="1" applyProtection="1">
      <alignment horizontal="center"/>
    </xf>
    <xf numFmtId="0" fontId="39" fillId="8" borderId="91" xfId="0" applyFont="1" applyFill="1" applyBorder="1" applyAlignment="1" applyProtection="1">
      <alignment horizontal="center"/>
    </xf>
    <xf numFmtId="0" fontId="39" fillId="0" borderId="62" xfId="0" applyFont="1" applyBorder="1" applyAlignment="1" applyProtection="1">
      <alignment horizontal="center"/>
    </xf>
    <xf numFmtId="0" fontId="39" fillId="0" borderId="41" xfId="0" applyFont="1" applyBorder="1" applyAlignment="1" applyProtection="1">
      <alignment horizontal="center"/>
    </xf>
    <xf numFmtId="0" fontId="39" fillId="0" borderId="29" xfId="0" applyFont="1" applyBorder="1" applyAlignment="1" applyProtection="1">
      <alignment horizontal="center"/>
    </xf>
    <xf numFmtId="0" fontId="39" fillId="0" borderId="30" xfId="0" applyFont="1" applyBorder="1" applyAlignment="1" applyProtection="1">
      <alignment horizontal="center"/>
    </xf>
    <xf numFmtId="0" fontId="39" fillId="0" borderId="63" xfId="0" applyFont="1" applyBorder="1" applyAlignment="1" applyProtection="1">
      <alignment horizontal="center"/>
    </xf>
    <xf numFmtId="0" fontId="39" fillId="0" borderId="92" xfId="0" applyFont="1" applyBorder="1" applyAlignment="1" applyProtection="1">
      <alignment horizontal="center"/>
    </xf>
    <xf numFmtId="0" fontId="91" fillId="0" borderId="0" xfId="16" applyFont="1" applyFill="1" applyBorder="1" applyAlignment="1" applyProtection="1">
      <alignment horizontal="center"/>
    </xf>
    <xf numFmtId="0" fontId="84" fillId="24" borderId="1" xfId="0" applyFont="1" applyFill="1" applyBorder="1" applyAlignment="1" applyProtection="1">
      <alignment horizontal="center"/>
    </xf>
    <xf numFmtId="0" fontId="24" fillId="0" borderId="29" xfId="16" applyFont="1" applyFill="1" applyBorder="1" applyAlignment="1" applyProtection="1">
      <alignment horizontal="right"/>
    </xf>
    <xf numFmtId="0" fontId="24" fillId="0" borderId="28" xfId="16" applyFont="1" applyFill="1" applyBorder="1" applyAlignment="1" applyProtection="1">
      <alignment horizontal="right"/>
    </xf>
    <xf numFmtId="0" fontId="83" fillId="23" borderId="2" xfId="0" applyFont="1" applyFill="1" applyBorder="1" applyAlignment="1" applyProtection="1">
      <alignment horizontal="center"/>
    </xf>
    <xf numFmtId="0" fontId="83" fillId="23" borderId="3" xfId="0" applyFont="1" applyFill="1" applyBorder="1" applyAlignment="1" applyProtection="1">
      <alignment horizontal="center"/>
    </xf>
    <xf numFmtId="0" fontId="24" fillId="16" borderId="0" xfId="16" applyFill="1" applyAlignment="1" applyProtection="1">
      <alignment horizontal="center" vertical="center" wrapText="1"/>
    </xf>
    <xf numFmtId="0" fontId="24" fillId="6" borderId="29" xfId="16" applyFont="1" applyFill="1" applyBorder="1" applyAlignment="1" applyProtection="1">
      <alignment horizontal="right"/>
    </xf>
    <xf numFmtId="0" fontId="24" fillId="6" borderId="28" xfId="16" applyFont="1" applyFill="1" applyBorder="1" applyAlignment="1" applyProtection="1">
      <alignment horizontal="right"/>
    </xf>
    <xf numFmtId="0" fontId="84" fillId="14" borderId="1" xfId="0" applyFont="1" applyFill="1" applyBorder="1" applyAlignment="1" applyProtection="1">
      <alignment horizontal="center"/>
    </xf>
    <xf numFmtId="0" fontId="10" fillId="5" borderId="133" xfId="0" applyFont="1" applyFill="1" applyBorder="1" applyAlignment="1" applyProtection="1">
      <alignment horizontal="center"/>
    </xf>
    <xf numFmtId="0" fontId="10" fillId="5" borderId="134" xfId="0" applyFont="1" applyFill="1" applyBorder="1" applyAlignment="1" applyProtection="1">
      <alignment horizontal="center"/>
    </xf>
    <xf numFmtId="0" fontId="10" fillId="5" borderId="135" xfId="0" applyFont="1" applyFill="1" applyBorder="1" applyAlignment="1" applyProtection="1">
      <alignment horizontal="center"/>
    </xf>
  </cellXfs>
  <cellStyles count="20">
    <cellStyle name="Comma" xfId="19"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1075">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1074"/>
      <tableStyleElement type="headerRow" dxfId="1073"/>
      <tableStyleElement type="totalRow" dxfId="1072"/>
      <tableStyleElement type="secondRowStripe" dxfId="1071"/>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675349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697574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142692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1206856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101776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148</xdr:row>
      <xdr:rowOff>19050</xdr:rowOff>
    </xdr:from>
    <xdr:to>
      <xdr:col>2</xdr:col>
      <xdr:colOff>933344</xdr:colOff>
      <xdr:row>151</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153</xdr:row>
      <xdr:rowOff>161925</xdr:rowOff>
    </xdr:from>
    <xdr:to>
      <xdr:col>4</xdr:col>
      <xdr:colOff>638175</xdr:colOff>
      <xdr:row>165</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154</xdr:row>
      <xdr:rowOff>200025</xdr:rowOff>
    </xdr:from>
    <xdr:to>
      <xdr:col>3</xdr:col>
      <xdr:colOff>333375</xdr:colOff>
      <xdr:row>155</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697574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170</xdr:row>
      <xdr:rowOff>152400</xdr:rowOff>
    </xdr:from>
    <xdr:to>
      <xdr:col>4</xdr:col>
      <xdr:colOff>104775</xdr:colOff>
      <xdr:row>175</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174</xdr:row>
      <xdr:rowOff>104775</xdr:rowOff>
    </xdr:from>
    <xdr:to>
      <xdr:col>3</xdr:col>
      <xdr:colOff>790574</xdr:colOff>
      <xdr:row>175</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127</xdr:row>
      <xdr:rowOff>200025</xdr:rowOff>
    </xdr:from>
    <xdr:to>
      <xdr:col>5</xdr:col>
      <xdr:colOff>1076365</xdr:colOff>
      <xdr:row>140</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130</xdr:row>
      <xdr:rowOff>38099</xdr:rowOff>
    </xdr:from>
    <xdr:to>
      <xdr:col>4</xdr:col>
      <xdr:colOff>914400</xdr:colOff>
      <xdr:row>131</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134</xdr:row>
      <xdr:rowOff>66674</xdr:rowOff>
    </xdr:from>
    <xdr:to>
      <xdr:col>5</xdr:col>
      <xdr:colOff>809624</xdr:colOff>
      <xdr:row>134</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19050</xdr:colOff>
      <xdr:row>110</xdr:row>
      <xdr:rowOff>44450</xdr:rowOff>
    </xdr:from>
    <xdr:to>
      <xdr:col>4</xdr:col>
      <xdr:colOff>828675</xdr:colOff>
      <xdr:row>121</xdr:row>
      <xdr:rowOff>163374</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1"/>
        <a:stretch>
          <a:fillRect/>
        </a:stretch>
      </xdr:blipFill>
      <xdr:spPr>
        <a:xfrm>
          <a:off x="914400" y="25361900"/>
          <a:ext cx="3724275" cy="2633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2171700</xdr:colOff>
          <xdr:row>12</xdr:row>
          <xdr:rowOff>76200</xdr:rowOff>
        </xdr:to>
        <xdr:sp macro="" textlink="">
          <xdr:nvSpPr>
            <xdr:cNvPr id="81686" name="Button 2838" hidden="1">
              <a:extLst>
                <a:ext uri="{63B3BB69-23CF-44E3-9099-C40C66FF867C}">
                  <a14:compatExt spid="_x0000_s81686"/>
                </a:ext>
                <a:ext uri="{FF2B5EF4-FFF2-40B4-BE49-F238E27FC236}">
                  <a16:creationId xmlns:a16="http://schemas.microsoft.com/office/drawing/2014/main" id="{00000000-0008-0000-0100-000016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15</xdr:row>
          <xdr:rowOff>44450</xdr:rowOff>
        </xdr:from>
        <xdr:to>
          <xdr:col>10</xdr:col>
          <xdr:colOff>2133600</xdr:colOff>
          <xdr:row>17</xdr:row>
          <xdr:rowOff>120650</xdr:rowOff>
        </xdr:to>
        <xdr:sp macro="" textlink="">
          <xdr:nvSpPr>
            <xdr:cNvPr id="81687" name="Button 2839" hidden="1">
              <a:extLst>
                <a:ext uri="{63B3BB69-23CF-44E3-9099-C40C66FF867C}">
                  <a14:compatExt spid="_x0000_s81687"/>
                </a:ext>
                <a:ext uri="{FF2B5EF4-FFF2-40B4-BE49-F238E27FC236}">
                  <a16:creationId xmlns:a16="http://schemas.microsoft.com/office/drawing/2014/main" id="{00000000-0008-0000-0100-000017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158750</xdr:colOff>
          <xdr:row>20</xdr:row>
          <xdr:rowOff>76200</xdr:rowOff>
        </xdr:from>
        <xdr:to>
          <xdr:col>10</xdr:col>
          <xdr:colOff>2152650</xdr:colOff>
          <xdr:row>22</xdr:row>
          <xdr:rowOff>69850</xdr:rowOff>
        </xdr:to>
        <xdr:sp macro="" textlink="">
          <xdr:nvSpPr>
            <xdr:cNvPr id="81688" name="Button 2840" hidden="1">
              <a:extLst>
                <a:ext uri="{63B3BB69-23CF-44E3-9099-C40C66FF867C}">
                  <a14:compatExt spid="_x0000_s81688"/>
                </a:ext>
                <a:ext uri="{FF2B5EF4-FFF2-40B4-BE49-F238E27FC236}">
                  <a16:creationId xmlns:a16="http://schemas.microsoft.com/office/drawing/2014/main" id="{00000000-0008-0000-0100-000018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xdr:colOff>
      <xdr:row>14</xdr:row>
      <xdr:rowOff>104774</xdr:rowOff>
    </xdr:from>
    <xdr:to>
      <xdr:col>7</xdr:col>
      <xdr:colOff>1581151</xdr:colOff>
      <xdr:row>16</xdr:row>
      <xdr:rowOff>19049</xdr:rowOff>
    </xdr:to>
    <xdr:sp macro="[0]!hide_unhide_subcon"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1801476" y="2695574"/>
          <a:ext cx="1581150" cy="219075"/>
        </a:xfrm>
        <a:prstGeom prst="roundRect">
          <a:avLst/>
        </a:prstGeom>
        <a:solidFill>
          <a:srgbClr val="7788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xdr:colOff>
      <xdr:row>15</xdr:row>
      <xdr:rowOff>1</xdr:rowOff>
    </xdr:from>
    <xdr:to>
      <xdr:col>7</xdr:col>
      <xdr:colOff>1600201</xdr:colOff>
      <xdr:row>15</xdr:row>
      <xdr:rowOff>190501</xdr:rowOff>
    </xdr:to>
    <xdr:sp macro="[0]!hide_unhide_subcon" textlink="">
      <xdr:nvSpPr>
        <xdr:cNvPr id="5" name="Rectangle: Rounded Corners 4">
          <a:extLst>
            <a:ext uri="{FF2B5EF4-FFF2-40B4-BE49-F238E27FC236}">
              <a16:creationId xmlns:a16="http://schemas.microsoft.com/office/drawing/2014/main" id="{00000000-0008-0000-0900-000005000000}"/>
            </a:ext>
          </a:extLst>
        </xdr:cNvPr>
        <xdr:cNvSpPr/>
      </xdr:nvSpPr>
      <xdr:spPr>
        <a:xfrm>
          <a:off x="11801476" y="2695576"/>
          <a:ext cx="1600200" cy="190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196850</xdr:colOff>
          <xdr:row>20</xdr:row>
          <xdr:rowOff>374650</xdr:rowOff>
        </xdr:from>
        <xdr:to>
          <xdr:col>10</xdr:col>
          <xdr:colOff>1892300</xdr:colOff>
          <xdr:row>23</xdr:row>
          <xdr:rowOff>19050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1866900</xdr:colOff>
          <xdr:row>12</xdr:row>
          <xdr:rowOff>31750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A00-000002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15</xdr:row>
          <xdr:rowOff>133350</xdr:rowOff>
        </xdr:from>
        <xdr:to>
          <xdr:col>10</xdr:col>
          <xdr:colOff>1866900</xdr:colOff>
          <xdr:row>18</xdr:row>
          <xdr:rowOff>12700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A00-000003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twoCellAnchor>
    <xdr:from>
      <xdr:col>9</xdr:col>
      <xdr:colOff>56080</xdr:colOff>
      <xdr:row>19</xdr:row>
      <xdr:rowOff>59531</xdr:rowOff>
    </xdr:from>
    <xdr:to>
      <xdr:col>12</xdr:col>
      <xdr:colOff>13460</xdr:colOff>
      <xdr:row>20</xdr:row>
      <xdr:rowOff>226219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14715055" y="3498056"/>
          <a:ext cx="3116505" cy="347663"/>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Amazon Ember" panose="02000000000000000000" pitchFamily="2" charset="0"/>
              <a:ea typeface="Amazon Ember" panose="02000000000000000000" pitchFamily="2" charset="0"/>
            </a:rPr>
            <a:t>Step</a:t>
          </a:r>
          <a:r>
            <a:rPr lang="en-US" sz="1200" b="1" baseline="0">
              <a:solidFill>
                <a:sysClr val="windowText" lastClr="000000"/>
              </a:solidFill>
              <a:latin typeface="Amazon Ember" panose="02000000000000000000" pitchFamily="2" charset="0"/>
              <a:ea typeface="Amazon Ember" panose="02000000000000000000" pitchFamily="2" charset="0"/>
            </a:rPr>
            <a:t> 3: Clear Template</a:t>
          </a:r>
        </a:p>
        <a:p>
          <a:pPr algn="ctr"/>
          <a:endParaRPr lang="en-US" sz="1200" b="1">
            <a:solidFill>
              <a:sysClr val="windowText" lastClr="000000"/>
            </a:solidFill>
            <a:latin typeface="Amazon Ember" panose="02000000000000000000" pitchFamily="2" charset="0"/>
            <a:ea typeface="Amazon Ember" panose="02000000000000000000" pitchFamily="2"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My%20Documents\Construction%20Macro\Template%20Project%20Report%202.3.0.r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MP-PO Breakdown"/>
      <sheetName val="Subcontractor Breakdown"/>
      <sheetName val="Cash Flow"/>
      <sheetName val="TI Allow. &amp; Contingency"/>
      <sheetName val="Developer Contingency"/>
      <sheetName val="Monthly Weather Report"/>
      <sheetName val="Construction Waste Tracker"/>
      <sheetName val="Sustainability (GSF Only)"/>
      <sheetName val="Drop Down"/>
      <sheetName val="Sheet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8F79B82B-240A-4646-ADC4-335BA9CB065F}" name="OffSite2206244168" displayName="OffSite2206244168" ref="A29:J38" totalsRowShown="0" headerRowDxfId="500" dataDxfId="499" tableBorderDxfId="498" headerRowCellStyle="Normal" dataCellStyle="Currency 2">
  <tableColumns count="10">
    <tableColumn id="1" xr3:uid="{73BEB4DF-1054-4C24-8516-7B5FC65C7933}" name="34" dataDxfId="496" totalsRowDxfId="497" dataCellStyle="Normal 2"/>
    <tableColumn id="2" xr3:uid="{D28735AA-F5AC-4589-AA27-5B534627A22B}" name="Off-Site Infrastructure " dataDxfId="494" totalsRowDxfId="495" dataCellStyle="Normal 2"/>
    <tableColumn id="3" xr3:uid="{34DE5AA1-32AB-43BE-BB74-C4207E92EA44}" name="CSI Sec" dataDxfId="492" totalsRowDxfId="493" dataCellStyle="Normal 2"/>
    <tableColumn id="4" xr3:uid="{CE8AC841-2071-4736-BA0B-E1E39D9C7C44}" name="Description of work" dataDxfId="490" totalsRowDxfId="491" dataCellStyle="Normal 2"/>
    <tableColumn id="5" xr3:uid="{B656366D-AAB4-48D2-9942-3382A548D85D}" name="Original Contract" dataDxfId="488" totalsRowDxfId="489" dataCellStyle="Currency 2"/>
    <tableColumn id="6" xr3:uid="{2DB51EC3-5E88-4AA8-8EED-0F428A12B890}" name="Actual Buyout" dataDxfId="486" totalsRowDxfId="487" dataCellStyle="Currency 2"/>
    <tableColumn id="7" xr3:uid="{BB2EA029-25B3-4990-B3BA-0C11E11C6F83}" name="Change Orders" dataDxfId="485" dataCellStyle="Currency 2">
      <calculatedColumnFormula>0</calculatedColumnFormula>
    </tableColumn>
    <tableColumn id="8" xr3:uid="{F92A844A-21F3-466D-8371-A5FD3D4F4271}" name="Revised Contract" dataDxfId="483" totalsRowDxfId="484" dataCellStyle="Currency 2">
      <calculatedColumnFormula>IF(OffSite2206244168[[#This Row],[Actual Buyout]]+OffSite2206244168[[#This Row],[Change Orders]]=0,OffSite2206244168[[#This Row],[Original Contract]],OffSite2206244168[[#This Row],[Actual Buyout]]+OffSite2206244168[[#This Row],[Change Orders]])</calculatedColumnFormula>
    </tableColumn>
    <tableColumn id="9" xr3:uid="{CB89DB41-D6CC-4557-B2E4-5122B9F593F7}" name="Total completed and Stored" dataDxfId="482" dataCellStyle="Currency 2"/>
    <tableColumn id="10" xr3:uid="{F4CABE5E-B60F-424D-BD9C-39DE375E77ED}" name="Delta" dataDxfId="481" dataCellStyle="Currency 2">
      <calculatedColumnFormula>OffSite2206244168[[#This Row],[Original Contract]]-OffSite2206244168[[#This Row],[Revised Contract]]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577A4624-BAB2-493A-B620-C677AD22F174}" name="Demolition3207245169" displayName="Demolition3207245169" ref="A40:J47" totalsRowShown="0" headerRowDxfId="480" dataDxfId="479" tableBorderDxfId="478" headerRowCellStyle="Normal" dataCellStyle="Currency 2">
  <tableColumns count="10">
    <tableColumn id="1" xr3:uid="{C7BF52E3-0725-40A0-9AF1-7295D08D451F}" name="31" dataDxfId="477"/>
    <tableColumn id="2" xr3:uid="{063AC82E-F2E6-40F8-8E0B-2231BE23624A}" name="Demolition" dataDxfId="476" dataCellStyle="Normal 2"/>
    <tableColumn id="3" xr3:uid="{39DE1380-0B31-49CD-8852-D8A66EF2BDAB}" name="CSI Sec" dataDxfId="475" dataCellStyle="Normal 2"/>
    <tableColumn id="4" xr3:uid="{F11425FF-9ACD-43C1-92E3-03911819C4D2}" name="Description of work" dataDxfId="474" dataCellStyle="Normal 2"/>
    <tableColumn id="5" xr3:uid="{8E322C98-12E0-44EC-9617-A167BC7D3EDF}" name="Original Contract" dataDxfId="473" dataCellStyle="Currency 2"/>
    <tableColumn id="6" xr3:uid="{091C472A-FC6F-41E5-A355-CA0E86C5FCC5}" name="Actual Buyout" dataDxfId="472" dataCellStyle="Currency 2"/>
    <tableColumn id="7" xr3:uid="{70B36101-0470-473C-902E-95E1CEE85AB6}" name="Change Orders" dataDxfId="471" dataCellStyle="Currency 2">
      <calculatedColumnFormula>0</calculatedColumnFormula>
    </tableColumn>
    <tableColumn id="8" xr3:uid="{FC128072-E58A-4750-A305-0463ABDAFFCA}" name="Revised Contract" dataDxfId="470" dataCellStyle="Currency 2">
      <calculatedColumnFormula>IF(Demolition3207245169[[#This Row],[Actual Buyout]]+Demolition3207245169[[#This Row],[Change Orders]]=0,Demolition3207245169[[#This Row],[Original Contract]],Demolition3207245169[[#This Row],[Actual Buyout]]+Demolition3207245169[[#This Row],[Change Orders]])</calculatedColumnFormula>
    </tableColumn>
    <tableColumn id="9" xr3:uid="{6238D279-FBE7-4BA0-8CAE-60788821F55B}" name="Total completed and Stored" dataDxfId="469" dataCellStyle="Currency 2"/>
    <tableColumn id="10" xr3:uid="{AFB4056C-7435-4ABB-95DE-CE592ACF6E51}" name="Delta" dataDxfId="468" dataCellStyle="Currency 2">
      <calculatedColumnFormula>Demolition3207245169[[#This Row],[Original Contract]]-Demolition3207245169[[#This Row],[Revised Contract]]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DC46F511-76C8-43B7-8C49-012E9F327F83}" name="Earthwork4208246170" displayName="Earthwork4208246170" ref="A49:J60" totalsRowShown="0" headerRowDxfId="467" dataDxfId="466" tableBorderDxfId="465" dataCellStyle="Currency 2">
  <tableColumns count="10">
    <tableColumn id="1" xr3:uid="{D0977C7C-FA2B-4A2B-8FB4-9D6C72C366A9}" name="31" dataDxfId="464"/>
    <tableColumn id="2" xr3:uid="{D5D2A316-F07B-4AFB-A839-517447B323B6}" name="Earthwork" dataDxfId="463" dataCellStyle="Normal 2"/>
    <tableColumn id="3" xr3:uid="{840AB0C0-DB89-4CEE-AAD7-C562E28C9884}" name="CSI Sec" dataDxfId="462" dataCellStyle="Normal 2"/>
    <tableColumn id="4" xr3:uid="{3D480628-5C99-43B0-95AA-F7A51226F158}" name="Description of work" dataDxfId="461" dataCellStyle="Normal 2"/>
    <tableColumn id="5" xr3:uid="{60867275-88AB-422D-8B62-0D689E7A10F6}" name="Original Contract" dataDxfId="460" dataCellStyle="Currency 2"/>
    <tableColumn id="6" xr3:uid="{CB71AF70-173A-433E-8D5A-A4C0262FD9CD}" name="Actual Buyout" dataDxfId="459" dataCellStyle="Currency 2"/>
    <tableColumn id="7" xr3:uid="{EC177B4E-3EC0-411F-8797-584A11CCAA39}" name="Change Orders" dataDxfId="458" dataCellStyle="Currency 2">
      <calculatedColumnFormula>0</calculatedColumnFormula>
    </tableColumn>
    <tableColumn id="8" xr3:uid="{D9C47420-BFD4-42D2-A752-F1BE36E218F7}" name="Revised Contract" dataDxfId="457" dataCellStyle="Currency 2">
      <calculatedColumnFormula>IF(Earthwork4208246170[[#This Row],[Actual Buyout]]+Earthwork4208246170[[#This Row],[Change Orders]]=0,Earthwork4208246170[[#This Row],[Original Contract]],Earthwork4208246170[[#This Row],[Actual Buyout]]+Earthwork4208246170[[#This Row],[Change Orders]])</calculatedColumnFormula>
    </tableColumn>
    <tableColumn id="9" xr3:uid="{CEEA39ED-1BFA-422E-9B81-4F5F415C33A9}" name="Total completed and Stored" dataDxfId="456" dataCellStyle="Currency 2"/>
    <tableColumn id="10" xr3:uid="{2BD59FB3-E687-4BA0-A0C5-CFAD09E48E8E}" name="Delta" dataDxfId="455" dataCellStyle="Currency 2">
      <calculatedColumnFormula>Earthwork4208246170[[#This Row],[Original Contract]]-Earthwork4208246170[[#This Row],[Revised Contract]]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C914C2DF-E9E7-4444-8E98-08DA179F7A22}" name="Erosion5209247171" displayName="Erosion5209247171" ref="A62:J70" totalsRowShown="0" headerRowDxfId="454" dataDxfId="453" tableBorderDxfId="452" dataCellStyle="Currency 2">
  <tableColumns count="10">
    <tableColumn id="1" xr3:uid="{E0784DC0-82B4-4028-A87F-57847591747D}" name="31" dataDxfId="451"/>
    <tableColumn id="2" xr3:uid="{92AA4D6D-2772-45AB-94D6-287B5F458A0E}" name="Erosion Controls/Maintenance" dataDxfId="450" dataCellStyle="Normal 2"/>
    <tableColumn id="3" xr3:uid="{2A534FE8-745D-46CD-A35A-389FB7B5460F}" name="CSI Sec" dataDxfId="449" dataCellStyle="Normal 2"/>
    <tableColumn id="4" xr3:uid="{0388BFEC-12F8-4245-BB46-3AF63F93DDE4}" name="Description of work" dataDxfId="448" dataCellStyle="Normal 2"/>
    <tableColumn id="5" xr3:uid="{83077D93-EBD0-4FE0-83DC-1C2DF48E5634}" name="Original Contract" dataDxfId="447" dataCellStyle="Currency 2"/>
    <tableColumn id="6" xr3:uid="{B47301E4-B6C0-4B63-900E-8F10C35CFDD4}" name="Actual Buyout" dataDxfId="446" dataCellStyle="Currency 2"/>
    <tableColumn id="7" xr3:uid="{354489A2-0A61-47A6-AD05-5FC74C651ED1}" name="Change Orders" dataDxfId="445" dataCellStyle="Currency 2">
      <calculatedColumnFormula>0</calculatedColumnFormula>
    </tableColumn>
    <tableColumn id="8" xr3:uid="{C3886ABE-8843-4D9D-8A59-9348E3CC417F}" name="Revised Contract" dataDxfId="444" dataCellStyle="Currency 2">
      <calculatedColumnFormula>IF(Erosion5209247171[[#This Row],[Actual Buyout]]+Erosion5209247171[[#This Row],[Change Orders]]=0,Erosion5209247171[[#This Row],[Original Contract]],Erosion5209247171[[#This Row],[Actual Buyout]]+Erosion5209247171[[#This Row],[Change Orders]])</calculatedColumnFormula>
    </tableColumn>
    <tableColumn id="9" xr3:uid="{7266B553-01F4-48FA-8C78-C8CFF573B8C2}" name="Total completed and Stored" dataDxfId="443" dataCellStyle="Currency 2"/>
    <tableColumn id="10" xr3:uid="{F688B1FB-BFD6-4112-87EB-35EBB38D8D12}" name="Delta" dataDxfId="442" dataCellStyle="Currency 2">
      <calculatedColumnFormula>Erosion5209247171[[#This Row],[Original Contract]]-Erosion5209247171[[#This Row],[Revised Contract]]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631CE4C6-32D0-4E61-A348-82975C0FB60B}" name="Asphalt6210248172" displayName="Asphalt6210248172" ref="A72:J79" totalsRowShown="0" headerRowDxfId="441" dataDxfId="440" tableBorderDxfId="439" dataCellStyle="Currency 2">
  <tableColumns count="10">
    <tableColumn id="1" xr3:uid="{2178CC67-0F24-4A07-B776-D508E5BCB7A4}" name="32" dataDxfId="438"/>
    <tableColumn id="2" xr3:uid="{EAC78C54-F9A4-4DD2-9740-CA7BBB491899}" name="Asphalt Paving" dataDxfId="437" dataCellStyle="Normal 2"/>
    <tableColumn id="3" xr3:uid="{7D0F0D3C-AED1-49ED-8F76-9F7EBEB8C7B5}" name="CSI Sec" dataDxfId="436" dataCellStyle="Normal 2"/>
    <tableColumn id="4" xr3:uid="{A4E37FDA-92A9-4B8E-A57F-6305E55CB22C}" name="Description of work" dataDxfId="435" dataCellStyle="Normal 2"/>
    <tableColumn id="5" xr3:uid="{F81E3F44-E18C-4232-91FA-BFA8A31CC4B0}" name="Original Contract" dataDxfId="434" dataCellStyle="Currency 2"/>
    <tableColumn id="6" xr3:uid="{1A25F593-9FC0-41E2-B87B-527F80CBFFB2}" name="Actual Buyout" dataDxfId="433" dataCellStyle="Currency 2"/>
    <tableColumn id="7" xr3:uid="{7CD6F5C5-2578-4ADA-8962-EBB3670C27EE}" name="Change Orders" dataDxfId="432" dataCellStyle="Currency 2">
      <calculatedColumnFormula>0</calculatedColumnFormula>
    </tableColumn>
    <tableColumn id="8" xr3:uid="{61055A89-80B3-47D8-8360-8E0F8C1A9D63}" name="Revised Contract" dataDxfId="431" dataCellStyle="Currency 2">
      <calculatedColumnFormula>IF(Asphalt6210248172[[#This Row],[Actual Buyout]]+Asphalt6210248172[[#This Row],[Change Orders]]=0,Asphalt6210248172[[#This Row],[Original Contract]],Asphalt6210248172[[#This Row],[Actual Buyout]]+Asphalt6210248172[[#This Row],[Change Orders]])</calculatedColumnFormula>
    </tableColumn>
    <tableColumn id="9" xr3:uid="{84DC6B04-178A-4926-9ACB-41A407691DDE}" name="Total completed and Stored" dataDxfId="430" dataCellStyle="Currency 2"/>
    <tableColumn id="10" xr3:uid="{3B156AAB-5C31-48CF-A438-7874B85CB46B}" name="Delta" dataDxfId="429" dataCellStyle="Currency 2">
      <calculatedColumnFormula>Asphalt6210248172[[#This Row],[Original Contract]]-Asphalt6210248172[[#This Row],[Revised Contract]]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015DB64F-3272-4675-A536-44EC7299FD3A}" name="Concrete7211249173" displayName="Concrete7211249173" ref="A81:J92" totalsRowShown="0" headerRowDxfId="428" dataDxfId="427" tableBorderDxfId="426" dataCellStyle="Currency 2">
  <tableColumns count="10">
    <tableColumn id="1" xr3:uid="{DCE8EB29-0EC0-459E-B35A-30A68D8DADB8}" name="32" dataDxfId="425"/>
    <tableColumn id="2" xr3:uid="{ECF30D3A-D49E-4243-BF27-084BCDD5E799}" name="Concrete Paving, Curb and Gutter, and Sidewalks" dataDxfId="424" dataCellStyle="Normal 2"/>
    <tableColumn id="3" xr3:uid="{F62EAA9C-F24C-467B-BE62-68FF6034D9F6}" name="CSI Sec" dataDxfId="423" dataCellStyle="Normal 2"/>
    <tableColumn id="4" xr3:uid="{017B3890-70E8-46D9-8A0F-9BE8093C4292}" name="Description of work" dataDxfId="422" dataCellStyle="Normal 2"/>
    <tableColumn id="5" xr3:uid="{6834C1FB-9A49-4E51-B5F1-FE407D48C6DC}" name="Original Contract" dataDxfId="421" dataCellStyle="Currency 2"/>
    <tableColumn id="6" xr3:uid="{989A09F6-DF02-4969-899C-1FE4A47AEEFC}" name="Actual Buyout" dataDxfId="420" dataCellStyle="Currency 2"/>
    <tableColumn id="7" xr3:uid="{DD6FAADF-BD90-4BFE-892A-C9A7AF8E16E1}" name="Change Orders" dataDxfId="419" dataCellStyle="Currency 2">
      <calculatedColumnFormula>0</calculatedColumnFormula>
    </tableColumn>
    <tableColumn id="8" xr3:uid="{DD85391C-218C-4CDD-A88F-2DFFD1505FA8}" name="Revised Contract" dataDxfId="418" dataCellStyle="Currency 2">
      <calculatedColumnFormula>IF(Concrete7211249173[[#This Row],[Actual Buyout]]+Concrete7211249173[[#This Row],[Change Orders]]=0,Concrete7211249173[[#This Row],[Original Contract]],Concrete7211249173[[#This Row],[Actual Buyout]]+Concrete7211249173[[#This Row],[Change Orders]])</calculatedColumnFormula>
    </tableColumn>
    <tableColumn id="9" xr3:uid="{77A54175-2499-4E5F-8B5F-1C529D1A31A8}" name="Total completed and Stored" dataDxfId="417" dataCellStyle="Currency 2"/>
    <tableColumn id="10" xr3:uid="{C69F79FA-555B-4E25-8186-B7615D9FF3FE}" name="Delta" dataDxfId="416" dataCellStyle="Currency 2">
      <calculatedColumnFormula>Concrete7211249173[[#This Row],[Original Contract]]-Concrete7211249173[[#This Row],[Revised Contract]]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AB7A7418-8063-4632-B1C9-2709B47070DC}" name="PaveMarks8212250174" displayName="PaveMarks8212250174" ref="A94:J104" totalsRowShown="0" headerRowDxfId="415" dataDxfId="414" tableBorderDxfId="413" dataCellStyle="Currency 2">
  <tableColumns count="10">
    <tableColumn id="1" xr3:uid="{5539D48A-A0D9-4B98-89FE-E58CD2B28064}" name="32" dataDxfId="412"/>
    <tableColumn id="2" xr3:uid="{13F3461E-922C-4D21-AFC3-AF2623EDDE33}" name="Pavement Markings and Signage" dataDxfId="411" dataCellStyle="Normal 2"/>
    <tableColumn id="3" xr3:uid="{9D0A4302-CC78-4E20-8BA8-488216278F0F}" name="CSI Sec" dataDxfId="410" dataCellStyle="Normal 2"/>
    <tableColumn id="4" xr3:uid="{C4AB1D6C-D61C-4A1F-AC03-B869D35DB7DE}" name="Description of work" dataDxfId="409" dataCellStyle="Normal 2"/>
    <tableColumn id="5" xr3:uid="{4613C613-970C-45DA-84AC-8AB0286892C7}" name="Original Contract" dataDxfId="408" dataCellStyle="Currency 2"/>
    <tableColumn id="6" xr3:uid="{868735C5-2591-4310-AC0E-3EF3058ECFB9}" name="Actual Buyout" dataDxfId="407" dataCellStyle="Currency 2"/>
    <tableColumn id="7" xr3:uid="{55925BB8-F66D-4018-95B6-D8F99CB6FB9F}" name="Change Orders" dataDxfId="406" dataCellStyle="Currency 2">
      <calculatedColumnFormula>0</calculatedColumnFormula>
    </tableColumn>
    <tableColumn id="8" xr3:uid="{4F7547C7-1096-4754-AD2A-563018370E79}" name="Revised Contract" dataDxfId="405" dataCellStyle="Currency 2">
      <calculatedColumnFormula>IF(PaveMarks8212250174[[#This Row],[Actual Buyout]]+PaveMarks8212250174[[#This Row],[Change Orders]]=0,PaveMarks8212250174[[#This Row],[Original Contract]],PaveMarks8212250174[[#This Row],[Actual Buyout]]+PaveMarks8212250174[[#This Row],[Change Orders]])</calculatedColumnFormula>
    </tableColumn>
    <tableColumn id="9" xr3:uid="{3A68FE7D-1EB1-46B1-AA9E-78635C8DBFDF}" name="Total completed and Stored" dataDxfId="404" dataCellStyle="Currency 2"/>
    <tableColumn id="10" xr3:uid="{23F72A3E-E469-4122-927D-679BFF955DB3}" name="Delta" dataDxfId="403" dataCellStyle="Currency 2">
      <calculatedColumnFormula>PaveMarks8212250174[[#This Row],[Original Contract]]-PaveMarks8212250174[[#This Row],[Revised Contract]]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D72692B4-1877-469B-8C0B-64558239F3BB}" name="Fencing9213251175" displayName="Fencing9213251175" ref="A106:J116" totalsRowShown="0" headerRowDxfId="402" dataDxfId="401" tableBorderDxfId="400" dataCellStyle="Currency 2">
  <tableColumns count="10">
    <tableColumn id="1" xr3:uid="{516C99CF-D6DA-47AC-AE60-37C342A01722}" name="32" dataDxfId="399"/>
    <tableColumn id="2" xr3:uid="{F6FFB415-8FFC-4DA1-8E03-FE080B148F12}" name="Fencing &amp; Gates" dataDxfId="398" dataCellStyle="Normal 2"/>
    <tableColumn id="3" xr3:uid="{144948DC-35DD-4262-AD34-7C740457CA33}" name="CSI Sec" dataDxfId="397" dataCellStyle="Normal 2"/>
    <tableColumn id="4" xr3:uid="{2F6747D2-8518-435B-9B57-259D34C50F89}" name="Description of work" dataDxfId="396" dataCellStyle="Normal 2"/>
    <tableColumn id="5" xr3:uid="{0EDF7C1A-4705-4A51-9F0D-E3A37B320D17}" name="Original Contract" dataDxfId="395" dataCellStyle="Currency 2"/>
    <tableColumn id="6" xr3:uid="{278E0350-4523-4AED-A01B-C1600FBF3510}" name="Actual Buyout" dataDxfId="394" dataCellStyle="Currency 2"/>
    <tableColumn id="7" xr3:uid="{C8A63A6D-F7B4-4DB9-92B6-03EDEE91BE4B}" name="Change Orders" dataDxfId="393" dataCellStyle="Currency 2">
      <calculatedColumnFormula>0</calculatedColumnFormula>
    </tableColumn>
    <tableColumn id="8" xr3:uid="{E0A96D9D-CD46-4000-92C0-42BA66AAE55B}" name="Revised Contract" dataDxfId="392" dataCellStyle="Currency 2">
      <calculatedColumnFormula>IF(Fencing9213251175[[#This Row],[Actual Buyout]]+Fencing9213251175[[#This Row],[Change Orders]]=0,Fencing9213251175[[#This Row],[Original Contract]],Fencing9213251175[[#This Row],[Actual Buyout]]+Fencing9213251175[[#This Row],[Change Orders]])</calculatedColumnFormula>
    </tableColumn>
    <tableColumn id="9" xr3:uid="{71C95011-0B3A-4569-A4C0-D5C730892AD3}" name="Total completed and Stored" dataDxfId="391" dataCellStyle="Currency 2"/>
    <tableColumn id="10" xr3:uid="{EB241135-0F80-4AD4-912D-546E0092B78F}" name="Delta" dataDxfId="390" dataCellStyle="Currency 2">
      <calculatedColumnFormula>Fencing9213251175[[#This Row],[Original Contract]]-Fencing9213251175[[#This Row],[Revised Contract]]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1835637B-945C-451E-9CD6-5F452580B18D}" name="Landscape10214252176" displayName="Landscape10214252176" ref="A118:J126" totalsRowShown="0" headerRowDxfId="389" dataDxfId="388" tableBorderDxfId="387" dataCellStyle="Currency 2">
  <tableColumns count="10">
    <tableColumn id="1" xr3:uid="{BFB36CA5-EB76-4B54-8B1B-5E0909269DC6}" name="32" dataDxfId="386"/>
    <tableColumn id="2" xr3:uid="{3254C050-B6F0-4D67-B16E-9DF4A82C0558}" name="Landscaping" dataDxfId="385" dataCellStyle="Normal 2"/>
    <tableColumn id="3" xr3:uid="{54B847A5-350C-4E52-A142-7CDDFEF0DD21}" name="CSI Sec" dataDxfId="384" dataCellStyle="Normal 2"/>
    <tableColumn id="4" xr3:uid="{30FB8E1B-AE2F-4145-A142-7A147B69406C}" name="Description of work" dataDxfId="383" dataCellStyle="Normal 2"/>
    <tableColumn id="5" xr3:uid="{4BFD6E83-AC4B-47CA-848B-BF2806734B84}" name="Original Contract" dataDxfId="382" dataCellStyle="Currency 2"/>
    <tableColumn id="6" xr3:uid="{873950D9-8AB1-4533-B4E7-ED9F7B952477}" name="Actual Buyout" dataDxfId="381" dataCellStyle="Currency 2"/>
    <tableColumn id="7" xr3:uid="{5C0877CF-F59E-4DC7-BBFA-8552A37C3A07}" name="Change Orders" dataDxfId="380" dataCellStyle="Currency 2">
      <calculatedColumnFormula>0</calculatedColumnFormula>
    </tableColumn>
    <tableColumn id="8" xr3:uid="{48FC246C-B279-410B-8284-14546C834368}" name="Revised Contract" dataDxfId="379" dataCellStyle="Currency 2">
      <calculatedColumnFormula>IF(Landscape10214252176[[#This Row],[Actual Buyout]]+Landscape10214252176[[#This Row],[Change Orders]]=0,Landscape10214252176[[#This Row],[Original Contract]],Landscape10214252176[[#This Row],[Actual Buyout]]+Landscape10214252176[[#This Row],[Change Orders]])</calculatedColumnFormula>
    </tableColumn>
    <tableColumn id="9" xr3:uid="{4CE15CD0-001A-4024-B76F-9E565650362D}" name="Total completed and Stored" dataDxfId="378" dataCellStyle="Currency 2"/>
    <tableColumn id="10" xr3:uid="{28A247B7-C522-4921-A5BF-F1DC97BAB110}" name="Delta" dataDxfId="377" dataCellStyle="Currency 2">
      <calculatedColumnFormula>Landscape10214252176[[#This Row],[Original Contract]]-Landscape10214252176[[#This Row],[Revised Contract]]</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35DDF1D7-C88B-443C-B7EF-5219F874A5ED}" name="Utilities11215253177" displayName="Utilities11215253177" ref="A128:J140" totalsRowShown="0" headerRowDxfId="376" dataDxfId="375" tableBorderDxfId="374" dataCellStyle="Currency 2">
  <tableColumns count="10">
    <tableColumn id="1" xr3:uid="{C928C79A-7D57-4B8F-B6B9-8AB5391BEB5E}" name="33" dataDxfId="373"/>
    <tableColumn id="2" xr3:uid="{F81D8BC2-1440-425F-988F-0E7FE2F89418}" name="Site Utilities" dataDxfId="372" dataCellStyle="Normal 2"/>
    <tableColumn id="3" xr3:uid="{153EFDDE-3D85-4CB8-9F67-F257BB246765}" name="CSI Sec" dataDxfId="371" dataCellStyle="Normal 2"/>
    <tableColumn id="4" xr3:uid="{7F5A2A86-5B56-4517-AF9A-995F44168FD2}" name="Description of work" dataDxfId="370" dataCellStyle="Normal 2"/>
    <tableColumn id="5" xr3:uid="{134BFB99-7A8D-4A30-9C14-0452EF7FE277}" name="Original Contract" dataDxfId="369" dataCellStyle="Currency 2"/>
    <tableColumn id="6" xr3:uid="{A154702E-2780-4FF4-AE00-DB5E5BFBFCA8}" name="Actual Buyout" dataDxfId="368" dataCellStyle="Currency 2"/>
    <tableColumn id="7" xr3:uid="{B218A52C-9FF9-41B5-9B74-FCBA572F1F1B}" name="Change Orders" dataDxfId="367" dataCellStyle="Currency 2">
      <calculatedColumnFormula>0</calculatedColumnFormula>
    </tableColumn>
    <tableColumn id="8" xr3:uid="{316098F4-A0C5-4782-9BA8-C31BCCEFA3B5}" name="Revised Contract" dataDxfId="366" dataCellStyle="Currency 2">
      <calculatedColumnFormula>IF(Utilities11215253177[[#This Row],[Actual Buyout]]+Utilities11215253177[[#This Row],[Change Orders]]=0,Utilities11215253177[[#This Row],[Original Contract]],Utilities11215253177[[#This Row],[Actual Buyout]]+Utilities11215253177[[#This Row],[Change Orders]])</calculatedColumnFormula>
    </tableColumn>
    <tableColumn id="9" xr3:uid="{7D0BA236-D071-43CD-B309-12894E52EDCD}" name="Total completed and Stored" dataDxfId="365" dataCellStyle="Currency 2"/>
    <tableColumn id="10" xr3:uid="{F3A5B0BE-45C9-4582-BD94-03549FC6649E}" name="Delta" dataDxfId="364" dataCellStyle="Currency 2">
      <calculatedColumnFormula>Utilities11215253177[[#This Row],[Original Contract]]-Utilities11215253177[[#This Row],[Revised Contract]]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67C5CB15-FD72-4FF2-96A8-9BE5D20328EB}" name="TimeAllow12216254178" displayName="TimeAllow12216254178" ref="A142:J149" totalsRowShown="0" headerRowDxfId="363" dataDxfId="362" tableBorderDxfId="361" dataCellStyle="Currency 2">
  <tableColumns count="10">
    <tableColumn id="1" xr3:uid="{F0407C18-233D-4B30-9928-9B06BF21179C}" name="1" dataDxfId="360"/>
    <tableColumn id="2" xr3:uid="{4C6FE334-5396-4C3D-BA79-42A0FFF37F42}" name="Time Allowances" dataDxfId="359" dataCellStyle="Normal 2"/>
    <tableColumn id="3" xr3:uid="{8E2015AA-E85F-44ED-A39D-82CADC3F8DAC}" name="CSI Sec" dataDxfId="358" dataCellStyle="Normal 2"/>
    <tableColumn id="4" xr3:uid="{0ABE8151-7F3C-4109-9504-C2C9A5670E13}" name="Description of work" dataDxfId="357" dataCellStyle="Normal 2"/>
    <tableColumn id="5" xr3:uid="{227375B0-CB8D-4B46-8CA3-ABF5EDA3D2D4}" name="Original Contract" dataDxfId="356" dataCellStyle="Currency 2"/>
    <tableColumn id="6" xr3:uid="{8F156FBB-806A-430F-A366-B65886A0B4F3}" name="Actual Buyout" dataDxfId="355" dataCellStyle="Currency 2"/>
    <tableColumn id="7" xr3:uid="{4F2050D4-9CE0-4854-94AC-55597961C80C}" name="Change Orders" dataDxfId="354" dataCellStyle="Currency 2">
      <calculatedColumnFormula>0</calculatedColumnFormula>
    </tableColumn>
    <tableColumn id="8" xr3:uid="{29AFA997-DCED-404B-A405-A350D56B824F}" name="Revised Contract" dataDxfId="353" dataCellStyle="Currency 2">
      <calculatedColumnFormula>IF(TimeAllow12216254178[[#This Row],[Actual Buyout]]+TimeAllow12216254178[[#This Row],[Change Orders]]=0,TimeAllow12216254178[[#This Row],[Original Contract]],TimeAllow12216254178[[#This Row],[Actual Buyout]]+TimeAllow12216254178[[#This Row],[Change Orders]])</calculatedColumnFormula>
    </tableColumn>
    <tableColumn id="9" xr3:uid="{E4407340-0D16-4786-BF4E-FCFA512519D8}" name="Total completed and Stored" dataDxfId="352" dataCellStyle="Currency 2"/>
    <tableColumn id="10" xr3:uid="{1B6E3EDA-A303-493E-8D42-5445FF1B1D2C}" name="Delta" dataDxfId="351" dataCellStyle="Currency 2">
      <calculatedColumnFormula>TimeAllow12216254178[[#This Row],[Original Contract]]-TimeAllow12216254178[[#This Row],[Revised Contract]]</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4C117264-E7FE-4873-8D5A-78647F3369D9}" name="Demo13217255179" displayName="Demo13217255179" ref="A151:J157" totalsRowShown="0" headerRowDxfId="350" dataDxfId="349" tableBorderDxfId="348" dataCellStyle="Currency 2">
  <tableColumns count="10">
    <tableColumn id="1" xr3:uid="{ED831B0D-EE41-45E6-BF19-C40A6B121CA0}" name="2" dataDxfId="347"/>
    <tableColumn id="2" xr3:uid="{B44008EB-4ABD-4192-9954-7B532A9149E7}" name="Demolition" dataDxfId="346" dataCellStyle="Normal 2"/>
    <tableColumn id="3" xr3:uid="{EF004957-3988-4602-A155-EA73454EFF7B}" name="CSI Sec" dataDxfId="345" dataCellStyle="Normal 2"/>
    <tableColumn id="4" xr3:uid="{22290098-DE7A-40C2-8C1B-5BC9C7558764}" name="Description of work" dataDxfId="344" dataCellStyle="Normal 2"/>
    <tableColumn id="5" xr3:uid="{C93E923A-0959-4A19-B585-8A3CE79D8FCE}" name="Original Contract" dataDxfId="343" dataCellStyle="Currency 2"/>
    <tableColumn id="6" xr3:uid="{0FC26F7A-8C08-45E3-BA3C-04283069F696}" name="Actual Buyout" dataDxfId="342" dataCellStyle="Currency 2"/>
    <tableColumn id="7" xr3:uid="{B9D03F6A-790D-4713-B626-B2E722C7D83F}" name="Change Orders" dataDxfId="341" dataCellStyle="Currency 2">
      <calculatedColumnFormula>0</calculatedColumnFormula>
    </tableColumn>
    <tableColumn id="8" xr3:uid="{4A658C4A-B11F-4B43-8BB4-1391C90D077A}" name="Revised Contract" dataDxfId="340" dataCellStyle="Currency 2">
      <calculatedColumnFormula>IF(Demo13217255179[[#This Row],[Actual Buyout]]+Demo13217255179[[#This Row],[Change Orders]]=0,Demo13217255179[[#This Row],[Original Contract]],Demo13217255179[[#This Row],[Actual Buyout]]+Demo13217255179[[#This Row],[Change Orders]])</calculatedColumnFormula>
    </tableColumn>
    <tableColumn id="9" xr3:uid="{A7A30EAE-ACE1-4DBD-B5C1-AC481DB30871}" name="Total completed and Stored" dataDxfId="339" dataCellStyle="Currency 2"/>
    <tableColumn id="10" xr3:uid="{6EFE5BB8-AC5B-4F7C-B4ED-DBBDF59CEE50}" name="Delta" dataDxfId="338" dataCellStyle="Currency 2">
      <calculatedColumnFormula>Demo13217255179[[#This Row],[Original Contract]]-Demo13217255179[[#This Row],[Revised Contract]]</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F249DC39-ED13-494E-B528-468B6A817BC1}" name="BuildConcrete14218256180" displayName="BuildConcrete14218256180" ref="A159:J176" totalsRowShown="0" headerRowDxfId="337" dataDxfId="336" tableBorderDxfId="335" dataCellStyle="Currency 2">
  <tableColumns count="10">
    <tableColumn id="1" xr3:uid="{B5D9F036-77FF-4464-8B74-C75F2E7A78AE}" name="3" dataDxfId="334"/>
    <tableColumn id="2" xr3:uid="{8E49ADE7-F45E-44E2-A33B-543691470221}" name="Building Concrete" dataDxfId="333" dataCellStyle="Normal 2"/>
    <tableColumn id="3" xr3:uid="{84C451C4-6C4D-476B-9CAA-C49180001970}" name="CSI Sec" dataDxfId="332" dataCellStyle="Normal 2"/>
    <tableColumn id="4" xr3:uid="{C61A2F6B-6D61-4DA4-ACC8-8518E8477743}" name="Description of work" dataDxfId="331" dataCellStyle="Normal 2"/>
    <tableColumn id="5" xr3:uid="{97F836DB-D1B4-471D-9874-272CCE1E40BA}" name="Original Contract" dataDxfId="330" dataCellStyle="Currency 2"/>
    <tableColumn id="6" xr3:uid="{2055EB9B-1631-4D55-8FF0-1C1EA8181E9F}" name="Actual Buyout" dataDxfId="329" dataCellStyle="Currency 2"/>
    <tableColumn id="7" xr3:uid="{EB9747DF-B13B-4069-B7AD-90451CDE0A2A}" name="Change Orders" dataDxfId="328" dataCellStyle="Currency 2">
      <calculatedColumnFormula>0</calculatedColumnFormula>
    </tableColumn>
    <tableColumn id="8" xr3:uid="{F7B8ACE9-8E2F-4513-8374-91BF69D341F1}" name="Revised Contract" dataDxfId="327" dataCellStyle="Currency 2">
      <calculatedColumnFormula>IF(BuildConcrete14218256180[[#This Row],[Actual Buyout]]+BuildConcrete14218256180[[#This Row],[Change Orders]]=0,BuildConcrete14218256180[[#This Row],[Original Contract]],BuildConcrete14218256180[[#This Row],[Actual Buyout]]+BuildConcrete14218256180[[#This Row],[Change Orders]])</calculatedColumnFormula>
    </tableColumn>
    <tableColumn id="9" xr3:uid="{ECD67F9C-7DF6-46AE-BA9F-5C2F0B5B1C2A}" name="Total completed and Stored" dataDxfId="326" dataCellStyle="Currency 2"/>
    <tableColumn id="10" xr3:uid="{965E50EE-8120-425E-BE20-F7FF368DE386}" name="Delta" dataDxfId="325" dataCellStyle="Currency 2">
      <calculatedColumnFormula>BuildConcrete14218256180[[#This Row],[Original Contract]]-BuildConcrete14218256180[[#This Row],[Revised Contract]]</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77529717-65EA-4A43-B33E-FC56236BF38B}" name="Masonry15219257181" displayName="Masonry15219257181" ref="A178:J184" totalsRowShown="0" headerRowDxfId="324" dataDxfId="323" tableBorderDxfId="322" dataCellStyle="Currency 2">
  <tableColumns count="10">
    <tableColumn id="1" xr3:uid="{6F691ACC-52E2-4310-8287-972B146791E2}" name="4" dataDxfId="321"/>
    <tableColumn id="2" xr3:uid="{9562B9BE-B04D-45BB-AD23-46AFAE7A944D}" name="Masonry" dataDxfId="320" dataCellStyle="Normal 2"/>
    <tableColumn id="3" xr3:uid="{0B159173-84CD-4081-A804-62CC87987146}" name="CSI Sec" dataDxfId="319" dataCellStyle="Normal 2"/>
    <tableColumn id="4" xr3:uid="{D79333C8-3B04-41F3-8669-AE738E317FD1}" name="Description of work" dataDxfId="318" dataCellStyle="Normal 2"/>
    <tableColumn id="5" xr3:uid="{2A296B43-9B33-4BFC-A396-5633C32459FE}" name="Original Contract" dataDxfId="317" dataCellStyle="Currency 2"/>
    <tableColumn id="6" xr3:uid="{B11B3D16-FE76-4450-B88C-E704847BE4E5}" name="Actual Buyout" dataDxfId="316" dataCellStyle="Currency 2"/>
    <tableColumn id="7" xr3:uid="{B3AFAB37-63ED-4CCD-A3D0-AC64C7CAD031}" name="Change Orders" dataDxfId="315" dataCellStyle="Currency 2">
      <calculatedColumnFormula>0</calculatedColumnFormula>
    </tableColumn>
    <tableColumn id="8" xr3:uid="{4E4CD7A0-E8C3-4D06-8CBA-9FDC7571AC84}" name="Revised Contract" dataDxfId="314" dataCellStyle="Currency 2">
      <calculatedColumnFormula>IF(Masonry15219257181[[#This Row],[Actual Buyout]]+Masonry15219257181[[#This Row],[Change Orders]]=0,Masonry15219257181[[#This Row],[Original Contract]],Masonry15219257181[[#This Row],[Actual Buyout]]+Masonry15219257181[[#This Row],[Change Orders]])</calculatedColumnFormula>
    </tableColumn>
    <tableColumn id="9" xr3:uid="{974E7731-4869-467E-8033-17AF76090DA0}" name="Total completed and Stored" dataDxfId="313" dataCellStyle="Currency 2"/>
    <tableColumn id="10" xr3:uid="{0E8AEFB7-7D4D-457C-A6DF-828541CE9CBB}" name="Delta" dataDxfId="312" dataCellStyle="Currency 2">
      <calculatedColumnFormula>Masonry15219257181[[#This Row],[Original Contract]]-Masonry15219257181[[#This Row],[Revised Contract]]</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330858E3-128D-4DDA-B3F5-CB1726AA546D}" name="StrucSteel16220258182" displayName="StrucSteel16220258182" ref="A186:J206" totalsRowShown="0" headerRowDxfId="311" dataDxfId="310" tableBorderDxfId="309" dataCellStyle="Currency 2">
  <tableColumns count="10">
    <tableColumn id="1" xr3:uid="{D0733E5F-9A39-40D0-BC15-1311DE5E98F2}" name="5" dataDxfId="308"/>
    <tableColumn id="2" xr3:uid="{77DB1BA4-0F4A-4A3C-B87A-9E875082A7C5}" name="Structural Steel" dataDxfId="307" dataCellStyle="Normal 2"/>
    <tableColumn id="3" xr3:uid="{1F3EFCCD-DD19-43F5-86ED-8C73CDB1FAF8}" name="CSI Sec" dataDxfId="306" dataCellStyle="Normal 2"/>
    <tableColumn id="4" xr3:uid="{7A52FDC8-1BDE-4D42-A699-BCA0EC8DB52F}" name="Description of work" dataDxfId="305" dataCellStyle="Normal 2"/>
    <tableColumn id="5" xr3:uid="{F6112C66-FF18-41C0-A110-DEF5178395EE}" name="Original Contract" dataDxfId="304" dataCellStyle="Currency 2"/>
    <tableColumn id="6" xr3:uid="{06E6A269-CEB0-4CE1-A5A7-733F3F7D9448}" name="Actual Buyout" dataDxfId="303" dataCellStyle="Currency 2"/>
    <tableColumn id="7" xr3:uid="{815F097B-37F5-4B41-A606-C1C90D7D1375}" name="Change Orders" dataDxfId="302" dataCellStyle="Currency 2">
      <calculatedColumnFormula>0</calculatedColumnFormula>
    </tableColumn>
    <tableColumn id="8" xr3:uid="{E06E5C11-4B1C-45D4-844F-69720D78DD4F}" name="Revised Contract" dataDxfId="301" dataCellStyle="Currency 2">
      <calculatedColumnFormula>IF(StrucSteel16220258182[[#This Row],[Actual Buyout]]+StrucSteel16220258182[[#This Row],[Change Orders]]=0,StrucSteel16220258182[[#This Row],[Original Contract]],StrucSteel16220258182[[#This Row],[Actual Buyout]]+StrucSteel16220258182[[#This Row],[Change Orders]])</calculatedColumnFormula>
    </tableColumn>
    <tableColumn id="9" xr3:uid="{213CBF4C-D6C6-49B7-8A12-31640409E05E}" name="Total completed and Stored" dataDxfId="300" dataCellStyle="Currency 2"/>
    <tableColumn id="10" xr3:uid="{B29CFBE6-8A67-4D63-8884-6662E650605D}" name="Delta" dataDxfId="299" dataCellStyle="Currency 2">
      <calculatedColumnFormula>StrucSteel16220258182[[#This Row],[Original Contract]]-StrucSteel16220258182[[#This Row],[Revised Contract]]</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9D91C0EA-242B-4C18-A43D-9F7B476041BF}" name="Steel17221259183" displayName="Steel17221259183" ref="A208:J222" totalsRowShown="0" headerRowDxfId="298" dataDxfId="297" tableBorderDxfId="296" dataCellStyle="Currency 2">
  <tableColumns count="10">
    <tableColumn id="1" xr3:uid="{EDFD6B34-3109-4BA8-84AF-907E7587E236}" name="5" dataDxfId="295"/>
    <tableColumn id="2" xr3:uid="{418A79BB-D8A2-4D44-942F-E3DE7DA3530B}" name="Steel Erection" dataDxfId="294" dataCellStyle="Normal 2"/>
    <tableColumn id="3" xr3:uid="{29356BEC-CCAF-49E5-BD7B-B564EFA2A7CD}" name="CSI Sec" dataDxfId="293" dataCellStyle="Normal 2"/>
    <tableColumn id="4" xr3:uid="{9216E1EC-E790-48FB-B400-18B1902A7528}" name="Description of work" dataDxfId="292" dataCellStyle="Normal 2"/>
    <tableColumn id="5" xr3:uid="{327F2413-BEB4-471B-85C6-58C4E3021AE1}" name="Original Contract" dataDxfId="291" dataCellStyle="Currency 2"/>
    <tableColumn id="6" xr3:uid="{B7879060-7528-401D-BE40-4A9032293BF3}" name="Actual Buyout" dataDxfId="290" dataCellStyle="Currency 2"/>
    <tableColumn id="7" xr3:uid="{051D7B53-BC5C-4CB5-8484-90FB80D20A90}" name="Change Orders" dataDxfId="289" dataCellStyle="Currency 2">
      <calculatedColumnFormula>0</calculatedColumnFormula>
    </tableColumn>
    <tableColumn id="8" xr3:uid="{7F0B8CAB-77E8-4238-BB7B-FFE102161661}" name="Revised Contract" dataDxfId="288" dataCellStyle="Currency 2">
      <calculatedColumnFormula>IF(Steel17221259183[[#This Row],[Actual Buyout]]+Steel17221259183[[#This Row],[Change Orders]]=0,Steel17221259183[[#This Row],[Original Contract]],Steel17221259183[[#This Row],[Actual Buyout]]+Steel17221259183[[#This Row],[Change Orders]])</calculatedColumnFormula>
    </tableColumn>
    <tableColumn id="9" xr3:uid="{B614B958-E1AE-481D-BC2D-CCA57BD08688}" name="Total completed and Stored" dataDxfId="287" dataCellStyle="Currency 2"/>
    <tableColumn id="10" xr3:uid="{A0517C9A-9B4C-41CF-9C51-183962D779CD}" name="Delta" dataDxfId="286" dataCellStyle="Currency 2">
      <calculatedColumnFormula>Steel17221259183[[#This Row],[Original Contract]]-Steel17221259183[[#This Row],[Revised Contract]]</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20490F9D-01A4-4238-B3F5-140832A81F13}" name="Carpentry18222260184" displayName="Carpentry18222260184" ref="A224:J233" totalsRowShown="0" headerRowDxfId="285" dataDxfId="284" tableBorderDxfId="283" dataCellStyle="Currency 2">
  <tableColumns count="10">
    <tableColumn id="1" xr3:uid="{D5B3367D-48F4-49FB-B25E-7AC2A4FA5F76}" name="6" dataDxfId="282"/>
    <tableColumn id="2" xr3:uid="{2EEC7710-CC48-4598-98EF-3314964FD492}" name="Carpentry and Millwork" dataDxfId="281" dataCellStyle="Normal 2"/>
    <tableColumn id="3" xr3:uid="{A333C50F-7C73-43EB-8EC9-763BBB691720}" name="CSI Sec" dataDxfId="280" dataCellStyle="Normal 2"/>
    <tableColumn id="4" xr3:uid="{AC99C0EB-7463-457F-B5AE-CBEE55DDBF66}" name="Description of work" dataDxfId="279" dataCellStyle="Normal 2"/>
    <tableColumn id="5" xr3:uid="{646EC426-4336-4090-B737-3AD59A41B9D5}" name="Original Contract" dataDxfId="278" dataCellStyle="Currency 2"/>
    <tableColumn id="6" xr3:uid="{BF1E937C-0774-43D4-858C-BAD8644C77A6}" name="Actual Buyout" dataDxfId="277" dataCellStyle="Currency 2"/>
    <tableColumn id="7" xr3:uid="{2EC16908-3F78-42AF-B2E4-22AB74C544D0}" name="Change Orders" dataDxfId="276" dataCellStyle="Currency 2">
      <calculatedColumnFormula>0</calculatedColumnFormula>
    </tableColumn>
    <tableColumn id="8" xr3:uid="{2F533BB7-2499-4D78-97ED-D552656D4D79}" name="Revised Contract" dataDxfId="275" dataCellStyle="Currency 2">
      <calculatedColumnFormula>IF(Carpentry18222260184[[#This Row],[Actual Buyout]]+Carpentry18222260184[[#This Row],[Change Orders]]=0,Carpentry18222260184[[#This Row],[Original Contract]],Carpentry18222260184[[#This Row],[Actual Buyout]]+Carpentry18222260184[[#This Row],[Change Orders]])</calculatedColumnFormula>
    </tableColumn>
    <tableColumn id="9" xr3:uid="{BD1B4BCC-5BF1-4D85-A4AF-6BA1F42DD556}" name="Total completed and Stored" dataDxfId="274" dataCellStyle="Currency 2"/>
    <tableColumn id="10" xr3:uid="{90A5D750-BC47-47F5-AF4E-8BF33853166B}" name="Delta" dataDxfId="273" dataCellStyle="Currency 2">
      <calculatedColumnFormula>Carpentry18222260184[[#This Row],[Original Contract]]-Carpentry18222260184[[#This Row],[Revised Contract]]</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CE20B354-8569-4D5E-B782-14C855551B1F}" name="Thermal19223261185" displayName="Thermal19223261185" ref="A235:J248" totalsRowShown="0" headerRowDxfId="272" dataDxfId="271" tableBorderDxfId="270" dataCellStyle="Currency 2">
  <tableColumns count="10">
    <tableColumn id="1" xr3:uid="{9A55FC43-EDB7-4BF0-A884-C43D4755A941}" name="7" dataDxfId="269"/>
    <tableColumn id="2" xr3:uid="{4236F3B5-E542-4ED3-ABAA-3D86DEE1AF61}" name="Thermal and Moisture Protection" dataDxfId="268" dataCellStyle="Normal 2"/>
    <tableColumn id="3" xr3:uid="{418EB25B-DA0E-46B1-B6BA-C459A6BB63FD}" name="CSI Sec" dataDxfId="267" dataCellStyle="Normal 2"/>
    <tableColumn id="4" xr3:uid="{1D37DFD0-6940-4C14-8FC8-D041FE984144}" name="Description of work" dataDxfId="266" dataCellStyle="Normal 2"/>
    <tableColumn id="5" xr3:uid="{B0710BE4-06A3-4B2D-B220-5F3AF5B73FF7}" name="Original Contract" dataDxfId="265" dataCellStyle="Currency 2"/>
    <tableColumn id="6" xr3:uid="{0FAA6708-BD95-43BC-82BD-C40E226AC3ED}" name="Actual Buyout" dataDxfId="264" dataCellStyle="Currency 2"/>
    <tableColumn id="7" xr3:uid="{FDFEA628-67F7-4EEE-9404-D591234982F1}" name="Change Orders" dataDxfId="263" dataCellStyle="Currency 2">
      <calculatedColumnFormula>0</calculatedColumnFormula>
    </tableColumn>
    <tableColumn id="8" xr3:uid="{6155E5B8-079C-45BD-B668-14BEC4C32D8F}" name="Revised Contract" dataDxfId="262" dataCellStyle="Currency 2">
      <calculatedColumnFormula>IF(Thermal19223261185[[#This Row],[Actual Buyout]]+Thermal19223261185[[#This Row],[Change Orders]]=0,Thermal19223261185[[#This Row],[Original Contract]],Thermal19223261185[[#This Row],[Actual Buyout]]+Thermal19223261185[[#This Row],[Change Orders]])</calculatedColumnFormula>
    </tableColumn>
    <tableColumn id="9" xr3:uid="{BF47842B-3236-400C-B900-822FAC9E767E}" name="Total completed and Stored" dataDxfId="261" dataCellStyle="Currency 2"/>
    <tableColumn id="10" xr3:uid="{70B6E912-932A-49BF-8EA5-9A5E0BC473A2}" name="Delta" dataDxfId="260" dataCellStyle="Currency 2">
      <calculatedColumnFormula>Thermal19223261185[[#This Row],[Original Contract]]-Thermal19223261185[[#This Row],[Revised Contract]]</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6524AE3A-DB6E-446C-9917-06BD957DA429}" name="Sealant20224262186" displayName="Sealant20224262186" ref="A250:J261" totalsRowShown="0" headerRowDxfId="259" dataDxfId="258" tableBorderDxfId="257" dataCellStyle="Currency 2">
  <tableColumns count="10">
    <tableColumn id="1" xr3:uid="{BDAD3D1C-A8DF-4D21-8DE7-8A61699AF659}" name="7" dataDxfId="256"/>
    <tableColumn id="2" xr3:uid="{C05B86DE-D08A-4F04-837E-E6EA2AFC6C03}" name="Caulking &amp; Sealants" dataDxfId="255" dataCellStyle="Normal 2"/>
    <tableColumn id="3" xr3:uid="{20E2F256-4E75-429F-8773-6EF0FC86DA1A}" name="CSI Sec" dataDxfId="254" dataCellStyle="Normal 2"/>
    <tableColumn id="4" xr3:uid="{A0F239A6-CB61-47EB-AA00-828093C4154B}" name="Description of work" dataDxfId="253" dataCellStyle="Normal 2"/>
    <tableColumn id="5" xr3:uid="{7DC2AAFF-5186-4C3F-9F3D-1A07877D8334}" name="Original Contract" dataDxfId="252" dataCellStyle="Currency 2"/>
    <tableColumn id="6" xr3:uid="{46A7F20C-4A49-443E-92EB-35E4A63B2E96}" name="Actual Buyout" dataDxfId="251" dataCellStyle="Currency 2"/>
    <tableColumn id="7" xr3:uid="{956BE822-3A79-489B-9AD4-0177C068FDC2}" name="Change Orders" dataDxfId="250" dataCellStyle="Currency 2">
      <calculatedColumnFormula>0</calculatedColumnFormula>
    </tableColumn>
    <tableColumn id="8" xr3:uid="{FCA1A8CC-8B25-4351-9A67-49CF89047CFF}" name="Revised Contract" dataDxfId="249" dataCellStyle="Currency 2">
      <calculatedColumnFormula>IF(Sealant20224262186[[#This Row],[Actual Buyout]]+Sealant20224262186[[#This Row],[Change Orders]]=0,Sealant20224262186[[#This Row],[Original Contract]],Sealant20224262186[[#This Row],[Actual Buyout]]+Sealant20224262186[[#This Row],[Change Orders]])</calculatedColumnFormula>
    </tableColumn>
    <tableColumn id="9" xr3:uid="{51B9B8B3-CFEA-4D60-AD07-4F2152EA9413}" name="Total completed and Stored" dataDxfId="248" dataCellStyle="Currency 2"/>
    <tableColumn id="10" xr3:uid="{6FD98F9E-7675-4321-AC5E-123856A9DAA9}" name="Delta" dataDxfId="247" dataCellStyle="Currency 2">
      <calculatedColumnFormula>Sealant20224262186[[#This Row],[Original Contract]]-Sealant20224262186[[#This Row],[Revised Contract]]</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FC0E8F3E-C6FE-4D51-A87A-D8DA4A78F08C}" name="Glass21225263187" displayName="Glass21225263187" ref="A263:J273" totalsRowShown="0" headerRowDxfId="246" dataDxfId="245" tableBorderDxfId="244" dataCellStyle="Currency 2">
  <tableColumns count="10">
    <tableColumn id="1" xr3:uid="{74FF9FD5-CD13-43D3-B375-FEE86E0C8B44}" name="8" dataDxfId="243"/>
    <tableColumn id="2" xr3:uid="{931696DA-B80B-4660-A00D-B6AEAF738CF2}" name="Glass/Glazing" dataDxfId="242" dataCellStyle="Normal 2"/>
    <tableColumn id="3" xr3:uid="{C8E40E9E-7405-4D2B-8D26-91C4EA1AEEDF}" name="CSI Sec" dataDxfId="241" dataCellStyle="Normal 2"/>
    <tableColumn id="4" xr3:uid="{E75AED85-6F2C-4EC0-BA0D-D5B2ED9830B6}" name="Description of work" dataDxfId="240" dataCellStyle="Normal 2"/>
    <tableColumn id="5" xr3:uid="{FB43FBA0-D8B9-4324-BC35-7DEE9672EDE1}" name="Original Contract" dataDxfId="239" dataCellStyle="Currency 2"/>
    <tableColumn id="6" xr3:uid="{63A35B51-999F-4808-B44A-0165B9E16A85}" name="Actual Buyout" dataDxfId="238" dataCellStyle="Currency 2"/>
    <tableColumn id="7" xr3:uid="{9627B224-749A-4294-AD65-629E74986357}" name="Change Orders" dataDxfId="237" dataCellStyle="Currency 2">
      <calculatedColumnFormula>0</calculatedColumnFormula>
    </tableColumn>
    <tableColumn id="8" xr3:uid="{635EBE17-ED10-448B-B7CB-25D19DD37D39}" name="Revised Contract" dataDxfId="236" dataCellStyle="Currency 2">
      <calculatedColumnFormula>IF(Glass21225263187[[#This Row],[Actual Buyout]]+Glass21225263187[[#This Row],[Change Orders]]=0,Glass21225263187[[#This Row],[Original Contract]],Glass21225263187[[#This Row],[Actual Buyout]]+Glass21225263187[[#This Row],[Change Orders]])</calculatedColumnFormula>
    </tableColumn>
    <tableColumn id="9" xr3:uid="{E46A239E-C947-473F-B027-B0DF5B914B23}" name="Total completed and Stored" dataDxfId="235" dataCellStyle="Currency 2"/>
    <tableColumn id="10" xr3:uid="{D288C79D-B373-4DC5-976B-671EBDD0B320}" name="Delta" dataDxfId="234" dataCellStyle="Currency 2">
      <calculatedColumnFormula>Glass21225263187[[#This Row],[Original Contract]]-Glass21225263187[[#This Row],[Revised Contract]]</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FC46925E-D17C-433C-BFFF-B00EBABD4006}" name="DockDoors22226264188" displayName="DockDoors22226264188" ref="A275:J283" totalsRowShown="0" headerRowDxfId="233" dataDxfId="232" tableBorderDxfId="231" dataCellStyle="Currency 2">
  <tableColumns count="10">
    <tableColumn id="1" xr3:uid="{5359A3FD-6174-41C7-B8C1-030DB15A508E}" name="8" dataDxfId="230"/>
    <tableColumn id="2" xr3:uid="{FCE1D420-8F35-4659-A06C-2DAD73F9F2B9}" name="Dock &amp; Drive in Doors" dataDxfId="229" dataCellStyle="Normal 2"/>
    <tableColumn id="3" xr3:uid="{376B5FEB-279A-4D2B-8C4E-85A9C5C4432D}" name="CSI Sec" dataDxfId="228" dataCellStyle="Normal 2"/>
    <tableColumn id="4" xr3:uid="{E5AAF975-E003-4535-8A23-F7C9E74D1D2C}" name="Description of work" dataDxfId="227" dataCellStyle="Normal 2"/>
    <tableColumn id="5" xr3:uid="{964AFD5F-9B6F-4B25-91C7-78AE52E7975B}" name="Original Contract" dataDxfId="226" dataCellStyle="Currency 2"/>
    <tableColumn id="6" xr3:uid="{13E02845-1D58-40BB-B931-988D8C778F82}" name="Actual Buyout" dataDxfId="225" dataCellStyle="Currency 2"/>
    <tableColumn id="7" xr3:uid="{B12D1AB9-F853-4AF3-8CD0-79A653952ED0}" name="Change Orders" dataDxfId="224" dataCellStyle="Currency 2">
      <calculatedColumnFormula>0</calculatedColumnFormula>
    </tableColumn>
    <tableColumn id="8" xr3:uid="{683C737C-032C-4C54-83E9-92DB32331135}" name="Revised Contract" dataDxfId="223" dataCellStyle="Currency 2">
      <calculatedColumnFormula>IF(DockDoors22226264188[[#This Row],[Actual Buyout]]+DockDoors22226264188[[#This Row],[Change Orders]]=0,DockDoors22226264188[[#This Row],[Original Contract]],DockDoors22226264188[[#This Row],[Actual Buyout]]+DockDoors22226264188[[#This Row],[Change Orders]])</calculatedColumnFormula>
    </tableColumn>
    <tableColumn id="9" xr3:uid="{D6D11A44-995F-43D7-A425-CF8C3E8CFE65}" name="Total completed and Stored" dataDxfId="222" dataCellStyle="Currency 2"/>
    <tableColumn id="10" xr3:uid="{F5DE1322-7A94-45E3-9A99-84E2D7D9D329}" name="Delta" dataDxfId="221" dataCellStyle="Currency 2">
      <calculatedColumnFormula>DockDoors22226264188[[#This Row],[Original Contract]]-DockDoors22226264188[[#This Row],[Revised Contract]]</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B2436550-3652-4520-AB63-A96709B1D36C}" name="Doors23227265189" displayName="Doors23227265189" ref="A285:J293" totalsRowShown="0" headerRowDxfId="220" dataDxfId="219" tableBorderDxfId="218" dataCellStyle="Currency 2">
  <tableColumns count="10">
    <tableColumn id="1" xr3:uid="{C92DF125-9A2E-4239-87B4-2489AC9B8821}" name="8" dataDxfId="217"/>
    <tableColumn id="2" xr3:uid="{309BBAD5-7C74-4514-8B9A-0017F64999B7}" name="Doors, Frames, &amp; Hardware" dataDxfId="216" dataCellStyle="Normal 2"/>
    <tableColumn id="3" xr3:uid="{3282DD0B-7AC2-4DC0-85D5-D5B24E707077}" name="CSI Sec" dataDxfId="215" dataCellStyle="Normal 2"/>
    <tableColumn id="4" xr3:uid="{C0EC888A-52B1-4E01-A930-BE1F2AEFBD7E}" name="Description of work" dataDxfId="214" dataCellStyle="Normal 2"/>
    <tableColumn id="5" xr3:uid="{015136E7-E86E-4007-99D9-7A09D59803A8}" name="Original Contract" dataDxfId="213" dataCellStyle="Currency 2"/>
    <tableColumn id="6" xr3:uid="{C1D81577-68F7-4104-826A-85EDD53DBF29}" name="Actual Buyout" dataDxfId="212" dataCellStyle="Currency 2"/>
    <tableColumn id="7" xr3:uid="{228E9F67-EA88-4E9E-8B21-355DA69DBD7B}" name="Change Orders" dataDxfId="211" dataCellStyle="Currency 2">
      <calculatedColumnFormula>0</calculatedColumnFormula>
    </tableColumn>
    <tableColumn id="8" xr3:uid="{9B7D668C-065A-4C94-9DCE-341765DA9F89}" name="Revised Contract" dataDxfId="210" dataCellStyle="Currency 2">
      <calculatedColumnFormula>IF(Doors23227265189[[#This Row],[Actual Buyout]]+Doors23227265189[[#This Row],[Change Orders]]=0,Doors23227265189[[#This Row],[Original Contract]],Doors23227265189[[#This Row],[Actual Buyout]]+Doors23227265189[[#This Row],[Change Orders]])</calculatedColumnFormula>
    </tableColumn>
    <tableColumn id="9" xr3:uid="{2AD3D7BA-07D9-47A1-99A0-FDAD271566C2}" name="Total completed and Stored" dataDxfId="209" dataCellStyle="Currency 2"/>
    <tableColumn id="10" xr3:uid="{BA231E4B-7BE4-4E4D-AEE4-164EF0DB606A}" name="Delta" dataDxfId="208" dataCellStyle="Currency 2">
      <calculatedColumnFormula>Doors23227265189[[#This Row],[Original Contract]]-Doors23227265189[[#This Row],[Revised Contract]]</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2DE1C3D6-5EE7-4921-A344-C620B5347D53}" name="Walls24228266190" displayName="Walls24228266190" ref="A295:J305" totalsRowShown="0" headerRowDxfId="207" dataDxfId="206" tableBorderDxfId="205" dataCellStyle="Currency 2">
  <tableColumns count="10">
    <tableColumn id="1" xr3:uid="{1204C3FE-EF10-4D7D-A3E5-88CE05AEE9BF}" name="9" dataDxfId="204"/>
    <tableColumn id="2" xr3:uid="{5EE94265-742B-4BCE-9B42-96E42F150890}" name="Metal Framing, Drywall, Acoustical" dataDxfId="203" dataCellStyle="Normal 2"/>
    <tableColumn id="3" xr3:uid="{76956F4D-B312-493E-A98C-A7CFB1317B24}" name="CSI Sec" dataDxfId="202" dataCellStyle="Normal 2"/>
    <tableColumn id="4" xr3:uid="{693D8377-A547-40AD-9C68-31C5EA9EB7ED}" name="Description of work" dataDxfId="201" dataCellStyle="Normal 2"/>
    <tableColumn id="5" xr3:uid="{F3CA57B4-16B5-451C-8462-F2A25F28B863}" name="Original Contract" dataDxfId="200" dataCellStyle="Currency 2"/>
    <tableColumn id="6" xr3:uid="{6C1985DB-2FE0-43A0-B886-7320C05E6A94}" name="Actual Buyout" dataDxfId="199" dataCellStyle="Currency 2"/>
    <tableColumn id="7" xr3:uid="{772E6331-542B-46F9-8305-FA72140B899A}" name="Change Orders" dataDxfId="198" dataCellStyle="Currency 2">
      <calculatedColumnFormula>0</calculatedColumnFormula>
    </tableColumn>
    <tableColumn id="8" xr3:uid="{F8BB7E25-35EB-481E-B471-144029EB3C66}" name="Revised Contract" dataDxfId="197" dataCellStyle="Currency 2">
      <calculatedColumnFormula>IF(Walls24228266190[[#This Row],[Actual Buyout]]+Walls24228266190[[#This Row],[Change Orders]]=0,Walls24228266190[[#This Row],[Original Contract]],Walls24228266190[[#This Row],[Actual Buyout]]+Walls24228266190[[#This Row],[Change Orders]])</calculatedColumnFormula>
    </tableColumn>
    <tableColumn id="9" xr3:uid="{BC605722-3F43-49C6-A310-7C338268D6D4}" name="Total completed and Stored" dataDxfId="196" dataCellStyle="Currency 2"/>
    <tableColumn id="10" xr3:uid="{614DEC3F-AEC6-4C6F-A7EC-617CAAF49D97}" name="Delta" dataDxfId="195" dataCellStyle="Currency 2">
      <calculatedColumnFormula>Walls24228266190[[#This Row],[Original Contract]]-Walls24228266190[[#This Row],[Revised Contract]]</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91415288-B17B-4370-A3B7-F7E847839DAC}" name="Flooring25229267191" displayName="Flooring25229267191" ref="A307:J315" totalsRowShown="0" headerRowDxfId="194" dataDxfId="193" tableBorderDxfId="192" dataCellStyle="Currency 2">
  <tableColumns count="10">
    <tableColumn id="1" xr3:uid="{540F45F9-08AF-4BFE-A3B5-C312B46131B9}" name="9" dataDxfId="191"/>
    <tableColumn id="2" xr3:uid="{888FEEA7-3AA8-4D60-8819-FC27B4991099}" name="Flooring" dataDxfId="190" dataCellStyle="Normal 2"/>
    <tableColumn id="3" xr3:uid="{F156DE36-8B02-4A20-9196-0290F7F26EFD}" name="CSI Sec" dataDxfId="189" dataCellStyle="Normal 2"/>
    <tableColumn id="4" xr3:uid="{E7D01624-83D8-4A9E-9D6C-285C8692E341}" name="Description of work" dataDxfId="188" dataCellStyle="Normal 2"/>
    <tableColumn id="5" xr3:uid="{7B3566AA-6FB8-48A5-BA37-3630FDEC068D}" name="Original Contract" dataDxfId="187" dataCellStyle="Currency 2"/>
    <tableColumn id="6" xr3:uid="{69063AC9-DC70-41CF-A362-5896CA095B9B}" name="Actual Buyout" dataDxfId="186" dataCellStyle="Currency 2"/>
    <tableColumn id="7" xr3:uid="{BE2B1E61-021F-4145-8031-EB6D01E8554C}" name="Change Orders" dataDxfId="185" dataCellStyle="Currency 2">
      <calculatedColumnFormula>0</calculatedColumnFormula>
    </tableColumn>
    <tableColumn id="8" xr3:uid="{77329A66-1CD8-4367-81D9-952D4AC6DA72}" name="Revised Contract" dataDxfId="184" dataCellStyle="Currency 2">
      <calculatedColumnFormula>IF(Flooring25229267191[[#This Row],[Actual Buyout]]+Flooring25229267191[[#This Row],[Change Orders]]=0,Flooring25229267191[[#This Row],[Original Contract]],Flooring25229267191[[#This Row],[Actual Buyout]]+Flooring25229267191[[#This Row],[Change Orders]])</calculatedColumnFormula>
    </tableColumn>
    <tableColumn id="9" xr3:uid="{59AE3D98-DABC-4BC7-A245-E59B9E854496}" name="Total completed and Stored" dataDxfId="183" dataCellStyle="Currency 2"/>
    <tableColumn id="10" xr3:uid="{FE740CDE-2F88-4EB5-A66B-A753767B09ED}" name="Delta" dataDxfId="182" dataCellStyle="Currency 2">
      <calculatedColumnFormula>Flooring25229267191[[#This Row],[Original Contract]]-Flooring25229267191[[#This Row],[Revised Contract]]</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39C05ACE-EF9A-40D5-A017-812E9AA2E5B6}" name="Paint26230268192" displayName="Paint26230268192" ref="A317:J329" totalsRowShown="0" headerRowDxfId="181" dataDxfId="180" tableBorderDxfId="179" dataCellStyle="Currency 2">
  <tableColumns count="10">
    <tableColumn id="1" xr3:uid="{3169A654-8B55-4CE6-817B-EAECB787FE5D}" name="9" dataDxfId="178"/>
    <tableColumn id="2" xr3:uid="{688278D6-0D19-41A4-817B-B5D25CF3282B}" name="Painting &amp; Coatings" dataDxfId="177" dataCellStyle="Normal 2"/>
    <tableColumn id="3" xr3:uid="{D3F6E4EE-69B6-4D72-95C3-9984204B70C8}" name="CSI Sec" dataDxfId="176" dataCellStyle="Normal 2"/>
    <tableColumn id="4" xr3:uid="{10A85957-A37A-4E1B-BB85-96DB05930DF2}" name="Description of work" dataDxfId="175" dataCellStyle="Normal 2"/>
    <tableColumn id="5" xr3:uid="{804D217E-6150-4FF5-8FD5-AEF82DAEF6BC}" name="Original Contract" dataDxfId="174" dataCellStyle="Currency 2"/>
    <tableColumn id="6" xr3:uid="{4B648220-C8F5-4D88-B1FC-A13B55369083}" name="Actual Buyout" dataDxfId="173" dataCellStyle="Currency 2"/>
    <tableColumn id="7" xr3:uid="{01121016-3212-4769-AAF6-DF76A6AAD7D0}" name="Change Orders" dataDxfId="172" dataCellStyle="Currency 2">
      <calculatedColumnFormula>0</calculatedColumnFormula>
    </tableColumn>
    <tableColumn id="8" xr3:uid="{A3501968-7662-41DA-8EE1-DDC6198C99FC}" name="Revised Contract" dataDxfId="171" dataCellStyle="Currency 2">
      <calculatedColumnFormula>IF(Paint26230268192[[#This Row],[Actual Buyout]]+Paint26230268192[[#This Row],[Change Orders]]=0,Paint26230268192[[#This Row],[Original Contract]],Paint26230268192[[#This Row],[Actual Buyout]]+Paint26230268192[[#This Row],[Change Orders]])</calculatedColumnFormula>
    </tableColumn>
    <tableColumn id="9" xr3:uid="{82E2DA50-3F17-4F92-94C3-E47423FAB5DD}" name="Total completed and Stored" dataDxfId="170" dataCellStyle="Currency 2"/>
    <tableColumn id="10" xr3:uid="{F0FD96A1-F414-4A9C-8795-CB11C016F124}" name="Delta" dataDxfId="169" dataCellStyle="Currency 2">
      <calculatedColumnFormula>Paint26230268192[[#This Row],[Original Contract]]-Paint26230268192[[#This Row],[Revised Contract]]</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78FB0B01-4EB3-4BED-81A5-4DF947C8C9AC}" name="Specialties27231269193" displayName="Specialties27231269193" ref="A331:J355" totalsRowShown="0" headerRowDxfId="168" dataDxfId="167" tableBorderDxfId="166" dataCellStyle="Currency 2">
  <tableColumns count="10">
    <tableColumn id="1" xr3:uid="{20FEEB37-FE5E-4737-AEA0-269574C19136}" name="10" dataDxfId="165"/>
    <tableColumn id="2" xr3:uid="{7B6CBAD2-6DB2-4CDF-BDA4-8D5D891B15D3}" name="Specialties " dataDxfId="164" dataCellStyle="Normal 2"/>
    <tableColumn id="3" xr3:uid="{EB2B6290-3B04-4B41-9D8B-FB8196EBCDC6}" name="CSI Sec" dataDxfId="163" dataCellStyle="Normal 2"/>
    <tableColumn id="4" xr3:uid="{982635CB-48E9-4482-A7A4-7F7CF0C8DB37}" name="Description of work" dataDxfId="162" dataCellStyle="Normal 2"/>
    <tableColumn id="5" xr3:uid="{5EFBAF9B-2CBB-4E13-9AE3-C214B40F7415}" name="Original Contract" dataDxfId="161" dataCellStyle="Currency 2"/>
    <tableColumn id="6" xr3:uid="{3B0555C0-1463-4ADB-A17C-A8B5E20E5741}" name="Actual Buyout" dataDxfId="160" dataCellStyle="Currency 2"/>
    <tableColumn id="7" xr3:uid="{4ABA15A3-C04E-4B33-8865-CBD2C7C48B07}" name="Change Orders" dataDxfId="159" dataCellStyle="Currency 2">
      <calculatedColumnFormula>0</calculatedColumnFormula>
    </tableColumn>
    <tableColumn id="8" xr3:uid="{7EAE5B79-23F6-4174-9CF7-E00F15312A96}" name="Revised Contract" dataDxfId="158" dataCellStyle="Currency 2">
      <calculatedColumnFormula>IF(Specialties27231269193[[#This Row],[Actual Buyout]]+Specialties27231269193[[#This Row],[Change Orders]]=0,Specialties27231269193[[#This Row],[Original Contract]],Specialties27231269193[[#This Row],[Actual Buyout]]+Specialties27231269193[[#This Row],[Change Orders]])</calculatedColumnFormula>
    </tableColumn>
    <tableColumn id="9" xr3:uid="{0341339C-03DA-44E2-9241-20521CEA003F}" name="Total completed and Stored" dataDxfId="157" dataCellStyle="Currency 2"/>
    <tableColumn id="10" xr3:uid="{85C64A85-8A2B-4168-B8F9-9B9A7450C1DD}" name="Delta" dataDxfId="156" dataCellStyle="Currency 2">
      <calculatedColumnFormula>Specialties27231269193[[#This Row],[Original Contract]]-Specialties27231269193[[#This Row],[Revised Contract]]</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22517C91-C058-40C0-964A-B51E16409A51}" name="DockEquip28232270194" displayName="DockEquip28232270194" ref="A357:J371" totalsRowShown="0" headerRowDxfId="155" dataDxfId="154" tableBorderDxfId="153" dataCellStyle="Currency 2">
  <tableColumns count="10">
    <tableColumn id="1" xr3:uid="{AD67E525-07A6-4B22-AD0A-79E0D6356707}" name="11" dataDxfId="152"/>
    <tableColumn id="2" xr3:uid="{DB4A41B6-7FE3-4959-A0A1-46D6AE63A548}" name="Dock Equipment" dataDxfId="151" dataCellStyle="Normal 2"/>
    <tableColumn id="3" xr3:uid="{718A61FD-9741-41D0-8629-60B20BE84224}" name="CSI Sec" dataDxfId="150" dataCellStyle="Normal 2"/>
    <tableColumn id="4" xr3:uid="{38D5B05F-ABCA-4465-8D3C-23B786F709C3}" name="Description of work" dataDxfId="149" dataCellStyle="Normal 2"/>
    <tableColumn id="5" xr3:uid="{50CEB030-3B2F-4716-9208-4C8C599B7A14}" name="Original Contract" dataDxfId="148" dataCellStyle="Currency 2"/>
    <tableColumn id="6" xr3:uid="{36228A09-B4EB-420D-B838-D3DCFC26D9E5}" name="Actual Buyout" dataDxfId="147" dataCellStyle="Currency 2"/>
    <tableColumn id="7" xr3:uid="{0BA7549A-B2E6-4834-93C4-61F851E61A0A}" name="Change Orders" dataDxfId="146" dataCellStyle="Currency 2">
      <calculatedColumnFormula>0</calculatedColumnFormula>
    </tableColumn>
    <tableColumn id="8" xr3:uid="{7C1695C4-ACD2-4CB6-92EE-235770643BD8}" name="Revised Contract" dataDxfId="145" dataCellStyle="Currency 2">
      <calculatedColumnFormula>IF(DockEquip28232270194[[#This Row],[Actual Buyout]]+DockEquip28232270194[[#This Row],[Change Orders]]=0,DockEquip28232270194[[#This Row],[Original Contract]],DockEquip28232270194[[#This Row],[Actual Buyout]]+DockEquip28232270194[[#This Row],[Change Orders]])</calculatedColumnFormula>
    </tableColumn>
    <tableColumn id="9" xr3:uid="{14E4072A-F7E9-4367-B8A1-424D8AF0B31E}" name="Total completed and Stored" dataDxfId="144" dataCellStyle="Currency 2"/>
    <tableColumn id="10" xr3:uid="{E1CE94CD-70C9-4349-9588-B91F5883DFA3}" name="Delta" dataDxfId="143" dataCellStyle="Currency 2">
      <calculatedColumnFormula>DockEquip28232270194[[#This Row],[Original Contract]]-DockEquip28232270194[[#This Row],[Revised Contract]]</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2196D0DE-2F60-4762-9EA2-5A7401ED3B09}" name="Furnishings29233271195" displayName="Furnishings29233271195" ref="A373:J379" totalsRowShown="0" headerRowDxfId="142" dataDxfId="141" tableBorderDxfId="140" dataCellStyle="Currency 2">
  <tableColumns count="10">
    <tableColumn id="1" xr3:uid="{C7CAD2C2-9588-4186-8656-E0F426745572}" name="12" dataDxfId="139"/>
    <tableColumn id="2" xr3:uid="{DD56482E-9BB6-4764-AC80-5220C086EDA5}" name="Furnishings" dataDxfId="138" dataCellStyle="Normal 2"/>
    <tableColumn id="3" xr3:uid="{0CA50629-CCAD-4AE8-8ABD-0E2EE60153A4}" name="CSI Sec" dataDxfId="137" dataCellStyle="Normal 2"/>
    <tableColumn id="4" xr3:uid="{C28686A6-FF80-4248-8929-0964F3EB53B6}" name="Description of work" dataDxfId="136" dataCellStyle="Normal 2"/>
    <tableColumn id="5" xr3:uid="{EBA3A88E-F3D5-4B08-9FF9-6A3C6F103B75}" name="Original Contract" dataDxfId="135" dataCellStyle="Currency 2"/>
    <tableColumn id="6" xr3:uid="{B60D89FD-19A1-47DD-BA2C-4698C6AE6F0F}" name="Actual Buyout" dataDxfId="134" dataCellStyle="Currency 2"/>
    <tableColumn id="7" xr3:uid="{CEC9C1C9-5ABA-435E-B56E-CFC19D8AF051}" name="Change Orders" dataDxfId="133" dataCellStyle="Currency 2">
      <calculatedColumnFormula>0</calculatedColumnFormula>
    </tableColumn>
    <tableColumn id="8" xr3:uid="{7D5251D1-F094-473C-8CE9-E029F6A3E5C2}" name="Revised Contract" dataDxfId="132" dataCellStyle="Currency 2">
      <calculatedColumnFormula>IF(Furnishings29233271195[[#This Row],[Actual Buyout]]+Furnishings29233271195[[#This Row],[Change Orders]]=0,Furnishings29233271195[[#This Row],[Original Contract]],Furnishings29233271195[[#This Row],[Actual Buyout]]+Furnishings29233271195[[#This Row],[Change Orders]])</calculatedColumnFormula>
    </tableColumn>
    <tableColumn id="9" xr3:uid="{7CC23A41-1AD0-4886-BDCD-3CEED001FFB3}" name="Total completed and Stored" dataDxfId="131" dataCellStyle="Currency 2"/>
    <tableColumn id="10" xr3:uid="{49A872FD-1F60-4D13-93D6-09AFA3440F4C}" name="Delta" dataDxfId="130" dataCellStyle="Currency 2">
      <calculatedColumnFormula>Furnishings29233271195[[#This Row],[Original Contract]]-Furnishings29233271195[[#This Row],[Revised Contract]]</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CC73032E-A4C2-408D-8516-BB629B0D8EE8}" name="SpecConst30234272196" displayName="SpecConst30234272196" ref="A381:J388" totalsRowShown="0" headerRowDxfId="129" dataDxfId="128" tableBorderDxfId="127" dataCellStyle="Currency 2">
  <tableColumns count="10">
    <tableColumn id="1" xr3:uid="{5D6E9E3D-65D2-42CF-B2BE-7DD1032C9493}" name="13" dataDxfId="126"/>
    <tableColumn id="2" xr3:uid="{630CABD2-8BC3-472B-BDCB-190EB432FA1E}" name="Special Construction" dataDxfId="125" dataCellStyle="Normal 2"/>
    <tableColumn id="3" xr3:uid="{7B78B166-7721-4282-BF66-FAC487B79004}" name="CSI Sec" dataDxfId="124" dataCellStyle="Normal 2"/>
    <tableColumn id="4" xr3:uid="{1891BBCB-52B6-4933-B096-E4F6D70A0236}" name="Description of work" dataDxfId="123" dataCellStyle="Normal 2"/>
    <tableColumn id="5" xr3:uid="{CD895582-EB60-47EE-8099-9C69A1B2696C}" name="Original Contract" dataDxfId="122" dataCellStyle="Currency 2"/>
    <tableColumn id="6" xr3:uid="{92B948EA-B374-4B44-9F3C-7C26A042636F}" name="Actual Buyout" dataDxfId="121" dataCellStyle="Currency 2"/>
    <tableColumn id="7" xr3:uid="{FE71EA82-44BB-4F53-A886-858BF15CBBC9}" name="Change Orders" dataDxfId="120" dataCellStyle="Currency 2">
      <calculatedColumnFormula>0</calculatedColumnFormula>
    </tableColumn>
    <tableColumn id="8" xr3:uid="{3CA67EF9-260D-4311-A059-69D24016A388}" name="Revised Contract" dataDxfId="119" dataCellStyle="Currency 2">
      <calculatedColumnFormula>IF(SpecConst30234272196[[#This Row],[Actual Buyout]]+SpecConst30234272196[[#This Row],[Change Orders]]=0,SpecConst30234272196[[#This Row],[Original Contract]],SpecConst30234272196[[#This Row],[Actual Buyout]]+SpecConst30234272196[[#This Row],[Change Orders]])</calculatedColumnFormula>
    </tableColumn>
    <tableColumn id="9" xr3:uid="{51940121-DAB9-4EE2-9C78-0EA8E7898128}" name="Total completed and Stored" dataDxfId="118" dataCellStyle="Currency 2"/>
    <tableColumn id="10" xr3:uid="{7DD2F634-C96B-4D0B-B6B5-933D6B5B473F}" name="Delta" dataDxfId="117" dataCellStyle="Currency 2">
      <calculatedColumnFormula>SpecConst30234272196[[#This Row],[Original Contract]]-SpecConst30234272196[[#This Row],[Revised Contract]]</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DC6D20A8-5D4E-4A77-8F6C-0D68B94CC43F}" name="Elevators31235273197" displayName="Elevators31235273197" ref="A390:J397" totalsRowShown="0" headerRowDxfId="116" dataDxfId="115" tableBorderDxfId="114" dataCellStyle="Currency 2">
  <tableColumns count="10">
    <tableColumn id="1" xr3:uid="{ED33887C-D177-4445-BF5A-6477A1F05A47}" name="14" dataDxfId="113"/>
    <tableColumn id="2" xr3:uid="{59CB5FED-3F9B-466A-8A90-2E8723B2C8B8}" name="Elevators" dataDxfId="112" dataCellStyle="Normal 2"/>
    <tableColumn id="3" xr3:uid="{07A402FE-F299-4320-8070-5A4BCBE9C392}" name="CSI Sec" dataDxfId="111" dataCellStyle="Normal 2"/>
    <tableColumn id="4" xr3:uid="{CCB26F3C-61F4-45F9-924D-91116E712245}" name="Description of work" dataDxfId="110" dataCellStyle="Normal 2"/>
    <tableColumn id="5" xr3:uid="{68084E6A-F571-4A8A-BF34-42132B56DD9D}" name="Original Contract" dataDxfId="109" dataCellStyle="Currency 2"/>
    <tableColumn id="6" xr3:uid="{526E0AA3-0C19-4035-BCA2-22A24ADF5BF4}" name="Actual Buyout" dataDxfId="108" dataCellStyle="Currency 2"/>
    <tableColumn id="7" xr3:uid="{EB3513CE-6B59-4305-B206-61855D3A3B0C}" name="Change Orders" dataDxfId="107" dataCellStyle="Currency 2">
      <calculatedColumnFormula>0</calculatedColumnFormula>
    </tableColumn>
    <tableColumn id="8" xr3:uid="{1E1EFF40-F53A-4474-BA73-0C30DEAB8A48}" name="Revised Contract" dataDxfId="106" dataCellStyle="Currency 2">
      <calculatedColumnFormula>IF(Elevators31235273197[[#This Row],[Actual Buyout]]+Elevators31235273197[[#This Row],[Change Orders]]=0,Elevators31235273197[[#This Row],[Original Contract]],Elevators31235273197[[#This Row],[Actual Buyout]]+Elevators31235273197[[#This Row],[Change Orders]])</calculatedColumnFormula>
    </tableColumn>
    <tableColumn id="9" xr3:uid="{3295206E-0862-4829-BCDE-1F0F9DDF19EE}" name="Total completed and Stored" dataDxfId="105" dataCellStyle="Currency 2"/>
    <tableColumn id="10" xr3:uid="{F995289A-16DE-4761-84D5-68155483097C}" name="Delta" dataDxfId="104" dataCellStyle="Currency 2">
      <calculatedColumnFormula>Elevators31235273197[[#This Row],[Original Contract]]-Elevators31235273197[[#This Row],[Revised Contract]]</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E78A9ADC-2FD8-4331-AA83-597A75E06D5A}" name="Fire32236274198" displayName="Fire32236274198" ref="A399:J414" totalsRowShown="0" headerRowDxfId="103" dataDxfId="102" tableBorderDxfId="101" dataCellStyle="Currency 2">
  <tableColumns count="10">
    <tableColumn id="1" xr3:uid="{F02B51FD-96B3-4E6E-B88C-5624AE4E9621}" name="21" dataDxfId="100"/>
    <tableColumn id="2" xr3:uid="{4F9D957A-59F4-44A7-AC6E-3906CAD5C193}" name="Fire Suppression" dataDxfId="99" dataCellStyle="Normal 2"/>
    <tableColumn id="3" xr3:uid="{CED194DD-BC46-4305-9F68-4E3BAB29E768}" name="CSI Sec" dataDxfId="98" dataCellStyle="Normal 2"/>
    <tableColumn id="4" xr3:uid="{BEAFEAF5-1E4C-41E3-BE57-AB79CFBD9E09}" name="Description of work" dataDxfId="97" dataCellStyle="Normal 2"/>
    <tableColumn id="5" xr3:uid="{349EAEA8-A157-458F-8E40-6FD717B0FC0E}" name="Original Contract" dataDxfId="96" dataCellStyle="Currency 2"/>
    <tableColumn id="6" xr3:uid="{5B2C1B0F-55F0-45F6-ADD1-A5154F13E1C1}" name="Actual Buyout" dataDxfId="95" dataCellStyle="Currency 2"/>
    <tableColumn id="7" xr3:uid="{A5864CA9-385E-4F71-ACF9-21A98BC6DF85}" name="Change Orders" dataDxfId="94" dataCellStyle="Currency 2">
      <calculatedColumnFormula>0</calculatedColumnFormula>
    </tableColumn>
    <tableColumn id="8" xr3:uid="{3805E181-8F97-45BB-B937-58B3B295ACF0}" name="Revised Contract" dataDxfId="93" dataCellStyle="Currency 2">
      <calculatedColumnFormula>IF(Fire32236274198[[#This Row],[Actual Buyout]]+Fire32236274198[[#This Row],[Change Orders]]=0,Fire32236274198[[#This Row],[Original Contract]],Fire32236274198[[#This Row],[Actual Buyout]]+Fire32236274198[[#This Row],[Change Orders]])</calculatedColumnFormula>
    </tableColumn>
    <tableColumn id="9" xr3:uid="{17811DB5-F208-47AD-B9E1-1B49242DF51F}" name="Total completed and Stored" dataDxfId="92" dataCellStyle="Currency 2"/>
    <tableColumn id="10" xr3:uid="{DBFBFD7B-BA04-4C98-B513-20C26C2788AD}" name="Delta" dataDxfId="91" dataCellStyle="Currency 2">
      <calculatedColumnFormula>Fire32236274198[[#This Row],[Original Contract]]-Fire32236274198[[#This Row],[Revised Contract]]</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8072CC65-0E50-4490-BAEA-BE9B935B7BB8}" name="Plumbing33237275199" displayName="Plumbing33237275199" ref="A416:J428" totalsRowShown="0" headerRowDxfId="90" dataDxfId="89" tableBorderDxfId="88" dataCellStyle="Currency 2">
  <tableColumns count="10">
    <tableColumn id="1" xr3:uid="{D2B912E0-C774-41B3-8839-C54AE21D5855}" name="22" dataDxfId="87"/>
    <tableColumn id="2" xr3:uid="{5678C266-89B3-44BC-82E6-2E3F620327C9}" name="Plumbing" dataDxfId="86" dataCellStyle="Normal 2"/>
    <tableColumn id="3" xr3:uid="{6C870567-8B97-4174-9B6B-917DFCAC4505}" name="CSI Sec" dataDxfId="85" dataCellStyle="Normal 2"/>
    <tableColumn id="4" xr3:uid="{A819B8A4-FC8B-45BC-8422-50A5991B01A4}" name="Description of work" dataDxfId="84" dataCellStyle="Normal 2"/>
    <tableColumn id="5" xr3:uid="{4B29F94E-0DB0-47C4-8EE2-F196C8208221}" name="Original Contract" dataDxfId="83" dataCellStyle="Currency 2"/>
    <tableColumn id="6" xr3:uid="{A91EC8EE-55E5-4DFD-A243-27EAEB2EAFAF}" name="Actual Buyout" dataDxfId="82" dataCellStyle="Currency 2"/>
    <tableColumn id="7" xr3:uid="{51744966-7B05-4EFD-A03D-7E2CE5278454}" name="Change Orders" dataDxfId="81" dataCellStyle="Currency 2">
      <calculatedColumnFormula>0</calculatedColumnFormula>
    </tableColumn>
    <tableColumn id="8" xr3:uid="{ABACDE06-ED7A-4F1D-B6B3-5B9F32EB32DF}" name="Revised Contract" dataDxfId="80" dataCellStyle="Currency 2">
      <calculatedColumnFormula>IF(Plumbing33237275199[[#This Row],[Actual Buyout]]+Plumbing33237275199[[#This Row],[Change Orders]]=0,Plumbing33237275199[[#This Row],[Original Contract]],Plumbing33237275199[[#This Row],[Actual Buyout]]+Plumbing33237275199[[#This Row],[Change Orders]])</calculatedColumnFormula>
    </tableColumn>
    <tableColumn id="9" xr3:uid="{5666DBD2-4F45-4BBA-AFD0-26C20884FB16}" name="Total completed and Stored" dataDxfId="79" dataCellStyle="Currency 2"/>
    <tableColumn id="10" xr3:uid="{D1BFA098-8455-40ED-A9C8-736481EE44AA}" name="Delta" dataDxfId="78" dataCellStyle="Currency 2">
      <calculatedColumnFormula>Plumbing33237275199[[#This Row],[Original Contract]]-Plumbing33237275199[[#This Row],[Revised Contract]]</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956CA35E-E8D2-4059-A356-FE9E5DEC9E7C}" name="HVAC34238276200" displayName="HVAC34238276200" ref="A430:J442" totalsRowShown="0" headerRowDxfId="77" dataDxfId="76" tableBorderDxfId="75" dataCellStyle="Currency 2">
  <tableColumns count="10">
    <tableColumn id="1" xr3:uid="{793CFDBE-E7CB-4E13-AEDC-4E71B119E99F}" name="23" dataDxfId="74"/>
    <tableColumn id="2" xr3:uid="{CD172181-B85F-4134-AD5C-05161CA38EEB}" name="HVAC" dataDxfId="73" dataCellStyle="Normal 2"/>
    <tableColumn id="3" xr3:uid="{BE52A5D7-11E8-45D6-87BC-CB151D66621C}" name="CSI Sec" dataDxfId="72" dataCellStyle="Normal 2"/>
    <tableColumn id="4" xr3:uid="{77DE909E-C24E-43AB-B758-B86C6EBB8C38}" name="Description of work" dataDxfId="71" dataCellStyle="Normal 2"/>
    <tableColumn id="5" xr3:uid="{C44F6910-90B9-476D-A833-D8C64C8EF38C}" name="Original Contract" dataDxfId="70" dataCellStyle="Currency 2"/>
    <tableColumn id="6" xr3:uid="{F982FC5B-B4DD-4687-AEF8-0AF30EFF2EA4}" name="Actual Buyout" dataDxfId="69" dataCellStyle="Currency 2"/>
    <tableColumn id="7" xr3:uid="{B2A38DB3-E219-4180-B3E9-627CC243D3A3}" name="Change Orders" dataDxfId="68" dataCellStyle="Currency 2">
      <calculatedColumnFormula>0</calculatedColumnFormula>
    </tableColumn>
    <tableColumn id="8" xr3:uid="{2C39F199-249A-495E-A765-FE7EC8AC7527}" name="Revised Contract" dataDxfId="67" dataCellStyle="Currency 2">
      <calculatedColumnFormula>IF(HVAC34238276200[[#This Row],[Actual Buyout]]+HVAC34238276200[[#This Row],[Change Orders]]=0,HVAC34238276200[[#This Row],[Original Contract]],HVAC34238276200[[#This Row],[Actual Buyout]]+HVAC34238276200[[#This Row],[Change Orders]])</calculatedColumnFormula>
    </tableColumn>
    <tableColumn id="9" xr3:uid="{CDC3605C-6531-431D-80FF-FEC20367882A}" name="Total completed and Stored" dataDxfId="66" dataCellStyle="Currency 2"/>
    <tableColumn id="10" xr3:uid="{C6E80EC9-666B-417E-852F-67E2F7EB62BC}" name="Delta" dataDxfId="65" dataCellStyle="Currency 2">
      <calculatedColumnFormula>HVAC34238276200[[#This Row],[Original Contract]]-HVAC34238276200[[#This Row],[Revised Contract]]</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2CE6B1D9-FF45-4FC5-B85A-A5CAD5F4AC79}" name="Electrical35239277201" displayName="Electrical35239277201" ref="A444:J466" totalsRowShown="0" headerRowDxfId="64" dataDxfId="63" tableBorderDxfId="62" dataCellStyle="Currency 2">
  <tableColumns count="10">
    <tableColumn id="1" xr3:uid="{ED552130-D686-4778-985F-917D06F0C7C5}" name="26" dataDxfId="61"/>
    <tableColumn id="2" xr3:uid="{BE7C8BCB-DA60-441D-8399-4B2FC85672E2}" name="Electrical" dataDxfId="60" dataCellStyle="Normal 2"/>
    <tableColumn id="3" xr3:uid="{9C1EFFAC-B194-4526-AA8E-5DA55457D5EC}" name="CSI Sec" dataDxfId="59" dataCellStyle="Normal 2"/>
    <tableColumn id="4" xr3:uid="{9BF840EC-2E60-4E6E-870E-E61E8336AAC5}" name="Description of work" dataDxfId="58" dataCellStyle="Normal 2"/>
    <tableColumn id="5" xr3:uid="{F6E4E5E7-F59D-426C-8379-FCC673DE36EF}" name="Original Contract" dataDxfId="57" dataCellStyle="Currency 2"/>
    <tableColumn id="6" xr3:uid="{4D3545BB-6844-411A-9638-150FC8A684D7}" name="Actual Buyout" dataDxfId="56" dataCellStyle="Currency 2"/>
    <tableColumn id="7" xr3:uid="{5EACE424-92C3-4DEF-9195-80A31BC5CE71}" name="Change Orders" dataDxfId="55" dataCellStyle="Currency 2">
      <calculatedColumnFormula>0</calculatedColumnFormula>
    </tableColumn>
    <tableColumn id="8" xr3:uid="{94EA3670-7377-4ECB-8EC6-D84A45E08ED3}" name="Revised Contract" dataDxfId="54" dataCellStyle="Currency 2">
      <calculatedColumnFormula>IF(Electrical35239277201[[#This Row],[Actual Buyout]]+Electrical35239277201[[#This Row],[Change Orders]]=0,Electrical35239277201[[#This Row],[Original Contract]],Electrical35239277201[[#This Row],[Actual Buyout]]+Electrical35239277201[[#This Row],[Change Orders]])</calculatedColumnFormula>
    </tableColumn>
    <tableColumn id="9" xr3:uid="{B44DD079-B400-4B41-B8CE-4F1F550E32CF}" name="Total completed and Stored" dataDxfId="53" dataCellStyle="Currency 2"/>
    <tableColumn id="10" xr3:uid="{A34067B9-63CB-474B-9AF4-30B99E5982CB}" name="Delta" dataDxfId="52" dataCellStyle="Currency 2">
      <calculatedColumnFormula>Electrical35239277201[[#This Row],[Original Contract]]-Electrical35239277201[[#This Row],[Revised Contract]]</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7A19D4F0-6BE1-48D2-BC36-F7FCD5BA311A}" name="ElectricSafety36240278202" displayName="ElectricSafety36240278202" ref="A468:J480" totalsRowShown="0" headerRowDxfId="51" dataDxfId="50" tableBorderDxfId="49" dataCellStyle="Currency 2">
  <tableColumns count="10">
    <tableColumn id="1" xr3:uid="{A44A5A1C-9B98-40B8-A1D2-2C54BF6CD887}" name="28" dataDxfId="48"/>
    <tableColumn id="2" xr3:uid="{B787B65C-4D4C-497B-9841-4870CCFE29C5}" name="Electronic Safety and Security" dataDxfId="47" dataCellStyle="Normal 2"/>
    <tableColumn id="3" xr3:uid="{AB8EADA0-0C26-44B4-BBA4-4380688BE150}" name="CSI Sec" dataDxfId="46" dataCellStyle="Normal 2"/>
    <tableColumn id="4" xr3:uid="{391DF13E-4575-46FB-84CA-C42924DFAE1E}" name="Description of work" dataDxfId="45" dataCellStyle="Normal 2"/>
    <tableColumn id="5" xr3:uid="{BADD91FC-C747-44B3-8607-94CFBB150415}" name="Original Contract" dataDxfId="44" dataCellStyle="Currency 2"/>
    <tableColumn id="6" xr3:uid="{BE21DF74-9ED8-4D99-9B18-FDBBFAC71799}" name="Actual Buyout" dataDxfId="43" dataCellStyle="Currency 2"/>
    <tableColumn id="7" xr3:uid="{8D1D5AF3-D9B5-495A-A6CF-870B9F16A49E}" name="Change Orders" dataDxfId="42" dataCellStyle="Currency 2">
      <calculatedColumnFormula>0</calculatedColumnFormula>
    </tableColumn>
    <tableColumn id="8" xr3:uid="{DB6BA4A2-72ED-4D41-B1E1-59045B819B93}" name="Revised Contract" dataDxfId="41" dataCellStyle="Currency 2">
      <calculatedColumnFormula>IF(ElectricSafety36240278202[[#This Row],[Actual Buyout]]+ElectricSafety36240278202[[#This Row],[Change Orders]]=0,ElectricSafety36240278202[[#This Row],[Original Contract]],ElectricSafety36240278202[[#This Row],[Actual Buyout]]+ElectricSafety36240278202[[#This Row],[Change Orders]])</calculatedColumnFormula>
    </tableColumn>
    <tableColumn id="9" xr3:uid="{E720640A-D3E5-4342-B6ED-A615D28D490D}" name="Total completed and Stored" dataDxfId="40" dataCellStyle="Currency 2"/>
    <tableColumn id="10" xr3:uid="{BE7F10A6-126B-4A1E-8106-419D83F65C4A}" name="Delta" dataDxfId="39" dataCellStyle="Currency 2">
      <calculatedColumnFormula>ElectricSafety36240278202[[#This Row],[Original Contract]]-ElectricSafety36240278202[[#This Row],[Revised Contract]]</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43249FB4-D0F7-4B54-A84D-7280E735386C}" name="Misc37241279203" displayName="Misc37241279203" ref="A482:J487" totalsRowShown="0" headerRowDxfId="38" dataDxfId="37" tableBorderDxfId="36" dataCellStyle="Currency 2">
  <tableColumns count="10">
    <tableColumn id="1" xr3:uid="{07678CCA-8605-436F-9EF9-8305343C41D3}" name="CSI" dataDxfId="35" dataCellStyle="Normal 2"/>
    <tableColumn id="2" xr3:uid="{DD244F63-8E85-49C0-BB53-2146DFD58CD4}" name="Miscellaneous/Other" dataDxfId="34" dataCellStyle="Normal 2"/>
    <tableColumn id="3" xr3:uid="{0C260AF3-2742-4B40-959F-6DC1B588FA33}" name="CSI Sec" dataDxfId="33" dataCellStyle="Normal 2"/>
    <tableColumn id="4" xr3:uid="{8E4D0BA9-708A-457E-85CD-7E64D278A3E3}" name="Description of work" dataDxfId="32" dataCellStyle="Normal 2"/>
    <tableColumn id="5" xr3:uid="{3C730B2B-90C4-48F1-BEA6-D07B4FAE04BC}" name="Original Contract" dataDxfId="31" dataCellStyle="Currency 2"/>
    <tableColumn id="6" xr3:uid="{C0B482B6-6835-4312-9126-5B4994056F90}" name="Actual Buyout" dataDxfId="30" dataCellStyle="Currency 2"/>
    <tableColumn id="7" xr3:uid="{82222CEF-C1D8-4E22-A8E5-19B6725A9428}" name="Change Orders" dataDxfId="29" dataCellStyle="Currency 2">
      <calculatedColumnFormula>0</calculatedColumnFormula>
    </tableColumn>
    <tableColumn id="8" xr3:uid="{D088E890-9819-4402-960B-4F9D9D154925}" name="Revised Contract" dataDxfId="28" dataCellStyle="Currency 2">
      <calculatedColumnFormula>IF(Misc37241279203[[#This Row],[Actual Buyout]]+Misc37241279203[[#This Row],[Change Orders]]=0,Misc37241279203[[#This Row],[Original Contract]],Misc37241279203[[#This Row],[Actual Buyout]]+Misc37241279203[[#This Row],[Change Orders]])</calculatedColumnFormula>
    </tableColumn>
    <tableColumn id="9" xr3:uid="{C0938A7D-E04D-4693-9261-AFF554EF083C}" name="Total completed and Stored" dataDxfId="27" dataCellStyle="Currency 2"/>
    <tableColumn id="10" xr3:uid="{BEEB14C8-DB64-4FCF-B352-EB6A277D8B8D}" name="Delta" dataDxfId="26" dataCellStyle="Currency 2">
      <calculatedColumnFormula>Misc37241279203[[#This Row],[Original Contract]]-Misc37241279203[[#This Row],[Revised Contract]]</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3" xr:uid="{10E055D2-6928-4DA5-B7E0-5A145B5F1A28}" name="TenantAllow38242280204" displayName="TenantAllow38242280204" ref="A489:J498" totalsRowShown="0" headerRowDxfId="25" dataDxfId="24" tableBorderDxfId="23" dataCellStyle="Currency 2">
  <tableColumns count="10">
    <tableColumn id="1" xr3:uid="{E9BB55C3-2752-4FB6-B6FE-475A68474660}" name="CSI" dataDxfId="22" dataCellStyle="Normal 2"/>
    <tableColumn id="2" xr3:uid="{73E635AE-1AEF-4582-939D-5458796624A4}" name="Designated Tenant Allowances" dataDxfId="21" dataCellStyle="Normal 2"/>
    <tableColumn id="3" xr3:uid="{6719888C-40DE-4B7E-AF26-2DEC2603F56F}" name="CSI Sec" dataDxfId="20" dataCellStyle="Normal 2"/>
    <tableColumn id="4" xr3:uid="{3554EEE9-106A-44AC-9E37-63537F0AA462}" name="Description of work" dataDxfId="19" dataCellStyle="Normal 2"/>
    <tableColumn id="5" xr3:uid="{C728A4D1-DB04-48DC-B129-E4D29CE97794}" name="Original Contract" dataDxfId="18" dataCellStyle="Currency 2"/>
    <tableColumn id="6" xr3:uid="{DF340260-5BDA-4938-BD66-312DAC6E5033}" name="Actual Buyout" dataDxfId="17" dataCellStyle="Currency 2"/>
    <tableColumn id="7" xr3:uid="{CADBDE45-FFCE-4B9E-8CB2-880CCB71D940}" name="Change Orders" dataDxfId="16" dataCellStyle="Currency 2">
      <calculatedColumnFormula>0</calculatedColumnFormula>
    </tableColumn>
    <tableColumn id="8" xr3:uid="{864BD4FF-CAEA-44D8-9ACF-7FBF977863E0}" name="Revised Contract" dataDxfId="15" dataCellStyle="Currency 2">
      <calculatedColumnFormula>IF(TenantAllow38242280204[[#This Row],[Actual Buyout]]+TenantAllow38242280204[[#This Row],[Change Orders]]=0,TenantAllow38242280204[[#This Row],[Original Contract]],TenantAllow38242280204[[#This Row],[Actual Buyout]]+TenantAllow38242280204[[#This Row],[Change Orders]])</calculatedColumnFormula>
    </tableColumn>
    <tableColumn id="9" xr3:uid="{25971C53-0641-42FA-89EB-D4A7A3FA34E8}" name="Total completed and Stored" dataDxfId="14" dataCellStyle="Currency 2"/>
    <tableColumn id="10" xr3:uid="{D69AE341-B2E3-4D52-A009-6B550DE93DD7}" name="Delta" dataDxfId="13" dataCellStyle="Currency 2">
      <calculatedColumnFormula>TenantAllow38242280204[[#This Row],[Original Contract]]-TenantAllow38242280204[[#This Row],[Revised Contract]]</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4" xr:uid="{C6D21C7C-D374-40FC-82BA-7F546983B7F7}" name="GCGenCon39243281205" displayName="GCGenCon39243281205" ref="A500:J512" totalsRowShown="0" headerRowDxfId="12" dataDxfId="11" tableBorderDxfId="10" headerRowCellStyle="Normal" dataCellStyle="Currency 2">
  <tableColumns count="10">
    <tableColumn id="1" xr3:uid="{623E4AA5-57F3-4AE1-92F9-18D34994F1BE}" name="CSI" dataDxfId="9" dataCellStyle="Normal 2"/>
    <tableColumn id="2" xr3:uid="{673A48C0-3E94-417D-A972-BD60A5EDE417}" name="GC General Conditions &amp; Fee" dataDxfId="8" dataCellStyle="Normal 2"/>
    <tableColumn id="3" xr3:uid="{233A7D1D-3AA9-48F1-8161-EDF35037C002}" name="CSI Sec" dataDxfId="7" dataCellStyle="Normal 2"/>
    <tableColumn id="4" xr3:uid="{166F995B-E408-4644-BCA6-AC9E6EB21D9A}" name="Description of work" dataDxfId="6" dataCellStyle="Normal 2"/>
    <tableColumn id="5" xr3:uid="{907622AA-FD29-426A-A9B7-C6B106FFEAD7}" name="Original Contract" dataDxfId="5" dataCellStyle="Currency 2"/>
    <tableColumn id="6" xr3:uid="{2210FA3C-088A-43DB-AF19-0298E46ED0CF}" name="Actual Buyout" dataDxfId="4" dataCellStyle="Currency 2"/>
    <tableColumn id="7" xr3:uid="{FB666CCC-A19F-44AD-927F-A267C8D16D8A}" name="Change Orders" dataDxfId="3" dataCellStyle="Currency 2">
      <calculatedColumnFormula>0</calculatedColumnFormula>
    </tableColumn>
    <tableColumn id="8" xr3:uid="{0A94E7ED-8345-4DEF-826D-780BDB695CCD}" name="Revised Contract" dataDxfId="2" dataCellStyle="Currency 2">
      <calculatedColumnFormula>IF(GCGenCon39243281205[[#This Row],[Actual Buyout]]+GCGenCon39243281205[[#This Row],[Change Orders]]=0,GCGenCon39243281205[[#This Row],[Original Contract]],GCGenCon39243281205[[#This Row],[Actual Buyout]]+GCGenCon39243281205[[#This Row],[Change Orders]])</calculatedColumnFormula>
    </tableColumn>
    <tableColumn id="9" xr3:uid="{7E2E656F-2DBC-4760-A2FE-C5FD02A292D5}" name="Total completed and Stored" dataDxfId="1" dataCellStyle="Currency 2"/>
    <tableColumn id="10" xr3:uid="{50043A1F-CA7B-41B6-82C0-682AF1DC9C44}" name="Delta" dataDxfId="0" dataCellStyle="Currency 2">
      <calculatedColumnFormula>GCGenCon39243281205[[#This Row],[Original Contract]]-GCGenCon39243281205[[#This Row],[Revised Contract]]</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895DF961-5948-4C9E-AA1D-7B6D0CCE7616}" name="OffSite2206244" displayName="OffSite2206244" ref="A29:J38" totalsRowShown="0" headerRowDxfId="1070" dataDxfId="1069" tableBorderDxfId="1068" headerRowCellStyle="Normal" dataCellStyle="Currency 2">
  <tableColumns count="10">
    <tableColumn id="1" xr3:uid="{19211E05-5951-40EB-A717-49D8E2CBF0C1}" name="34" dataDxfId="1067" totalsRowDxfId="1066" dataCellStyle="Normal 2"/>
    <tableColumn id="2" xr3:uid="{14C04804-5A49-402D-AEE8-FFA4391254CB}" name="Off-Site Infrastructure " dataDxfId="1065" totalsRowDxfId="1064" dataCellStyle="Normal 2"/>
    <tableColumn id="3" xr3:uid="{BF26F723-B323-4766-91F2-F66FAAF19773}" name="CSI Sec" dataDxfId="1063" totalsRowDxfId="1062" dataCellStyle="Normal 2"/>
    <tableColumn id="4" xr3:uid="{35E96452-9172-492F-8014-161EB2CEA12C}" name="Description of work" dataDxfId="1061" totalsRowDxfId="1060" dataCellStyle="Normal 2"/>
    <tableColumn id="5" xr3:uid="{6773E5EF-40B8-443F-820B-DF1EB68EB31A}" name="Original Contract" dataDxfId="1059" totalsRowDxfId="1058" dataCellStyle="Currency 2"/>
    <tableColumn id="6" xr3:uid="{B43C83E7-282C-4AB2-8C07-E859B9FC1355}" name="Actual Buyout" dataDxfId="1057" totalsRowDxfId="1056" dataCellStyle="Currency 2"/>
    <tableColumn id="7" xr3:uid="{816C55B0-9045-499F-9DE2-76716744DAE4}" name="Change Orders" dataDxfId="1055" dataCellStyle="Currency 2">
      <calculatedColumnFormula>0</calculatedColumnFormula>
    </tableColumn>
    <tableColumn id="8" xr3:uid="{612E6C76-7D68-4444-929C-A07A72BA6F9B}" name="Revised Contract" dataDxfId="1054" totalsRowDxfId="1053" dataCellStyle="Currency 2">
      <calculatedColumnFormula>OffSite2206244[[#This Row],[Actual Buyout]]+OffSite2206244[[#This Row],[Change Orders]]</calculatedColumnFormula>
    </tableColumn>
    <tableColumn id="9" xr3:uid="{0BC7182F-8ABC-42F3-A5E4-9248B10141C5}" name="Total completed and Stored" dataDxfId="1052" dataCellStyle="Currency 2"/>
    <tableColumn id="10" xr3:uid="{D5434C81-CA1D-4A8F-8646-533CB0AF6112}" name="Delta" dataDxfId="1051" dataCellStyle="Currency 2">
      <calculatedColumnFormula>OffSite2206244[[#This Row],[Original Contract]]-OffSite2206244[[#This Row],[Revised Contract]]</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7146C7C7-1475-4839-B5ED-0A7E5C892D6F}" name="Demolition3207245" displayName="Demolition3207245" ref="A40:J47" totalsRowShown="0" headerRowDxfId="1050" dataDxfId="1049" tableBorderDxfId="1048" headerRowCellStyle="Normal" dataCellStyle="Currency 2">
  <tableColumns count="10">
    <tableColumn id="1" xr3:uid="{10496C70-9F33-4398-8542-D5D4D6B98B34}" name="31" dataDxfId="1047"/>
    <tableColumn id="2" xr3:uid="{0C807CB1-DA1E-43F0-9ED0-D98FF34B99F8}" name="Demolition" dataDxfId="1046" dataCellStyle="Normal 2"/>
    <tableColumn id="3" xr3:uid="{47DADECC-5560-4E5A-873D-EBA0915BE9A4}" name="CSI Sec" dataDxfId="1045" dataCellStyle="Normal 2"/>
    <tableColumn id="4" xr3:uid="{C4247DF8-0E6A-4734-A9B8-5E807627E445}" name="Description of work" dataDxfId="1044" dataCellStyle="Normal 2"/>
    <tableColumn id="5" xr3:uid="{737BBDF6-39C6-4BBD-8A13-0ECFCF1F541D}" name="Original Contract" dataDxfId="1043" dataCellStyle="Currency 2"/>
    <tableColumn id="6" xr3:uid="{B2A3506C-3609-4CB8-8501-E2BF57CE5A2B}" name="Actual Buyout" dataDxfId="1042" dataCellStyle="Currency 2"/>
    <tableColumn id="7" xr3:uid="{6BB0905B-492A-4917-9BDD-BF295C843AD6}" name="Change Orders" dataDxfId="1041" dataCellStyle="Currency 2">
      <calculatedColumnFormula>0</calculatedColumnFormula>
    </tableColumn>
    <tableColumn id="8" xr3:uid="{8087650B-B37C-401A-ACB0-E390945B3D3A}" name="Revised Contract" dataDxfId="1040" dataCellStyle="Currency 2">
      <calculatedColumnFormula>Demolition3207245[[#This Row],[Actual Buyout]]+Demolition3207245[[#This Row],[Change Orders]]</calculatedColumnFormula>
    </tableColumn>
    <tableColumn id="9" xr3:uid="{A4E8805E-BB1C-49E5-B56F-DE23080360CC}" name="Total completed and Stored" dataDxfId="1039" dataCellStyle="Currency 2"/>
    <tableColumn id="10" xr3:uid="{091C1528-AE79-41F2-B542-35A36E55FB70}" name="Delta" dataDxfId="1038" dataCellStyle="Currency 2">
      <calculatedColumnFormula>Demolition3207245[[#This Row],[Original Contract]]-Demolition3207245[[#This Row],[Revised Contract]]</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59D75BDF-13D4-4932-9164-F15529660C59}" name="Earthwork4208246" displayName="Earthwork4208246" ref="A49:J60" totalsRowShown="0" headerRowDxfId="1037" dataDxfId="1036" tableBorderDxfId="1035" dataCellStyle="Currency 2">
  <tableColumns count="10">
    <tableColumn id="1" xr3:uid="{62F98F69-C72F-47AA-A6F3-7CCC779672F6}" name="31" dataDxfId="1034"/>
    <tableColumn id="2" xr3:uid="{45FD2EE6-0C52-48CB-89D3-27BDB7DF35D3}" name="Earthwork" dataDxfId="1033" dataCellStyle="Normal 2"/>
    <tableColumn id="3" xr3:uid="{C63A8FD1-7B25-497B-BBAA-830508D52BC1}" name="CSI Sec" dataDxfId="1032" dataCellStyle="Normal 2"/>
    <tableColumn id="4" xr3:uid="{55FE9AA5-CDD1-4771-AF6B-B32D41BE3DAD}" name="Description of work" dataDxfId="1031" dataCellStyle="Normal 2"/>
    <tableColumn id="5" xr3:uid="{C1C51089-C1B4-458C-8A41-E2E0E732133A}" name="Original Contract" dataDxfId="1030" dataCellStyle="Currency 2"/>
    <tableColumn id="6" xr3:uid="{FF860E61-C446-48DF-AE58-8C0294BBDE1D}" name="Actual Buyout" dataDxfId="1029" dataCellStyle="Currency 2"/>
    <tableColumn id="7" xr3:uid="{E6FD4C3B-86EC-4B3A-BEB7-73CBB49E6BFF}" name="Change Orders" dataDxfId="1028" dataCellStyle="Currency 2">
      <calculatedColumnFormula>0</calculatedColumnFormula>
    </tableColumn>
    <tableColumn id="8" xr3:uid="{150BC45B-72AD-41EE-A72B-1CD406F4B89E}" name="Revised Contract" dataDxfId="1027" dataCellStyle="Currency 2">
      <calculatedColumnFormula>Earthwork4208246[[#This Row],[Actual Buyout]]+Earthwork4208246[[#This Row],[Change Orders]]</calculatedColumnFormula>
    </tableColumn>
    <tableColumn id="9" xr3:uid="{0A730155-67E7-4138-9432-AA7E32922980}" name="Total completed and Stored" dataDxfId="1026" dataCellStyle="Currency 2"/>
    <tableColumn id="10" xr3:uid="{70F7487D-13E3-42D1-B4D0-ABF5E139FFC5}" name="Delta" dataDxfId="1025" dataCellStyle="Currency 2">
      <calculatedColumnFormula>Earthwork4208246[[#This Row],[Original Contract]]-Earthwork4208246[[#This Row],[Revised Contract]]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C5C58646-EE87-4F5D-B97C-FC63013DEDC9}" name="Erosion5209247" displayName="Erosion5209247" ref="A62:J70" totalsRowShown="0" headerRowDxfId="1024" dataDxfId="1023" tableBorderDxfId="1022" dataCellStyle="Currency 2">
  <tableColumns count="10">
    <tableColumn id="1" xr3:uid="{A19360A7-2F35-48A3-95EC-9C78B72997C4}" name="31" dataDxfId="1021"/>
    <tableColumn id="2" xr3:uid="{70214C73-EC76-4548-9E40-0D04B758257B}" name="Erosion Controls/Maintenance" dataDxfId="1020" dataCellStyle="Normal 2"/>
    <tableColumn id="3" xr3:uid="{D2BD0570-AED2-47E4-B33D-65EF8C1D776D}" name="CSI Sec" dataDxfId="1019" dataCellStyle="Normal 2"/>
    <tableColumn id="4" xr3:uid="{82C21711-1B42-4FDA-8316-FC468A0AE053}" name="Description of work" dataDxfId="1018" dataCellStyle="Normal 2"/>
    <tableColumn id="5" xr3:uid="{379ED7C3-F044-4B44-9D45-1E8680EEADBB}" name="Original Contract" dataDxfId="1017" dataCellStyle="Currency 2"/>
    <tableColumn id="6" xr3:uid="{CC51765C-8EFA-44C8-97FD-C000134D3146}" name="Actual Buyout" dataDxfId="1016" dataCellStyle="Currency 2"/>
    <tableColumn id="7" xr3:uid="{9935C5BC-4B7B-485B-A9E2-CA1DA66820A8}" name="Change Orders" dataDxfId="1015" dataCellStyle="Currency 2">
      <calculatedColumnFormula>0</calculatedColumnFormula>
    </tableColumn>
    <tableColumn id="8" xr3:uid="{06361712-9E37-42D4-A023-48A89F6BE624}" name="Revised Contract" dataDxfId="1014" dataCellStyle="Currency 2">
      <calculatedColumnFormula>Erosion5209247[[#This Row],[Actual Buyout]]+Erosion5209247[[#This Row],[Change Orders]]</calculatedColumnFormula>
    </tableColumn>
    <tableColumn id="9" xr3:uid="{69FF9358-628B-4214-8D2F-784325B4B116}" name="Total completed and Stored" dataDxfId="1013" dataCellStyle="Currency 2"/>
    <tableColumn id="10" xr3:uid="{D7077C80-204A-4421-A467-5E9A5131C28E}" name="Delta" dataDxfId="1012" dataCellStyle="Currency 2">
      <calculatedColumnFormula>Erosion5209247[[#This Row],[Original Contract]]-Erosion5209247[[#This Row],[Revised Contract]]</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847C513C-0EC7-42C9-8594-26083D950B10}" name="Asphalt6210248" displayName="Asphalt6210248" ref="A72:J79" totalsRowShown="0" headerRowDxfId="1011" dataDxfId="1010" tableBorderDxfId="1009" dataCellStyle="Currency 2">
  <tableColumns count="10">
    <tableColumn id="1" xr3:uid="{4EF039D2-4086-4AB5-A139-F97E3B2950ED}" name="32" dataDxfId="1008"/>
    <tableColumn id="2" xr3:uid="{7F815E0D-1A99-4D3A-93BB-2B061AB6EE77}" name="Asphalt Paving" dataDxfId="1007" dataCellStyle="Normal 2"/>
    <tableColumn id="3" xr3:uid="{558A32F3-8257-4C2B-8F2F-012627DB7CE1}" name="CSI Sec" dataDxfId="1006" dataCellStyle="Normal 2"/>
    <tableColumn id="4" xr3:uid="{4F0F90E7-DEF3-4FFB-B937-E36FB2541D42}" name="Description of work" dataDxfId="1005" dataCellStyle="Normal 2"/>
    <tableColumn id="5" xr3:uid="{0A47452C-0F1E-4D4F-8A91-E3249B240359}" name="Original Contract" dataDxfId="1004" dataCellStyle="Currency 2"/>
    <tableColumn id="6" xr3:uid="{B71BBE35-906B-4E13-A86C-57E72F2A70EA}" name="Actual Buyout" dataDxfId="1003" dataCellStyle="Currency 2"/>
    <tableColumn id="7" xr3:uid="{FA8D8990-B59D-4CA6-BE92-70CFBAA459AC}" name="Change Orders" dataDxfId="1002" dataCellStyle="Currency 2">
      <calculatedColumnFormula>0</calculatedColumnFormula>
    </tableColumn>
    <tableColumn id="8" xr3:uid="{E4897672-5FA1-491C-9D14-BCB205063DDE}" name="Revised Contract" dataDxfId="1001" dataCellStyle="Currency 2">
      <calculatedColumnFormula>Asphalt6210248[[#This Row],[Actual Buyout]]+Asphalt6210248[[#This Row],[Change Orders]]</calculatedColumnFormula>
    </tableColumn>
    <tableColumn id="9" xr3:uid="{1BA67A58-B51C-4B14-8BAE-7DE805942DC1}" name="Total completed and Stored" dataDxfId="1000" dataCellStyle="Currency 2"/>
    <tableColumn id="10" xr3:uid="{66AE0D46-B2AF-48AE-BDE9-A108E5296A6A}" name="Delta" dataDxfId="999" dataCellStyle="Currency 2">
      <calculatedColumnFormula>Asphalt6210248[[#This Row],[Original Contract]]-Asphalt6210248[[#This Row],[Revised Contract]]</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A5B12B19-303F-4F5A-82F2-E6A97216272B}" name="Concrete7211249" displayName="Concrete7211249" ref="A81:J92" totalsRowShown="0" headerRowDxfId="998" dataDxfId="997" tableBorderDxfId="996" dataCellStyle="Currency 2">
  <tableColumns count="10">
    <tableColumn id="1" xr3:uid="{243BE99A-1C68-46E6-BAC4-A379F46D1EB7}" name="32" dataDxfId="995"/>
    <tableColumn id="2" xr3:uid="{5CDB3416-47C2-4462-9A48-F9EF90F2E2DB}" name="Concrete Paving, Curb and Gutter, and Sidewalks" dataDxfId="994" dataCellStyle="Normal 2"/>
    <tableColumn id="3" xr3:uid="{FB9A6A3E-9AD4-408D-8B0C-136D74D82133}" name="CSI Sec" dataDxfId="993" dataCellStyle="Normal 2"/>
    <tableColumn id="4" xr3:uid="{A14585F7-9737-4F0E-9A08-097D2481A8AE}" name="Description of work" dataDxfId="992" dataCellStyle="Normal 2"/>
    <tableColumn id="5" xr3:uid="{2AB8C90C-BF77-4BC2-926F-E2B5680E5C10}" name="Original Contract" dataDxfId="991" dataCellStyle="Currency 2"/>
    <tableColumn id="6" xr3:uid="{B8D15F21-3B5D-40B4-9D74-BD12D672560D}" name="Actual Buyout" dataDxfId="990" dataCellStyle="Currency 2"/>
    <tableColumn id="7" xr3:uid="{5BC753C1-084B-433B-8964-F8C4398D6D08}" name="Change Orders" dataDxfId="989" dataCellStyle="Currency 2">
      <calculatedColumnFormula>0</calculatedColumnFormula>
    </tableColumn>
    <tableColumn id="8" xr3:uid="{8E706CE3-7FCD-434C-A2AC-F1C2DB7181D7}" name="Revised Contract" dataDxfId="988" dataCellStyle="Currency 2">
      <calculatedColumnFormula>Concrete7211249[[#This Row],[Actual Buyout]]+Concrete7211249[[#This Row],[Change Orders]]</calculatedColumnFormula>
    </tableColumn>
    <tableColumn id="9" xr3:uid="{CB022EC6-DA37-4B6A-A6F7-C307EBA40B1D}" name="Total completed and Stored" dataDxfId="987" dataCellStyle="Currency 2"/>
    <tableColumn id="10" xr3:uid="{78CEB4E9-AEA5-4926-88BF-2F9CB563D0A4}" name="Delta" dataDxfId="986" dataCellStyle="Currency 2">
      <calculatedColumnFormula>Concrete7211249[[#This Row],[Original Contract]]-Concrete7211249[[#This Row],[Revised Contract]]</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992C49EB-BDB2-4C75-BB4C-EF915172C149}" name="PaveMarks8212250" displayName="PaveMarks8212250" ref="A94:J104" totalsRowShown="0" headerRowDxfId="985" dataDxfId="984" tableBorderDxfId="983" dataCellStyle="Currency 2">
  <tableColumns count="10">
    <tableColumn id="1" xr3:uid="{98DA21A4-122E-46A2-9E6B-59B196D10232}" name="32" dataDxfId="982"/>
    <tableColumn id="2" xr3:uid="{D06F19B1-DB1B-4C57-AF5C-52FEAACC6FBE}" name="Pavement Markings and Signage" dataDxfId="981" dataCellStyle="Normal 2"/>
    <tableColumn id="3" xr3:uid="{62602097-DE58-41A4-A029-23B3C7852F21}" name="CSI Sec" dataDxfId="980" dataCellStyle="Normal 2"/>
    <tableColumn id="4" xr3:uid="{014A4F3C-B189-467E-816C-0D5E87921B22}" name="Description of work" dataDxfId="979" dataCellStyle="Normal 2"/>
    <tableColumn id="5" xr3:uid="{E78B54B4-A675-4619-AA76-49357AF4A4CC}" name="Original Contract" dataDxfId="978" dataCellStyle="Currency 2"/>
    <tableColumn id="6" xr3:uid="{71F723F7-2BB7-4DE7-90F9-FD5F3F96D73C}" name="Actual Buyout" dataDxfId="977" dataCellStyle="Currency 2"/>
    <tableColumn id="7" xr3:uid="{BBB28C23-EB5C-45FA-83E1-78FCC1F99BA0}" name="Change Orders" dataDxfId="976" dataCellStyle="Currency 2">
      <calculatedColumnFormula>0</calculatedColumnFormula>
    </tableColumn>
    <tableColumn id="8" xr3:uid="{655AE75D-4B1F-4727-8695-EE35F78F2F66}" name="Revised Contract" dataDxfId="975" dataCellStyle="Currency 2">
      <calculatedColumnFormula>PaveMarks8212250[[#This Row],[Actual Buyout]]+PaveMarks8212250[[#This Row],[Change Orders]]</calculatedColumnFormula>
    </tableColumn>
    <tableColumn id="9" xr3:uid="{76773D3B-44E3-4678-ABE2-7B4C102E3DCB}" name="Total completed and Stored" dataDxfId="974" dataCellStyle="Currency 2"/>
    <tableColumn id="10" xr3:uid="{2E3B16B2-85B3-4D02-BD40-1D08A643BF6E}" name="Delta" dataDxfId="973" dataCellStyle="Currency 2">
      <calculatedColumnFormula>PaveMarks8212250[[#This Row],[Original Contract]]-PaveMarks8212250[[#This Row],[Revised Contract]]</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BCE275EC-58A3-4F90-B86D-98946571B91F}" name="Fencing9213251" displayName="Fencing9213251" ref="A106:J116" totalsRowShown="0" headerRowDxfId="972" dataDxfId="971" tableBorderDxfId="970" dataCellStyle="Currency 2">
  <tableColumns count="10">
    <tableColumn id="1" xr3:uid="{88C99F83-2554-4DC7-B81D-1AE74F1617A7}" name="32" dataDxfId="969"/>
    <tableColumn id="2" xr3:uid="{A5514430-5F92-418C-B1FC-B85BDB9757AC}" name="Fencing &amp; Gates" dataDxfId="968" dataCellStyle="Normal 2"/>
    <tableColumn id="3" xr3:uid="{ED862E73-D393-4BB1-975E-026417A8C170}" name="CSI Sec" dataDxfId="967" dataCellStyle="Normal 2"/>
    <tableColumn id="4" xr3:uid="{9876A8BF-6A48-4EB6-8C48-CCCFA706FEE1}" name="Description of work" dataDxfId="966" dataCellStyle="Normal 2"/>
    <tableColumn id="5" xr3:uid="{A76DE8F2-BAAD-4ED2-88E4-A2C3A7A3887E}" name="Original Contract" dataDxfId="965" dataCellStyle="Currency 2"/>
    <tableColumn id="6" xr3:uid="{0E0C3172-DAB9-4882-93E3-2BD3C9C25AF9}" name="Actual Buyout" dataDxfId="964" dataCellStyle="Currency 2"/>
    <tableColumn id="7" xr3:uid="{B54D3628-BABD-4A06-9306-8AC3B14C32B4}" name="Change Orders" dataDxfId="963" dataCellStyle="Currency 2">
      <calculatedColumnFormula>0</calculatedColumnFormula>
    </tableColumn>
    <tableColumn id="8" xr3:uid="{3D2739CE-AA65-4FCC-89CF-BC3E7D644963}" name="Revised Contract" dataDxfId="962" dataCellStyle="Currency 2">
      <calculatedColumnFormula>Fencing9213251[[#This Row],[Actual Buyout]]+Fencing9213251[[#This Row],[Change Orders]]</calculatedColumnFormula>
    </tableColumn>
    <tableColumn id="9" xr3:uid="{FFC4DEE7-915A-4A6C-A0A7-4565CB01AA2A}" name="Total completed and Stored" dataDxfId="961" dataCellStyle="Currency 2"/>
    <tableColumn id="10" xr3:uid="{BCE1455A-1DE7-4086-B4FA-408FBB833128}" name="Delta" dataDxfId="960" dataCellStyle="Currency 2">
      <calculatedColumnFormula>Fencing9213251[[#This Row],[Original Contract]]-Fencing9213251[[#This Row],[Revised Contract]]</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D504FDFB-BBCC-4E62-8677-6E10B83F18BF}" name="Landscape10214252" displayName="Landscape10214252" ref="A118:J126" totalsRowShown="0" headerRowDxfId="959" dataDxfId="958" tableBorderDxfId="957" dataCellStyle="Currency 2">
  <tableColumns count="10">
    <tableColumn id="1" xr3:uid="{AA481EFD-9A79-4DE3-974F-D3C550B2D867}" name="32" dataDxfId="956"/>
    <tableColumn id="2" xr3:uid="{F8677B9C-C02F-4176-854D-7AA11F8B68EB}" name="Landscaping" dataDxfId="955" dataCellStyle="Normal 2"/>
    <tableColumn id="3" xr3:uid="{5751B550-BA35-45D8-8330-8448722763BA}" name="CSI Sec" dataDxfId="954" dataCellStyle="Normal 2"/>
    <tableColumn id="4" xr3:uid="{8181EBFB-2235-4BED-A473-CA949FFBA504}" name="Description of work" dataDxfId="953" dataCellStyle="Normal 2"/>
    <tableColumn id="5" xr3:uid="{B16265AC-7ED5-4F00-A014-FCBA9A780E32}" name="Original Contract" dataDxfId="952" dataCellStyle="Currency 2"/>
    <tableColumn id="6" xr3:uid="{CDA28CC5-3F34-4FC9-9F2B-6B0ECE502EFE}" name="Actual Buyout" dataDxfId="951" dataCellStyle="Currency 2"/>
    <tableColumn id="7" xr3:uid="{FEF7F406-D863-455F-9E13-64D7659ADE5F}" name="Change Orders" dataDxfId="950" dataCellStyle="Currency 2">
      <calculatedColumnFormula>0</calculatedColumnFormula>
    </tableColumn>
    <tableColumn id="8" xr3:uid="{A0D0F569-2B08-47DF-BDA6-51F1F3E2F215}" name="Revised Contract" dataDxfId="949" dataCellStyle="Currency 2">
      <calculatedColumnFormula>Landscape10214252[[#This Row],[Actual Buyout]]+Landscape10214252[[#This Row],[Change Orders]]</calculatedColumnFormula>
    </tableColumn>
    <tableColumn id="9" xr3:uid="{71223D8A-C20A-4706-AEE1-B38AC3B92854}" name="Total completed and Stored" dataDxfId="948" dataCellStyle="Currency 2"/>
    <tableColumn id="10" xr3:uid="{A1ADE9DD-629C-47FB-AA87-D4219E031191}" name="Delta" dataDxfId="947" dataCellStyle="Currency 2">
      <calculatedColumnFormula>Landscape10214252[[#This Row],[Original Contract]]-Landscape10214252[[#This Row],[Revised Contract]]</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DA54C5BF-B9BA-4A92-91D2-778D667C4088}" name="Utilities11215253" displayName="Utilities11215253" ref="A128:J140" totalsRowShown="0" headerRowDxfId="946" dataDxfId="945" tableBorderDxfId="944" dataCellStyle="Currency 2">
  <tableColumns count="10">
    <tableColumn id="1" xr3:uid="{46C438C3-86DD-4434-B07D-1C1D99C3CB71}" name="33" dataDxfId="943"/>
    <tableColumn id="2" xr3:uid="{6CF22DDD-28C6-4A57-8BDB-D7E1FBF682FC}" name="Site Utilities" dataDxfId="942" dataCellStyle="Normal 2"/>
    <tableColumn id="3" xr3:uid="{E37AC592-439B-48DC-B184-58AA1765BEF0}" name="CSI Sec" dataDxfId="941" dataCellStyle="Normal 2"/>
    <tableColumn id="4" xr3:uid="{E5160B2E-72EA-40D2-83C0-913E2E5BB538}" name="Description of work" dataDxfId="940" dataCellStyle="Normal 2"/>
    <tableColumn id="5" xr3:uid="{C9F79C09-A0CB-4C85-B17C-8FA2C99FE970}" name="Original Contract" dataDxfId="939" dataCellStyle="Currency 2"/>
    <tableColumn id="6" xr3:uid="{2EB4DF80-BCD5-41FE-A459-8C2AABBD321C}" name="Actual Buyout" dataDxfId="938" dataCellStyle="Currency 2"/>
    <tableColumn id="7" xr3:uid="{0AE3E7A5-F550-4E90-B592-C4517FC7282F}" name="Change Orders" dataDxfId="937" dataCellStyle="Currency 2">
      <calculatedColumnFormula>0</calculatedColumnFormula>
    </tableColumn>
    <tableColumn id="8" xr3:uid="{B494091F-A8DD-449B-9335-2B3005A3A8DC}" name="Revised Contract" dataDxfId="936" dataCellStyle="Currency 2">
      <calculatedColumnFormula>Utilities11215253[[#This Row],[Actual Buyout]]+Utilities11215253[[#This Row],[Change Orders]]</calculatedColumnFormula>
    </tableColumn>
    <tableColumn id="9" xr3:uid="{DE6E9A18-50FE-4E2E-B0F7-154D66FE8966}" name="Total completed and Stored" dataDxfId="935" dataCellStyle="Currency 2"/>
    <tableColumn id="10" xr3:uid="{5A31F3C0-E440-4BC0-82CF-0C96FB4B2D21}" name="Delta" dataDxfId="934" dataCellStyle="Currency 2">
      <calculatedColumnFormula>Utilities11215253[[#This Row],[Original Contract]]-Utilities11215253[[#This Row],[Revised Contract]]</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BAE18E78-9C34-40FA-A5C1-E1F9ACACBFC4}" name="TimeAllow12216254" displayName="TimeAllow12216254" ref="A142:J149" totalsRowShown="0" headerRowDxfId="933" dataDxfId="932" tableBorderDxfId="931" dataCellStyle="Currency 2">
  <tableColumns count="10">
    <tableColumn id="1" xr3:uid="{FDDE28EF-AA63-41B7-8570-8B18135E2BC1}" name="1" dataDxfId="930"/>
    <tableColumn id="2" xr3:uid="{D5552494-E320-49D2-B020-610F7671612B}" name="Time Allowances" dataDxfId="929" dataCellStyle="Normal 2"/>
    <tableColumn id="3" xr3:uid="{0B147C41-2463-4154-AE23-D6A45740D7EC}" name="CSI Sec" dataDxfId="928" dataCellStyle="Normal 2"/>
    <tableColumn id="4" xr3:uid="{7B6F5CD0-4801-452E-95CF-48185992F84A}" name="Description of work" dataDxfId="927" dataCellStyle="Normal 2"/>
    <tableColumn id="5" xr3:uid="{03D1196B-CC0D-4F6D-A0CB-1167B3FA3C14}" name="Original Contract" dataDxfId="926" dataCellStyle="Currency 2"/>
    <tableColumn id="6" xr3:uid="{DC753641-92D6-41CE-8D3D-18A2031B407A}" name="Actual Buyout" dataDxfId="925" dataCellStyle="Currency 2"/>
    <tableColumn id="7" xr3:uid="{7E3F605E-8553-4BE0-816C-D4BF8FEEE4EC}" name="Change Orders" dataDxfId="924" dataCellStyle="Currency 2">
      <calculatedColumnFormula>0</calculatedColumnFormula>
    </tableColumn>
    <tableColumn id="8" xr3:uid="{9D98678B-0BF1-49CB-A33C-792E08C68361}" name="Revised Contract" dataDxfId="923" dataCellStyle="Currency 2">
      <calculatedColumnFormula>TimeAllow12216254[[#This Row],[Actual Buyout]]+TimeAllow12216254[[#This Row],[Change Orders]]</calculatedColumnFormula>
    </tableColumn>
    <tableColumn id="9" xr3:uid="{9974A651-EB3B-423D-B2EE-FA32AA41DC02}" name="Total completed and Stored" dataDxfId="922" dataCellStyle="Currency 2"/>
    <tableColumn id="10" xr3:uid="{FA62D2D5-7EF4-42B9-B623-2DB372DBE8B7}" name="Delta" dataDxfId="921" dataCellStyle="Currency 2">
      <calculatedColumnFormula>TimeAllow12216254[[#This Row],[Original Contract]]-TimeAllow12216254[[#This Row],[Revised Contract]]</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4D1A3309-5F7E-4099-814B-BDD89D5F6B9E}" name="Demo13217255" displayName="Demo13217255" ref="A151:J157" totalsRowShown="0" headerRowDxfId="920" dataDxfId="919" tableBorderDxfId="918" dataCellStyle="Currency 2">
  <tableColumns count="10">
    <tableColumn id="1" xr3:uid="{34D281B4-084D-4F25-9404-938955E8F881}" name="2" dataDxfId="917"/>
    <tableColumn id="2" xr3:uid="{ECF4E12D-3A7F-403C-A10C-1BB83204FE31}" name="Demolition" dataDxfId="916" dataCellStyle="Normal 2"/>
    <tableColumn id="3" xr3:uid="{37E06F68-8159-40FA-A8E7-3466B51842E3}" name="CSI Sec" dataDxfId="915" dataCellStyle="Normal 2"/>
    <tableColumn id="4" xr3:uid="{F561734F-7EF8-4091-B434-F11C25946804}" name="Description of work" dataDxfId="914" dataCellStyle="Normal 2"/>
    <tableColumn id="5" xr3:uid="{D941DA48-8462-479C-952A-1EE148E9A88F}" name="Original Contract" dataDxfId="913" dataCellStyle="Currency 2"/>
    <tableColumn id="6" xr3:uid="{EA4AAB40-774C-4E7F-8868-0F86A4CE8B0C}" name="Actual Buyout" dataDxfId="912" dataCellStyle="Currency 2"/>
    <tableColumn id="7" xr3:uid="{C1AA0192-44F4-449E-AF25-12A1F39B8935}" name="Change Orders" dataDxfId="911" dataCellStyle="Currency 2">
      <calculatedColumnFormula>0</calculatedColumnFormula>
    </tableColumn>
    <tableColumn id="8" xr3:uid="{FEDF49D5-0CF3-4B45-8A94-4C98C51D8637}" name="Revised Contract" dataDxfId="910" dataCellStyle="Currency 2">
      <calculatedColumnFormula>Demo13217255[[#This Row],[Actual Buyout]]+Demo13217255[[#This Row],[Change Orders]]</calculatedColumnFormula>
    </tableColumn>
    <tableColumn id="9" xr3:uid="{E2E11728-2906-4C41-BE89-EAC292962680}" name="Total completed and Stored" dataDxfId="909" dataCellStyle="Currency 2"/>
    <tableColumn id="10" xr3:uid="{5FD821A4-3D0F-4E53-A688-BA0D24139D25}" name="Delta" dataDxfId="908" dataCellStyle="Currency 2">
      <calculatedColumnFormula>Demo13217255[[#This Row],[Original Contract]]-Demo13217255[[#This Row],[Revised Contract]]</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8F559D3E-1C70-4826-9107-2FB26826E0C7}" name="BuildConcrete14218256" displayName="BuildConcrete14218256" ref="A159:J176" totalsRowShown="0" headerRowDxfId="907" dataDxfId="906" tableBorderDxfId="905" dataCellStyle="Currency 2">
  <tableColumns count="10">
    <tableColumn id="1" xr3:uid="{95A050D4-B1AA-40A9-A33E-C55EA5C15B4A}" name="3" dataDxfId="904"/>
    <tableColumn id="2" xr3:uid="{CB43B25C-2575-41E4-BA1E-916F2A4F50AC}" name="Building Concrete" dataDxfId="903" dataCellStyle="Normal 2"/>
    <tableColumn id="3" xr3:uid="{E265F00E-233C-442D-A3ED-A0449311A9B4}" name="CSI Sec" dataDxfId="902" dataCellStyle="Normal 2"/>
    <tableColumn id="4" xr3:uid="{F0A9D477-0333-48C9-94F1-8436D8340A6A}" name="Description of work" dataDxfId="901" dataCellStyle="Normal 2"/>
    <tableColumn id="5" xr3:uid="{C69824E1-A0A6-4D02-86FC-2AADF4942928}" name="Original Contract" dataDxfId="900" dataCellStyle="Currency 2"/>
    <tableColumn id="6" xr3:uid="{41C5302A-6620-4C7D-A195-3B432B215CA8}" name="Actual Buyout" dataDxfId="899" dataCellStyle="Currency 2"/>
    <tableColumn id="7" xr3:uid="{C7308E96-2DFF-48AD-AFD1-636AD9CD9848}" name="Change Orders" dataDxfId="898" dataCellStyle="Currency 2">
      <calculatedColumnFormula>0</calculatedColumnFormula>
    </tableColumn>
    <tableColumn id="8" xr3:uid="{C852C42C-E63A-4563-BC8B-29255C106C80}" name="Revised Contract" dataDxfId="897" dataCellStyle="Currency 2">
      <calculatedColumnFormula>BuildConcrete14218256[[#This Row],[Actual Buyout]]+BuildConcrete14218256[[#This Row],[Change Orders]]</calculatedColumnFormula>
    </tableColumn>
    <tableColumn id="9" xr3:uid="{7AC67712-7A22-4580-ABD9-E9E7DED83B71}" name="Total completed and Stored" dataDxfId="896" dataCellStyle="Currency 2"/>
    <tableColumn id="10" xr3:uid="{39F0BD9F-D836-4553-AD98-AA1161824417}" name="Delta" dataDxfId="895" dataCellStyle="Currency 2">
      <calculatedColumnFormula>BuildConcrete14218256[[#This Row],[Original Contract]]-BuildConcrete14218256[[#This Row],[Revised Contract]]</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3A6B8B1-FA01-4060-BA17-B9A00353776B}" name="Masonry15219257" displayName="Masonry15219257" ref="A178:J184" totalsRowShown="0" headerRowDxfId="894" dataDxfId="893" tableBorderDxfId="892" dataCellStyle="Currency 2">
  <tableColumns count="10">
    <tableColumn id="1" xr3:uid="{3B8A692C-8F80-47AF-999A-111DBE6B22C3}" name="4" dataDxfId="891"/>
    <tableColumn id="2" xr3:uid="{D0A4990D-558D-459C-A404-1AD2F2215285}" name="Masonry" dataDxfId="890" dataCellStyle="Normal 2"/>
    <tableColumn id="3" xr3:uid="{57793F59-3CCD-4EFE-B2EC-7A214CED852B}" name="CSI Sec" dataDxfId="889" dataCellStyle="Normal 2"/>
    <tableColumn id="4" xr3:uid="{2F1D4332-5A3D-41CA-89D6-B5621B529389}" name="Description of work" dataDxfId="888" dataCellStyle="Normal 2"/>
    <tableColumn id="5" xr3:uid="{868189A2-C7AB-49B1-BCB9-C26B06298696}" name="Original Contract" dataDxfId="887" dataCellStyle="Currency 2"/>
    <tableColumn id="6" xr3:uid="{D1DA21B1-BB1F-43D3-847E-068F7BB9A279}" name="Actual Buyout" dataDxfId="886" dataCellStyle="Currency 2"/>
    <tableColumn id="7" xr3:uid="{1CC2BC2F-17E9-4967-BF80-C6F19E7F2359}" name="Change Orders" dataDxfId="885" dataCellStyle="Currency 2">
      <calculatedColumnFormula>0</calculatedColumnFormula>
    </tableColumn>
    <tableColumn id="8" xr3:uid="{82B474FC-84BE-40CE-9581-714476678524}" name="Revised Contract" dataDxfId="884" dataCellStyle="Currency 2">
      <calculatedColumnFormula>Masonry15219257[[#This Row],[Actual Buyout]]+Masonry15219257[[#This Row],[Change Orders]]</calculatedColumnFormula>
    </tableColumn>
    <tableColumn id="9" xr3:uid="{C0FB5241-1387-44C9-BA7F-1EFC1CFD879E}" name="Total completed and Stored" dataDxfId="883" dataCellStyle="Currency 2"/>
    <tableColumn id="10" xr3:uid="{2ABCDCD2-B9DE-495F-80AA-A55467564265}" name="Delta" dataDxfId="882" dataCellStyle="Currency 2">
      <calculatedColumnFormula>Masonry15219257[[#This Row],[Original Contract]]-Masonry15219257[[#This Row],[Revised Contract]]</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11D4143C-12A6-4183-B425-A737932BCD1F}" name="StrucSteel16220258" displayName="StrucSteel16220258" ref="A186:J206" totalsRowShown="0" headerRowDxfId="881" dataDxfId="880" tableBorderDxfId="879" dataCellStyle="Currency 2">
  <tableColumns count="10">
    <tableColumn id="1" xr3:uid="{F90A1769-1392-4429-A1DF-2608B4B3C003}" name="5" dataDxfId="878"/>
    <tableColumn id="2" xr3:uid="{618C3F03-3167-46D1-B889-272EAFB33C52}" name="Structural Steel" dataDxfId="877" dataCellStyle="Normal 2"/>
    <tableColumn id="3" xr3:uid="{7A34E0AD-E783-4E91-9907-61098D37D2BE}" name="CSI Sec" dataDxfId="876" dataCellStyle="Normal 2"/>
    <tableColumn id="4" xr3:uid="{37CBCAC3-E0C9-4B91-9C76-1DFF995D8979}" name="Description of work" dataDxfId="875" dataCellStyle="Normal 2"/>
    <tableColumn id="5" xr3:uid="{29635FAE-6801-4C12-8217-FCDCD7EEE2D2}" name="Original Contract" dataDxfId="874" dataCellStyle="Currency 2"/>
    <tableColumn id="6" xr3:uid="{ABDC4600-B3E6-438B-9A46-D24BB348424A}" name="Actual Buyout" dataDxfId="873" dataCellStyle="Currency 2"/>
    <tableColumn id="7" xr3:uid="{F2BF41AE-391C-46E2-B17B-9351FC5CD817}" name="Change Orders" dataDxfId="872" dataCellStyle="Currency 2">
      <calculatedColumnFormula>0</calculatedColumnFormula>
    </tableColumn>
    <tableColumn id="8" xr3:uid="{1682B80F-916A-41EF-9C5B-257D702F9880}" name="Revised Contract" dataDxfId="871" dataCellStyle="Currency 2">
      <calculatedColumnFormula>StrucSteel16220258[[#This Row],[Actual Buyout]]+StrucSteel16220258[[#This Row],[Change Orders]]</calculatedColumnFormula>
    </tableColumn>
    <tableColumn id="9" xr3:uid="{7876995B-98C9-4D7A-A72F-2E3D0050E198}" name="Total completed and Stored" dataDxfId="870" dataCellStyle="Currency 2"/>
    <tableColumn id="10" xr3:uid="{CDBC3855-D139-4786-A567-BDFCF57CEF74}" name="Delta" dataDxfId="869" dataCellStyle="Currency 2">
      <calculatedColumnFormula>StrucSteel16220258[[#This Row],[Original Contract]]-StrucSteel16220258[[#This Row],[Revised Contract]]</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6AA60E20-05A2-4658-BF61-6C27708338DE}" name="Steel17221259" displayName="Steel17221259" ref="A208:J222" totalsRowShown="0" headerRowDxfId="868" dataDxfId="867" tableBorderDxfId="866" dataCellStyle="Currency 2">
  <tableColumns count="10">
    <tableColumn id="1" xr3:uid="{6ED9FB2F-F9A7-4068-B1F5-6175BEDC23A9}" name="5" dataDxfId="865"/>
    <tableColumn id="2" xr3:uid="{147D4ABB-C10F-4182-9EF8-28AA0205F677}" name="Steel Erection" dataDxfId="864" dataCellStyle="Normal 2"/>
    <tableColumn id="3" xr3:uid="{DE2934B1-DE72-4C8C-AC12-666774F918C0}" name="CSI Sec" dataDxfId="863" dataCellStyle="Normal 2"/>
    <tableColumn id="4" xr3:uid="{44D89CFF-62E3-42C8-88C3-DFF54DF4EF39}" name="Description of work" dataDxfId="862" dataCellStyle="Normal 2"/>
    <tableColumn id="5" xr3:uid="{EFAC337D-D599-4A09-99CE-4325FDBB5B25}" name="Original Contract" dataDxfId="861" dataCellStyle="Currency 2"/>
    <tableColumn id="6" xr3:uid="{0173CF2F-7FA4-4D00-92AB-44049A71264C}" name="Actual Buyout" dataDxfId="860" dataCellStyle="Currency 2"/>
    <tableColumn id="7" xr3:uid="{572DC337-A596-40F6-840F-FD33E878E03A}" name="Change Orders" dataDxfId="859" dataCellStyle="Currency 2">
      <calculatedColumnFormula>0</calculatedColumnFormula>
    </tableColumn>
    <tableColumn id="8" xr3:uid="{0CDB6828-7DE6-446E-B287-01570FFEE530}" name="Revised Contract" dataDxfId="858" dataCellStyle="Currency 2">
      <calculatedColumnFormula>Steel17221259[[#This Row],[Actual Buyout]]+Steel17221259[[#This Row],[Change Orders]]</calculatedColumnFormula>
    </tableColumn>
    <tableColumn id="9" xr3:uid="{8D3F858E-F251-442A-B66E-93BED6D038A8}" name="Total completed and Stored" dataDxfId="857" dataCellStyle="Currency 2"/>
    <tableColumn id="10" xr3:uid="{9A49A62B-C544-4AE2-BDCD-DDB5133E36C4}" name="Delta" dataDxfId="856" dataCellStyle="Currency 2">
      <calculatedColumnFormula>Steel17221259[[#This Row],[Original Contract]]-Steel17221259[[#This Row],[Revised Contract]]</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DED383E1-9D2B-43EE-BAE7-F143775134BF}" name="Carpentry18222260" displayName="Carpentry18222260" ref="A224:J233" totalsRowShown="0" headerRowDxfId="855" dataDxfId="854" tableBorderDxfId="853" dataCellStyle="Currency 2">
  <tableColumns count="10">
    <tableColumn id="1" xr3:uid="{2C416E20-BE60-414D-8AF0-5D8B5F1E5AA1}" name="6" dataDxfId="852"/>
    <tableColumn id="2" xr3:uid="{FBDD113D-591D-476B-A9C0-DF1BBCBBCBEC}" name="Carpentry and Millwork" dataDxfId="851" dataCellStyle="Normal 2"/>
    <tableColumn id="3" xr3:uid="{E5C8C7FF-0E43-4FBC-BBDE-924D71D059E3}" name="CSI Sec" dataDxfId="850" dataCellStyle="Normal 2"/>
    <tableColumn id="4" xr3:uid="{3B28B90E-42AB-430A-A3E1-DD6C7ADABED9}" name="Description of work" dataDxfId="849" dataCellStyle="Normal 2"/>
    <tableColumn id="5" xr3:uid="{D3F0DAC1-BC91-49E8-8E77-E97F46CA44EA}" name="Original Contract" dataDxfId="848" dataCellStyle="Currency 2"/>
    <tableColumn id="6" xr3:uid="{75895B73-0A76-4ACF-958F-6A7636755491}" name="Actual Buyout" dataDxfId="847" dataCellStyle="Currency 2"/>
    <tableColumn id="7" xr3:uid="{9CC6A3C1-8FEA-47AF-92F9-C9E8A3057D33}" name="Change Orders" dataDxfId="846" dataCellStyle="Currency 2">
      <calculatedColumnFormula>0</calculatedColumnFormula>
    </tableColumn>
    <tableColumn id="8" xr3:uid="{7A3D32E7-99FF-43AA-B33F-887E66CD6DB3}" name="Revised Contract" dataDxfId="845" dataCellStyle="Currency 2">
      <calculatedColumnFormula>Carpentry18222260[[#This Row],[Actual Buyout]]+Carpentry18222260[[#This Row],[Change Orders]]</calculatedColumnFormula>
    </tableColumn>
    <tableColumn id="9" xr3:uid="{052EAF50-1CF5-4F16-9C2C-7F62AB54AE69}" name="Total completed and Stored" dataDxfId="844" dataCellStyle="Currency 2"/>
    <tableColumn id="10" xr3:uid="{3DF4AE42-34F1-4352-AEEC-D12243470EE1}" name="Delta" dataDxfId="843" dataCellStyle="Currency 2">
      <calculatedColumnFormula>Carpentry18222260[[#This Row],[Original Contract]]-Carpentry18222260[[#This Row],[Revised Contract]]</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31499A06-41D9-43FF-A9BF-62F960ADDBA6}" name="Thermal19223261" displayName="Thermal19223261" ref="A235:J248" totalsRowShown="0" headerRowDxfId="842" dataDxfId="841" tableBorderDxfId="840" dataCellStyle="Currency 2">
  <tableColumns count="10">
    <tableColumn id="1" xr3:uid="{2D571257-5900-4C6C-A287-0EF0CB89CB34}" name="7" dataDxfId="839"/>
    <tableColumn id="2" xr3:uid="{719504F3-E1DC-456B-B3E2-DB3BB3594387}" name="Thermal and Moisture Protection" dataDxfId="838" dataCellStyle="Normal 2"/>
    <tableColumn id="3" xr3:uid="{6821AB11-C6B0-4CE0-93AD-FC391608925E}" name="CSI Sec" dataDxfId="837" dataCellStyle="Normal 2"/>
    <tableColumn id="4" xr3:uid="{D3DFEE7D-8587-4CBE-B48B-1F5411F74446}" name="Description of work" dataDxfId="836" dataCellStyle="Normal 2"/>
    <tableColumn id="5" xr3:uid="{F628F292-D1F6-4CC4-8A3E-AB40F9A78FC1}" name="Original Contract" dataDxfId="835" dataCellStyle="Currency 2"/>
    <tableColumn id="6" xr3:uid="{9C3C5926-0CBD-499B-B96F-CB7842A0413A}" name="Actual Buyout" dataDxfId="834" dataCellStyle="Currency 2"/>
    <tableColumn id="7" xr3:uid="{90B2DA5D-7D2A-4A49-A72D-3C394C61B077}" name="Change Orders" dataDxfId="833" dataCellStyle="Currency 2">
      <calculatedColumnFormula>0</calculatedColumnFormula>
    </tableColumn>
    <tableColumn id="8" xr3:uid="{D330BAE9-A310-44D7-8FD3-204FD6264BAD}" name="Revised Contract" dataDxfId="832" dataCellStyle="Currency 2">
      <calculatedColumnFormula>Thermal19223261[[#This Row],[Actual Buyout]]+Thermal19223261[[#This Row],[Change Orders]]</calculatedColumnFormula>
    </tableColumn>
    <tableColumn id="9" xr3:uid="{FAB0BC63-428F-488A-A714-C43B06F9BEA2}" name="Total completed and Stored" dataDxfId="831" dataCellStyle="Currency 2"/>
    <tableColumn id="10" xr3:uid="{6B7EF938-E61D-49CA-A9AE-8400B6C5A414}" name="Delta" dataDxfId="830" dataCellStyle="Currency 2">
      <calculatedColumnFormula>Thermal19223261[[#This Row],[Original Contract]]-Thermal19223261[[#This Row],[Revised Contract]]</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49CAE3D5-B9EC-40BB-803D-C2CDB8D7C1A6}" name="Sealant20224262" displayName="Sealant20224262" ref="A250:J261" totalsRowShown="0" headerRowDxfId="829" dataDxfId="828" tableBorderDxfId="827" dataCellStyle="Currency 2">
  <tableColumns count="10">
    <tableColumn id="1" xr3:uid="{2DE6D049-00AD-46D3-B807-1A3BE4D50613}" name="7" dataDxfId="826"/>
    <tableColumn id="2" xr3:uid="{2DDA7064-2D94-46C0-9F15-CFF179557838}" name="Caulking &amp; Sealants" dataDxfId="825" dataCellStyle="Normal 2"/>
    <tableColumn id="3" xr3:uid="{8058B863-D8B8-46B0-916E-C97EF4DC253C}" name="CSI Sec" dataDxfId="824" dataCellStyle="Normal 2"/>
    <tableColumn id="4" xr3:uid="{1797BE3B-AD92-4677-BF3A-9C7E363FBC2C}" name="Description of work" dataDxfId="823" dataCellStyle="Normal 2"/>
    <tableColumn id="5" xr3:uid="{E1B54852-3DCC-4D7A-80A9-80A04D6BE4F6}" name="Original Contract" dataDxfId="822" dataCellStyle="Currency 2"/>
    <tableColumn id="6" xr3:uid="{471D341C-4485-4A52-A579-291B2B751369}" name="Actual Buyout" dataDxfId="821" dataCellStyle="Currency 2"/>
    <tableColumn id="7" xr3:uid="{44F1D43C-9B32-4EC8-B3CB-CC9AF108CE90}" name="Change Orders" dataDxfId="820" dataCellStyle="Currency 2">
      <calculatedColumnFormula>0</calculatedColumnFormula>
    </tableColumn>
    <tableColumn id="8" xr3:uid="{30123D0D-FDE6-4DAF-B006-D0A8E0A389B9}" name="Revised Contract" dataDxfId="819" dataCellStyle="Currency 2">
      <calculatedColumnFormula>Sealant20224262[[#This Row],[Actual Buyout]]+Sealant20224262[[#This Row],[Change Orders]]</calculatedColumnFormula>
    </tableColumn>
    <tableColumn id="9" xr3:uid="{18B83B23-91C5-4C61-B17E-2DE5CA20C96F}" name="Total completed and Stored" dataDxfId="818" dataCellStyle="Currency 2"/>
    <tableColumn id="10" xr3:uid="{AAD182B7-D7C2-4AAD-A140-686A4090B5EA}" name="Delta" dataDxfId="817" dataCellStyle="Currency 2">
      <calculatedColumnFormula>Sealant20224262[[#This Row],[Original Contract]]-Sealant20224262[[#This Row],[Revised Contract]]</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1BC0FE44-0487-4F88-92DD-A2DB58D996C3}" name="Glass21225263" displayName="Glass21225263" ref="A263:J273" totalsRowShown="0" headerRowDxfId="816" dataDxfId="815" tableBorderDxfId="814" dataCellStyle="Currency 2">
  <tableColumns count="10">
    <tableColumn id="1" xr3:uid="{105A9856-E032-4E35-8F94-1002BB9F3F97}" name="8" dataDxfId="813"/>
    <tableColumn id="2" xr3:uid="{81D8DAB7-DB36-471A-BA1E-D75BDEB32F7A}" name="Glass/Glazing" dataDxfId="812" dataCellStyle="Normal 2"/>
    <tableColumn id="3" xr3:uid="{53E41E19-6C4D-4700-B3B8-85E415530D7B}" name="CSI Sec" dataDxfId="811" dataCellStyle="Normal 2"/>
    <tableColumn id="4" xr3:uid="{DC36E97E-B63F-4CD4-BAF4-F4C861B87DE5}" name="Description of work" dataDxfId="810" dataCellStyle="Normal 2"/>
    <tableColumn id="5" xr3:uid="{C2627774-B372-4F20-B23B-7C827A578B54}" name="Original Contract" dataDxfId="809" dataCellStyle="Currency 2"/>
    <tableColumn id="6" xr3:uid="{ED642DAC-6A05-48FF-A8CF-887D6152043F}" name="Actual Buyout" dataDxfId="808" dataCellStyle="Currency 2"/>
    <tableColumn id="7" xr3:uid="{8F89DBDC-5059-4845-80BE-80587A0209C1}" name="Change Orders" dataDxfId="807" dataCellStyle="Currency 2">
      <calculatedColumnFormula>0</calculatedColumnFormula>
    </tableColumn>
    <tableColumn id="8" xr3:uid="{3AD80C9A-ED54-4FE8-9EE1-9D34B7BB6FAD}" name="Revised Contract" dataDxfId="806" dataCellStyle="Currency 2">
      <calculatedColumnFormula>Glass21225263[[#This Row],[Actual Buyout]]+Glass21225263[[#This Row],[Change Orders]]</calculatedColumnFormula>
    </tableColumn>
    <tableColumn id="9" xr3:uid="{954070A3-A7F6-4C07-8DA6-F1816A584C58}" name="Total completed and Stored" dataDxfId="805" dataCellStyle="Currency 2"/>
    <tableColumn id="10" xr3:uid="{DFD938E9-113C-488C-BD7E-AA307587ECBD}" name="Delta" dataDxfId="804" dataCellStyle="Currency 2">
      <calculatedColumnFormula>Glass21225263[[#This Row],[Original Contract]]-Glass21225263[[#This Row],[Revised Contract]]</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82E83C36-1B3F-4C3B-821E-12CD5CD84183}" name="DockDoors22226264" displayName="DockDoors22226264" ref="A275:J283" totalsRowShown="0" headerRowDxfId="803" dataDxfId="802" tableBorderDxfId="801" dataCellStyle="Currency 2">
  <tableColumns count="10">
    <tableColumn id="1" xr3:uid="{03FD1A1D-451C-4112-BB53-9375C0178222}" name="8" dataDxfId="800"/>
    <tableColumn id="2" xr3:uid="{D3C4D2B6-8CB4-4463-8FE5-9C4787C2CF91}" name="Dock &amp; Drive in Doors" dataDxfId="799" dataCellStyle="Normal 2"/>
    <tableColumn id="3" xr3:uid="{11B8FC6E-43BE-4963-888E-B3467CD1CAE0}" name="CSI Sec" dataDxfId="798" dataCellStyle="Normal 2"/>
    <tableColumn id="4" xr3:uid="{53BF3E8E-FF14-4D84-A064-1685E55F2338}" name="Description of work" dataDxfId="797" dataCellStyle="Normal 2"/>
    <tableColumn id="5" xr3:uid="{C800C766-579C-4270-975D-3900D82AFEB0}" name="Original Contract" dataDxfId="796" dataCellStyle="Currency 2"/>
    <tableColumn id="6" xr3:uid="{D563C8DD-9FF9-48E4-A639-72690F26D13F}" name="Actual Buyout" dataDxfId="795" dataCellStyle="Currency 2"/>
    <tableColumn id="7" xr3:uid="{355D9088-CA7C-4048-9BBD-00E657E36B84}" name="Change Orders" dataDxfId="794" dataCellStyle="Currency 2">
      <calculatedColumnFormula>0</calculatedColumnFormula>
    </tableColumn>
    <tableColumn id="8" xr3:uid="{2D69C15C-ACAF-4678-9AFD-534BC949FF65}" name="Revised Contract" dataDxfId="793" dataCellStyle="Currency 2">
      <calculatedColumnFormula>DockDoors22226264[[#This Row],[Actual Buyout]]+DockDoors22226264[[#This Row],[Change Orders]]</calculatedColumnFormula>
    </tableColumn>
    <tableColumn id="9" xr3:uid="{DEAFA89B-92EA-456B-8AFB-FBC04C032B4B}" name="Total completed and Stored" dataDxfId="792" dataCellStyle="Currency 2"/>
    <tableColumn id="10" xr3:uid="{E2BED8E1-63C0-4BD0-80C9-138E2841152E}" name="Delta" dataDxfId="791" dataCellStyle="Currency 2">
      <calculatedColumnFormula>DockDoors22226264[[#This Row],[Original Contract]]-DockDoors22226264[[#This Row],[Revised Contract]]</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656F2B17-0469-4715-942F-1FBC8AA0D50A}" name="Doors23227265" displayName="Doors23227265" ref="A285:J293" totalsRowShown="0" headerRowDxfId="790" dataDxfId="789" tableBorderDxfId="788" dataCellStyle="Currency 2">
  <tableColumns count="10">
    <tableColumn id="1" xr3:uid="{2495A1FE-A56F-4C9F-8C76-D95DF0DD349F}" name="8" dataDxfId="787"/>
    <tableColumn id="2" xr3:uid="{EB645874-8255-4907-967C-84464144A2B0}" name="Doors, Frames, &amp; Hardware" dataDxfId="786" dataCellStyle="Normal 2"/>
    <tableColumn id="3" xr3:uid="{7A292F00-8FCE-4F8D-B99C-CB81A1B54D38}" name="CSI Sec" dataDxfId="785" dataCellStyle="Normal 2"/>
    <tableColumn id="4" xr3:uid="{63915E3C-92EB-4282-A268-CC726760ABDD}" name="Description of work" dataDxfId="784" dataCellStyle="Normal 2"/>
    <tableColumn id="5" xr3:uid="{8EA4669D-ED04-4CF0-A709-794682CC47CC}" name="Original Contract" dataDxfId="783" dataCellStyle="Currency 2"/>
    <tableColumn id="6" xr3:uid="{A5DE7E3A-CA01-420C-BE65-33564C25FC3D}" name="Actual Buyout" dataDxfId="782" dataCellStyle="Currency 2"/>
    <tableColumn id="7" xr3:uid="{3C8BD5BB-55B5-40E0-A4D1-89DE5DC3808F}" name="Change Orders" dataDxfId="781" dataCellStyle="Currency 2">
      <calculatedColumnFormula>0</calculatedColumnFormula>
    </tableColumn>
    <tableColumn id="8" xr3:uid="{318011A1-B1B3-441B-BE8D-7027C90DFD1B}" name="Revised Contract" dataDxfId="780" dataCellStyle="Currency 2">
      <calculatedColumnFormula>Doors23227265[[#This Row],[Actual Buyout]]+Doors23227265[[#This Row],[Change Orders]]</calculatedColumnFormula>
    </tableColumn>
    <tableColumn id="9" xr3:uid="{9B9AA3EB-9609-4856-940C-7A82F34F6EDF}" name="Total completed and Stored" dataDxfId="779" dataCellStyle="Currency 2"/>
    <tableColumn id="10" xr3:uid="{307C317F-34AF-48FB-8935-6AC9E67850BA}" name="Delta" dataDxfId="778" dataCellStyle="Currency 2">
      <calculatedColumnFormula>Doors23227265[[#This Row],[Original Contract]]-Doors23227265[[#This Row],[Revised Contract]]</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937C936F-A887-4B60-A2F9-E53BDF0C3BFC}" name="Walls24228266" displayName="Walls24228266" ref="A295:J305" totalsRowShown="0" headerRowDxfId="777" dataDxfId="776" tableBorderDxfId="775" dataCellStyle="Currency 2">
  <tableColumns count="10">
    <tableColumn id="1" xr3:uid="{E2E0269A-4787-44C7-A90E-C7D3195C74E7}" name="9" dataDxfId="774"/>
    <tableColumn id="2" xr3:uid="{154FF4C5-2344-47EA-9B3B-7A4D394268FA}" name="Metal Framing, Drywall, Acoustical" dataDxfId="773" dataCellStyle="Normal 2"/>
    <tableColumn id="3" xr3:uid="{7A33FDD6-1FEA-4B63-A3DC-62AB610DF02E}" name="CSI Sec" dataDxfId="772" dataCellStyle="Normal 2"/>
    <tableColumn id="4" xr3:uid="{D6180B16-9562-4597-9FB3-A88A944A27F5}" name="Description of work" dataDxfId="771" dataCellStyle="Normal 2"/>
    <tableColumn id="5" xr3:uid="{92437C58-8816-430F-B9EF-2CDA278A688B}" name="Original Contract" dataDxfId="770" dataCellStyle="Currency 2"/>
    <tableColumn id="6" xr3:uid="{3C8473F6-484A-40AB-BFC8-726D56B8A1DF}" name="Actual Buyout" dataDxfId="769" dataCellStyle="Currency 2"/>
    <tableColumn id="7" xr3:uid="{1CAB5F5A-7CAC-43D9-BFE8-79A20E105258}" name="Change Orders" dataDxfId="768" dataCellStyle="Currency 2">
      <calculatedColumnFormula>0</calculatedColumnFormula>
    </tableColumn>
    <tableColumn id="8" xr3:uid="{155991A0-B0EC-4314-B266-95D681EC9BD4}" name="Revised Contract" dataDxfId="767" dataCellStyle="Currency 2">
      <calculatedColumnFormula>Walls24228266[[#This Row],[Actual Buyout]]+Walls24228266[[#This Row],[Change Orders]]</calculatedColumnFormula>
    </tableColumn>
    <tableColumn id="9" xr3:uid="{1CC45417-0801-4D29-A4B3-F9E92C7738C0}" name="Total completed and Stored" dataDxfId="766" dataCellStyle="Currency 2"/>
    <tableColumn id="10" xr3:uid="{E6E3EFD5-7D51-4E78-9C19-C240E11C045E}" name="Delta" dataDxfId="765" dataCellStyle="Currency 2">
      <calculatedColumnFormula>Walls24228266[[#This Row],[Original Contract]]-Walls24228266[[#This Row],[Revised Contract]]</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C1FB8147-0D24-4B6B-A7A9-068575B91D00}" name="Flooring25229267" displayName="Flooring25229267" ref="A307:J315" totalsRowShown="0" headerRowDxfId="764" dataDxfId="763" tableBorderDxfId="762" dataCellStyle="Currency 2">
  <tableColumns count="10">
    <tableColumn id="1" xr3:uid="{047B14C3-D5E1-4009-B5C5-4112E7098632}" name="9" dataDxfId="761"/>
    <tableColumn id="2" xr3:uid="{BE317CBC-218F-44A3-96E9-36D548067C9E}" name="Flooring" dataDxfId="760" dataCellStyle="Normal 2"/>
    <tableColumn id="3" xr3:uid="{12A6C587-6B12-432D-BA1A-DE44FEE73235}" name="CSI Sec" dataDxfId="759" dataCellStyle="Normal 2"/>
    <tableColumn id="4" xr3:uid="{9F2893DD-B01B-4DB0-B34E-8647AAB53716}" name="Description of work" dataDxfId="758" dataCellStyle="Normal 2"/>
    <tableColumn id="5" xr3:uid="{2374DEE4-C027-43C3-B227-7C0666CCD53B}" name="Original Contract" dataDxfId="757" dataCellStyle="Currency 2"/>
    <tableColumn id="6" xr3:uid="{41361599-3C90-418F-BE67-380F86EFDDCE}" name="Actual Buyout" dataDxfId="756" dataCellStyle="Currency 2"/>
    <tableColumn id="7" xr3:uid="{A335FCF0-C197-4C27-8982-3914CFBD318F}" name="Change Orders" dataDxfId="755" dataCellStyle="Currency 2">
      <calculatedColumnFormula>0</calculatedColumnFormula>
    </tableColumn>
    <tableColumn id="8" xr3:uid="{97AA23AD-A2F7-40F0-89E2-280F8545108A}" name="Revised Contract" dataDxfId="754" dataCellStyle="Currency 2">
      <calculatedColumnFormula>Flooring25229267[[#This Row],[Actual Buyout]]+Flooring25229267[[#This Row],[Change Orders]]</calculatedColumnFormula>
    </tableColumn>
    <tableColumn id="9" xr3:uid="{7C91DAEE-B481-41B4-9A65-F96916097E47}" name="Total completed and Stored" dataDxfId="753" dataCellStyle="Currency 2"/>
    <tableColumn id="10" xr3:uid="{41BC0A32-D8D7-48DD-A16B-2BF4005902D2}" name="Delta" dataDxfId="752" dataCellStyle="Currency 2">
      <calculatedColumnFormula>Flooring25229267[[#This Row],[Original Contract]]-Flooring25229267[[#This Row],[Revised Contract]]</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CDE60596-BEE2-4243-A8D2-090E9DCC81A4}" name="Paint26230268" displayName="Paint26230268" ref="A317:J329" totalsRowShown="0" headerRowDxfId="751" dataDxfId="750" tableBorderDxfId="749" dataCellStyle="Currency 2">
  <tableColumns count="10">
    <tableColumn id="1" xr3:uid="{72925B9C-3DA9-456F-A18D-A2D8F16F0A7B}" name="9" dataDxfId="748"/>
    <tableColumn id="2" xr3:uid="{F0C1CD5F-8FF9-4A69-96BD-C1987E9C781E}" name="Painting &amp; Coatings" dataDxfId="747" dataCellStyle="Normal 2"/>
    <tableColumn id="3" xr3:uid="{5D43343B-36B5-496E-B555-AAE7B7513784}" name="CSI Sec" dataDxfId="746" dataCellStyle="Normal 2"/>
    <tableColumn id="4" xr3:uid="{6B51EC9F-4BB5-42A1-9927-6DF3FB029678}" name="Description of work" dataDxfId="745" dataCellStyle="Normal 2"/>
    <tableColumn id="5" xr3:uid="{B0F2F789-DF00-48E8-994E-9C80DD69254F}" name="Original Contract" dataDxfId="744" dataCellStyle="Currency 2"/>
    <tableColumn id="6" xr3:uid="{2BE902D3-93F4-433F-BA2D-FC6F41C12F0A}" name="Actual Buyout" dataDxfId="743" dataCellStyle="Currency 2"/>
    <tableColumn id="7" xr3:uid="{F021BB6F-4D60-48CB-A16B-B18ACC961936}" name="Change Orders" dataDxfId="742" dataCellStyle="Currency 2">
      <calculatedColumnFormula>0</calculatedColumnFormula>
    </tableColumn>
    <tableColumn id="8" xr3:uid="{6733E57F-5767-47C0-AEC7-9482AF130EB0}" name="Revised Contract" dataDxfId="741" dataCellStyle="Currency 2">
      <calculatedColumnFormula>Paint26230268[[#This Row],[Actual Buyout]]+Paint26230268[[#This Row],[Change Orders]]</calculatedColumnFormula>
    </tableColumn>
    <tableColumn id="9" xr3:uid="{C44AC94D-B49E-4BB8-8945-97B0208D5855}" name="Total completed and Stored" dataDxfId="740" dataCellStyle="Currency 2"/>
    <tableColumn id="10" xr3:uid="{B7D830B5-F7DA-48D1-A4AC-AECF2240E7E4}" name="Delta" dataDxfId="739" dataCellStyle="Currency 2">
      <calculatedColumnFormula>Paint26230268[[#This Row],[Original Contract]]-Paint26230268[[#This Row],[Revised Contract]]</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3D4CE4A9-38C4-4AFB-80F8-D59B04710FAE}" name="Specialties27231269" displayName="Specialties27231269" ref="A331:J355" totalsRowShown="0" headerRowDxfId="738" dataDxfId="737" tableBorderDxfId="736" dataCellStyle="Currency 2">
  <tableColumns count="10">
    <tableColumn id="1" xr3:uid="{2859528F-D1D2-4647-B03C-15D640D7EDF2}" name="10" dataDxfId="735"/>
    <tableColumn id="2" xr3:uid="{D6F9F4DB-7A25-4865-89F5-08C96EC33328}" name="Specialties " dataDxfId="734" dataCellStyle="Normal 2"/>
    <tableColumn id="3" xr3:uid="{D24357B1-A7F7-44A1-B1E2-00255FCD506E}" name="CSI Sec" dataDxfId="733" dataCellStyle="Normal 2"/>
    <tableColumn id="4" xr3:uid="{3C130318-B9D6-4CF5-A218-CC4B59A8ADED}" name="Description of work" dataDxfId="732" dataCellStyle="Normal 2"/>
    <tableColumn id="5" xr3:uid="{3AF425DB-B379-41FD-B700-9A07797A7B6D}" name="Original Contract" dataDxfId="731" dataCellStyle="Currency 2"/>
    <tableColumn id="6" xr3:uid="{6D9B965A-D5BF-4F5E-ACE9-A303F7E8D24E}" name="Actual Buyout" dataDxfId="730" dataCellStyle="Currency 2"/>
    <tableColumn id="7" xr3:uid="{78D62A27-1654-483C-B31E-539F1355BD2A}" name="Change Orders" dataDxfId="729" dataCellStyle="Currency 2">
      <calculatedColumnFormula>0</calculatedColumnFormula>
    </tableColumn>
    <tableColumn id="8" xr3:uid="{8A9AF375-FB38-459C-B2FA-84E9D5F64976}" name="Revised Contract" dataDxfId="728" dataCellStyle="Currency 2">
      <calculatedColumnFormula>Specialties27231269[[#This Row],[Actual Buyout]]+Specialties27231269[[#This Row],[Change Orders]]</calculatedColumnFormula>
    </tableColumn>
    <tableColumn id="9" xr3:uid="{4F644092-6CFD-4C4D-8715-6D246C893AA0}" name="Total completed and Stored" dataDxfId="727" dataCellStyle="Currency 2"/>
    <tableColumn id="10" xr3:uid="{D5B6C1A7-E4BE-4CD1-B7C2-0C1D9C5EA5DE}" name="Delta" dataDxfId="726" dataCellStyle="Currency 2">
      <calculatedColumnFormula>Specialties27231269[[#This Row],[Original Contract]]-Specialties27231269[[#This Row],[Revised Contract]]</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E98591E0-C926-4CA6-9348-C48FF3386246}" name="DockEquip28232270" displayName="DockEquip28232270" ref="A357:J371" totalsRowShown="0" headerRowDxfId="725" dataDxfId="724" tableBorderDxfId="723" dataCellStyle="Currency 2">
  <tableColumns count="10">
    <tableColumn id="1" xr3:uid="{FD4A103F-DB9F-4D35-AF5B-F1A73798B3C2}" name="11" dataDxfId="722"/>
    <tableColumn id="2" xr3:uid="{AB66DCAA-2563-47F0-B762-8BF1281C2ED8}" name="Dock Equipment" dataDxfId="721" dataCellStyle="Normal 2"/>
    <tableColumn id="3" xr3:uid="{4166A52E-3156-482C-BAEA-82269F657431}" name="CSI Sec" dataDxfId="720" dataCellStyle="Normal 2"/>
    <tableColumn id="4" xr3:uid="{0C9DE9A9-B5EF-403E-8E62-54C648EDEB0C}" name="Description of work" dataDxfId="719" dataCellStyle="Normal 2"/>
    <tableColumn id="5" xr3:uid="{13D488E3-7A02-4E18-B607-BD2E6A6067FF}" name="Original Contract" dataDxfId="718" dataCellStyle="Currency 2"/>
    <tableColumn id="6" xr3:uid="{0725555E-B5C3-4AA4-9638-852E5DBDDECD}" name="Actual Buyout" dataDxfId="717" dataCellStyle="Currency 2"/>
    <tableColumn id="7" xr3:uid="{6A2E8032-8865-44E8-9F5E-36327A913A58}" name="Change Orders" dataDxfId="716" dataCellStyle="Currency 2">
      <calculatedColumnFormula>0</calculatedColumnFormula>
    </tableColumn>
    <tableColumn id="8" xr3:uid="{6E2DEB5C-7CFB-4198-9F38-7362B83C71B2}" name="Revised Contract" dataDxfId="715" dataCellStyle="Currency 2">
      <calculatedColumnFormula>DockEquip28232270[[#This Row],[Actual Buyout]]+DockEquip28232270[[#This Row],[Change Orders]]</calculatedColumnFormula>
    </tableColumn>
    <tableColumn id="9" xr3:uid="{E61900A3-0BC7-4A4F-A7CE-E31F5D628170}" name="Total completed and Stored" dataDxfId="714" dataCellStyle="Currency 2"/>
    <tableColumn id="10" xr3:uid="{2802FFF8-8EF8-4C3F-B9FD-54FAEF280DA6}" name="Delta" dataDxfId="713" dataCellStyle="Currency 2">
      <calculatedColumnFormula>DockEquip28232270[[#This Row],[Original Contract]]-DockEquip28232270[[#This Row],[Revised Contract]]</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E0DAAAF9-0F11-4015-9BBE-D082A3134040}" name="Furnishings29233271" displayName="Furnishings29233271" ref="A373:J379" totalsRowShown="0" headerRowDxfId="712" dataDxfId="711" tableBorderDxfId="710" dataCellStyle="Currency 2">
  <tableColumns count="10">
    <tableColumn id="1" xr3:uid="{99CFB443-37D6-4B07-8BD7-A9BFA8701D95}" name="12" dataDxfId="709"/>
    <tableColumn id="2" xr3:uid="{C7EDFC6E-648B-47E6-B9A2-0E5769537102}" name="Furnishings" dataDxfId="708" dataCellStyle="Normal 2"/>
    <tableColumn id="3" xr3:uid="{442D414F-10DF-4921-8373-70395F432016}" name="CSI Sec" dataDxfId="707" dataCellStyle="Normal 2"/>
    <tableColumn id="4" xr3:uid="{5F31251B-8B8C-4D26-8ED0-676C9F866395}" name="Description of work" dataDxfId="706" dataCellStyle="Normal 2"/>
    <tableColumn id="5" xr3:uid="{ED45C819-C52D-40E2-8E57-B3C3F2BFA594}" name="Original Contract" dataDxfId="705" dataCellStyle="Currency 2"/>
    <tableColumn id="6" xr3:uid="{ADE84DFF-E092-4F8B-A7F7-BBE7F7103AEC}" name="Actual Buyout" dataDxfId="704" dataCellStyle="Currency 2"/>
    <tableColumn id="7" xr3:uid="{2C9A6365-7F34-4DD3-B29E-D5455A60EC2C}" name="Change Orders" dataDxfId="703" dataCellStyle="Currency 2">
      <calculatedColumnFormula>0</calculatedColumnFormula>
    </tableColumn>
    <tableColumn id="8" xr3:uid="{7A7287E6-1227-4C01-9306-8A051E2B5330}" name="Revised Contract" dataDxfId="702" dataCellStyle="Currency 2">
      <calculatedColumnFormula>Furnishings29233271[[#This Row],[Actual Buyout]]+Furnishings29233271[[#This Row],[Change Orders]]</calculatedColumnFormula>
    </tableColumn>
    <tableColumn id="9" xr3:uid="{5AAF33D7-B782-487F-B2D9-95856377F0F8}" name="Total completed and Stored" dataDxfId="701" dataCellStyle="Currency 2"/>
    <tableColumn id="10" xr3:uid="{9B1E5C56-EFF4-4C01-8849-13A9E71A2DC3}" name="Delta" dataDxfId="700" dataCellStyle="Currency 2">
      <calculatedColumnFormula>Furnishings29233271[[#This Row],[Original Contract]]-Furnishings29233271[[#This Row],[Revised Contract]]</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BBF1A252-4C45-4CE7-858B-0C932D7360DD}" name="SpecConst30234272" displayName="SpecConst30234272" ref="A381:J388" totalsRowShown="0" headerRowDxfId="699" dataDxfId="698" tableBorderDxfId="697" dataCellStyle="Currency 2">
  <tableColumns count="10">
    <tableColumn id="1" xr3:uid="{BA1368C5-BE9A-41EE-83DB-B8A71CB188EE}" name="13" dataDxfId="696"/>
    <tableColumn id="2" xr3:uid="{8926FE67-971B-4FB0-8639-C6670E1AFB1B}" name="Special Construction" dataDxfId="695" dataCellStyle="Normal 2"/>
    <tableColumn id="3" xr3:uid="{C0C67634-F977-4192-962D-87C7C349F387}" name="CSI Sec" dataDxfId="694" dataCellStyle="Normal 2"/>
    <tableColumn id="4" xr3:uid="{7D3A25E5-A9FE-4A7D-B78E-5E6BF22A3D08}" name="Description of work" dataDxfId="693" dataCellStyle="Normal 2"/>
    <tableColumn id="5" xr3:uid="{3FDF69F0-5F9C-40B9-A60C-9C8B414BFA71}" name="Original Contract" dataDxfId="692" dataCellStyle="Currency 2"/>
    <tableColumn id="6" xr3:uid="{DF418961-DB98-4883-8CED-15697AACFEE3}" name="Actual Buyout" dataDxfId="691" dataCellStyle="Currency 2"/>
    <tableColumn id="7" xr3:uid="{08DF4EB6-379F-4E9C-94C3-BF55353A9733}" name="Change Orders" dataDxfId="690" dataCellStyle="Currency 2">
      <calculatedColumnFormula>0</calculatedColumnFormula>
    </tableColumn>
    <tableColumn id="8" xr3:uid="{1691C8D3-B8B9-4B81-B4C0-07F6E25127F3}" name="Revised Contract" dataDxfId="689" dataCellStyle="Currency 2">
      <calculatedColumnFormula>SpecConst30234272[[#This Row],[Actual Buyout]]+SpecConst30234272[[#This Row],[Change Orders]]</calculatedColumnFormula>
    </tableColumn>
    <tableColumn id="9" xr3:uid="{381C294E-4EE3-48E3-B60E-2789F9798A64}" name="Total completed and Stored" dataDxfId="688" dataCellStyle="Currency 2"/>
    <tableColumn id="10" xr3:uid="{DDAF5037-78D3-4D94-ACD3-E3CD094D11AC}" name="Delta" dataDxfId="687" dataCellStyle="Currency 2">
      <calculatedColumnFormula>SpecConst30234272[[#This Row],[Original Contract]]-SpecConst30234272[[#This Row],[Revised Contract]]</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64C0FF2B-CB9D-4D87-B5D1-400FD1A67D96}" name="Elevators31235273" displayName="Elevators31235273" ref="A390:J397" totalsRowShown="0" headerRowDxfId="686" dataDxfId="685" tableBorderDxfId="684" dataCellStyle="Currency 2">
  <tableColumns count="10">
    <tableColumn id="1" xr3:uid="{32FE1212-873A-45EB-9C57-3EED3C4BAFC6}" name="14" dataDxfId="683"/>
    <tableColumn id="2" xr3:uid="{015AD0B5-52ED-484E-BE74-2ECDFAFBE30A}" name="Elevators" dataDxfId="682" dataCellStyle="Normal 2"/>
    <tableColumn id="3" xr3:uid="{27035E11-6DC1-4641-B8FA-F7B2E03764BB}" name="CSI Sec" dataDxfId="681" dataCellStyle="Normal 2"/>
    <tableColumn id="4" xr3:uid="{95901C47-2440-4F48-87DE-3E5D017AD4C7}" name="Description of work" dataDxfId="680" dataCellStyle="Normal 2"/>
    <tableColumn id="5" xr3:uid="{63B0976F-1587-447D-AFD3-4DC741B9FAEB}" name="Original Contract" dataDxfId="679" dataCellStyle="Currency 2"/>
    <tableColumn id="6" xr3:uid="{FA566C8B-6643-4C62-B6EF-706DA0592361}" name="Actual Buyout" dataDxfId="678" dataCellStyle="Currency 2"/>
    <tableColumn id="7" xr3:uid="{8282C8B1-D1DC-49FF-BE66-2D82C4D2CE7F}" name="Change Orders" dataDxfId="677" dataCellStyle="Currency 2">
      <calculatedColumnFormula>0</calculatedColumnFormula>
    </tableColumn>
    <tableColumn id="8" xr3:uid="{6FB62CF6-6B8C-4CA1-9ABF-A08B629C3E93}" name="Revised Contract" dataDxfId="676" dataCellStyle="Currency 2">
      <calculatedColumnFormula>Elevators31235273[[#This Row],[Actual Buyout]]+Elevators31235273[[#This Row],[Change Orders]]</calculatedColumnFormula>
    </tableColumn>
    <tableColumn id="9" xr3:uid="{E6D9AA81-A102-4343-8289-2065871CEC15}" name="Total completed and Stored" dataDxfId="675" dataCellStyle="Currency 2"/>
    <tableColumn id="10" xr3:uid="{FD40434F-A68E-4403-8F5E-0A9576AA3D1B}" name="Delta" dataDxfId="674" dataCellStyle="Currency 2">
      <calculatedColumnFormula>Elevators31235273[[#This Row],[Original Contract]]-Elevators31235273[[#This Row],[Revised Contract]]</calculatedColumnFormula>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3B25B8EE-9554-4277-8810-28D09B998579}" name="Fire32236274" displayName="Fire32236274" ref="A399:J414" totalsRowShown="0" headerRowDxfId="673" dataDxfId="672" tableBorderDxfId="671" dataCellStyle="Currency 2">
  <tableColumns count="10">
    <tableColumn id="1" xr3:uid="{47A598CB-56BF-4F69-A812-7C8AEDCB7D52}" name="21" dataDxfId="670"/>
    <tableColumn id="2" xr3:uid="{83AA4281-3EAA-4B07-9DB1-D3ADD0CCEE41}" name="Fire Suppression" dataDxfId="669" dataCellStyle="Normal 2"/>
    <tableColumn id="3" xr3:uid="{33125AD2-924C-49E9-B163-A07C25917A6A}" name="CSI Sec" dataDxfId="668" dataCellStyle="Normal 2"/>
    <tableColumn id="4" xr3:uid="{C143AE9D-162B-454D-9D67-E2957EFAF908}" name="Description of work" dataDxfId="667" dataCellStyle="Normal 2"/>
    <tableColumn id="5" xr3:uid="{0410D15B-88E4-48AD-A274-61BBD1B375F2}" name="Original Contract" dataDxfId="666" dataCellStyle="Currency 2"/>
    <tableColumn id="6" xr3:uid="{FBBE4126-24A0-445D-99E5-52996EE40141}" name="Actual Buyout" dataDxfId="665" dataCellStyle="Currency 2"/>
    <tableColumn id="7" xr3:uid="{6ED44BD0-BF1B-400C-A4AC-A5660F8797A3}" name="Change Orders" dataDxfId="664" dataCellStyle="Currency 2">
      <calculatedColumnFormula>0</calculatedColumnFormula>
    </tableColumn>
    <tableColumn id="8" xr3:uid="{F46350E7-0A52-4EC2-9ED5-F82DED536255}" name="Revised Contract" dataDxfId="663" dataCellStyle="Currency 2">
      <calculatedColumnFormula>Fire32236274[[#This Row],[Actual Buyout]]+Fire32236274[[#This Row],[Change Orders]]</calculatedColumnFormula>
    </tableColumn>
    <tableColumn id="9" xr3:uid="{9FF05606-0DF6-4768-9F1A-AAEDEEF7A099}" name="Total completed and Stored" dataDxfId="662" dataCellStyle="Currency 2"/>
    <tableColumn id="10" xr3:uid="{E5D21A84-A7E8-4B7C-8CED-D487CDE3BC7F}" name="Delta" dataDxfId="661" dataCellStyle="Currency 2">
      <calculatedColumnFormula>Fire32236274[[#This Row],[Original Contract]]-Fire32236274[[#This Row],[Revised Contract]]</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4" xr:uid="{00592E65-92D5-4AD3-9F77-E31D800BBB34}" name="Plumbing33237275" displayName="Plumbing33237275" ref="A416:J428" totalsRowShown="0" headerRowDxfId="660" dataDxfId="659" tableBorderDxfId="658" dataCellStyle="Currency 2">
  <tableColumns count="10">
    <tableColumn id="1" xr3:uid="{C7F7B20B-9AFB-4654-850D-00CD260638B7}" name="22" dataDxfId="657"/>
    <tableColumn id="2" xr3:uid="{C1CE7859-5AFC-4A32-BEF1-F487583853D0}" name="Plumbing" dataDxfId="656" dataCellStyle="Normal 2"/>
    <tableColumn id="3" xr3:uid="{80A9C371-AD4A-413C-B3F4-CC60DAA85931}" name="CSI Sec" dataDxfId="655" dataCellStyle="Normal 2"/>
    <tableColumn id="4" xr3:uid="{8196BED7-6C3E-44A1-8795-D2703B7D37A5}" name="Description of work" dataDxfId="654" dataCellStyle="Normal 2"/>
    <tableColumn id="5" xr3:uid="{26E80C84-CF19-462F-9F42-ECBC2FA88620}" name="Original Contract" dataDxfId="653" dataCellStyle="Currency 2"/>
    <tableColumn id="6" xr3:uid="{0DBAAD2D-A32A-4A97-85A8-8CC97ECF9097}" name="Actual Buyout" dataDxfId="652" dataCellStyle="Currency 2"/>
    <tableColumn id="7" xr3:uid="{5AF06E79-6A00-4761-8BD0-3DF5F7FB724A}" name="Change Orders" dataDxfId="651" dataCellStyle="Currency 2">
      <calculatedColumnFormula>0</calculatedColumnFormula>
    </tableColumn>
    <tableColumn id="8" xr3:uid="{60F88924-5E9F-4064-AEEA-30FA90FFC98A}" name="Revised Contract" dataDxfId="650" dataCellStyle="Currency 2">
      <calculatedColumnFormula>Plumbing33237275[[#This Row],[Actual Buyout]]+Plumbing33237275[[#This Row],[Change Orders]]</calculatedColumnFormula>
    </tableColumn>
    <tableColumn id="9" xr3:uid="{B03438BA-FE0B-4C0F-9766-4DDD7E8E9478}" name="Total completed and Stored" dataDxfId="649" dataCellStyle="Currency 2"/>
    <tableColumn id="10" xr3:uid="{DC39C63C-C9BE-4144-8DDE-F93A5AA698FE}" name="Delta" dataDxfId="648" dataCellStyle="Currency 2">
      <calculatedColumnFormula>Plumbing33237275[[#This Row],[Original Contract]]-Plumbing33237275[[#This Row],[Revised Contract]]</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5" xr:uid="{33A03DF4-4511-46EB-99B6-DDC5CDF9126F}" name="HVAC34238276" displayName="HVAC34238276" ref="A430:J442" totalsRowShown="0" headerRowDxfId="647" dataDxfId="646" tableBorderDxfId="645" dataCellStyle="Currency 2">
  <tableColumns count="10">
    <tableColumn id="1" xr3:uid="{949EF52B-CC40-45A6-9C59-47DC69BEC94E}" name="23" dataDxfId="644"/>
    <tableColumn id="2" xr3:uid="{70779ECB-A1E0-4E5D-9028-3A0B1BC668AD}" name="HVAC" dataDxfId="643" dataCellStyle="Normal 2"/>
    <tableColumn id="3" xr3:uid="{93DFD367-0581-4A09-BEFC-11B126540EF6}" name="CSI Sec" dataDxfId="642" dataCellStyle="Normal 2"/>
    <tableColumn id="4" xr3:uid="{781E7E4A-9C27-446C-83B7-E0E21C559DD1}" name="Description of work" dataDxfId="641" dataCellStyle="Normal 2"/>
    <tableColumn id="5" xr3:uid="{B93FBDCA-CE71-41CF-AEA8-8E8A5B68CF5A}" name="Original Contract" dataDxfId="640" dataCellStyle="Currency 2"/>
    <tableColumn id="6" xr3:uid="{51FDEBB0-1EFF-4F90-AAAE-B82820426ED7}" name="Actual Buyout" dataDxfId="639" dataCellStyle="Currency 2"/>
    <tableColumn id="7" xr3:uid="{48BB3EE2-C194-4F17-8DFD-E0F3B78FA883}" name="Change Orders" dataDxfId="638" dataCellStyle="Currency 2">
      <calculatedColumnFormula>0</calculatedColumnFormula>
    </tableColumn>
    <tableColumn id="8" xr3:uid="{5A0DA27C-80E5-4046-A97A-24508C429969}" name="Revised Contract" dataDxfId="637" dataCellStyle="Currency 2">
      <calculatedColumnFormula>HVAC34238276[[#This Row],[Actual Buyout]]+HVAC34238276[[#This Row],[Change Orders]]</calculatedColumnFormula>
    </tableColumn>
    <tableColumn id="9" xr3:uid="{5D33941A-C917-4A11-A5A9-BF151A6905A4}" name="Total completed and Stored" dataDxfId="636" dataCellStyle="Currency 2"/>
    <tableColumn id="10" xr3:uid="{347E314C-F829-4FDE-9659-86C51136E0F4}" name="Delta" dataDxfId="635" dataCellStyle="Currency 2">
      <calculatedColumnFormula>HVAC34238276[[#This Row],[Original Contract]]-HVAC34238276[[#This Row],[Revised Contract]]</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C04D1DAC-75FE-4C23-9835-7D0C33B5FBA9}" name="Electrical35239277" displayName="Electrical35239277" ref="A444:J466" totalsRowShown="0" headerRowDxfId="634" dataDxfId="633" tableBorderDxfId="632" dataCellStyle="Currency 2">
  <tableColumns count="10">
    <tableColumn id="1" xr3:uid="{DF66CABD-838C-4DEF-A2E2-C30FCFD8C031}" name="26" dataDxfId="631"/>
    <tableColumn id="2" xr3:uid="{46D77344-4777-4FF0-9B7D-C65BE6D6104F}" name="Electrical" dataDxfId="630" dataCellStyle="Normal 2"/>
    <tableColumn id="3" xr3:uid="{4099349A-9B4B-4031-80D5-51144CC9FDBE}" name="CSI Sec" dataDxfId="629" dataCellStyle="Normal 2"/>
    <tableColumn id="4" xr3:uid="{B952BFA3-5F47-464D-8681-A1F1263BEED7}" name="Description of work" dataDxfId="628" dataCellStyle="Normal 2"/>
    <tableColumn id="5" xr3:uid="{FBED1882-93CF-4406-95C2-986DEB8439F3}" name="Original Contract" dataDxfId="627" dataCellStyle="Currency 2"/>
    <tableColumn id="6" xr3:uid="{A122BC68-0A8A-4053-A71E-E65B6A612EBF}" name="Actual Buyout" dataDxfId="626" dataCellStyle="Currency 2"/>
    <tableColumn id="7" xr3:uid="{FACCEECD-E81F-4D56-A8BD-69E9258106F4}" name="Change Orders" dataDxfId="625" dataCellStyle="Currency 2">
      <calculatedColumnFormula>0</calculatedColumnFormula>
    </tableColumn>
    <tableColumn id="8" xr3:uid="{7C6F3A92-32B2-4A23-B743-BDB44B5DCEBE}" name="Revised Contract" dataDxfId="624" dataCellStyle="Currency 2">
      <calculatedColumnFormula>Electrical35239277[[#This Row],[Actual Buyout]]+Electrical35239277[[#This Row],[Change Orders]]</calculatedColumnFormula>
    </tableColumn>
    <tableColumn id="9" xr3:uid="{E61A10E9-3019-4189-A4FA-09A1B1AE031A}" name="Total completed and Stored" dataDxfId="623" dataCellStyle="Currency 2"/>
    <tableColumn id="10" xr3:uid="{BE236F76-D576-45B5-A152-03130F833A5B}" name="Delta" dataDxfId="622" dataCellStyle="Currency 2">
      <calculatedColumnFormula>Electrical35239277[[#This Row],[Original Contract]]-Electrical35239277[[#This Row],[Revised Contract]]</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7" xr:uid="{8049C963-3EC3-4D48-8FB1-F571625944DA}" name="ElectricSafety36240278" displayName="ElectricSafety36240278" ref="A468:J480" totalsRowShown="0" headerRowDxfId="621" dataDxfId="620" tableBorderDxfId="619" dataCellStyle="Currency 2">
  <tableColumns count="10">
    <tableColumn id="1" xr3:uid="{FA1FB778-041B-4CE5-8F98-B6A7B4DF1BDE}" name="28" dataDxfId="618"/>
    <tableColumn id="2" xr3:uid="{7588F7E7-67FD-4219-B32E-12FB83E131A4}" name="Electronic Safety and Security" dataDxfId="617" dataCellStyle="Normal 2"/>
    <tableColumn id="3" xr3:uid="{99C597B0-009D-4380-94DD-4C1BC2B863DB}" name="CSI Sec" dataDxfId="616" dataCellStyle="Normal 2"/>
    <tableColumn id="4" xr3:uid="{66EC15FF-878F-4FC2-927E-1C20E6F679B2}" name="Description of work" dataDxfId="615" dataCellStyle="Normal 2"/>
    <tableColumn id="5" xr3:uid="{7322CC63-D763-4302-AF17-F5A201824C60}" name="Original Contract" dataDxfId="614" dataCellStyle="Currency 2"/>
    <tableColumn id="6" xr3:uid="{90DDB113-45F8-41CB-9542-2A8C94464806}" name="Actual Buyout" dataDxfId="613" dataCellStyle="Currency 2"/>
    <tableColumn id="7" xr3:uid="{41F337D6-F1BB-4D8C-9B4F-3079E17CCE9C}" name="Change Orders" dataDxfId="612" dataCellStyle="Currency 2">
      <calculatedColumnFormula>0</calculatedColumnFormula>
    </tableColumn>
    <tableColumn id="8" xr3:uid="{25D9B42B-257F-4887-977B-AAB5AF251AA7}" name="Revised Contract" dataDxfId="611" dataCellStyle="Currency 2">
      <calculatedColumnFormula>ElectricSafety36240278[[#This Row],[Actual Buyout]]+ElectricSafety36240278[[#This Row],[Change Orders]]</calculatedColumnFormula>
    </tableColumn>
    <tableColumn id="9" xr3:uid="{FC5681DE-E7A5-4536-95E6-5E06CB6598E1}" name="Total completed and Stored" dataDxfId="610" dataCellStyle="Currency 2"/>
    <tableColumn id="10" xr3:uid="{B2A90DE0-3534-4446-9810-3CC37E5C8761}" name="Delta" dataDxfId="609" dataCellStyle="Currency 2">
      <calculatedColumnFormula>ElectricSafety36240278[[#This Row],[Original Contract]]-ElectricSafety36240278[[#This Row],[Revised Contract]]</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8" xr:uid="{7510285B-6798-462A-96B0-B9E9490CD07F}" name="Misc37241279" displayName="Misc37241279" ref="A482:J487" totalsRowShown="0" headerRowDxfId="608" dataDxfId="607" tableBorderDxfId="606" dataCellStyle="Currency 2">
  <tableColumns count="10">
    <tableColumn id="1" xr3:uid="{342C8012-CB85-49AD-89F8-3133D061B16D}" name="CSI" dataDxfId="605" dataCellStyle="Normal 2"/>
    <tableColumn id="2" xr3:uid="{8FA8A8E2-3936-4384-AF34-BC4BAE92196E}" name="Miscellaneous/Other" dataDxfId="604" dataCellStyle="Normal 2"/>
    <tableColumn id="3" xr3:uid="{F7113160-D91E-4235-8C88-AB6A70AA2A20}" name="CSI Sec" dataDxfId="603" dataCellStyle="Normal 2"/>
    <tableColumn id="4" xr3:uid="{9D75A22A-82AB-469F-B0FE-17B961335DFD}" name="Description of work" dataDxfId="602" dataCellStyle="Normal 2"/>
    <tableColumn id="5" xr3:uid="{65D4E14C-6ACE-424C-BF97-02446BEABDA8}" name="Original Contract" dataDxfId="601" dataCellStyle="Currency 2"/>
    <tableColumn id="6" xr3:uid="{9307AAFC-CB94-42C8-AA26-EB2A14592C31}" name="Actual Buyout" dataDxfId="600" dataCellStyle="Currency 2"/>
    <tableColumn id="7" xr3:uid="{3D30E8FA-DACA-428D-81C0-70E5254559FD}" name="Change Orders" dataDxfId="599" dataCellStyle="Currency 2">
      <calculatedColumnFormula>0</calculatedColumnFormula>
    </tableColumn>
    <tableColumn id="8" xr3:uid="{DDA0D9CC-1F6C-454A-936D-009129E4F3B1}" name="Revised Contract" dataDxfId="598" dataCellStyle="Currency 2">
      <calculatedColumnFormula>Misc37241279[[#This Row],[Actual Buyout]]+Misc37241279[[#This Row],[Change Orders]]</calculatedColumnFormula>
    </tableColumn>
    <tableColumn id="9" xr3:uid="{7096B566-7665-456A-A2D0-BF74B1174603}" name="Total completed and Stored" dataDxfId="597" dataCellStyle="Currency 2"/>
    <tableColumn id="10" xr3:uid="{CF1FCA13-948C-4DAD-B58A-A750D8532DFA}" name="Delta" dataDxfId="596" dataCellStyle="Currency 2">
      <calculatedColumnFormula>Misc37241279[[#This Row],[Original Contract]]-Misc37241279[[#This Row],[Revised Contract]]</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9" xr:uid="{75D5AEEC-AA25-4935-B978-E90E9E6C401D}" name="TenantAllow38242280" displayName="TenantAllow38242280" ref="A489:J498" totalsRowShown="0" headerRowDxfId="595" dataDxfId="594" tableBorderDxfId="593" dataCellStyle="Currency 2">
  <tableColumns count="10">
    <tableColumn id="1" xr3:uid="{212DE870-173E-4C52-AA2A-9087AB376EBE}" name="CSI" dataDxfId="592" dataCellStyle="Normal 2"/>
    <tableColumn id="2" xr3:uid="{15EAD5D7-FDDF-4D56-8F32-C3907BBC717A}" name="Designated Tenant Allowances" dataDxfId="591" dataCellStyle="Normal 2"/>
    <tableColumn id="3" xr3:uid="{A522A1C2-D3FE-4C01-B355-076574F29564}" name="CSI Sec" dataDxfId="590" dataCellStyle="Normal 2"/>
    <tableColumn id="4" xr3:uid="{C19BF52D-160C-402C-9160-00F3113FF9EA}" name="Description of work" dataDxfId="589" dataCellStyle="Normal 2"/>
    <tableColumn id="5" xr3:uid="{46588F2A-B7BF-45F3-94B7-3009EC1E5C3D}" name="Original Contract" dataDxfId="588" dataCellStyle="Currency 2"/>
    <tableColumn id="6" xr3:uid="{5F16C8E0-B32B-4A9E-AF84-4D703602B528}" name="Actual Buyout" dataDxfId="587" dataCellStyle="Currency 2"/>
    <tableColumn id="7" xr3:uid="{C74283C7-5BFF-4CA3-86D6-2DDF561D9B01}" name="Change Orders" dataDxfId="586" dataCellStyle="Currency 2">
      <calculatedColumnFormula>0</calculatedColumnFormula>
    </tableColumn>
    <tableColumn id="8" xr3:uid="{376C96FA-3F9C-4560-93A4-9D6CE20D5A40}" name="Revised Contract" dataDxfId="585" dataCellStyle="Currency 2">
      <calculatedColumnFormula>TenantAllow38242280[[#This Row],[Actual Buyout]]+TenantAllow38242280[[#This Row],[Change Orders]]</calculatedColumnFormula>
    </tableColumn>
    <tableColumn id="9" xr3:uid="{A41A9603-737F-4263-9B3B-2040EA14F6D2}" name="Total completed and Stored" dataDxfId="584" dataCellStyle="Currency 2"/>
    <tableColumn id="10" xr3:uid="{7281FF14-CFCB-477C-965E-3208C43BBE13}" name="Delta" dataDxfId="583" dataCellStyle="Currency 2">
      <calculatedColumnFormula>TenantAllow38242280[[#This Row],[Original Contract]]-TenantAllow38242280[[#This Row],[Change Orders]]</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0" xr:uid="{4779D5A7-7C54-496E-8843-3A9A371F37E1}" name="GCGenCon39243281" displayName="GCGenCon39243281" ref="A500:J512" totalsRowShown="0" headerRowDxfId="582" dataDxfId="581" tableBorderDxfId="580" headerRowCellStyle="Normal" dataCellStyle="Currency 2">
  <tableColumns count="10">
    <tableColumn id="1" xr3:uid="{855B65C5-98C5-4480-8DA9-B0BC7F8CB34C}" name="CSI" dataDxfId="579" dataCellStyle="Normal 2"/>
    <tableColumn id="2" xr3:uid="{46472F2C-4380-4E39-BFA8-595C301CC8F0}" name="GC General Conditions &amp; Fee" dataDxfId="578" dataCellStyle="Normal 2"/>
    <tableColumn id="3" xr3:uid="{C1650BC2-59FB-41D6-92A9-84831AE9421A}" name="CSI Sec" dataDxfId="577" dataCellStyle="Normal 2"/>
    <tableColumn id="4" xr3:uid="{DFAC83EF-F670-4E94-A5C8-59064907308B}" name="Description of work" dataDxfId="576" dataCellStyle="Normal 2"/>
    <tableColumn id="5" xr3:uid="{72B34380-5FF9-46C2-886D-B4194FE96C67}" name="Original Contract" dataDxfId="575" dataCellStyle="Currency 2"/>
    <tableColumn id="6" xr3:uid="{DAC0F5C2-FFC4-41E9-ADCC-7AF818789983}" name="Actual Buyout" dataDxfId="574" dataCellStyle="Currency 2"/>
    <tableColumn id="7" xr3:uid="{325D023A-2A01-4DAD-B1AA-12CEEE8DAAE5}" name="Change Orders" dataDxfId="573" dataCellStyle="Currency 2">
      <calculatedColumnFormula>0</calculatedColumnFormula>
    </tableColumn>
    <tableColumn id="8" xr3:uid="{D4DE36EE-2F51-451C-B9F6-0DB66A168AEA}" name="Revised Contract" dataDxfId="572" dataCellStyle="Currency 2">
      <calculatedColumnFormula>GCGenCon39243281[[#This Row],[Actual Buyout]]+GCGenCon39243281[[#This Row],[Change Orders]]</calculatedColumnFormula>
    </tableColumn>
    <tableColumn id="9" xr3:uid="{8B8C4359-B5BD-42FB-9506-44FF762344E3}" name="Total completed and Stored" dataDxfId="571" dataCellStyle="Currency 2"/>
    <tableColumn id="10" xr3:uid="{EE39722D-F0FC-404C-94B9-FDD02F07732C}" name="Delta" dataDxfId="570" dataCellStyle="Currency 2">
      <calculatedColumnFormula>GCGenCon39243281[[#This Row],[Original Contract]]-GCGenCon39243281[[#This Row],[Change Orders]]</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5" totalsRowShown="0">
  <autoFilter ref="N1:N55"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3" totalsRowShown="0">
  <autoFilter ref="D1:D3" xr:uid="{15777D9D-6779-4FD7-90E0-A1CDA9C14465}"/>
  <tableColumns count="1">
    <tableColumn id="1" xr3:uid="{556B51E3-F7D1-4A93-84ED-16B0962F3A71}" name="Brazil"/>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569" dataDxfId="567" headerRowBorderDxfId="568" tableBorderDxfId="566" totalsRowBorderDxfId="565">
  <autoFilter ref="G1:G13" xr:uid="{50E0D627-CEB4-488F-9F71-64170FDB9BF0}"/>
  <tableColumns count="1">
    <tableColumn id="1" xr3:uid="{AA587ECA-C359-4344-9F2A-5CEB2D2EF97D}" name="UK" dataDxfId="564"/>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7" xr:uid="{9680B01D-3F76-4AD3-9293-ECF3C7FB6E77}" name="Table2" displayName="Table2" ref="R1:R18" totalsRowShown="0" headerRowDxfId="563" dataDxfId="562">
  <autoFilter ref="R1:R18" xr:uid="{ED48A971-02BF-4505-98CB-67B4D4AFD9FB}"/>
  <tableColumns count="1">
    <tableColumn id="1" xr3:uid="{956055B9-BA73-42DA-AF6F-90EFC93BA435}" name="Drop Down 2: Material Type" dataDxfId="561"/>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8" xr:uid="{95179150-CE86-4A80-9031-08031AA82A26}" name="Table4" displayName="Table4" ref="R20:R30" totalsRowShown="0" headerRowDxfId="560" dataDxfId="559">
  <autoFilter ref="R20:R30" xr:uid="{E9882478-AF0E-4DDE-84FF-1D006D6B3185}"/>
  <tableColumns count="1">
    <tableColumn id="1" xr3:uid="{CA144DD3-DE9E-4BC6-8C4B-B132143D369D}" name="Drop Down 3: Material Stream" dataDxfId="55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2" Type="http://schemas.openxmlformats.org/officeDocument/2006/relationships/vmlDrawing" Target="../drawings/vmlDrawing2.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49.xml"/><Relationship Id="rId18" Type="http://schemas.openxmlformats.org/officeDocument/2006/relationships/table" Target="../tables/table54.xml"/><Relationship Id="rId26" Type="http://schemas.openxmlformats.org/officeDocument/2006/relationships/table" Target="../tables/table62.xml"/><Relationship Id="rId39" Type="http://schemas.openxmlformats.org/officeDocument/2006/relationships/table" Target="../tables/table75.xml"/><Relationship Id="rId21" Type="http://schemas.openxmlformats.org/officeDocument/2006/relationships/table" Target="../tables/table57.xml"/><Relationship Id="rId34" Type="http://schemas.openxmlformats.org/officeDocument/2006/relationships/table" Target="../tables/table70.xml"/><Relationship Id="rId7" Type="http://schemas.openxmlformats.org/officeDocument/2006/relationships/table" Target="../tables/table43.xml"/><Relationship Id="rId2" Type="http://schemas.openxmlformats.org/officeDocument/2006/relationships/vmlDrawing" Target="../drawings/vmlDrawing10.vml"/><Relationship Id="rId16" Type="http://schemas.openxmlformats.org/officeDocument/2006/relationships/table" Target="../tables/table52.xml"/><Relationship Id="rId20" Type="http://schemas.openxmlformats.org/officeDocument/2006/relationships/table" Target="../tables/table56.xml"/><Relationship Id="rId29" Type="http://schemas.openxmlformats.org/officeDocument/2006/relationships/table" Target="../tables/table65.xml"/><Relationship Id="rId41" Type="http://schemas.openxmlformats.org/officeDocument/2006/relationships/comments" Target="../comments10.xml"/><Relationship Id="rId1" Type="http://schemas.openxmlformats.org/officeDocument/2006/relationships/printerSettings" Target="../printerSettings/printerSettings10.bin"/><Relationship Id="rId6" Type="http://schemas.openxmlformats.org/officeDocument/2006/relationships/table" Target="../tables/table42.xml"/><Relationship Id="rId11" Type="http://schemas.openxmlformats.org/officeDocument/2006/relationships/table" Target="../tables/table47.xml"/><Relationship Id="rId24" Type="http://schemas.openxmlformats.org/officeDocument/2006/relationships/table" Target="../tables/table60.xml"/><Relationship Id="rId32" Type="http://schemas.openxmlformats.org/officeDocument/2006/relationships/table" Target="../tables/table68.xml"/><Relationship Id="rId37" Type="http://schemas.openxmlformats.org/officeDocument/2006/relationships/table" Target="../tables/table73.xml"/><Relationship Id="rId40" Type="http://schemas.openxmlformats.org/officeDocument/2006/relationships/table" Target="../tables/table76.xml"/><Relationship Id="rId5" Type="http://schemas.openxmlformats.org/officeDocument/2006/relationships/table" Target="../tables/table41.xml"/><Relationship Id="rId15" Type="http://schemas.openxmlformats.org/officeDocument/2006/relationships/table" Target="../tables/table51.xml"/><Relationship Id="rId23" Type="http://schemas.openxmlformats.org/officeDocument/2006/relationships/table" Target="../tables/table59.xml"/><Relationship Id="rId28" Type="http://schemas.openxmlformats.org/officeDocument/2006/relationships/table" Target="../tables/table64.xml"/><Relationship Id="rId36" Type="http://schemas.openxmlformats.org/officeDocument/2006/relationships/table" Target="../tables/table72.xml"/><Relationship Id="rId10" Type="http://schemas.openxmlformats.org/officeDocument/2006/relationships/table" Target="../tables/table46.xml"/><Relationship Id="rId19" Type="http://schemas.openxmlformats.org/officeDocument/2006/relationships/table" Target="../tables/table55.xml"/><Relationship Id="rId31" Type="http://schemas.openxmlformats.org/officeDocument/2006/relationships/table" Target="../tables/table67.xml"/><Relationship Id="rId4" Type="http://schemas.openxmlformats.org/officeDocument/2006/relationships/table" Target="../tables/table40.xml"/><Relationship Id="rId9" Type="http://schemas.openxmlformats.org/officeDocument/2006/relationships/table" Target="../tables/table45.xml"/><Relationship Id="rId14" Type="http://schemas.openxmlformats.org/officeDocument/2006/relationships/table" Target="../tables/table50.xml"/><Relationship Id="rId22" Type="http://schemas.openxmlformats.org/officeDocument/2006/relationships/table" Target="../tables/table58.xml"/><Relationship Id="rId27" Type="http://schemas.openxmlformats.org/officeDocument/2006/relationships/table" Target="../tables/table63.xml"/><Relationship Id="rId30" Type="http://schemas.openxmlformats.org/officeDocument/2006/relationships/table" Target="../tables/table66.xml"/><Relationship Id="rId35" Type="http://schemas.openxmlformats.org/officeDocument/2006/relationships/table" Target="../tables/table71.xml"/><Relationship Id="rId8" Type="http://schemas.openxmlformats.org/officeDocument/2006/relationships/table" Target="../tables/table44.xml"/><Relationship Id="rId3" Type="http://schemas.openxmlformats.org/officeDocument/2006/relationships/table" Target="../tables/table39.xml"/><Relationship Id="rId12" Type="http://schemas.openxmlformats.org/officeDocument/2006/relationships/table" Target="../tables/table48.xml"/><Relationship Id="rId17" Type="http://schemas.openxmlformats.org/officeDocument/2006/relationships/table" Target="../tables/table53.xml"/><Relationship Id="rId25" Type="http://schemas.openxmlformats.org/officeDocument/2006/relationships/table" Target="../tables/table61.xml"/><Relationship Id="rId33" Type="http://schemas.openxmlformats.org/officeDocument/2006/relationships/table" Target="../tables/table69.xml"/><Relationship Id="rId38"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83.xml"/><Relationship Id="rId13" Type="http://schemas.openxmlformats.org/officeDocument/2006/relationships/table" Target="../tables/table88.xml"/><Relationship Id="rId3" Type="http://schemas.openxmlformats.org/officeDocument/2006/relationships/table" Target="../tables/table78.xml"/><Relationship Id="rId7" Type="http://schemas.openxmlformats.org/officeDocument/2006/relationships/table" Target="../tables/table82.xml"/><Relationship Id="rId12" Type="http://schemas.openxmlformats.org/officeDocument/2006/relationships/table" Target="../tables/table87.xml"/><Relationship Id="rId17" Type="http://schemas.openxmlformats.org/officeDocument/2006/relationships/table" Target="../tables/table92.xml"/><Relationship Id="rId2" Type="http://schemas.openxmlformats.org/officeDocument/2006/relationships/table" Target="../tables/table77.xml"/><Relationship Id="rId16" Type="http://schemas.openxmlformats.org/officeDocument/2006/relationships/table" Target="../tables/table91.xml"/><Relationship Id="rId1" Type="http://schemas.openxmlformats.org/officeDocument/2006/relationships/printerSettings" Target="../printerSettings/printerSettings13.bin"/><Relationship Id="rId6" Type="http://schemas.openxmlformats.org/officeDocument/2006/relationships/table" Target="../tables/table81.xml"/><Relationship Id="rId11" Type="http://schemas.openxmlformats.org/officeDocument/2006/relationships/table" Target="../tables/table86.xml"/><Relationship Id="rId5" Type="http://schemas.openxmlformats.org/officeDocument/2006/relationships/table" Target="../tables/table80.xml"/><Relationship Id="rId15" Type="http://schemas.openxmlformats.org/officeDocument/2006/relationships/table" Target="../tables/table90.xml"/><Relationship Id="rId10" Type="http://schemas.openxmlformats.org/officeDocument/2006/relationships/table" Target="../tables/table85.xml"/><Relationship Id="rId4" Type="http://schemas.openxmlformats.org/officeDocument/2006/relationships/table" Target="../tables/table79.xml"/><Relationship Id="rId9" Type="http://schemas.openxmlformats.org/officeDocument/2006/relationships/table" Target="../tables/table84.xml"/><Relationship Id="rId14" Type="http://schemas.openxmlformats.org/officeDocument/2006/relationships/table" Target="../tables/table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84"/>
  <sheetViews>
    <sheetView showGridLines="0" workbookViewId="0">
      <selection activeCell="H107" sqref="H107"/>
    </sheetView>
  </sheetViews>
  <sheetFormatPr defaultRowHeight="14.5" x14ac:dyDescent="0.35"/>
  <cols>
    <col min="1" max="1" width="3.81640625" customWidth="1"/>
    <col min="2" max="2" width="9" customWidth="1"/>
    <col min="3" max="9" width="20.81640625" customWidth="1"/>
  </cols>
  <sheetData>
    <row r="2" spans="1:9" ht="28" customHeight="1" thickBot="1" x14ac:dyDescent="0.4">
      <c r="B2" s="47" t="s">
        <v>581</v>
      </c>
      <c r="C2" s="48"/>
      <c r="D2" s="48"/>
      <c r="E2" s="48"/>
      <c r="F2" s="48"/>
      <c r="G2" s="49"/>
      <c r="H2" s="49"/>
      <c r="I2" s="49"/>
    </row>
    <row r="3" spans="1:9" ht="18" customHeight="1" thickTop="1" x14ac:dyDescent="0.35">
      <c r="B3" s="50" t="s">
        <v>582</v>
      </c>
      <c r="C3" s="51"/>
      <c r="D3" s="51"/>
      <c r="E3" s="51"/>
      <c r="F3" s="51"/>
      <c r="G3" s="52"/>
      <c r="H3" s="52"/>
      <c r="I3" s="52"/>
    </row>
    <row r="4" spans="1:9" ht="18" customHeight="1" x14ac:dyDescent="0.35">
      <c r="G4" s="53"/>
      <c r="H4" s="53"/>
      <c r="I4" s="53"/>
    </row>
    <row r="5" spans="1:9" ht="18" customHeight="1" x14ac:dyDescent="0.35">
      <c r="B5" s="54" t="s">
        <v>583</v>
      </c>
      <c r="C5" s="55"/>
      <c r="D5" s="55"/>
      <c r="E5" s="55"/>
      <c r="F5" s="55"/>
      <c r="G5" s="56"/>
      <c r="H5" s="56"/>
      <c r="I5" s="56"/>
    </row>
    <row r="6" spans="1:9" ht="18" customHeight="1" x14ac:dyDescent="0.35">
      <c r="B6" s="55" t="s">
        <v>584</v>
      </c>
      <c r="C6" s="55"/>
      <c r="D6" s="55"/>
      <c r="E6" s="55"/>
      <c r="F6" s="55"/>
      <c r="G6" s="56"/>
      <c r="H6" s="56"/>
      <c r="I6" s="56"/>
    </row>
    <row r="7" spans="1:9" ht="18" customHeight="1" x14ac:dyDescent="0.35">
      <c r="B7" s="560"/>
      <c r="C7" s="560"/>
      <c r="D7" s="560"/>
      <c r="E7" s="560"/>
      <c r="F7" s="55"/>
      <c r="G7" s="56"/>
      <c r="H7" s="56"/>
      <c r="I7" s="56"/>
    </row>
    <row r="8" spans="1:9" ht="18" customHeight="1" x14ac:dyDescent="0.35">
      <c r="B8" s="57"/>
      <c r="G8" s="53"/>
      <c r="H8" s="53"/>
      <c r="I8" s="53"/>
    </row>
    <row r="9" spans="1:9" ht="21.75" customHeight="1" thickBot="1" x14ac:dyDescent="0.4">
      <c r="A9" s="58"/>
      <c r="B9" s="59" t="s">
        <v>579</v>
      </c>
      <c r="C9" s="60"/>
      <c r="D9" s="60"/>
      <c r="E9" s="60"/>
      <c r="F9" s="60"/>
      <c r="G9" s="61"/>
      <c r="H9" s="61"/>
      <c r="I9" s="61"/>
    </row>
    <row r="10" spans="1:9" ht="21" customHeight="1" x14ac:dyDescent="0.35">
      <c r="A10" s="58"/>
      <c r="B10" s="62" t="s">
        <v>585</v>
      </c>
      <c r="C10" s="63"/>
      <c r="D10" s="63"/>
      <c r="E10" s="63"/>
      <c r="F10" s="63"/>
      <c r="G10" s="64"/>
      <c r="H10" s="64"/>
      <c r="I10" s="64"/>
    </row>
    <row r="11" spans="1:9" ht="18" customHeight="1" x14ac:dyDescent="0.35">
      <c r="B11" s="62" t="s">
        <v>586</v>
      </c>
      <c r="F11" s="65"/>
      <c r="G11" s="53"/>
      <c r="H11" s="53"/>
      <c r="I11" s="53"/>
    </row>
    <row r="12" spans="1:9" ht="18" customHeight="1" x14ac:dyDescent="0.35">
      <c r="B12" s="62" t="s">
        <v>587</v>
      </c>
      <c r="G12" s="53"/>
      <c r="H12" s="53"/>
      <c r="I12" s="53"/>
    </row>
    <row r="13" spans="1:9" ht="18" customHeight="1" x14ac:dyDescent="0.35">
      <c r="B13" s="66" t="s">
        <v>588</v>
      </c>
      <c r="G13" s="53"/>
      <c r="H13" s="53"/>
      <c r="I13" s="53"/>
    </row>
    <row r="14" spans="1:9" ht="18" customHeight="1" x14ac:dyDescent="0.35">
      <c r="B14" s="57"/>
      <c r="D14" s="67"/>
      <c r="G14" s="53"/>
      <c r="H14" s="53"/>
      <c r="I14" s="53"/>
    </row>
    <row r="15" spans="1:9" ht="18" customHeight="1" x14ac:dyDescent="0.35">
      <c r="G15" s="53"/>
      <c r="H15" s="53"/>
      <c r="I15" s="53"/>
    </row>
    <row r="16" spans="1:9" ht="18" customHeight="1" x14ac:dyDescent="0.35">
      <c r="G16" s="53"/>
      <c r="H16" s="53"/>
      <c r="I16" s="53"/>
    </row>
    <row r="17" spans="1:9" ht="18" customHeight="1" x14ac:dyDescent="0.35">
      <c r="B17" s="68"/>
      <c r="G17" s="53"/>
      <c r="H17" s="53"/>
      <c r="I17" s="53"/>
    </row>
    <row r="18" spans="1:9" ht="21.75" customHeight="1" x14ac:dyDescent="0.35">
      <c r="B18" s="62"/>
      <c r="G18" s="53"/>
      <c r="H18" s="53"/>
      <c r="I18" s="53"/>
    </row>
    <row r="19" spans="1:9" ht="18" customHeight="1" x14ac:dyDescent="0.35">
      <c r="B19" s="62" t="s">
        <v>589</v>
      </c>
      <c r="G19" s="53"/>
      <c r="H19" s="53"/>
      <c r="I19" s="53"/>
    </row>
    <row r="20" spans="1:9" ht="15" customHeight="1" x14ac:dyDescent="0.35">
      <c r="B20" s="68"/>
      <c r="G20" s="53"/>
      <c r="H20" s="53"/>
      <c r="I20" s="53"/>
    </row>
    <row r="21" spans="1:9" ht="18" customHeight="1" x14ac:dyDescent="0.35">
      <c r="B21" s="68"/>
      <c r="G21" s="53"/>
      <c r="H21" s="53"/>
      <c r="I21" s="53"/>
    </row>
    <row r="22" spans="1:9" ht="18" customHeight="1" x14ac:dyDescent="0.35">
      <c r="B22" s="68"/>
      <c r="G22" s="53"/>
      <c r="H22" s="53"/>
      <c r="I22" s="53"/>
    </row>
    <row r="23" spans="1:9" ht="18" customHeight="1" x14ac:dyDescent="0.35">
      <c r="B23" s="68"/>
      <c r="G23" s="53"/>
      <c r="H23" s="53"/>
      <c r="I23" s="53"/>
    </row>
    <row r="24" spans="1:9" ht="18" customHeight="1" x14ac:dyDescent="0.35">
      <c r="B24" s="68"/>
      <c r="G24" s="53"/>
      <c r="H24" s="53"/>
      <c r="I24" s="53"/>
    </row>
    <row r="25" spans="1:9" ht="18" customHeight="1" x14ac:dyDescent="0.35">
      <c r="B25" s="68"/>
      <c r="G25" s="53"/>
      <c r="H25" s="53"/>
      <c r="I25" s="53"/>
    </row>
    <row r="26" spans="1:9" ht="18" customHeight="1" x14ac:dyDescent="0.35">
      <c r="B26" s="68"/>
      <c r="G26" s="53"/>
      <c r="H26" s="53"/>
      <c r="I26" s="53"/>
    </row>
    <row r="27" spans="1:9" ht="18" customHeight="1" x14ac:dyDescent="0.35">
      <c r="B27" s="69" t="s">
        <v>590</v>
      </c>
      <c r="C27" s="55"/>
      <c r="D27" s="55"/>
      <c r="E27" s="55"/>
      <c r="G27" s="53"/>
      <c r="H27" s="53"/>
      <c r="I27" s="53"/>
    </row>
    <row r="28" spans="1:9" ht="18" customHeight="1" x14ac:dyDescent="0.35">
      <c r="B28" s="57"/>
      <c r="G28" s="53"/>
      <c r="H28" s="53"/>
      <c r="I28" s="53"/>
    </row>
    <row r="29" spans="1:9" ht="18" customHeight="1" x14ac:dyDescent="0.35">
      <c r="B29" s="57"/>
      <c r="G29" s="53"/>
      <c r="H29" s="53"/>
      <c r="I29" s="53"/>
    </row>
    <row r="30" spans="1:9" ht="18" customHeight="1" thickBot="1" x14ac:dyDescent="0.4">
      <c r="A30" s="58"/>
      <c r="B30" s="59" t="s">
        <v>580</v>
      </c>
      <c r="C30" s="60"/>
      <c r="D30" s="60"/>
      <c r="E30" s="60"/>
      <c r="F30" s="60"/>
      <c r="G30" s="61"/>
      <c r="H30" s="61"/>
      <c r="I30" s="61"/>
    </row>
    <row r="31" spans="1:9" ht="18" customHeight="1" x14ac:dyDescent="0.35">
      <c r="A31" s="58"/>
      <c r="B31" s="62" t="s">
        <v>591</v>
      </c>
      <c r="C31" s="63"/>
      <c r="D31" s="63"/>
      <c r="E31" s="63"/>
      <c r="F31" s="63"/>
      <c r="G31" s="64"/>
      <c r="H31" s="64"/>
      <c r="I31" s="64"/>
    </row>
    <row r="32" spans="1:9" ht="18" customHeight="1" x14ac:dyDescent="0.35">
      <c r="A32" s="58"/>
      <c r="B32" s="62" t="s">
        <v>592</v>
      </c>
      <c r="C32" s="63"/>
      <c r="D32" s="63"/>
      <c r="E32" s="63"/>
      <c r="F32" s="63"/>
      <c r="G32" s="64"/>
      <c r="H32" s="64"/>
      <c r="I32" s="64"/>
    </row>
    <row r="33" spans="1:9" ht="18" customHeight="1" x14ac:dyDescent="0.35">
      <c r="A33" s="58"/>
      <c r="B33" s="66" t="s">
        <v>593</v>
      </c>
      <c r="C33" s="63"/>
      <c r="D33" s="63"/>
      <c r="E33" s="63"/>
      <c r="F33" s="63"/>
      <c r="G33" s="64"/>
      <c r="H33" s="64"/>
      <c r="I33" s="64"/>
    </row>
    <row r="34" spans="1:9" ht="18" customHeight="1" x14ac:dyDescent="0.35">
      <c r="A34" s="58"/>
      <c r="B34" s="62" t="s">
        <v>594</v>
      </c>
      <c r="C34" s="63"/>
      <c r="D34" s="63"/>
      <c r="E34" s="63"/>
      <c r="F34" s="63"/>
      <c r="G34" s="64"/>
      <c r="H34" s="64"/>
      <c r="I34" s="64"/>
    </row>
    <row r="35" spans="1:9" ht="18" customHeight="1" x14ac:dyDescent="0.35">
      <c r="A35" s="58"/>
      <c r="B35" s="561" t="s">
        <v>595</v>
      </c>
      <c r="C35" s="561"/>
      <c r="D35" s="561"/>
      <c r="E35" s="561"/>
      <c r="F35" s="63"/>
      <c r="G35" s="64"/>
      <c r="H35" s="64"/>
      <c r="I35" s="64"/>
    </row>
    <row r="36" spans="1:9" ht="18" customHeight="1" x14ac:dyDescent="0.35">
      <c r="B36" s="561"/>
      <c r="C36" s="561"/>
      <c r="D36" s="561"/>
      <c r="E36" s="561"/>
      <c r="G36" s="53"/>
      <c r="H36" s="53"/>
      <c r="I36" s="53"/>
    </row>
    <row r="37" spans="1:9" ht="18" customHeight="1" x14ac:dyDescent="0.35">
      <c r="G37" s="53"/>
      <c r="H37" s="53"/>
      <c r="I37" s="53"/>
    </row>
    <row r="38" spans="1:9" ht="18" customHeight="1" x14ac:dyDescent="0.35">
      <c r="G38" s="53"/>
      <c r="H38" s="53"/>
      <c r="I38" s="53"/>
    </row>
    <row r="39" spans="1:9" ht="18" customHeight="1" x14ac:dyDescent="0.35">
      <c r="G39" s="53"/>
      <c r="H39" s="53"/>
      <c r="I39" s="53"/>
    </row>
    <row r="40" spans="1:9" ht="18" customHeight="1" x14ac:dyDescent="0.35">
      <c r="B40" s="62"/>
      <c r="G40" s="53"/>
      <c r="H40" s="53"/>
      <c r="I40" s="53"/>
    </row>
    <row r="41" spans="1:9" ht="18" customHeight="1" x14ac:dyDescent="0.35">
      <c r="G41" s="53"/>
      <c r="H41" s="53"/>
      <c r="I41" s="53"/>
    </row>
    <row r="42" spans="1:9" ht="18" customHeight="1" x14ac:dyDescent="0.35">
      <c r="G42" s="53"/>
      <c r="H42" s="53"/>
      <c r="I42" s="53"/>
    </row>
    <row r="43" spans="1:9" ht="18" customHeight="1" x14ac:dyDescent="0.35">
      <c r="B43" s="62" t="s">
        <v>596</v>
      </c>
      <c r="G43" s="53"/>
      <c r="H43" s="53"/>
      <c r="I43" s="53"/>
    </row>
    <row r="44" spans="1:9" ht="18" customHeight="1" x14ac:dyDescent="0.35">
      <c r="G44" s="53"/>
      <c r="H44" s="53"/>
      <c r="I44" s="53"/>
    </row>
    <row r="45" spans="1:9" ht="18" customHeight="1" x14ac:dyDescent="0.35">
      <c r="G45" s="53"/>
      <c r="H45" s="53"/>
      <c r="I45" s="53"/>
    </row>
    <row r="46" spans="1:9" ht="18" customHeight="1" x14ac:dyDescent="0.35">
      <c r="G46" s="53"/>
      <c r="H46" s="53"/>
      <c r="I46" s="53"/>
    </row>
    <row r="47" spans="1:9" ht="18" customHeight="1" x14ac:dyDescent="0.35">
      <c r="G47" s="53"/>
      <c r="H47" s="53"/>
      <c r="I47" s="53"/>
    </row>
    <row r="48" spans="1:9" ht="18" customHeight="1" x14ac:dyDescent="0.35">
      <c r="G48" s="53"/>
      <c r="H48" s="53"/>
      <c r="I48" s="53"/>
    </row>
    <row r="49" spans="1:9" ht="18" customHeight="1" x14ac:dyDescent="0.35">
      <c r="G49" s="53"/>
      <c r="H49" s="53"/>
      <c r="I49" s="53"/>
    </row>
    <row r="50" spans="1:9" ht="18" customHeight="1" x14ac:dyDescent="0.35">
      <c r="G50" s="53"/>
      <c r="H50" s="53"/>
      <c r="I50" s="53"/>
    </row>
    <row r="51" spans="1:9" ht="18" customHeight="1" x14ac:dyDescent="0.35">
      <c r="B51" s="562" t="s">
        <v>597</v>
      </c>
      <c r="C51" s="562"/>
      <c r="D51" s="562"/>
      <c r="E51" s="562"/>
      <c r="G51" s="53"/>
      <c r="H51" s="53"/>
      <c r="I51" s="53"/>
    </row>
    <row r="52" spans="1:9" ht="18" customHeight="1" x14ac:dyDescent="0.35">
      <c r="B52" s="562"/>
      <c r="C52" s="562"/>
      <c r="D52" s="562"/>
      <c r="E52" s="562"/>
      <c r="G52" s="53"/>
      <c r="H52" s="53"/>
      <c r="I52" s="53"/>
    </row>
    <row r="53" spans="1:9" ht="18" customHeight="1" x14ac:dyDescent="0.35">
      <c r="B53" s="562"/>
      <c r="C53" s="562"/>
      <c r="D53" s="562"/>
      <c r="E53" s="562"/>
      <c r="G53" s="53"/>
      <c r="H53" s="53"/>
      <c r="I53" s="53"/>
    </row>
    <row r="54" spans="1:9" ht="18" customHeight="1" x14ac:dyDescent="0.35">
      <c r="G54" s="53"/>
      <c r="H54" s="53"/>
      <c r="I54" s="53"/>
    </row>
    <row r="55" spans="1:9" ht="18" customHeight="1" x14ac:dyDescent="0.35">
      <c r="B55" s="62" t="s">
        <v>598</v>
      </c>
      <c r="G55" s="53"/>
      <c r="H55" s="53"/>
      <c r="I55" s="53"/>
    </row>
    <row r="56" spans="1:9" ht="18" customHeight="1" x14ac:dyDescent="0.35">
      <c r="G56" s="53"/>
      <c r="H56" s="53"/>
      <c r="I56" s="53"/>
    </row>
    <row r="57" spans="1:9" ht="18" customHeight="1" x14ac:dyDescent="0.35">
      <c r="G57" s="53"/>
      <c r="H57" s="53"/>
      <c r="I57" s="53"/>
    </row>
    <row r="58" spans="1:9" ht="18" customHeight="1" thickBot="1" x14ac:dyDescent="0.55000000000000004">
      <c r="A58" s="58"/>
      <c r="B58" s="70" t="s">
        <v>599</v>
      </c>
      <c r="C58" s="71"/>
      <c r="D58" s="71"/>
      <c r="E58" s="71"/>
      <c r="F58" s="71"/>
      <c r="G58" s="72"/>
      <c r="H58" s="72"/>
      <c r="I58" s="72"/>
    </row>
    <row r="59" spans="1:9" ht="18" customHeight="1" x14ac:dyDescent="0.35">
      <c r="A59" s="58"/>
      <c r="C59" s="73"/>
      <c r="D59" s="73"/>
      <c r="E59" s="73"/>
      <c r="F59" s="73"/>
      <c r="G59" s="74"/>
      <c r="H59" s="74"/>
      <c r="I59" s="74"/>
    </row>
    <row r="60" spans="1:9" ht="18" customHeight="1" x14ac:dyDescent="0.35">
      <c r="B60" s="75" t="s">
        <v>600</v>
      </c>
      <c r="G60" s="53"/>
      <c r="H60" s="53"/>
      <c r="I60" s="53"/>
    </row>
    <row r="61" spans="1:9" ht="18" customHeight="1" x14ac:dyDescent="0.35">
      <c r="B61" t="s">
        <v>601</v>
      </c>
      <c r="G61" s="53"/>
      <c r="H61" s="53"/>
      <c r="I61" s="53"/>
    </row>
    <row r="62" spans="1:9" ht="18" customHeight="1" x14ac:dyDescent="0.35">
      <c r="B62" t="s">
        <v>602</v>
      </c>
      <c r="G62" s="53"/>
      <c r="H62" s="53"/>
      <c r="I62" s="53"/>
    </row>
    <row r="63" spans="1:9" ht="18" customHeight="1" x14ac:dyDescent="0.35">
      <c r="C63" t="s">
        <v>603</v>
      </c>
      <c r="G63" s="53"/>
      <c r="H63" s="53"/>
      <c r="I63" s="53"/>
    </row>
    <row r="64" spans="1:9" ht="18" customHeight="1" x14ac:dyDescent="0.35">
      <c r="C64" t="s">
        <v>604</v>
      </c>
      <c r="G64" s="53"/>
      <c r="H64" s="53"/>
      <c r="I64" s="53"/>
    </row>
    <row r="65" spans="1:9" ht="18" customHeight="1" x14ac:dyDescent="0.35">
      <c r="C65" t="s">
        <v>605</v>
      </c>
      <c r="G65" s="53"/>
      <c r="H65" s="53"/>
      <c r="I65" s="53"/>
    </row>
    <row r="66" spans="1:9" ht="18" customHeight="1" x14ac:dyDescent="0.35">
      <c r="C66" t="s">
        <v>606</v>
      </c>
      <c r="G66" s="53"/>
      <c r="H66" s="53"/>
      <c r="I66" s="53"/>
    </row>
    <row r="67" spans="1:9" ht="18" customHeight="1" x14ac:dyDescent="0.35">
      <c r="C67" t="s">
        <v>607</v>
      </c>
      <c r="G67" s="53"/>
      <c r="H67" s="53"/>
      <c r="I67" s="53"/>
    </row>
    <row r="68" spans="1:9" ht="18" customHeight="1" x14ac:dyDescent="0.35"/>
    <row r="69" spans="1:9" ht="18" customHeight="1" x14ac:dyDescent="0.35">
      <c r="B69" t="s">
        <v>608</v>
      </c>
    </row>
    <row r="70" spans="1:9" ht="18" customHeight="1" x14ac:dyDescent="0.35">
      <c r="B70" t="s">
        <v>609</v>
      </c>
    </row>
    <row r="71" spans="1:9" ht="18" customHeight="1" x14ac:dyDescent="0.35"/>
    <row r="72" spans="1:9" ht="18" customHeight="1" x14ac:dyDescent="0.35">
      <c r="B72" t="s">
        <v>610</v>
      </c>
    </row>
    <row r="73" spans="1:9" ht="18" customHeight="1" x14ac:dyDescent="0.35">
      <c r="B73" t="s">
        <v>611</v>
      </c>
    </row>
    <row r="74" spans="1:9" ht="18" customHeight="1" x14ac:dyDescent="0.35"/>
    <row r="75" spans="1:9" ht="18" customHeight="1" x14ac:dyDescent="0.35"/>
    <row r="76" spans="1:9" ht="18" customHeight="1" x14ac:dyDescent="0.35">
      <c r="B76" s="75" t="s">
        <v>612</v>
      </c>
      <c r="G76" s="53"/>
      <c r="H76" s="53"/>
    </row>
    <row r="77" spans="1:9" ht="18" customHeight="1" x14ac:dyDescent="0.35">
      <c r="B77" s="76"/>
      <c r="C77" s="77"/>
      <c r="D77" s="77"/>
      <c r="E77" s="77"/>
      <c r="F77" s="77"/>
      <c r="G77" s="78"/>
      <c r="H77" s="78"/>
      <c r="I77" s="78"/>
    </row>
    <row r="78" spans="1:9" ht="18" customHeight="1" x14ac:dyDescent="0.35">
      <c r="A78" s="58"/>
      <c r="B78" s="79" t="s">
        <v>613</v>
      </c>
      <c r="C78" s="80"/>
      <c r="D78" s="80"/>
      <c r="E78" s="80"/>
      <c r="F78" s="80"/>
      <c r="G78" s="81"/>
      <c r="H78" s="81"/>
      <c r="I78" s="81"/>
    </row>
    <row r="79" spans="1:9" ht="18" customHeight="1" x14ac:dyDescent="0.35">
      <c r="A79" s="58"/>
      <c r="B79" s="82" t="s">
        <v>614</v>
      </c>
      <c r="C79" s="73"/>
      <c r="D79" s="73"/>
      <c r="E79" s="73"/>
      <c r="F79" s="73"/>
      <c r="G79" s="83" t="s">
        <v>615</v>
      </c>
      <c r="H79" s="74"/>
      <c r="I79" s="74"/>
    </row>
    <row r="80" spans="1:9" ht="18" customHeight="1" x14ac:dyDescent="0.35">
      <c r="A80" s="58"/>
      <c r="B80" s="84"/>
      <c r="C80" s="73"/>
      <c r="D80" s="73"/>
      <c r="E80" s="73"/>
      <c r="F80" s="73"/>
      <c r="G80" s="74"/>
      <c r="H80" s="74"/>
      <c r="I80" s="74"/>
    </row>
    <row r="81" spans="1:9" ht="18" customHeight="1" x14ac:dyDescent="0.35">
      <c r="A81" s="58"/>
      <c r="B81" s="85"/>
      <c r="C81" s="86" t="s">
        <v>616</v>
      </c>
      <c r="D81" s="73"/>
      <c r="E81" s="73"/>
      <c r="F81" s="73"/>
      <c r="G81" s="74"/>
      <c r="H81" s="74"/>
      <c r="I81" s="74"/>
    </row>
    <row r="82" spans="1:9" ht="18" customHeight="1" x14ac:dyDescent="0.35">
      <c r="A82" s="58"/>
      <c r="B82" s="87"/>
      <c r="C82" s="88" t="s">
        <v>617</v>
      </c>
      <c r="D82" s="73"/>
      <c r="E82" s="73"/>
      <c r="F82" s="73"/>
      <c r="G82" s="74"/>
      <c r="H82" s="74"/>
      <c r="I82" s="74"/>
    </row>
    <row r="83" spans="1:9" ht="18" customHeight="1" x14ac:dyDescent="0.35">
      <c r="A83" s="58"/>
      <c r="B83" s="1"/>
      <c r="C83" s="73"/>
      <c r="D83" s="73"/>
      <c r="E83" s="73"/>
      <c r="F83" s="73"/>
      <c r="G83" s="74"/>
      <c r="H83" s="74"/>
      <c r="I83" s="74"/>
    </row>
    <row r="84" spans="1:9" ht="18" customHeight="1" x14ac:dyDescent="0.35">
      <c r="A84" s="58"/>
      <c r="B84" s="1"/>
      <c r="C84" s="86" t="s">
        <v>618</v>
      </c>
      <c r="D84" s="73"/>
      <c r="E84" s="73"/>
      <c r="F84" s="73"/>
      <c r="G84" s="74"/>
      <c r="H84" s="74"/>
      <c r="I84" s="74"/>
    </row>
    <row r="85" spans="1:9" ht="18" customHeight="1" x14ac:dyDescent="0.35">
      <c r="A85" s="58"/>
      <c r="B85" s="1"/>
      <c r="C85" s="563" t="s">
        <v>619</v>
      </c>
      <c r="D85" s="563"/>
      <c r="E85" s="73"/>
      <c r="F85" s="73"/>
      <c r="G85" s="74"/>
      <c r="H85" s="74"/>
      <c r="I85" s="74"/>
    </row>
    <row r="86" spans="1:9" ht="18" customHeight="1" x14ac:dyDescent="0.35">
      <c r="A86" s="58"/>
      <c r="B86" s="1"/>
      <c r="C86" s="385"/>
      <c r="D86" s="385"/>
      <c r="E86" s="73"/>
      <c r="F86" s="73"/>
      <c r="G86" s="74"/>
      <c r="H86" s="74"/>
      <c r="I86" s="74"/>
    </row>
    <row r="87" spans="1:9" ht="18" customHeight="1" x14ac:dyDescent="0.35">
      <c r="A87" s="58"/>
      <c r="B87" s="57" t="s">
        <v>620</v>
      </c>
      <c r="C87" s="385"/>
      <c r="D87" s="385"/>
      <c r="E87" s="73"/>
      <c r="F87" s="73"/>
      <c r="G87" s="74"/>
      <c r="H87" s="74"/>
      <c r="I87" s="74"/>
    </row>
    <row r="88" spans="1:9" ht="18" customHeight="1" x14ac:dyDescent="0.35">
      <c r="A88" s="58"/>
      <c r="B88" s="76"/>
      <c r="C88" s="77"/>
      <c r="D88" s="77"/>
      <c r="E88" s="77"/>
      <c r="F88" s="77"/>
      <c r="G88" s="78"/>
      <c r="H88" s="78"/>
      <c r="I88" s="78"/>
    </row>
    <row r="89" spans="1:9" ht="18" customHeight="1" x14ac:dyDescent="0.35">
      <c r="A89" s="58"/>
      <c r="B89" s="79" t="s">
        <v>621</v>
      </c>
      <c r="C89" s="80"/>
      <c r="D89" s="80"/>
      <c r="E89" s="80"/>
      <c r="F89" s="80"/>
      <c r="G89" s="81"/>
      <c r="H89" s="81"/>
      <c r="I89" s="81"/>
    </row>
    <row r="90" spans="1:9" ht="18" customHeight="1" x14ac:dyDescent="0.35">
      <c r="A90" s="58"/>
      <c r="B90" s="1" t="s">
        <v>622</v>
      </c>
      <c r="C90" s="73"/>
      <c r="D90" s="73"/>
      <c r="E90" s="73"/>
      <c r="F90" s="73"/>
      <c r="G90" s="74"/>
      <c r="H90" s="74"/>
      <c r="I90" s="74"/>
    </row>
    <row r="91" spans="1:9" ht="18" customHeight="1" x14ac:dyDescent="0.35">
      <c r="B91" s="1" t="s">
        <v>623</v>
      </c>
      <c r="G91" s="53"/>
      <c r="H91" s="53"/>
      <c r="I91" s="53"/>
    </row>
    <row r="92" spans="1:9" ht="18" customHeight="1" x14ac:dyDescent="0.35">
      <c r="B92" s="1" t="s">
        <v>624</v>
      </c>
      <c r="G92" s="53"/>
      <c r="H92" s="53"/>
      <c r="I92" s="53"/>
    </row>
    <row r="93" spans="1:9" ht="18" customHeight="1" x14ac:dyDescent="0.35">
      <c r="C93" t="s">
        <v>625</v>
      </c>
      <c r="G93" s="53"/>
      <c r="H93" s="53"/>
      <c r="I93" s="53"/>
    </row>
    <row r="94" spans="1:9" ht="18" customHeight="1" x14ac:dyDescent="0.35">
      <c r="C94" t="s">
        <v>626</v>
      </c>
      <c r="G94" s="53"/>
      <c r="H94" s="53"/>
      <c r="I94" s="53"/>
    </row>
    <row r="95" spans="1:9" ht="18" customHeight="1" x14ac:dyDescent="0.35">
      <c r="C95" s="82" t="s">
        <v>627</v>
      </c>
      <c r="G95" s="53"/>
      <c r="H95" s="53"/>
      <c r="I95" s="53"/>
    </row>
    <row r="96" spans="1:9" ht="18" customHeight="1" x14ac:dyDescent="0.35">
      <c r="G96" s="53"/>
      <c r="H96" s="53"/>
      <c r="I96" s="53"/>
    </row>
    <row r="97" spans="3:9" ht="18" customHeight="1" x14ac:dyDescent="0.35">
      <c r="G97" s="53"/>
      <c r="H97" s="53"/>
      <c r="I97" s="53"/>
    </row>
    <row r="98" spans="3:9" ht="18" customHeight="1" x14ac:dyDescent="0.35">
      <c r="G98" s="53"/>
      <c r="H98" s="53"/>
      <c r="I98" s="53"/>
    </row>
    <row r="99" spans="3:9" ht="18" customHeight="1" x14ac:dyDescent="0.35">
      <c r="G99" s="53"/>
      <c r="H99" s="53"/>
      <c r="I99" s="53"/>
    </row>
    <row r="100" spans="3:9" ht="18" customHeight="1" x14ac:dyDescent="0.35">
      <c r="G100" s="53"/>
      <c r="H100" s="53"/>
      <c r="I100" s="53"/>
    </row>
    <row r="101" spans="3:9" ht="18" customHeight="1" x14ac:dyDescent="0.35">
      <c r="G101" s="53"/>
      <c r="H101" s="53"/>
      <c r="I101" s="53"/>
    </row>
    <row r="102" spans="3:9" ht="18" customHeight="1" x14ac:dyDescent="0.35">
      <c r="G102" s="53"/>
      <c r="H102" s="53"/>
      <c r="I102" s="53"/>
    </row>
    <row r="103" spans="3:9" ht="18" customHeight="1" x14ac:dyDescent="0.35">
      <c r="G103" s="53"/>
      <c r="H103" s="53"/>
      <c r="I103" s="53"/>
    </row>
    <row r="104" spans="3:9" ht="18" customHeight="1" x14ac:dyDescent="0.35">
      <c r="G104" s="53"/>
      <c r="H104" s="53"/>
      <c r="I104" s="53"/>
    </row>
    <row r="105" spans="3:9" ht="18" customHeight="1" x14ac:dyDescent="0.35">
      <c r="G105" s="53"/>
      <c r="H105" s="53"/>
      <c r="I105" s="53"/>
    </row>
    <row r="106" spans="3:9" ht="18" customHeight="1" x14ac:dyDescent="0.35">
      <c r="G106" s="53"/>
      <c r="H106" s="53"/>
      <c r="I106" s="53"/>
    </row>
    <row r="107" spans="3:9" ht="18" customHeight="1" x14ac:dyDescent="0.35">
      <c r="G107" s="53"/>
      <c r="H107" s="53"/>
      <c r="I107" s="53"/>
    </row>
    <row r="108" spans="3:9" ht="18" customHeight="1" x14ac:dyDescent="0.35">
      <c r="G108" s="53"/>
      <c r="H108" s="53"/>
      <c r="I108" s="53"/>
    </row>
    <row r="109" spans="3:9" ht="18" customHeight="1" x14ac:dyDescent="0.35">
      <c r="G109" s="53"/>
      <c r="H109" s="53"/>
      <c r="I109" s="53"/>
    </row>
    <row r="110" spans="3:9" ht="18" customHeight="1" x14ac:dyDescent="0.35">
      <c r="C110" s="1" t="s">
        <v>1144</v>
      </c>
      <c r="G110" s="53"/>
      <c r="H110" s="53"/>
      <c r="I110" s="53"/>
    </row>
    <row r="111" spans="3:9" ht="18" customHeight="1" x14ac:dyDescent="0.35">
      <c r="G111" s="53"/>
      <c r="H111" s="53"/>
      <c r="I111" s="53"/>
    </row>
    <row r="112" spans="3:9" ht="18" customHeight="1" x14ac:dyDescent="0.35">
      <c r="G112" s="53"/>
      <c r="H112" s="53"/>
      <c r="I112" s="53"/>
    </row>
    <row r="113" spans="3:9" ht="18" customHeight="1" x14ac:dyDescent="0.35">
      <c r="G113" s="53"/>
      <c r="H113" s="53"/>
      <c r="I113" s="53"/>
    </row>
    <row r="114" spans="3:9" ht="18" customHeight="1" x14ac:dyDescent="0.35">
      <c r="G114" s="53"/>
      <c r="H114" s="53"/>
      <c r="I114" s="53"/>
    </row>
    <row r="115" spans="3:9" ht="18" customHeight="1" x14ac:dyDescent="0.35">
      <c r="G115" s="53"/>
      <c r="H115" s="53"/>
      <c r="I115" s="53"/>
    </row>
    <row r="116" spans="3:9" ht="18" customHeight="1" x14ac:dyDescent="0.35">
      <c r="G116" s="53"/>
      <c r="H116" s="53"/>
      <c r="I116" s="53"/>
    </row>
    <row r="117" spans="3:9" ht="18" customHeight="1" x14ac:dyDescent="0.35">
      <c r="G117" s="53"/>
      <c r="H117" s="53"/>
      <c r="I117" s="53"/>
    </row>
    <row r="118" spans="3:9" ht="18" customHeight="1" x14ac:dyDescent="0.35">
      <c r="G118" s="53"/>
      <c r="H118" s="53"/>
      <c r="I118" s="53"/>
    </row>
    <row r="119" spans="3:9" ht="18" customHeight="1" x14ac:dyDescent="0.35">
      <c r="G119" s="53"/>
      <c r="H119" s="53"/>
      <c r="I119" s="53"/>
    </row>
    <row r="120" spans="3:9" ht="18" customHeight="1" x14ac:dyDescent="0.35">
      <c r="G120" s="53"/>
      <c r="H120" s="53"/>
      <c r="I120" s="53"/>
    </row>
    <row r="121" spans="3:9" ht="18" customHeight="1" x14ac:dyDescent="0.35">
      <c r="G121" s="53"/>
      <c r="H121" s="53"/>
      <c r="I121" s="53"/>
    </row>
    <row r="122" spans="3:9" ht="18" customHeight="1" x14ac:dyDescent="0.35">
      <c r="G122" s="53"/>
      <c r="H122" s="53"/>
      <c r="I122" s="53"/>
    </row>
    <row r="123" spans="3:9" ht="18" customHeight="1" x14ac:dyDescent="0.35">
      <c r="C123" t="s">
        <v>1145</v>
      </c>
      <c r="G123" s="53"/>
      <c r="H123" s="53"/>
      <c r="I123" s="53"/>
    </row>
    <row r="124" spans="3:9" ht="18" customHeight="1" x14ac:dyDescent="0.35">
      <c r="C124" t="s">
        <v>1146</v>
      </c>
      <c r="G124" s="53"/>
      <c r="H124" s="53"/>
      <c r="I124" s="53"/>
    </row>
    <row r="125" spans="3:9" ht="18" customHeight="1" x14ac:dyDescent="0.35">
      <c r="G125" s="53"/>
      <c r="H125" s="53"/>
      <c r="I125" s="53"/>
    </row>
    <row r="126" spans="3:9" ht="18" customHeight="1" x14ac:dyDescent="0.35">
      <c r="C126" t="s">
        <v>628</v>
      </c>
      <c r="G126" s="53"/>
      <c r="H126" s="53"/>
      <c r="I126" s="53"/>
    </row>
    <row r="127" spans="3:9" ht="18" customHeight="1" x14ac:dyDescent="0.35">
      <c r="C127" t="s">
        <v>629</v>
      </c>
      <c r="G127" s="53"/>
      <c r="H127" s="53"/>
      <c r="I127" s="53"/>
    </row>
    <row r="128" spans="3:9" ht="18" customHeight="1" x14ac:dyDescent="0.35">
      <c r="G128" s="53"/>
      <c r="H128" s="53"/>
      <c r="I128" s="53"/>
    </row>
    <row r="129" spans="2:9" ht="18" customHeight="1" x14ac:dyDescent="0.35">
      <c r="G129" s="53"/>
      <c r="H129" s="53"/>
      <c r="I129" s="53"/>
    </row>
    <row r="130" spans="2:9" ht="18" customHeight="1" x14ac:dyDescent="0.35">
      <c r="G130" s="53"/>
      <c r="H130" s="53"/>
      <c r="I130" s="53"/>
    </row>
    <row r="131" spans="2:9" ht="18" customHeight="1" x14ac:dyDescent="0.35">
      <c r="G131" s="53"/>
      <c r="H131" s="53"/>
      <c r="I131" s="53"/>
    </row>
    <row r="132" spans="2:9" ht="18" customHeight="1" x14ac:dyDescent="0.35">
      <c r="G132" s="53"/>
      <c r="H132" s="53"/>
      <c r="I132" s="53"/>
    </row>
    <row r="133" spans="2:9" ht="18" customHeight="1" x14ac:dyDescent="0.35">
      <c r="G133" s="53"/>
      <c r="H133" s="53"/>
      <c r="I133" s="53"/>
    </row>
    <row r="134" spans="2:9" ht="18" customHeight="1" x14ac:dyDescent="0.35">
      <c r="G134" s="53"/>
      <c r="H134" s="53"/>
      <c r="I134" s="53"/>
    </row>
    <row r="135" spans="2:9" ht="18" customHeight="1" x14ac:dyDescent="0.35">
      <c r="G135" s="53"/>
      <c r="H135" s="53"/>
      <c r="I135" s="53"/>
    </row>
    <row r="136" spans="2:9" ht="18" customHeight="1" x14ac:dyDescent="0.35">
      <c r="G136" s="53"/>
      <c r="H136" s="53"/>
      <c r="I136" s="53"/>
    </row>
    <row r="137" spans="2:9" ht="18" customHeight="1" x14ac:dyDescent="0.35">
      <c r="G137" s="53"/>
      <c r="H137" s="53"/>
      <c r="I137" s="53"/>
    </row>
    <row r="138" spans="2:9" ht="18" customHeight="1" x14ac:dyDescent="0.35">
      <c r="G138" s="53"/>
      <c r="H138" s="53"/>
      <c r="I138" s="53"/>
    </row>
    <row r="139" spans="2:9" ht="18" customHeight="1" x14ac:dyDescent="0.35">
      <c r="G139" s="53"/>
      <c r="H139" s="53"/>
      <c r="I139" s="53"/>
    </row>
    <row r="140" spans="2:9" ht="18" customHeight="1" x14ac:dyDescent="0.35">
      <c r="G140" s="53"/>
      <c r="H140" s="53"/>
      <c r="I140" s="53"/>
    </row>
    <row r="141" spans="2:9" ht="18" customHeight="1" x14ac:dyDescent="0.35">
      <c r="G141" s="53"/>
      <c r="H141" s="53"/>
      <c r="I141" s="53"/>
    </row>
    <row r="142" spans="2:9" ht="18" customHeight="1" x14ac:dyDescent="0.35">
      <c r="G142" s="53"/>
      <c r="H142" s="53"/>
      <c r="I142" s="53"/>
    </row>
    <row r="143" spans="2:9" ht="18" customHeight="1" x14ac:dyDescent="0.35">
      <c r="G143" s="53"/>
      <c r="H143" s="53"/>
      <c r="I143" s="53"/>
    </row>
    <row r="144" spans="2:9" ht="18" customHeight="1" x14ac:dyDescent="0.35">
      <c r="B144" s="57" t="s">
        <v>620</v>
      </c>
      <c r="G144" s="53"/>
      <c r="H144" s="53"/>
      <c r="I144" s="53"/>
    </row>
    <row r="145" spans="1:9" ht="18" customHeight="1" x14ac:dyDescent="0.35">
      <c r="B145" s="76"/>
      <c r="C145" s="77"/>
      <c r="D145" s="77"/>
      <c r="E145" s="77"/>
      <c r="F145" s="77"/>
      <c r="G145" s="78"/>
      <c r="H145" s="78"/>
      <c r="I145" s="78"/>
    </row>
    <row r="146" spans="1:9" ht="18" customHeight="1" x14ac:dyDescent="0.35">
      <c r="A146" s="58"/>
      <c r="B146" s="79" t="s">
        <v>630</v>
      </c>
      <c r="C146" s="80"/>
      <c r="D146" s="80"/>
      <c r="E146" s="80"/>
      <c r="F146" s="80"/>
      <c r="G146" s="81"/>
      <c r="H146" s="81"/>
      <c r="I146" s="81"/>
    </row>
    <row r="147" spans="1:9" ht="18" customHeight="1" x14ac:dyDescent="0.35">
      <c r="B147" s="89" t="s">
        <v>631</v>
      </c>
      <c r="C147" s="73"/>
      <c r="D147" s="73"/>
      <c r="E147" s="73"/>
      <c r="F147" s="73"/>
      <c r="G147" s="74"/>
      <c r="H147" s="74"/>
      <c r="I147" s="74"/>
    </row>
    <row r="148" spans="1:9" ht="18" customHeight="1" x14ac:dyDescent="0.35">
      <c r="B148" s="89" t="s">
        <v>632</v>
      </c>
      <c r="C148" s="73"/>
      <c r="D148" s="73"/>
      <c r="E148" s="73"/>
      <c r="F148" s="73"/>
      <c r="G148" s="74"/>
      <c r="H148" s="74"/>
      <c r="I148" s="74"/>
    </row>
    <row r="149" spans="1:9" ht="18" customHeight="1" x14ac:dyDescent="0.35">
      <c r="B149" s="89"/>
      <c r="C149" s="73"/>
      <c r="D149" s="73"/>
      <c r="E149" s="73"/>
      <c r="F149" s="73"/>
      <c r="G149" s="74"/>
      <c r="H149" s="74"/>
      <c r="I149" s="74"/>
    </row>
    <row r="150" spans="1:9" ht="18" customHeight="1" x14ac:dyDescent="0.35">
      <c r="B150" s="89"/>
      <c r="C150" s="73"/>
      <c r="D150" s="73"/>
      <c r="E150" s="73"/>
      <c r="F150" s="73"/>
      <c r="G150" s="74"/>
      <c r="H150" s="74"/>
      <c r="I150" s="74"/>
    </row>
    <row r="151" spans="1:9" ht="18" customHeight="1" x14ac:dyDescent="0.35">
      <c r="B151" s="89"/>
      <c r="C151" s="73"/>
      <c r="D151" s="73"/>
      <c r="E151" s="73"/>
      <c r="F151" s="73"/>
      <c r="G151" s="74"/>
      <c r="H151" s="74"/>
      <c r="I151" s="74"/>
    </row>
    <row r="152" spans="1:9" ht="18" customHeight="1" x14ac:dyDescent="0.35">
      <c r="B152" s="89"/>
      <c r="C152" s="73"/>
      <c r="D152" s="73"/>
      <c r="E152" s="73"/>
      <c r="F152" s="73"/>
      <c r="G152" s="74"/>
      <c r="H152" s="74"/>
      <c r="I152" s="74"/>
    </row>
    <row r="153" spans="1:9" ht="18" customHeight="1" x14ac:dyDescent="0.35">
      <c r="B153" s="89" t="s">
        <v>633</v>
      </c>
      <c r="C153" s="73"/>
      <c r="D153" s="73"/>
      <c r="E153" s="73"/>
      <c r="F153" s="73"/>
      <c r="G153" s="74"/>
      <c r="H153" s="74"/>
      <c r="I153" s="74"/>
    </row>
    <row r="154" spans="1:9" ht="18" customHeight="1" x14ac:dyDescent="0.35">
      <c r="B154" s="89"/>
      <c r="C154" s="73"/>
      <c r="D154" s="73"/>
      <c r="E154" s="73"/>
      <c r="F154" s="73"/>
      <c r="G154" s="74"/>
      <c r="H154" s="74"/>
      <c r="I154" s="74"/>
    </row>
    <row r="155" spans="1:9" ht="18" customHeight="1" x14ac:dyDescent="0.35">
      <c r="B155" s="89"/>
      <c r="C155" s="73"/>
      <c r="D155" s="73"/>
      <c r="E155" s="73"/>
      <c r="F155" s="73"/>
      <c r="G155" s="74"/>
      <c r="H155" s="74"/>
      <c r="I155" s="74"/>
    </row>
    <row r="156" spans="1:9" ht="18" customHeight="1" x14ac:dyDescent="0.35">
      <c r="B156" s="89"/>
      <c r="C156" s="73"/>
      <c r="D156" s="73"/>
      <c r="E156" s="73"/>
      <c r="F156" s="73"/>
      <c r="G156" s="74"/>
      <c r="H156" s="74"/>
      <c r="I156" s="74"/>
    </row>
    <row r="157" spans="1:9" ht="18" customHeight="1" x14ac:dyDescent="0.35">
      <c r="B157" s="89"/>
      <c r="C157" s="73"/>
      <c r="D157" s="73"/>
      <c r="E157" s="73"/>
      <c r="F157" s="73"/>
      <c r="G157" s="74"/>
      <c r="H157" s="74"/>
      <c r="I157" s="74"/>
    </row>
    <row r="158" spans="1:9" ht="18" customHeight="1" x14ac:dyDescent="0.35">
      <c r="B158" s="89"/>
      <c r="C158" s="73"/>
      <c r="D158" s="73"/>
      <c r="E158" s="73"/>
      <c r="F158" s="73"/>
      <c r="G158" s="74"/>
      <c r="H158" s="74"/>
      <c r="I158" s="74"/>
    </row>
    <row r="159" spans="1:9" ht="18" customHeight="1" x14ac:dyDescent="0.35">
      <c r="B159" s="89"/>
      <c r="C159" s="73"/>
      <c r="D159" s="73"/>
      <c r="E159" s="73"/>
      <c r="F159" s="73"/>
      <c r="G159" s="74"/>
      <c r="H159" s="74"/>
      <c r="I159" s="74"/>
    </row>
    <row r="160" spans="1:9" ht="18" customHeight="1" x14ac:dyDescent="0.35">
      <c r="B160" s="89"/>
      <c r="C160" s="73"/>
      <c r="D160" s="73"/>
      <c r="E160" s="73"/>
      <c r="F160" s="73"/>
      <c r="G160" s="74"/>
      <c r="H160" s="74"/>
      <c r="I160" s="74"/>
    </row>
    <row r="161" spans="1:9" ht="18" customHeight="1" x14ac:dyDescent="0.35">
      <c r="B161" s="89"/>
      <c r="C161" s="73"/>
      <c r="D161" s="73"/>
      <c r="E161" s="73"/>
      <c r="F161" s="73"/>
      <c r="G161" s="74"/>
      <c r="H161" s="74"/>
      <c r="I161" s="74"/>
    </row>
    <row r="162" spans="1:9" ht="18" customHeight="1" x14ac:dyDescent="0.35">
      <c r="B162" s="89"/>
      <c r="C162" s="73"/>
      <c r="D162" s="73"/>
      <c r="E162" s="73"/>
      <c r="F162" s="73"/>
      <c r="G162" s="74"/>
      <c r="H162" s="74"/>
      <c r="I162" s="74"/>
    </row>
    <row r="163" spans="1:9" ht="18" customHeight="1" x14ac:dyDescent="0.35">
      <c r="B163" s="89"/>
      <c r="C163" s="73"/>
      <c r="D163" s="73"/>
      <c r="E163" s="73"/>
      <c r="F163" s="73"/>
      <c r="G163" s="74"/>
      <c r="H163" s="74"/>
      <c r="I163" s="74"/>
    </row>
    <row r="164" spans="1:9" ht="18" customHeight="1" x14ac:dyDescent="0.35">
      <c r="B164" s="89"/>
      <c r="C164" s="73"/>
      <c r="D164" s="73"/>
      <c r="E164" s="73"/>
      <c r="F164" s="73"/>
      <c r="G164" s="74"/>
      <c r="H164" s="74"/>
      <c r="I164" s="74"/>
    </row>
    <row r="165" spans="1:9" ht="18" customHeight="1" x14ac:dyDescent="0.35">
      <c r="B165" s="89"/>
      <c r="C165" s="73"/>
      <c r="D165" s="73"/>
      <c r="E165" s="73"/>
      <c r="F165" s="73"/>
      <c r="G165" s="74"/>
      <c r="H165" s="74"/>
      <c r="I165" s="74"/>
    </row>
    <row r="166" spans="1:9" ht="18" customHeight="1" x14ac:dyDescent="0.35">
      <c r="B166" s="89"/>
      <c r="C166" s="73"/>
      <c r="D166" s="73"/>
      <c r="E166" s="73"/>
      <c r="F166" s="73"/>
      <c r="G166" s="74"/>
      <c r="H166" s="74"/>
      <c r="I166" s="74"/>
    </row>
    <row r="167" spans="1:9" ht="18" customHeight="1" x14ac:dyDescent="0.35">
      <c r="B167" s="76"/>
      <c r="C167" s="77"/>
      <c r="D167" s="77"/>
      <c r="E167" s="77"/>
      <c r="F167" s="77"/>
      <c r="G167" s="78"/>
      <c r="H167" s="78"/>
      <c r="I167" s="78"/>
    </row>
    <row r="168" spans="1:9" ht="18" customHeight="1" x14ac:dyDescent="0.35">
      <c r="A168" s="58"/>
      <c r="B168" s="79" t="s">
        <v>634</v>
      </c>
      <c r="C168" s="80"/>
      <c r="D168" s="80"/>
      <c r="E168" s="80"/>
      <c r="F168" s="80"/>
      <c r="G168" s="81"/>
      <c r="H168" s="81"/>
      <c r="I168" s="81"/>
    </row>
    <row r="169" spans="1:9" ht="18" customHeight="1" x14ac:dyDescent="0.35">
      <c r="B169" s="87" t="s">
        <v>635</v>
      </c>
      <c r="C169" s="73"/>
      <c r="D169" s="73"/>
      <c r="E169" s="73"/>
      <c r="F169" s="73"/>
      <c r="G169" s="74"/>
      <c r="H169" s="74"/>
      <c r="I169" s="74"/>
    </row>
    <row r="170" spans="1:9" ht="18" customHeight="1" x14ac:dyDescent="0.35">
      <c r="B170" s="87" t="s">
        <v>636</v>
      </c>
      <c r="C170" s="73"/>
      <c r="D170" s="73"/>
      <c r="E170" s="73"/>
      <c r="F170" s="73"/>
      <c r="G170" s="74"/>
      <c r="H170" s="74"/>
      <c r="I170" s="74"/>
    </row>
    <row r="171" spans="1:9" ht="18" customHeight="1" x14ac:dyDescent="0.35">
      <c r="B171" s="1"/>
      <c r="C171" s="73"/>
      <c r="D171" s="73"/>
      <c r="E171" s="73"/>
      <c r="F171" s="73"/>
      <c r="G171" s="74"/>
      <c r="H171" s="74"/>
      <c r="I171" s="74"/>
    </row>
    <row r="172" spans="1:9" ht="18" customHeight="1" x14ac:dyDescent="0.35">
      <c r="B172" s="1"/>
      <c r="C172" s="73"/>
      <c r="D172" s="73"/>
      <c r="E172" s="73"/>
      <c r="F172" s="73"/>
      <c r="G172" s="74"/>
      <c r="H172" s="74"/>
      <c r="I172" s="74"/>
    </row>
    <row r="173" spans="1:9" ht="18" customHeight="1" x14ac:dyDescent="0.35">
      <c r="B173" s="1"/>
      <c r="C173" s="73"/>
      <c r="D173" s="73"/>
      <c r="E173" s="73"/>
      <c r="F173" s="73"/>
      <c r="G173" s="74"/>
      <c r="H173" s="74"/>
      <c r="I173" s="74"/>
    </row>
    <row r="174" spans="1:9" ht="18" customHeight="1" x14ac:dyDescent="0.35">
      <c r="B174" s="1"/>
      <c r="C174" s="73"/>
      <c r="D174" s="73"/>
      <c r="E174" s="73"/>
      <c r="F174" s="73"/>
      <c r="G174" s="74"/>
      <c r="H174" s="74"/>
      <c r="I174" s="74"/>
    </row>
    <row r="175" spans="1:9" ht="18" customHeight="1" x14ac:dyDescent="0.35">
      <c r="B175" s="1"/>
      <c r="C175" s="73"/>
      <c r="D175" s="73"/>
      <c r="E175" s="73"/>
      <c r="F175" s="73"/>
      <c r="G175" s="74"/>
      <c r="H175" s="74"/>
      <c r="I175" s="74"/>
    </row>
    <row r="176" spans="1:9" ht="18" customHeight="1" x14ac:dyDescent="0.35">
      <c r="B176" s="1"/>
      <c r="C176" s="73"/>
      <c r="D176" s="73"/>
      <c r="E176" s="73"/>
      <c r="F176" s="73"/>
      <c r="G176" s="74"/>
      <c r="H176" s="74"/>
      <c r="I176" s="74"/>
    </row>
    <row r="177" spans="2:9" ht="18" customHeight="1" x14ac:dyDescent="0.35">
      <c r="B177" s="1"/>
      <c r="C177" s="73"/>
      <c r="D177" s="73"/>
      <c r="E177" s="73"/>
      <c r="F177" s="73"/>
      <c r="G177" s="74"/>
      <c r="H177" s="74"/>
      <c r="I177" s="74"/>
    </row>
    <row r="178" spans="2:9" ht="18" customHeight="1" x14ac:dyDescent="0.35">
      <c r="B178" s="90" t="s">
        <v>637</v>
      </c>
    </row>
    <row r="179" spans="2:9" ht="18" customHeight="1" x14ac:dyDescent="0.35">
      <c r="B179" t="s">
        <v>638</v>
      </c>
    </row>
    <row r="180" spans="2:9" ht="18" customHeight="1" x14ac:dyDescent="0.35"/>
    <row r="181" spans="2:9" ht="18" customHeight="1" x14ac:dyDescent="0.35">
      <c r="B181" t="s">
        <v>639</v>
      </c>
    </row>
    <row r="182" spans="2:9" ht="18" customHeight="1" x14ac:dyDescent="0.35"/>
    <row r="183" spans="2:9" ht="18" customHeight="1" x14ac:dyDescent="0.35">
      <c r="B183" s="57"/>
    </row>
    <row r="184" spans="2:9" ht="18" customHeight="1" x14ac:dyDescent="0.35"/>
  </sheetData>
  <sheetProtection algorithmName="SHA-512" hashValue="U+g5AFJ2zAnJCL7Vl6NU6/n3QB+zAPHENGPzLwSNAIPTA/de7OGwDDPy3Uf0JG7XOWzuAMoijNGgkQv2LkQ14g==" saltValue="JS2KN6xvgd0oqAH0rkWhRw==" spinCount="100000" sheet="1" objects="1" scenarios="1"/>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1207"/>
  <sheetViews>
    <sheetView showGridLines="0" tabSelected="1" zoomScaleNormal="100" workbookViewId="0">
      <selection activeCell="I17" sqref="I17"/>
    </sheetView>
  </sheetViews>
  <sheetFormatPr defaultColWidth="9.1796875" defaultRowHeight="14" x14ac:dyDescent="0.3"/>
  <cols>
    <col min="1" max="1" width="2.81640625" style="190" customWidth="1"/>
    <col min="2" max="2" width="20" style="500"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1:12" x14ac:dyDescent="0.3">
      <c r="A1" s="19"/>
      <c r="B1" s="36"/>
      <c r="C1" s="190"/>
      <c r="J1" s="306"/>
      <c r="K1" s="306"/>
      <c r="L1" s="306"/>
    </row>
    <row r="2" spans="1:12" x14ac:dyDescent="0.3">
      <c r="A2" s="19"/>
      <c r="B2" s="11" t="s">
        <v>433</v>
      </c>
      <c r="C2" s="190"/>
      <c r="F2" s="190"/>
      <c r="G2" s="190"/>
      <c r="H2" s="163" t="s">
        <v>1077</v>
      </c>
      <c r="J2" s="306"/>
      <c r="K2" s="306"/>
      <c r="L2" s="306"/>
    </row>
    <row r="3" spans="1:12" x14ac:dyDescent="0.3">
      <c r="A3" s="19"/>
      <c r="B3" s="11" t="s">
        <v>642</v>
      </c>
      <c r="C3" s="190"/>
      <c r="E3" s="271" t="s">
        <v>1055</v>
      </c>
      <c r="F3" s="313"/>
      <c r="G3" s="313"/>
      <c r="H3" s="313"/>
      <c r="J3" s="306"/>
      <c r="K3" s="306"/>
      <c r="L3" s="306"/>
    </row>
    <row r="4" spans="1:12" ht="14.5" thickBot="1" x14ac:dyDescent="0.35">
      <c r="A4" s="19"/>
      <c r="B4" s="180"/>
      <c r="C4" s="178" t="e">
        <f>"THIS WILL REPORT FINANCIALS THROUGH " &amp; UPPER(TEXT(EDATE(startSummary,-1),"MMM")) &amp; " / " &amp; YEAR(EDATE(startSummary,-1))</f>
        <v>#NUM!</v>
      </c>
      <c r="J4" s="307"/>
      <c r="K4" s="307"/>
      <c r="L4" s="307"/>
    </row>
    <row r="5" spans="1:12" ht="14.5" customHeight="1" thickBot="1" x14ac:dyDescent="0.35">
      <c r="A5" s="19"/>
      <c r="B5" s="12" t="s">
        <v>428</v>
      </c>
      <c r="C5" s="447"/>
      <c r="E5" s="596" t="s">
        <v>440</v>
      </c>
      <c r="F5" s="597"/>
      <c r="G5" s="598"/>
      <c r="H5" s="156">
        <v>0</v>
      </c>
      <c r="J5" s="564" t="s">
        <v>578</v>
      </c>
      <c r="K5" s="565"/>
      <c r="L5" s="566"/>
    </row>
    <row r="6" spans="1:12" ht="14.5" customHeight="1" thickBot="1" x14ac:dyDescent="0.35">
      <c r="A6" s="19"/>
      <c r="B6" s="181" t="s">
        <v>429</v>
      </c>
      <c r="C6" s="448"/>
      <c r="E6" s="599" t="s">
        <v>441</v>
      </c>
      <c r="F6" s="600"/>
      <c r="G6" s="601"/>
      <c r="H6" s="156">
        <v>0</v>
      </c>
      <c r="J6" s="567"/>
      <c r="K6" s="568"/>
      <c r="L6" s="569"/>
    </row>
    <row r="7" spans="1:12" ht="15" thickTop="1" x14ac:dyDescent="0.3">
      <c r="A7" s="19"/>
      <c r="B7" s="181" t="s">
        <v>476</v>
      </c>
      <c r="C7" s="449"/>
      <c r="E7" s="599" t="s">
        <v>442</v>
      </c>
      <c r="F7" s="600"/>
      <c r="G7" s="601"/>
      <c r="H7" s="156">
        <v>0</v>
      </c>
      <c r="J7" s="41"/>
      <c r="K7" s="42"/>
      <c r="L7" s="43"/>
    </row>
    <row r="8" spans="1:12" ht="14" customHeight="1" x14ac:dyDescent="0.3">
      <c r="A8" s="19"/>
      <c r="B8" s="14" t="s">
        <v>477</v>
      </c>
      <c r="C8" s="450"/>
      <c r="E8" s="590" t="s">
        <v>443</v>
      </c>
      <c r="F8" s="591"/>
      <c r="G8" s="592"/>
      <c r="H8" s="156">
        <f>H5+H6+H7</f>
        <v>0</v>
      </c>
      <c r="J8" s="570" t="s">
        <v>579</v>
      </c>
      <c r="K8" s="571"/>
      <c r="L8" s="572"/>
    </row>
    <row r="9" spans="1:12" ht="14" customHeight="1" x14ac:dyDescent="0.3">
      <c r="A9" s="19"/>
      <c r="B9" s="14" t="s">
        <v>479</v>
      </c>
      <c r="C9" s="450"/>
      <c r="E9" s="590" t="s">
        <v>444</v>
      </c>
      <c r="F9" s="591"/>
      <c r="G9" s="592"/>
      <c r="H9" s="156">
        <f>'Cash Flow'!O69</f>
        <v>0</v>
      </c>
      <c r="J9" s="573"/>
      <c r="K9" s="574"/>
      <c r="L9" s="575"/>
    </row>
    <row r="10" spans="1:12" ht="14.5" x14ac:dyDescent="0.3">
      <c r="A10" s="19"/>
      <c r="B10" s="14" t="s">
        <v>481</v>
      </c>
      <c r="C10" s="450"/>
      <c r="E10" s="590" t="s">
        <v>445</v>
      </c>
      <c r="F10" s="591"/>
      <c r="G10" s="592"/>
      <c r="H10" s="156">
        <f>H8-H9</f>
        <v>0</v>
      </c>
      <c r="J10" s="44"/>
      <c r="K10" s="45"/>
      <c r="L10" s="46"/>
    </row>
    <row r="11" spans="1:12" ht="16" x14ac:dyDescent="0.3">
      <c r="A11" s="19"/>
      <c r="B11" s="14" t="s">
        <v>482</v>
      </c>
      <c r="C11" s="450"/>
      <c r="E11" s="590" t="s">
        <v>855</v>
      </c>
      <c r="F11" s="591"/>
      <c r="G11" s="592"/>
      <c r="H11" s="155">
        <f>G116</f>
        <v>0</v>
      </c>
      <c r="J11" s="576"/>
      <c r="K11" s="577"/>
      <c r="L11" s="578"/>
    </row>
    <row r="12" spans="1:12" ht="14.5" x14ac:dyDescent="0.3">
      <c r="A12" s="19"/>
      <c r="B12" s="14" t="s">
        <v>432</v>
      </c>
      <c r="C12" s="450"/>
      <c r="E12" s="590" t="s">
        <v>643</v>
      </c>
      <c r="F12" s="591"/>
      <c r="G12" s="592"/>
      <c r="H12" s="155">
        <f>D139</f>
        <v>0</v>
      </c>
      <c r="J12" s="44"/>
      <c r="K12" s="45"/>
      <c r="L12" s="46"/>
    </row>
    <row r="13" spans="1:12" ht="15.5" x14ac:dyDescent="0.35">
      <c r="A13" s="19"/>
      <c r="B13" s="14" t="s">
        <v>430</v>
      </c>
      <c r="C13" s="450"/>
      <c r="E13" s="593" t="s">
        <v>854</v>
      </c>
      <c r="F13" s="594"/>
      <c r="G13" s="595"/>
      <c r="H13" s="157">
        <f>H8-H11</f>
        <v>0</v>
      </c>
      <c r="J13" s="44"/>
      <c r="K13" s="45"/>
      <c r="L13" s="46"/>
    </row>
    <row r="14" spans="1:12" ht="14" customHeight="1" x14ac:dyDescent="0.3">
      <c r="A14" s="19"/>
      <c r="B14" s="14" t="s">
        <v>431</v>
      </c>
      <c r="C14" s="450"/>
      <c r="E14" s="590" t="s">
        <v>446</v>
      </c>
      <c r="F14" s="591"/>
      <c r="G14" s="592"/>
      <c r="H14" s="156">
        <f>'Cash Flow'!R69</f>
        <v>0</v>
      </c>
      <c r="J14" s="579" t="s">
        <v>580</v>
      </c>
      <c r="K14" s="580"/>
      <c r="L14" s="581"/>
    </row>
    <row r="15" spans="1:12" ht="14" customHeight="1" x14ac:dyDescent="0.3">
      <c r="A15" s="19"/>
      <c r="B15" s="182" t="s">
        <v>566</v>
      </c>
      <c r="C15" s="451"/>
      <c r="E15" s="587" t="s">
        <v>1056</v>
      </c>
      <c r="F15" s="588"/>
      <c r="G15" s="589"/>
      <c r="H15" s="452">
        <v>0</v>
      </c>
      <c r="J15" s="582"/>
      <c r="K15" s="583"/>
      <c r="L15" s="584"/>
    </row>
    <row r="16" spans="1:12" ht="15" thickBot="1" x14ac:dyDescent="0.35">
      <c r="A16" s="19"/>
      <c r="B16" s="23" t="s">
        <v>483</v>
      </c>
      <c r="C16" s="453"/>
      <c r="D16" s="183"/>
      <c r="E16" s="607" t="s">
        <v>447</v>
      </c>
      <c r="F16" s="608"/>
      <c r="G16" s="609"/>
      <c r="H16" s="158">
        <f>H8-H15</f>
        <v>0</v>
      </c>
      <c r="J16" s="44"/>
      <c r="K16" s="45"/>
      <c r="L16" s="46"/>
    </row>
    <row r="17" spans="1:12" ht="15" thickBot="1" x14ac:dyDescent="0.35">
      <c r="A17" s="19"/>
      <c r="B17" s="184" t="s">
        <v>641</v>
      </c>
      <c r="C17" s="454"/>
      <c r="F17" s="185"/>
      <c r="G17" s="185"/>
      <c r="H17" s="185"/>
      <c r="J17" s="44"/>
      <c r="K17" s="45"/>
      <c r="L17" s="46"/>
    </row>
    <row r="18" spans="1:12" ht="15" customHeight="1" thickBot="1" x14ac:dyDescent="0.35">
      <c r="A18" s="19"/>
      <c r="B18" s="184" t="s">
        <v>640</v>
      </c>
      <c r="C18" s="455"/>
      <c r="F18" s="585" t="s">
        <v>448</v>
      </c>
      <c r="G18" s="586"/>
      <c r="H18" s="456" t="s">
        <v>1101</v>
      </c>
      <c r="I18" s="183"/>
      <c r="J18" s="512"/>
      <c r="K18" s="513"/>
      <c r="L18" s="514"/>
    </row>
    <row r="19" spans="1:12" ht="8" customHeight="1" thickBot="1" x14ac:dyDescent="0.35">
      <c r="A19" s="19"/>
      <c r="B19" s="36"/>
      <c r="D19" s="186"/>
      <c r="E19" s="186"/>
      <c r="F19" s="186"/>
      <c r="G19" s="186"/>
      <c r="H19" s="186"/>
      <c r="J19" s="602" t="s">
        <v>1151</v>
      </c>
      <c r="K19" s="603"/>
      <c r="L19" s="604"/>
    </row>
    <row r="20" spans="1:12" x14ac:dyDescent="0.3">
      <c r="A20" s="19"/>
      <c r="B20" s="15" t="s">
        <v>644</v>
      </c>
      <c r="C20" s="16"/>
      <c r="D20" s="388"/>
      <c r="E20" s="389"/>
      <c r="F20" s="16"/>
      <c r="G20" s="16"/>
      <c r="H20" s="17"/>
      <c r="J20" s="602"/>
      <c r="K20" s="603"/>
      <c r="L20" s="604"/>
    </row>
    <row r="21" spans="1:12" ht="26.5" thickBot="1" x14ac:dyDescent="0.35">
      <c r="A21" s="19"/>
      <c r="B21" s="309" t="s">
        <v>24</v>
      </c>
      <c r="C21" s="310"/>
      <c r="D21" s="443" t="s">
        <v>857</v>
      </c>
      <c r="E21" s="444" t="s">
        <v>645</v>
      </c>
      <c r="F21" s="443" t="s">
        <v>1071</v>
      </c>
      <c r="G21" s="443" t="s">
        <v>2</v>
      </c>
      <c r="H21" s="445" t="s">
        <v>646</v>
      </c>
      <c r="J21" s="317"/>
      <c r="K21" s="306"/>
      <c r="L21" s="318"/>
    </row>
    <row r="22" spans="1:12" x14ac:dyDescent="0.3">
      <c r="A22" s="19"/>
      <c r="B22" s="438" t="s">
        <v>449</v>
      </c>
      <c r="C22" s="308" t="s">
        <v>19</v>
      </c>
      <c r="D22" s="457">
        <v>0</v>
      </c>
      <c r="E22" s="457">
        <v>0</v>
      </c>
      <c r="F22" s="457">
        <v>0</v>
      </c>
      <c r="G22" s="457">
        <v>0</v>
      </c>
      <c r="H22" s="442">
        <f>G22-D22</f>
        <v>0</v>
      </c>
      <c r="J22" s="317"/>
      <c r="K22" s="306"/>
      <c r="L22" s="318"/>
    </row>
    <row r="23" spans="1:12" x14ac:dyDescent="0.3">
      <c r="A23" s="19"/>
      <c r="B23" s="438" t="s">
        <v>449</v>
      </c>
      <c r="C23" s="18" t="s">
        <v>18</v>
      </c>
      <c r="D23" s="319">
        <v>0</v>
      </c>
      <c r="E23" s="457">
        <v>0</v>
      </c>
      <c r="F23" s="457">
        <v>0</v>
      </c>
      <c r="G23" s="457">
        <v>0</v>
      </c>
      <c r="H23" s="303">
        <f t="shared" ref="H23:H25" si="0">G23-D23</f>
        <v>0</v>
      </c>
      <c r="J23" s="317"/>
      <c r="K23" s="306"/>
      <c r="L23" s="318"/>
    </row>
    <row r="24" spans="1:12" ht="14.5" thickBot="1" x14ac:dyDescent="0.35">
      <c r="A24" s="19"/>
      <c r="B24" s="438" t="s">
        <v>449</v>
      </c>
      <c r="C24" s="18" t="s">
        <v>17</v>
      </c>
      <c r="D24" s="319">
        <v>0</v>
      </c>
      <c r="E24" s="457">
        <v>0</v>
      </c>
      <c r="F24" s="457">
        <v>0</v>
      </c>
      <c r="G24" s="457">
        <v>0</v>
      </c>
      <c r="H24" s="303">
        <f t="shared" si="0"/>
        <v>0</v>
      </c>
      <c r="J24" s="320"/>
      <c r="K24" s="307"/>
      <c r="L24" s="321"/>
    </row>
    <row r="25" spans="1:12" ht="14.5" thickBot="1" x14ac:dyDescent="0.35">
      <c r="A25" s="19"/>
      <c r="B25" s="438" t="s">
        <v>449</v>
      </c>
      <c r="C25" s="19" t="s">
        <v>252</v>
      </c>
      <c r="D25" s="457">
        <v>0</v>
      </c>
      <c r="E25" s="457">
        <v>0</v>
      </c>
      <c r="F25" s="457">
        <v>0</v>
      </c>
      <c r="G25" s="457">
        <v>0</v>
      </c>
      <c r="H25" s="303">
        <f t="shared" si="0"/>
        <v>0</v>
      </c>
    </row>
    <row r="26" spans="1:12" ht="14.5" thickBot="1" x14ac:dyDescent="0.35">
      <c r="A26" s="19"/>
      <c r="B26" s="274" t="s">
        <v>1058</v>
      </c>
      <c r="C26" s="275"/>
      <c r="D26" s="276">
        <f>SUM(D22:D25)</f>
        <v>0</v>
      </c>
      <c r="E26" s="276">
        <f>SUM(E22:E25)</f>
        <v>0</v>
      </c>
      <c r="F26" s="276">
        <f>SUM(F22:F25)</f>
        <v>0</v>
      </c>
      <c r="G26" s="276">
        <f>SUM(G22:G25)</f>
        <v>0</v>
      </c>
      <c r="H26" s="277">
        <f>SUM(H22:H25)</f>
        <v>0</v>
      </c>
    </row>
    <row r="27" spans="1:12" ht="8" customHeight="1" thickBot="1" x14ac:dyDescent="0.35">
      <c r="A27" s="19"/>
      <c r="B27" s="278"/>
      <c r="C27" s="192"/>
      <c r="D27" s="279"/>
      <c r="E27" s="279"/>
      <c r="F27" s="279"/>
      <c r="G27" s="280"/>
      <c r="H27" s="280"/>
    </row>
    <row r="28" spans="1:12" s="190" customFormat="1" ht="26.5" thickBot="1" x14ac:dyDescent="0.35">
      <c r="B28" s="605" t="s">
        <v>1059</v>
      </c>
      <c r="C28" s="606"/>
      <c r="D28" s="272" t="s">
        <v>857</v>
      </c>
      <c r="E28" s="272" t="s">
        <v>645</v>
      </c>
      <c r="F28" s="272" t="s">
        <v>1071</v>
      </c>
      <c r="G28" s="272" t="s">
        <v>2</v>
      </c>
      <c r="H28" s="273" t="s">
        <v>646</v>
      </c>
    </row>
    <row r="29" spans="1:12" x14ac:dyDescent="0.3">
      <c r="A29" s="19"/>
      <c r="B29" s="438" t="s">
        <v>456</v>
      </c>
      <c r="C29" s="40" t="s">
        <v>243</v>
      </c>
      <c r="D29" s="457">
        <v>0</v>
      </c>
      <c r="E29" s="457">
        <v>0</v>
      </c>
      <c r="F29" s="457">
        <v>0</v>
      </c>
      <c r="G29" s="457">
        <v>0</v>
      </c>
      <c r="H29" s="390">
        <f t="shared" ref="H29:H39" si="1">G29-D29</f>
        <v>0</v>
      </c>
    </row>
    <row r="30" spans="1:12" x14ac:dyDescent="0.3">
      <c r="A30" s="19"/>
      <c r="B30" s="438" t="s">
        <v>456</v>
      </c>
      <c r="C30" s="40" t="s">
        <v>244</v>
      </c>
      <c r="D30" s="457">
        <v>0</v>
      </c>
      <c r="E30" s="457">
        <v>0</v>
      </c>
      <c r="F30" s="457">
        <v>0</v>
      </c>
      <c r="G30" s="457">
        <v>0</v>
      </c>
      <c r="H30" s="303">
        <f t="shared" si="1"/>
        <v>0</v>
      </c>
    </row>
    <row r="31" spans="1:12" x14ac:dyDescent="0.3">
      <c r="A31" s="19"/>
      <c r="B31" s="438" t="s">
        <v>456</v>
      </c>
      <c r="C31" s="40" t="s">
        <v>245</v>
      </c>
      <c r="D31" s="457">
        <v>0</v>
      </c>
      <c r="E31" s="457">
        <v>0</v>
      </c>
      <c r="F31" s="457">
        <v>0</v>
      </c>
      <c r="G31" s="457">
        <v>0</v>
      </c>
      <c r="H31" s="303">
        <f t="shared" si="1"/>
        <v>0</v>
      </c>
    </row>
    <row r="32" spans="1:12" x14ac:dyDescent="0.3">
      <c r="A32" s="19"/>
      <c r="B32" s="438" t="s">
        <v>456</v>
      </c>
      <c r="C32" s="40" t="s">
        <v>246</v>
      </c>
      <c r="D32" s="457">
        <v>0</v>
      </c>
      <c r="E32" s="457">
        <v>0</v>
      </c>
      <c r="F32" s="457">
        <v>0</v>
      </c>
      <c r="G32" s="457">
        <v>0</v>
      </c>
      <c r="H32" s="303">
        <f t="shared" si="1"/>
        <v>0</v>
      </c>
    </row>
    <row r="33" spans="1:22" x14ac:dyDescent="0.3">
      <c r="A33" s="19"/>
      <c r="B33" s="438" t="s">
        <v>456</v>
      </c>
      <c r="C33" s="40" t="s">
        <v>396</v>
      </c>
      <c r="D33" s="457">
        <v>0</v>
      </c>
      <c r="E33" s="457">
        <v>0</v>
      </c>
      <c r="F33" s="457">
        <v>0</v>
      </c>
      <c r="G33" s="457">
        <v>0</v>
      </c>
      <c r="H33" s="303">
        <f t="shared" si="1"/>
        <v>0</v>
      </c>
    </row>
    <row r="34" spans="1:22" x14ac:dyDescent="0.3">
      <c r="A34" s="19"/>
      <c r="B34" s="438" t="s">
        <v>456</v>
      </c>
      <c r="C34" s="40" t="s">
        <v>397</v>
      </c>
      <c r="D34" s="457">
        <v>0</v>
      </c>
      <c r="E34" s="457">
        <v>0</v>
      </c>
      <c r="F34" s="457">
        <v>0</v>
      </c>
      <c r="G34" s="457">
        <v>0</v>
      </c>
      <c r="H34" s="303">
        <f t="shared" si="1"/>
        <v>0</v>
      </c>
      <c r="I34" s="190"/>
    </row>
    <row r="35" spans="1:22" x14ac:dyDescent="0.3">
      <c r="A35" s="19"/>
      <c r="B35" s="438" t="s">
        <v>456</v>
      </c>
      <c r="C35" s="40" t="s">
        <v>247</v>
      </c>
      <c r="D35" s="457">
        <v>0</v>
      </c>
      <c r="E35" s="457">
        <v>0</v>
      </c>
      <c r="F35" s="457">
        <v>0</v>
      </c>
      <c r="G35" s="457">
        <v>0</v>
      </c>
      <c r="H35" s="303">
        <f t="shared" si="1"/>
        <v>0</v>
      </c>
      <c r="I35" s="190"/>
    </row>
    <row r="36" spans="1:22" x14ac:dyDescent="0.3">
      <c r="A36" s="19"/>
      <c r="B36" s="438" t="s">
        <v>456</v>
      </c>
      <c r="C36" s="40" t="s">
        <v>1060</v>
      </c>
      <c r="D36" s="457">
        <v>0</v>
      </c>
      <c r="E36" s="457">
        <v>0</v>
      </c>
      <c r="F36" s="457">
        <v>0</v>
      </c>
      <c r="G36" s="457">
        <v>0</v>
      </c>
      <c r="H36" s="303">
        <f t="shared" si="1"/>
        <v>0</v>
      </c>
      <c r="I36" s="190"/>
    </row>
    <row r="37" spans="1:22" x14ac:dyDescent="0.3">
      <c r="A37" s="19"/>
      <c r="B37" s="438" t="s">
        <v>456</v>
      </c>
      <c r="C37" s="40" t="s">
        <v>248</v>
      </c>
      <c r="D37" s="457">
        <v>0</v>
      </c>
      <c r="E37" s="457">
        <v>0</v>
      </c>
      <c r="F37" s="457">
        <v>0</v>
      </c>
      <c r="G37" s="457">
        <v>0</v>
      </c>
      <c r="H37" s="303">
        <f t="shared" si="1"/>
        <v>0</v>
      </c>
    </row>
    <row r="38" spans="1:22" x14ac:dyDescent="0.3">
      <c r="A38" s="19"/>
      <c r="B38" s="438" t="s">
        <v>456</v>
      </c>
      <c r="C38" s="40" t="s">
        <v>249</v>
      </c>
      <c r="D38" s="457">
        <v>0</v>
      </c>
      <c r="E38" s="457">
        <v>0</v>
      </c>
      <c r="F38" s="457">
        <v>0</v>
      </c>
      <c r="G38" s="457">
        <v>0</v>
      </c>
      <c r="H38" s="303">
        <f t="shared" si="1"/>
        <v>0</v>
      </c>
    </row>
    <row r="39" spans="1:22" x14ac:dyDescent="0.3">
      <c r="A39" s="19"/>
      <c r="B39" s="438" t="s">
        <v>456</v>
      </c>
      <c r="C39" s="40" t="s">
        <v>250</v>
      </c>
      <c r="D39" s="457">
        <v>0</v>
      </c>
      <c r="E39" s="457">
        <v>0</v>
      </c>
      <c r="F39" s="457">
        <v>0</v>
      </c>
      <c r="G39" s="457">
        <v>0</v>
      </c>
      <c r="H39" s="303">
        <f t="shared" si="1"/>
        <v>0</v>
      </c>
    </row>
    <row r="40" spans="1:22" x14ac:dyDescent="0.3">
      <c r="A40" s="19"/>
      <c r="B40" s="438" t="s">
        <v>449</v>
      </c>
      <c r="C40" s="18" t="s">
        <v>25</v>
      </c>
      <c r="D40" s="457">
        <v>0</v>
      </c>
      <c r="E40" s="457">
        <v>0</v>
      </c>
      <c r="F40" s="457">
        <v>0</v>
      </c>
      <c r="G40" s="457">
        <v>0</v>
      </c>
      <c r="H40" s="303">
        <f>G40-D40</f>
        <v>0</v>
      </c>
    </row>
    <row r="41" spans="1:22" x14ac:dyDescent="0.3">
      <c r="A41" s="19"/>
      <c r="B41" s="438" t="s">
        <v>449</v>
      </c>
      <c r="C41" s="18" t="s">
        <v>1061</v>
      </c>
      <c r="D41" s="457">
        <v>0</v>
      </c>
      <c r="E41" s="457">
        <v>0</v>
      </c>
      <c r="F41" s="457">
        <v>0</v>
      </c>
      <c r="G41" s="457">
        <v>0</v>
      </c>
      <c r="H41" s="303">
        <f t="shared" ref="H41:H45" si="2">G41-D41</f>
        <v>0</v>
      </c>
    </row>
    <row r="42" spans="1:22" x14ac:dyDescent="0.3">
      <c r="A42" s="19"/>
      <c r="B42" s="438" t="s">
        <v>449</v>
      </c>
      <c r="C42" s="18" t="s">
        <v>157</v>
      </c>
      <c r="D42" s="457">
        <v>0</v>
      </c>
      <c r="E42" s="457">
        <v>0</v>
      </c>
      <c r="F42" s="457">
        <v>0</v>
      </c>
      <c r="G42" s="457">
        <v>0</v>
      </c>
      <c r="H42" s="303">
        <f t="shared" si="2"/>
        <v>0</v>
      </c>
    </row>
    <row r="43" spans="1:22" x14ac:dyDescent="0.3">
      <c r="A43" s="19"/>
      <c r="B43" s="438" t="s">
        <v>449</v>
      </c>
      <c r="C43" s="38" t="s">
        <v>1105</v>
      </c>
      <c r="D43" s="457">
        <v>0</v>
      </c>
      <c r="E43" s="457">
        <v>0</v>
      </c>
      <c r="F43" s="457">
        <v>0</v>
      </c>
      <c r="G43" s="457">
        <v>0</v>
      </c>
      <c r="H43" s="303">
        <f t="shared" si="2"/>
        <v>0</v>
      </c>
    </row>
    <row r="44" spans="1:22" x14ac:dyDescent="0.3">
      <c r="A44" s="19"/>
      <c r="B44" s="438" t="s">
        <v>456</v>
      </c>
      <c r="C44" s="387" t="s">
        <v>1102</v>
      </c>
      <c r="D44" s="457">
        <v>0</v>
      </c>
      <c r="E44" s="457">
        <v>0</v>
      </c>
      <c r="F44" s="457">
        <v>0</v>
      </c>
      <c r="G44" s="457">
        <v>0</v>
      </c>
      <c r="H44" s="303">
        <f t="shared" si="2"/>
        <v>0</v>
      </c>
    </row>
    <row r="45" spans="1:22" ht="14.5" thickBot="1" x14ac:dyDescent="0.35">
      <c r="A45" s="19"/>
      <c r="B45" s="438" t="s">
        <v>456</v>
      </c>
      <c r="C45" s="386" t="s">
        <v>1103</v>
      </c>
      <c r="D45" s="457">
        <v>0</v>
      </c>
      <c r="E45" s="457">
        <v>0</v>
      </c>
      <c r="F45" s="457">
        <v>0</v>
      </c>
      <c r="G45" s="457">
        <v>0</v>
      </c>
      <c r="H45" s="303">
        <f t="shared" si="2"/>
        <v>0</v>
      </c>
    </row>
    <row r="46" spans="1:22" ht="14.5" thickBot="1" x14ac:dyDescent="0.35">
      <c r="A46" s="19"/>
      <c r="B46" s="274" t="s">
        <v>1062</v>
      </c>
      <c r="C46" s="275"/>
      <c r="D46" s="276">
        <f>SUM(D29:D43)</f>
        <v>0</v>
      </c>
      <c r="E46" s="276">
        <f>SUM(E29:E43)</f>
        <v>0</v>
      </c>
      <c r="F46" s="276">
        <f t="shared" ref="F46:H46" si="3">SUM(F29:F43)</f>
        <v>0</v>
      </c>
      <c r="G46" s="276">
        <f t="shared" si="3"/>
        <v>0</v>
      </c>
      <c r="H46" s="276">
        <f t="shared" si="3"/>
        <v>0</v>
      </c>
    </row>
    <row r="47" spans="1:22" ht="8" customHeight="1" thickBot="1" x14ac:dyDescent="0.35">
      <c r="A47" s="19"/>
      <c r="B47" s="278"/>
      <c r="C47" s="192"/>
      <c r="D47" s="281"/>
      <c r="E47" s="193"/>
      <c r="F47" s="193"/>
      <c r="G47" s="193"/>
      <c r="H47" s="193"/>
    </row>
    <row r="48" spans="1:22" ht="26.5" thickBot="1" x14ac:dyDescent="0.35">
      <c r="B48" s="605" t="s">
        <v>1063</v>
      </c>
      <c r="C48" s="606"/>
      <c r="D48" s="311" t="s">
        <v>857</v>
      </c>
      <c r="E48" s="311" t="s">
        <v>645</v>
      </c>
      <c r="F48" s="311" t="s">
        <v>1071</v>
      </c>
      <c r="G48" s="311" t="s">
        <v>2</v>
      </c>
      <c r="H48" s="312" t="s">
        <v>646</v>
      </c>
      <c r="I48" s="322"/>
      <c r="J48" s="190"/>
      <c r="K48" s="190"/>
      <c r="L48" s="190"/>
      <c r="M48" s="190"/>
      <c r="N48" s="190"/>
      <c r="O48" s="190"/>
      <c r="P48" s="190"/>
      <c r="Q48" s="190"/>
      <c r="R48" s="190"/>
      <c r="S48" s="190"/>
      <c r="T48" s="190"/>
      <c r="U48" s="190"/>
      <c r="V48" s="190"/>
    </row>
    <row r="49" spans="1:8" x14ac:dyDescent="0.3">
      <c r="A49" s="19"/>
      <c r="B49" s="10" t="s">
        <v>647</v>
      </c>
      <c r="C49" s="40" t="s">
        <v>33</v>
      </c>
      <c r="D49" s="391">
        <f>'Subcontractor Breakdown'!E39</f>
        <v>0</v>
      </c>
      <c r="E49" s="391">
        <f>'Subcontractor Breakdown'!H39</f>
        <v>0</v>
      </c>
      <c r="F49" s="391">
        <f>'Subcontractor Breakdown'!I39</f>
        <v>0</v>
      </c>
      <c r="G49" s="457">
        <v>0</v>
      </c>
      <c r="H49" s="303">
        <f>G49-D49</f>
        <v>0</v>
      </c>
    </row>
    <row r="50" spans="1:8" x14ac:dyDescent="0.3">
      <c r="A50" s="19"/>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1:8" x14ac:dyDescent="0.3">
      <c r="A51" s="19"/>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1:8" x14ac:dyDescent="0.3">
      <c r="A52" s="19"/>
      <c r="B52" s="10" t="s">
        <v>650</v>
      </c>
      <c r="C52" s="40" t="s">
        <v>223</v>
      </c>
      <c r="D52" s="391">
        <f>'Subcontractor Breakdown'!E141</f>
        <v>0</v>
      </c>
      <c r="E52" s="391">
        <f>'Subcontractor Breakdown'!H141</f>
        <v>0</v>
      </c>
      <c r="F52" s="391">
        <f>'Subcontractor Breakdown'!I141</f>
        <v>0</v>
      </c>
      <c r="G52" s="457">
        <v>0</v>
      </c>
      <c r="H52" s="303">
        <f t="shared" si="4"/>
        <v>0</v>
      </c>
    </row>
    <row r="53" spans="1:8" x14ac:dyDescent="0.3">
      <c r="A53" s="19"/>
      <c r="B53" s="10" t="s">
        <v>651</v>
      </c>
      <c r="C53" s="40" t="s">
        <v>237</v>
      </c>
      <c r="D53" s="391">
        <f>'Subcontractor Breakdown'!E150</f>
        <v>0</v>
      </c>
      <c r="E53" s="391">
        <f>'Subcontractor Breakdown'!H150</f>
        <v>0</v>
      </c>
      <c r="F53" s="391">
        <f>'Subcontractor Breakdown'!I150</f>
        <v>0</v>
      </c>
      <c r="G53" s="457">
        <v>0</v>
      </c>
      <c r="H53" s="303">
        <f t="shared" si="4"/>
        <v>0</v>
      </c>
    </row>
    <row r="54" spans="1:8" x14ac:dyDescent="0.3">
      <c r="A54" s="19"/>
      <c r="B54" s="10" t="s">
        <v>652</v>
      </c>
      <c r="C54" s="392" t="s">
        <v>388</v>
      </c>
      <c r="D54" s="391">
        <f>'Subcontractor Breakdown'!E158</f>
        <v>0</v>
      </c>
      <c r="E54" s="391">
        <f>'Subcontractor Breakdown'!H158</f>
        <v>0</v>
      </c>
      <c r="F54" s="391">
        <f>'Subcontractor Breakdown'!I158</f>
        <v>0</v>
      </c>
      <c r="G54" s="457">
        <v>0</v>
      </c>
      <c r="H54" s="303">
        <f t="shared" si="4"/>
        <v>0</v>
      </c>
    </row>
    <row r="55" spans="1:8" x14ac:dyDescent="0.3">
      <c r="A55" s="19"/>
      <c r="B55" s="10" t="s">
        <v>653</v>
      </c>
      <c r="C55" s="392" t="s">
        <v>169</v>
      </c>
      <c r="D55" s="391">
        <f>'Subcontractor Breakdown'!E177</f>
        <v>0</v>
      </c>
      <c r="E55" s="391">
        <f>'Subcontractor Breakdown'!H177</f>
        <v>0</v>
      </c>
      <c r="F55" s="391">
        <f>'Subcontractor Breakdown'!I177</f>
        <v>0</v>
      </c>
      <c r="G55" s="457">
        <v>0</v>
      </c>
      <c r="H55" s="303">
        <f t="shared" si="4"/>
        <v>0</v>
      </c>
    </row>
    <row r="56" spans="1:8" x14ac:dyDescent="0.3">
      <c r="A56" s="19"/>
      <c r="B56" s="10" t="s">
        <v>654</v>
      </c>
      <c r="C56" s="392" t="s">
        <v>0</v>
      </c>
      <c r="D56" s="391">
        <f>'Subcontractor Breakdown'!E185</f>
        <v>0</v>
      </c>
      <c r="E56" s="391">
        <f>'Subcontractor Breakdown'!H185</f>
        <v>0</v>
      </c>
      <c r="F56" s="391">
        <f>'Subcontractor Breakdown'!I185</f>
        <v>0</v>
      </c>
      <c r="G56" s="457">
        <v>0</v>
      </c>
      <c r="H56" s="303">
        <f t="shared" si="4"/>
        <v>0</v>
      </c>
    </row>
    <row r="57" spans="1:8" x14ac:dyDescent="0.3">
      <c r="A57" s="19"/>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1:8" x14ac:dyDescent="0.3">
      <c r="A58" s="19"/>
      <c r="B58" s="10" t="s">
        <v>656</v>
      </c>
      <c r="C58" s="392" t="s">
        <v>391</v>
      </c>
      <c r="D58" s="391">
        <f>'Subcontractor Breakdown'!E234</f>
        <v>0</v>
      </c>
      <c r="E58" s="391">
        <f>'Subcontractor Breakdown'!H234</f>
        <v>0</v>
      </c>
      <c r="F58" s="391">
        <f>'Subcontractor Breakdown'!I234</f>
        <v>0</v>
      </c>
      <c r="G58" s="457">
        <v>0</v>
      </c>
      <c r="H58" s="303">
        <f t="shared" si="4"/>
        <v>0</v>
      </c>
    </row>
    <row r="59" spans="1:8" x14ac:dyDescent="0.3">
      <c r="A59" s="19"/>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1:8" x14ac:dyDescent="0.3">
      <c r="A60" s="19"/>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1:8" x14ac:dyDescent="0.3">
      <c r="A61" s="19"/>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1:8" x14ac:dyDescent="0.3">
      <c r="A62" s="19"/>
      <c r="B62" s="10" t="s">
        <v>660</v>
      </c>
      <c r="C62" s="392" t="s">
        <v>113</v>
      </c>
      <c r="D62" s="391">
        <f>'Subcontractor Breakdown'!E356</f>
        <v>0</v>
      </c>
      <c r="E62" s="391">
        <f>'Subcontractor Breakdown'!H356</f>
        <v>0</v>
      </c>
      <c r="F62" s="391">
        <f>'Subcontractor Breakdown'!I356</f>
        <v>0</v>
      </c>
      <c r="G62" s="457">
        <v>0</v>
      </c>
      <c r="H62" s="303">
        <f t="shared" si="4"/>
        <v>0</v>
      </c>
    </row>
    <row r="63" spans="1:8" x14ac:dyDescent="0.3">
      <c r="A63" s="19"/>
      <c r="B63" s="10" t="s">
        <v>661</v>
      </c>
      <c r="C63" s="392" t="s">
        <v>394</v>
      </c>
      <c r="D63" s="391">
        <f>'Subcontractor Breakdown'!E372</f>
        <v>0</v>
      </c>
      <c r="E63" s="391">
        <f>'Subcontractor Breakdown'!H372</f>
        <v>0</v>
      </c>
      <c r="F63" s="391">
        <f>'Subcontractor Breakdown'!I372</f>
        <v>0</v>
      </c>
      <c r="G63" s="457">
        <v>0</v>
      </c>
      <c r="H63" s="303">
        <f t="shared" si="4"/>
        <v>0</v>
      </c>
    </row>
    <row r="64" spans="1:8" x14ac:dyDescent="0.3">
      <c r="A64" s="19"/>
      <c r="B64" s="10" t="s">
        <v>662</v>
      </c>
      <c r="C64" s="392" t="s">
        <v>239</v>
      </c>
      <c r="D64" s="391">
        <f>'Subcontractor Breakdown'!E380</f>
        <v>0</v>
      </c>
      <c r="E64" s="391">
        <f>'Subcontractor Breakdown'!H380</f>
        <v>0</v>
      </c>
      <c r="F64" s="391">
        <f>'Subcontractor Breakdown'!I380</f>
        <v>0</v>
      </c>
      <c r="G64" s="457">
        <v>0</v>
      </c>
      <c r="H64" s="303">
        <f t="shared" si="4"/>
        <v>0</v>
      </c>
    </row>
    <row r="65" spans="1:22" x14ac:dyDescent="0.3">
      <c r="A65" s="19"/>
      <c r="B65" s="10" t="s">
        <v>663</v>
      </c>
      <c r="C65" s="392" t="s">
        <v>192</v>
      </c>
      <c r="D65" s="391">
        <f>'Subcontractor Breakdown'!E389</f>
        <v>0</v>
      </c>
      <c r="E65" s="391">
        <f>'Subcontractor Breakdown'!H389</f>
        <v>0</v>
      </c>
      <c r="F65" s="391">
        <f>'Subcontractor Breakdown'!I389</f>
        <v>0</v>
      </c>
      <c r="G65" s="457">
        <v>0</v>
      </c>
      <c r="H65" s="303">
        <f t="shared" si="4"/>
        <v>0</v>
      </c>
    </row>
    <row r="66" spans="1:22" x14ac:dyDescent="0.3">
      <c r="A66" s="19"/>
      <c r="B66" s="10" t="s">
        <v>664</v>
      </c>
      <c r="C66" s="392" t="s">
        <v>395</v>
      </c>
      <c r="D66" s="391">
        <f>'Subcontractor Breakdown'!E398</f>
        <v>0</v>
      </c>
      <c r="E66" s="391">
        <f>'Subcontractor Breakdown'!H398</f>
        <v>0</v>
      </c>
      <c r="F66" s="391">
        <f>'Subcontractor Breakdown'!I398</f>
        <v>0</v>
      </c>
      <c r="G66" s="457">
        <v>0</v>
      </c>
      <c r="H66" s="303">
        <f t="shared" si="4"/>
        <v>0</v>
      </c>
    </row>
    <row r="67" spans="1:22" x14ac:dyDescent="0.3">
      <c r="A67" s="19"/>
      <c r="B67" s="10" t="s">
        <v>665</v>
      </c>
      <c r="C67" s="392" t="s">
        <v>129</v>
      </c>
      <c r="D67" s="391">
        <f>'Subcontractor Breakdown'!E415</f>
        <v>0</v>
      </c>
      <c r="E67" s="391">
        <f>'Subcontractor Breakdown'!H415</f>
        <v>0</v>
      </c>
      <c r="F67" s="391">
        <f>'Subcontractor Breakdown'!I415</f>
        <v>0</v>
      </c>
      <c r="G67" s="457">
        <v>0</v>
      </c>
      <c r="H67" s="303">
        <f t="shared" si="4"/>
        <v>0</v>
      </c>
    </row>
    <row r="68" spans="1:22" x14ac:dyDescent="0.3">
      <c r="A68" s="19"/>
      <c r="B68" s="10" t="s">
        <v>666</v>
      </c>
      <c r="C68" s="392" t="s">
        <v>5</v>
      </c>
      <c r="D68" s="391">
        <f>'Subcontractor Breakdown'!E429</f>
        <v>0</v>
      </c>
      <c r="E68" s="391">
        <f>'Subcontractor Breakdown'!H429</f>
        <v>0</v>
      </c>
      <c r="F68" s="391">
        <f>'Subcontractor Breakdown'!I429</f>
        <v>0</v>
      </c>
      <c r="G68" s="457">
        <v>0</v>
      </c>
      <c r="H68" s="303">
        <f t="shared" si="4"/>
        <v>0</v>
      </c>
    </row>
    <row r="69" spans="1:22" x14ac:dyDescent="0.3">
      <c r="A69" s="19"/>
      <c r="B69" s="10" t="s">
        <v>667</v>
      </c>
      <c r="C69" s="392" t="s">
        <v>6</v>
      </c>
      <c r="D69" s="391">
        <f>'Subcontractor Breakdown'!E443</f>
        <v>0</v>
      </c>
      <c r="E69" s="391">
        <f>'Subcontractor Breakdown'!H443</f>
        <v>0</v>
      </c>
      <c r="F69" s="391">
        <f>'Subcontractor Breakdown'!I443</f>
        <v>0</v>
      </c>
      <c r="G69" s="457">
        <v>0</v>
      </c>
      <c r="H69" s="303">
        <f t="shared" si="4"/>
        <v>0</v>
      </c>
    </row>
    <row r="70" spans="1:22" x14ac:dyDescent="0.3">
      <c r="A70" s="19"/>
      <c r="B70" s="10" t="s">
        <v>668</v>
      </c>
      <c r="C70" s="392" t="s">
        <v>7</v>
      </c>
      <c r="D70" s="391">
        <f>'Subcontractor Breakdown'!E467</f>
        <v>0</v>
      </c>
      <c r="E70" s="391">
        <f>'Subcontractor Breakdown'!H467</f>
        <v>0</v>
      </c>
      <c r="F70" s="391">
        <f>'Subcontractor Breakdown'!I467</f>
        <v>0</v>
      </c>
      <c r="G70" s="457">
        <v>0</v>
      </c>
      <c r="H70" s="303">
        <f t="shared" si="4"/>
        <v>0</v>
      </c>
    </row>
    <row r="71" spans="1:22" x14ac:dyDescent="0.3">
      <c r="A71" s="19"/>
      <c r="B71" s="10" t="s">
        <v>669</v>
      </c>
      <c r="C71" s="392" t="s">
        <v>209</v>
      </c>
      <c r="D71" s="391">
        <f>'Subcontractor Breakdown'!E481</f>
        <v>0</v>
      </c>
      <c r="E71" s="391">
        <f>'Subcontractor Breakdown'!H481</f>
        <v>0</v>
      </c>
      <c r="F71" s="391">
        <f>'Subcontractor Breakdown'!I481</f>
        <v>0</v>
      </c>
      <c r="G71" s="457">
        <v>0</v>
      </c>
      <c r="H71" s="303">
        <f t="shared" si="4"/>
        <v>0</v>
      </c>
    </row>
    <row r="72" spans="1:22" s="190" customFormat="1" x14ac:dyDescent="0.3">
      <c r="A72" s="19"/>
      <c r="B72" s="10" t="s">
        <v>670</v>
      </c>
      <c r="C72" s="392" t="s">
        <v>165</v>
      </c>
      <c r="D72" s="391">
        <f>'Subcontractor Breakdown'!E488</f>
        <v>0</v>
      </c>
      <c r="E72" s="391">
        <f>'Subcontractor Breakdown'!H488</f>
        <v>0</v>
      </c>
      <c r="F72" s="391">
        <f>'Subcontractor Breakdown'!I488</f>
        <v>0</v>
      </c>
      <c r="G72" s="457">
        <v>0</v>
      </c>
      <c r="H72" s="303">
        <f t="shared" si="4"/>
        <v>0</v>
      </c>
      <c r="I72" s="19"/>
      <c r="J72" s="19"/>
      <c r="K72" s="19"/>
      <c r="L72" s="19"/>
      <c r="M72" s="19"/>
      <c r="N72" s="19"/>
      <c r="O72" s="19"/>
      <c r="P72" s="19"/>
      <c r="Q72" s="19"/>
      <c r="R72" s="19"/>
      <c r="S72" s="19"/>
      <c r="T72" s="19"/>
      <c r="U72" s="19"/>
      <c r="V72" s="19"/>
    </row>
    <row r="73" spans="1:22" x14ac:dyDescent="0.3">
      <c r="A73" s="19"/>
      <c r="B73" s="439" t="s">
        <v>670</v>
      </c>
      <c r="C73" s="393" t="s">
        <v>409</v>
      </c>
      <c r="D73" s="391">
        <f>'Subcontractor Breakdown'!E499</f>
        <v>0</v>
      </c>
      <c r="E73" s="391">
        <f>'Subcontractor Breakdown'!H499</f>
        <v>0</v>
      </c>
      <c r="F73" s="391">
        <f>'Subcontractor Breakdown'!I499</f>
        <v>0</v>
      </c>
      <c r="G73" s="457">
        <v>0</v>
      </c>
      <c r="H73" s="303">
        <f>G73-D73</f>
        <v>0</v>
      </c>
    </row>
    <row r="74" spans="1:22" x14ac:dyDescent="0.3">
      <c r="A74" s="19"/>
      <c r="B74" s="10" t="s">
        <v>670</v>
      </c>
      <c r="C74" s="392" t="s">
        <v>155</v>
      </c>
      <c r="D74" s="391">
        <f>'Subcontractor Breakdown'!E513</f>
        <v>0</v>
      </c>
      <c r="E74" s="391">
        <f>'Subcontractor Breakdown'!H513</f>
        <v>0</v>
      </c>
      <c r="F74" s="391">
        <f>'Subcontractor Breakdown'!I513</f>
        <v>0</v>
      </c>
      <c r="G74" s="457">
        <v>0</v>
      </c>
      <c r="H74" s="303">
        <f t="shared" si="4"/>
        <v>0</v>
      </c>
    </row>
    <row r="75" spans="1:22" ht="14.5" thickBot="1" x14ac:dyDescent="0.35">
      <c r="A75" s="19"/>
      <c r="B75" s="10" t="s">
        <v>670</v>
      </c>
      <c r="C75" s="40" t="s">
        <v>1106</v>
      </c>
      <c r="D75" s="304">
        <v>0</v>
      </c>
      <c r="E75" s="304">
        <v>0</v>
      </c>
      <c r="F75" s="304">
        <v>0</v>
      </c>
      <c r="G75" s="319">
        <v>0</v>
      </c>
      <c r="H75" s="303">
        <f t="shared" si="4"/>
        <v>0</v>
      </c>
    </row>
    <row r="76" spans="1:22" ht="14.5" thickBot="1" x14ac:dyDescent="0.35">
      <c r="A76" s="19"/>
      <c r="B76" s="274" t="s">
        <v>1064</v>
      </c>
      <c r="C76" s="275"/>
      <c r="D76" s="276">
        <f>SUM(D49:D75)</f>
        <v>0</v>
      </c>
      <c r="E76" s="276">
        <f>SUM(E49:E75)</f>
        <v>0</v>
      </c>
      <c r="F76" s="276">
        <f>SUM(F49:F75)</f>
        <v>0</v>
      </c>
      <c r="G76" s="276">
        <f>SUM(G49:G75)</f>
        <v>0</v>
      </c>
      <c r="H76" s="276">
        <f>SUM(H49:H74)</f>
        <v>0</v>
      </c>
    </row>
    <row r="77" spans="1:22" ht="8" customHeight="1" thickBot="1" x14ac:dyDescent="0.35">
      <c r="A77" s="19"/>
      <c r="B77" s="278"/>
      <c r="C77" s="282"/>
      <c r="D77" s="283"/>
      <c r="E77" s="283"/>
      <c r="F77" s="283"/>
      <c r="G77" s="283"/>
      <c r="H77" s="284"/>
    </row>
    <row r="78" spans="1:22" ht="26.5" thickBot="1" x14ac:dyDescent="0.35">
      <c r="B78" s="605" t="s">
        <v>1065</v>
      </c>
      <c r="C78" s="606"/>
      <c r="D78" s="311" t="s">
        <v>857</v>
      </c>
      <c r="E78" s="311" t="s">
        <v>645</v>
      </c>
      <c r="F78" s="311" t="s">
        <v>1071</v>
      </c>
      <c r="G78" s="311" t="s">
        <v>2</v>
      </c>
      <c r="H78" s="312" t="s">
        <v>646</v>
      </c>
      <c r="I78" s="322"/>
      <c r="J78" s="190"/>
      <c r="K78" s="190"/>
      <c r="L78" s="190"/>
      <c r="M78" s="190"/>
      <c r="N78" s="190"/>
      <c r="O78" s="190"/>
      <c r="P78" s="190"/>
      <c r="Q78" s="190"/>
      <c r="R78" s="190"/>
      <c r="S78" s="190"/>
      <c r="T78" s="190"/>
      <c r="U78" s="190"/>
      <c r="V78" s="190"/>
    </row>
    <row r="79" spans="1:22" x14ac:dyDescent="0.3">
      <c r="A79" s="19"/>
      <c r="B79" s="439" t="s">
        <v>457</v>
      </c>
      <c r="C79" s="18" t="s">
        <v>410</v>
      </c>
      <c r="D79" s="391">
        <f>'TI Allowance &amp; Contingency'!C48</f>
        <v>0</v>
      </c>
      <c r="E79" s="457">
        <v>0</v>
      </c>
      <c r="F79" s="457">
        <v>0</v>
      </c>
      <c r="G79" s="457">
        <v>0</v>
      </c>
      <c r="H79" s="303">
        <f t="shared" si="4"/>
        <v>0</v>
      </c>
    </row>
    <row r="80" spans="1:22" x14ac:dyDescent="0.3">
      <c r="A80" s="19"/>
      <c r="B80" s="439" t="s">
        <v>449</v>
      </c>
      <c r="C80" s="39" t="s">
        <v>438</v>
      </c>
      <c r="D80" s="391">
        <f>'Developer Contingency'!C48</f>
        <v>0</v>
      </c>
      <c r="E80" s="457">
        <v>0</v>
      </c>
      <c r="F80" s="457">
        <v>0</v>
      </c>
      <c r="G80" s="457">
        <v>0</v>
      </c>
      <c r="H80" s="303">
        <f t="shared" si="4"/>
        <v>0</v>
      </c>
    </row>
    <row r="81" spans="1:8" x14ac:dyDescent="0.3">
      <c r="A81" s="19"/>
      <c r="B81" s="439" t="s">
        <v>449</v>
      </c>
      <c r="C81" s="40" t="s">
        <v>401</v>
      </c>
      <c r="D81" s="391">
        <f>'Developer Contingency'!C82</f>
        <v>0</v>
      </c>
      <c r="E81" s="457">
        <v>0</v>
      </c>
      <c r="F81" s="457">
        <v>0</v>
      </c>
      <c r="G81" s="457">
        <v>0</v>
      </c>
      <c r="H81" s="303">
        <f t="shared" si="4"/>
        <v>0</v>
      </c>
    </row>
    <row r="82" spans="1:8" x14ac:dyDescent="0.3">
      <c r="A82" s="19"/>
      <c r="B82" s="439" t="s">
        <v>449</v>
      </c>
      <c r="C82" s="40" t="s">
        <v>402</v>
      </c>
      <c r="D82" s="391">
        <f>'Developer Contingency'!C116</f>
        <v>0</v>
      </c>
      <c r="E82" s="457">
        <v>0</v>
      </c>
      <c r="F82" s="457">
        <v>0</v>
      </c>
      <c r="G82" s="457">
        <v>0</v>
      </c>
      <c r="H82" s="303">
        <f t="shared" si="4"/>
        <v>0</v>
      </c>
    </row>
    <row r="83" spans="1:8" x14ac:dyDescent="0.3">
      <c r="A83" s="19"/>
      <c r="B83" s="439" t="s">
        <v>449</v>
      </c>
      <c r="C83" s="40" t="s">
        <v>475</v>
      </c>
      <c r="D83" s="391">
        <f>'Developer Contingency'!C150</f>
        <v>0</v>
      </c>
      <c r="E83" s="457">
        <v>0</v>
      </c>
      <c r="F83" s="457">
        <v>0</v>
      </c>
      <c r="G83" s="457">
        <v>0</v>
      </c>
      <c r="H83" s="303">
        <f t="shared" si="4"/>
        <v>0</v>
      </c>
    </row>
    <row r="84" spans="1:8" ht="14.5" thickBot="1" x14ac:dyDescent="0.35">
      <c r="A84" s="19"/>
      <c r="B84" s="439" t="s">
        <v>449</v>
      </c>
      <c r="C84" s="285" t="s">
        <v>571</v>
      </c>
      <c r="D84" s="457">
        <v>0</v>
      </c>
      <c r="E84" s="457">
        <v>0</v>
      </c>
      <c r="F84" s="457">
        <v>0</v>
      </c>
      <c r="G84" s="457">
        <v>0</v>
      </c>
      <c r="H84" s="390">
        <f t="shared" si="4"/>
        <v>0</v>
      </c>
    </row>
    <row r="85" spans="1:8" ht="14.5" thickBot="1" x14ac:dyDescent="0.35">
      <c r="A85" s="19"/>
      <c r="B85" s="274" t="s">
        <v>1066</v>
      </c>
      <c r="C85" s="275"/>
      <c r="D85" s="276">
        <f>SUM(D79:D84)</f>
        <v>0</v>
      </c>
      <c r="E85" s="276">
        <f t="shared" ref="E85:G85" si="5">SUM(E79:E84)</f>
        <v>0</v>
      </c>
      <c r="F85" s="276">
        <f t="shared" si="5"/>
        <v>0</v>
      </c>
      <c r="G85" s="276">
        <f t="shared" si="5"/>
        <v>0</v>
      </c>
      <c r="H85" s="276">
        <f>SUM(H79:H84)</f>
        <v>0</v>
      </c>
    </row>
    <row r="86" spans="1:8" ht="8" customHeight="1" thickBot="1" x14ac:dyDescent="0.35">
      <c r="A86" s="19"/>
      <c r="B86" s="394"/>
      <c r="C86" s="395"/>
      <c r="D86" s="396"/>
      <c r="E86" s="396"/>
      <c r="F86" s="396"/>
      <c r="G86" s="396"/>
      <c r="H86" s="396"/>
    </row>
    <row r="87" spans="1:8" ht="16" thickBot="1" x14ac:dyDescent="0.4">
      <c r="A87" s="19"/>
      <c r="B87" s="289" t="s">
        <v>1104</v>
      </c>
      <c r="C87" s="290"/>
      <c r="D87" s="291">
        <f>D46 + D76+ D85</f>
        <v>0</v>
      </c>
      <c r="E87" s="291">
        <f>E46 + E76+ E85</f>
        <v>0</v>
      </c>
      <c r="F87" s="291">
        <f>F46 + F76+ F85</f>
        <v>0</v>
      </c>
      <c r="G87" s="291">
        <f>G46 + G76+ G85</f>
        <v>0</v>
      </c>
      <c r="H87" s="291">
        <f>H46 + H76+ H85</f>
        <v>0</v>
      </c>
    </row>
    <row r="88" spans="1:8" ht="8" customHeight="1" thickBot="1" x14ac:dyDescent="0.35">
      <c r="A88" s="19"/>
      <c r="B88" s="397"/>
      <c r="C88" s="398"/>
      <c r="D88" s="399"/>
      <c r="E88" s="399"/>
      <c r="F88" s="399"/>
      <c r="G88" s="399"/>
      <c r="H88" s="399"/>
    </row>
    <row r="89" spans="1:8" ht="26.5" thickBot="1" x14ac:dyDescent="0.35">
      <c r="A89" s="19"/>
      <c r="B89" s="605" t="s">
        <v>1067</v>
      </c>
      <c r="C89" s="606"/>
      <c r="D89" s="311" t="s">
        <v>857</v>
      </c>
      <c r="E89" s="311" t="s">
        <v>645</v>
      </c>
      <c r="F89" s="311" t="s">
        <v>1071</v>
      </c>
      <c r="G89" s="311" t="s">
        <v>2</v>
      </c>
      <c r="H89" s="312" t="s">
        <v>646</v>
      </c>
    </row>
    <row r="90" spans="1:8" x14ac:dyDescent="0.3">
      <c r="A90" s="19"/>
      <c r="B90" s="10" t="s">
        <v>449</v>
      </c>
      <c r="C90" s="40" t="s">
        <v>256</v>
      </c>
      <c r="D90" s="457">
        <v>0</v>
      </c>
      <c r="E90" s="457">
        <v>0</v>
      </c>
      <c r="F90" s="457">
        <v>0</v>
      </c>
      <c r="G90" s="457">
        <v>0</v>
      </c>
      <c r="H90" s="303">
        <f t="shared" ref="H90:H96" si="6">G90-D90</f>
        <v>0</v>
      </c>
    </row>
    <row r="91" spans="1:8" x14ac:dyDescent="0.3">
      <c r="A91" s="19"/>
      <c r="B91" s="10" t="s">
        <v>449</v>
      </c>
      <c r="C91" s="40" t="s">
        <v>251</v>
      </c>
      <c r="D91" s="457">
        <v>0</v>
      </c>
      <c r="E91" s="457">
        <v>0</v>
      </c>
      <c r="F91" s="457">
        <v>0</v>
      </c>
      <c r="G91" s="457">
        <v>0</v>
      </c>
      <c r="H91" s="303">
        <f t="shared" si="6"/>
        <v>0</v>
      </c>
    </row>
    <row r="92" spans="1:8" x14ac:dyDescent="0.3">
      <c r="A92" s="19"/>
      <c r="B92" s="10" t="s">
        <v>449</v>
      </c>
      <c r="C92" s="40" t="s">
        <v>156</v>
      </c>
      <c r="D92" s="457">
        <v>0</v>
      </c>
      <c r="E92" s="457">
        <v>0</v>
      </c>
      <c r="F92" s="457">
        <v>0</v>
      </c>
      <c r="G92" s="457">
        <v>0</v>
      </c>
      <c r="H92" s="303">
        <f t="shared" si="6"/>
        <v>0</v>
      </c>
    </row>
    <row r="93" spans="1:8" x14ac:dyDescent="0.3">
      <c r="A93" s="19"/>
      <c r="B93" s="10" t="s">
        <v>449</v>
      </c>
      <c r="C93" s="40" t="s">
        <v>12</v>
      </c>
      <c r="D93" s="457">
        <v>0</v>
      </c>
      <c r="E93" s="457">
        <v>0</v>
      </c>
      <c r="F93" s="457">
        <v>0</v>
      </c>
      <c r="G93" s="457">
        <v>0</v>
      </c>
      <c r="H93" s="303">
        <f t="shared" si="6"/>
        <v>0</v>
      </c>
    </row>
    <row r="94" spans="1:8" x14ac:dyDescent="0.3">
      <c r="A94" s="19"/>
      <c r="B94" s="10" t="s">
        <v>449</v>
      </c>
      <c r="C94" s="40" t="s">
        <v>1068</v>
      </c>
      <c r="D94" s="457">
        <v>0</v>
      </c>
      <c r="E94" s="457">
        <v>0</v>
      </c>
      <c r="F94" s="457">
        <v>0</v>
      </c>
      <c r="G94" s="457">
        <v>0</v>
      </c>
      <c r="H94" s="303">
        <f t="shared" si="6"/>
        <v>0</v>
      </c>
    </row>
    <row r="95" spans="1:8" x14ac:dyDescent="0.3">
      <c r="A95" s="19"/>
      <c r="B95" s="10" t="s">
        <v>449</v>
      </c>
      <c r="C95" s="40" t="s">
        <v>13</v>
      </c>
      <c r="D95" s="457">
        <v>0</v>
      </c>
      <c r="E95" s="457">
        <v>0</v>
      </c>
      <c r="F95" s="457">
        <v>0</v>
      </c>
      <c r="G95" s="457">
        <v>0</v>
      </c>
      <c r="H95" s="303">
        <f t="shared" si="6"/>
        <v>0</v>
      </c>
    </row>
    <row r="96" spans="1:8" ht="14.5" thickBot="1" x14ac:dyDescent="0.35">
      <c r="A96" s="19"/>
      <c r="B96" s="440" t="s">
        <v>449</v>
      </c>
      <c r="C96" s="40" t="s">
        <v>14</v>
      </c>
      <c r="D96" s="457">
        <v>0</v>
      </c>
      <c r="E96" s="457">
        <v>0</v>
      </c>
      <c r="F96" s="457">
        <v>0</v>
      </c>
      <c r="G96" s="457">
        <v>0</v>
      </c>
      <c r="H96" s="390">
        <f t="shared" si="6"/>
        <v>0</v>
      </c>
    </row>
    <row r="97" spans="1:22" ht="14.5" thickBot="1" x14ac:dyDescent="0.35">
      <c r="A97" s="19"/>
      <c r="B97" s="274" t="s">
        <v>21</v>
      </c>
      <c r="C97" s="275"/>
      <c r="D97" s="276">
        <f>SUM(D90:D96)</f>
        <v>0</v>
      </c>
      <c r="E97" s="276">
        <f t="shared" ref="E97:H97" si="7">SUM(E90:E96)</f>
        <v>0</v>
      </c>
      <c r="F97" s="276">
        <f t="shared" si="7"/>
        <v>0</v>
      </c>
      <c r="G97" s="276">
        <f t="shared" si="7"/>
        <v>0</v>
      </c>
      <c r="H97" s="276">
        <f t="shared" si="7"/>
        <v>0</v>
      </c>
    </row>
    <row r="98" spans="1:22" ht="8" customHeight="1" thickBot="1" x14ac:dyDescent="0.35">
      <c r="A98" s="19"/>
      <c r="B98" s="187"/>
      <c r="C98" s="188"/>
      <c r="D98" s="305"/>
      <c r="E98" s="305"/>
      <c r="F98" s="305"/>
      <c r="G98" s="305"/>
      <c r="H98" s="305"/>
    </row>
    <row r="99" spans="1:22" ht="26.5" thickBot="1" x14ac:dyDescent="0.35">
      <c r="A99" s="19"/>
      <c r="B99" s="605" t="s">
        <v>1069</v>
      </c>
      <c r="C99" s="606"/>
      <c r="D99" s="311" t="s">
        <v>857</v>
      </c>
      <c r="E99" s="311" t="s">
        <v>645</v>
      </c>
      <c r="F99" s="311" t="s">
        <v>1071</v>
      </c>
      <c r="G99" s="311" t="s">
        <v>2</v>
      </c>
      <c r="H99" s="312" t="s">
        <v>646</v>
      </c>
    </row>
    <row r="100" spans="1:22" x14ac:dyDescent="0.3">
      <c r="A100" s="19"/>
      <c r="B100" s="10" t="s">
        <v>449</v>
      </c>
      <c r="C100" s="40" t="s">
        <v>15</v>
      </c>
      <c r="D100" s="457">
        <v>0</v>
      </c>
      <c r="E100" s="457">
        <v>0</v>
      </c>
      <c r="F100" s="457">
        <v>0</v>
      </c>
      <c r="G100" s="457">
        <v>0</v>
      </c>
      <c r="H100" s="303">
        <f>G100-D100</f>
        <v>0</v>
      </c>
    </row>
    <row r="101" spans="1:22" s="190" customFormat="1" x14ac:dyDescent="0.3">
      <c r="A101" s="19"/>
      <c r="B101" s="10" t="s">
        <v>449</v>
      </c>
      <c r="C101" s="40" t="s">
        <v>20</v>
      </c>
      <c r="D101" s="457">
        <v>0</v>
      </c>
      <c r="E101" s="457">
        <v>0</v>
      </c>
      <c r="F101" s="457">
        <v>0</v>
      </c>
      <c r="G101" s="457">
        <v>0</v>
      </c>
      <c r="H101" s="303">
        <f t="shared" ref="H101:H102" si="8">G101-D101</f>
        <v>0</v>
      </c>
      <c r="I101" s="19"/>
      <c r="J101" s="19"/>
      <c r="K101" s="19"/>
      <c r="L101" s="19"/>
      <c r="M101" s="19"/>
      <c r="N101" s="19"/>
      <c r="O101" s="19"/>
      <c r="P101" s="19"/>
      <c r="Q101" s="19"/>
      <c r="R101" s="19"/>
      <c r="S101" s="19"/>
      <c r="T101" s="19"/>
      <c r="U101" s="19"/>
      <c r="V101" s="19"/>
    </row>
    <row r="102" spans="1:22" ht="14.5" thickBot="1" x14ac:dyDescent="0.35">
      <c r="A102" s="19"/>
      <c r="B102" s="440" t="s">
        <v>449</v>
      </c>
      <c r="C102" s="40" t="s">
        <v>16</v>
      </c>
      <c r="D102" s="457">
        <v>0</v>
      </c>
      <c r="E102" s="457">
        <v>0</v>
      </c>
      <c r="F102" s="457">
        <v>0</v>
      </c>
      <c r="G102" s="457">
        <v>0</v>
      </c>
      <c r="H102" s="303">
        <f t="shared" si="8"/>
        <v>0</v>
      </c>
    </row>
    <row r="103" spans="1:22" ht="14.5" thickBot="1" x14ac:dyDescent="0.35">
      <c r="A103" s="19"/>
      <c r="B103" s="274" t="s">
        <v>22</v>
      </c>
      <c r="C103" s="275"/>
      <c r="D103" s="276">
        <f>SUM(D100:D102)</f>
        <v>0</v>
      </c>
      <c r="E103" s="276">
        <f t="shared" ref="E103:H103" si="9">SUM(E100:E102)</f>
        <v>0</v>
      </c>
      <c r="F103" s="276">
        <f t="shared" si="9"/>
        <v>0</v>
      </c>
      <c r="G103" s="276">
        <f t="shared" si="9"/>
        <v>0</v>
      </c>
      <c r="H103" s="276">
        <f t="shared" si="9"/>
        <v>0</v>
      </c>
    </row>
    <row r="104" spans="1:22" ht="8" customHeight="1" thickBot="1" x14ac:dyDescent="0.35">
      <c r="A104" s="19"/>
      <c r="B104" s="187"/>
      <c r="C104" s="188"/>
      <c r="D104" s="189"/>
      <c r="E104" s="189"/>
      <c r="F104" s="189"/>
      <c r="G104" s="189"/>
      <c r="H104" s="189"/>
    </row>
    <row r="105" spans="1:22" x14ac:dyDescent="0.3">
      <c r="A105" s="19"/>
      <c r="B105" s="10" t="s">
        <v>458</v>
      </c>
      <c r="C105" s="40" t="s">
        <v>253</v>
      </c>
      <c r="D105" s="319">
        <v>0</v>
      </c>
      <c r="E105" s="319">
        <v>0</v>
      </c>
      <c r="F105" s="319">
        <v>0</v>
      </c>
      <c r="G105" s="319">
        <v>0</v>
      </c>
      <c r="H105" s="303">
        <f>G105-D105</f>
        <v>0</v>
      </c>
    </row>
    <row r="106" spans="1:22" ht="14.5" thickBot="1" x14ac:dyDescent="0.35">
      <c r="A106" s="19"/>
      <c r="B106" s="440" t="s">
        <v>671</v>
      </c>
      <c r="C106" s="286" t="s">
        <v>672</v>
      </c>
      <c r="D106" s="458">
        <v>0</v>
      </c>
      <c r="E106" s="458">
        <v>0</v>
      </c>
      <c r="F106" s="458">
        <v>0</v>
      </c>
      <c r="G106" s="459">
        <v>0</v>
      </c>
      <c r="H106" s="400">
        <f>G106-D106</f>
        <v>0</v>
      </c>
    </row>
    <row r="107" spans="1:22" ht="8" customHeight="1" thickBot="1" x14ac:dyDescent="0.35">
      <c r="A107" s="19"/>
      <c r="B107" s="287"/>
      <c r="C107" s="288"/>
      <c r="D107" s="323"/>
      <c r="E107" s="323"/>
      <c r="F107" s="323"/>
      <c r="G107" s="324"/>
      <c r="H107" s="281"/>
      <c r="I107" s="325"/>
    </row>
    <row r="108" spans="1:22" ht="16" thickBot="1" x14ac:dyDescent="0.4">
      <c r="A108" s="19"/>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1:22" ht="8" customHeight="1" thickBot="1" x14ac:dyDescent="0.35">
      <c r="A109" s="19"/>
      <c r="B109" s="191"/>
      <c r="C109" s="192"/>
      <c r="D109" s="193"/>
      <c r="E109" s="193"/>
      <c r="F109" s="193"/>
      <c r="G109" s="193"/>
      <c r="H109" s="193"/>
      <c r="I109" s="326"/>
    </row>
    <row r="110" spans="1:22" ht="26.5" customHeight="1" thickBot="1" x14ac:dyDescent="0.35">
      <c r="A110" s="19"/>
      <c r="B110" s="605" t="s">
        <v>450</v>
      </c>
      <c r="C110" s="606"/>
      <c r="D110" s="311" t="s">
        <v>857</v>
      </c>
      <c r="E110" s="311" t="s">
        <v>645</v>
      </c>
      <c r="F110" s="311" t="s">
        <v>1057</v>
      </c>
      <c r="G110" s="311" t="s">
        <v>2</v>
      </c>
      <c r="H110" s="312" t="s">
        <v>646</v>
      </c>
      <c r="I110" s="326"/>
    </row>
    <row r="111" spans="1:22" ht="16.5" customHeight="1" x14ac:dyDescent="0.3">
      <c r="A111" s="19"/>
      <c r="B111" s="294" t="s">
        <v>451</v>
      </c>
      <c r="C111" s="40" t="s">
        <v>452</v>
      </c>
      <c r="D111" s="327">
        <v>0</v>
      </c>
      <c r="E111" s="327">
        <v>0</v>
      </c>
      <c r="F111" s="327">
        <v>0</v>
      </c>
      <c r="G111" s="327">
        <v>0</v>
      </c>
      <c r="H111" s="160">
        <f>G111-D111</f>
        <v>0</v>
      </c>
      <c r="I111" s="326"/>
    </row>
    <row r="112" spans="1:22" x14ac:dyDescent="0.3">
      <c r="A112" s="19"/>
      <c r="B112" s="295" t="s">
        <v>451</v>
      </c>
      <c r="C112" s="40" t="s">
        <v>453</v>
      </c>
      <c r="D112" s="327">
        <v>0</v>
      </c>
      <c r="E112" s="327">
        <v>0</v>
      </c>
      <c r="F112" s="327">
        <v>0</v>
      </c>
      <c r="G112" s="327">
        <v>0</v>
      </c>
      <c r="H112" s="161">
        <f>G112-D112</f>
        <v>0</v>
      </c>
      <c r="I112" s="326"/>
    </row>
    <row r="113" spans="1:22" ht="14.5" thickBot="1" x14ac:dyDescent="0.35">
      <c r="A113" s="19"/>
      <c r="B113" s="296" t="s">
        <v>451</v>
      </c>
      <c r="C113" s="40" t="s">
        <v>1070</v>
      </c>
      <c r="D113" s="153">
        <f>H7</f>
        <v>0</v>
      </c>
      <c r="E113" s="457">
        <v>0</v>
      </c>
      <c r="F113" s="460">
        <v>0</v>
      </c>
      <c r="G113" s="159">
        <f>D137</f>
        <v>0</v>
      </c>
      <c r="H113" s="154">
        <f>G113-D113</f>
        <v>0</v>
      </c>
      <c r="I113" s="326"/>
    </row>
    <row r="114" spans="1:22" ht="14.5" thickBot="1" x14ac:dyDescent="0.35">
      <c r="A114" s="19"/>
      <c r="B114" s="297" t="s">
        <v>454</v>
      </c>
      <c r="C114" s="298"/>
      <c r="D114" s="276">
        <f>SUM(D111:D113)</f>
        <v>0</v>
      </c>
      <c r="E114" s="276">
        <f>SUM(E111:E113)</f>
        <v>0</v>
      </c>
      <c r="F114" s="276">
        <f>SUM(F111:F113)</f>
        <v>0</v>
      </c>
      <c r="G114" s="276">
        <f>SUM(G111:G113)</f>
        <v>0</v>
      </c>
      <c r="H114" s="277">
        <f>SUM(H111:H113)</f>
        <v>0</v>
      </c>
      <c r="I114" s="326"/>
    </row>
    <row r="115" spans="1:22" ht="8" customHeight="1" thickBot="1" x14ac:dyDescent="0.35">
      <c r="A115" s="19"/>
      <c r="B115" s="194"/>
      <c r="C115" s="194"/>
      <c r="D115" s="195"/>
      <c r="E115" s="196"/>
      <c r="F115" s="196"/>
      <c r="G115" s="196"/>
      <c r="H115" s="197"/>
      <c r="I115" s="326"/>
    </row>
    <row r="116" spans="1:22" ht="16" thickBot="1" x14ac:dyDescent="0.4">
      <c r="A116" s="325"/>
      <c r="B116" s="289" t="s">
        <v>455</v>
      </c>
      <c r="C116" s="290"/>
      <c r="D116" s="291">
        <f>D114+D108</f>
        <v>0</v>
      </c>
      <c r="E116" s="291">
        <f>E114+E108</f>
        <v>0</v>
      </c>
      <c r="F116" s="292">
        <f>F114+F108</f>
        <v>0</v>
      </c>
      <c r="G116" s="293">
        <f>G114+G108</f>
        <v>0</v>
      </c>
      <c r="H116" s="293">
        <f>G116-D116</f>
        <v>0</v>
      </c>
      <c r="I116" s="325"/>
      <c r="J116" s="326"/>
      <c r="K116" s="325"/>
      <c r="L116" s="325"/>
      <c r="M116" s="325"/>
      <c r="N116" s="325"/>
      <c r="O116" s="325"/>
      <c r="P116" s="325"/>
      <c r="Q116" s="325"/>
      <c r="R116" s="325"/>
      <c r="S116" s="325"/>
      <c r="T116" s="325"/>
      <c r="U116" s="325"/>
      <c r="V116" s="325"/>
    </row>
    <row r="117" spans="1:22" ht="8" customHeight="1" thickBot="1" x14ac:dyDescent="0.4">
      <c r="A117" s="325"/>
      <c r="B117" s="328"/>
      <c r="C117" s="328"/>
      <c r="D117" s="329"/>
      <c r="E117" s="330"/>
      <c r="F117" s="330"/>
      <c r="G117" s="330"/>
      <c r="H117" s="330"/>
      <c r="I117" s="325"/>
      <c r="J117" s="326"/>
      <c r="K117" s="325"/>
      <c r="L117" s="325"/>
      <c r="M117" s="325"/>
      <c r="N117" s="325"/>
      <c r="O117" s="325"/>
      <c r="P117" s="325"/>
      <c r="Q117" s="325"/>
      <c r="R117" s="325"/>
      <c r="S117" s="325"/>
      <c r="T117" s="325"/>
      <c r="U117" s="325"/>
      <c r="V117" s="325"/>
    </row>
    <row r="118" spans="1:22" ht="14.5" thickBot="1" x14ac:dyDescent="0.35">
      <c r="A118" s="325"/>
      <c r="B118" s="352" t="s">
        <v>1107</v>
      </c>
      <c r="C118" s="331"/>
      <c r="D118" s="401"/>
      <c r="E118" s="402"/>
      <c r="F118" s="331"/>
      <c r="G118" s="331"/>
      <c r="H118" s="353"/>
    </row>
    <row r="119" spans="1:22" s="490" customFormat="1" ht="26" x14ac:dyDescent="0.3">
      <c r="A119" s="325"/>
      <c r="B119" s="403" t="s">
        <v>1072</v>
      </c>
      <c r="C119" s="404" t="s">
        <v>9</v>
      </c>
      <c r="D119" s="404" t="s">
        <v>10</v>
      </c>
      <c r="E119" s="405" t="s">
        <v>1073</v>
      </c>
      <c r="F119" s="405" t="s">
        <v>1074</v>
      </c>
      <c r="G119" s="406" t="s">
        <v>1075</v>
      </c>
      <c r="H119" s="407" t="s">
        <v>1076</v>
      </c>
      <c r="I119" s="19"/>
      <c r="J119" s="19"/>
      <c r="K119" s="19"/>
      <c r="L119" s="19"/>
      <c r="M119" s="19"/>
      <c r="N119" s="19"/>
      <c r="O119" s="19"/>
      <c r="P119" s="19"/>
      <c r="Q119" s="19"/>
      <c r="R119" s="19"/>
      <c r="S119" s="19"/>
      <c r="T119" s="19"/>
      <c r="U119" s="19"/>
      <c r="V119" s="19"/>
    </row>
    <row r="120" spans="1:22" ht="14" customHeight="1" x14ac:dyDescent="0.3">
      <c r="A120" s="19"/>
      <c r="B120" s="461"/>
      <c r="C120" s="462"/>
      <c r="D120" s="463"/>
      <c r="E120" s="463"/>
      <c r="F120" s="463"/>
      <c r="G120" s="464"/>
      <c r="H120" s="464"/>
    </row>
    <row r="121" spans="1:22" ht="14" customHeight="1" x14ac:dyDescent="0.3">
      <c r="A121" s="19"/>
      <c r="B121" s="461"/>
      <c r="C121" s="462"/>
      <c r="D121" s="463"/>
      <c r="E121" s="463"/>
      <c r="F121" s="463"/>
      <c r="G121" s="464"/>
      <c r="H121" s="464"/>
    </row>
    <row r="122" spans="1:22" ht="14" customHeight="1" x14ac:dyDescent="0.3">
      <c r="A122" s="19"/>
      <c r="B122" s="461"/>
      <c r="C122" s="462"/>
      <c r="D122" s="463"/>
      <c r="E122" s="463"/>
      <c r="F122" s="463"/>
      <c r="G122" s="464"/>
      <c r="H122" s="464"/>
    </row>
    <row r="123" spans="1:22" ht="14" customHeight="1" x14ac:dyDescent="0.3">
      <c r="A123" s="19"/>
      <c r="B123" s="461"/>
      <c r="C123" s="462"/>
      <c r="D123" s="463"/>
      <c r="E123" s="463"/>
      <c r="F123" s="463"/>
      <c r="G123" s="464"/>
      <c r="H123" s="464"/>
    </row>
    <row r="124" spans="1:22" ht="14" customHeight="1" x14ac:dyDescent="0.3">
      <c r="A124" s="19"/>
      <c r="B124" s="461"/>
      <c r="C124" s="462"/>
      <c r="D124" s="463"/>
      <c r="E124" s="463"/>
      <c r="F124" s="463"/>
      <c r="G124" s="464"/>
      <c r="H124" s="464"/>
    </row>
    <row r="125" spans="1:22" ht="14" customHeight="1" x14ac:dyDescent="0.3">
      <c r="A125" s="19"/>
      <c r="B125" s="461"/>
      <c r="C125" s="462"/>
      <c r="D125" s="463"/>
      <c r="E125" s="463"/>
      <c r="F125" s="463"/>
      <c r="G125" s="464"/>
      <c r="H125" s="464"/>
    </row>
    <row r="126" spans="1:22" ht="14" customHeight="1" x14ac:dyDescent="0.3">
      <c r="A126" s="19"/>
      <c r="B126" s="461"/>
      <c r="C126" s="462"/>
      <c r="D126" s="463"/>
      <c r="E126" s="463"/>
      <c r="F126" s="463"/>
      <c r="G126" s="464"/>
      <c r="H126" s="464"/>
    </row>
    <row r="127" spans="1:22" ht="14" customHeight="1" x14ac:dyDescent="0.3">
      <c r="A127" s="19"/>
      <c r="B127" s="461"/>
      <c r="C127" s="462"/>
      <c r="D127" s="463"/>
      <c r="E127" s="463"/>
      <c r="F127" s="463"/>
      <c r="G127" s="464"/>
      <c r="H127" s="464"/>
    </row>
    <row r="128" spans="1:22" ht="14" customHeight="1" x14ac:dyDescent="0.3">
      <c r="A128" s="19"/>
      <c r="B128" s="461"/>
      <c r="C128" s="462"/>
      <c r="D128" s="463"/>
      <c r="E128" s="463"/>
      <c r="F128" s="463"/>
      <c r="G128" s="464"/>
      <c r="H128" s="464"/>
    </row>
    <row r="129" spans="1:8" ht="14" customHeight="1" x14ac:dyDescent="0.3">
      <c r="A129" s="19"/>
      <c r="B129" s="461"/>
      <c r="C129" s="462"/>
      <c r="D129" s="463"/>
      <c r="E129" s="463"/>
      <c r="F129" s="463"/>
      <c r="G129" s="464"/>
      <c r="H129" s="464"/>
    </row>
    <row r="130" spans="1:8" ht="14" customHeight="1" x14ac:dyDescent="0.3">
      <c r="A130" s="19"/>
      <c r="B130" s="461"/>
      <c r="C130" s="462"/>
      <c r="D130" s="463"/>
      <c r="E130" s="463"/>
      <c r="F130" s="463"/>
      <c r="G130" s="464"/>
      <c r="H130" s="464"/>
    </row>
    <row r="131" spans="1:8" ht="14" customHeight="1" x14ac:dyDescent="0.3">
      <c r="A131" s="19"/>
      <c r="B131" s="461"/>
      <c r="D131" s="463"/>
      <c r="E131" s="463"/>
      <c r="F131" s="463"/>
      <c r="G131" s="464"/>
      <c r="H131" s="464"/>
    </row>
    <row r="132" spans="1:8" ht="14" customHeight="1" x14ac:dyDescent="0.3">
      <c r="A132" s="19"/>
      <c r="B132" s="461"/>
      <c r="C132" s="465"/>
      <c r="D132" s="463"/>
      <c r="E132" s="463"/>
      <c r="F132" s="463"/>
      <c r="G132" s="464"/>
      <c r="H132" s="464"/>
    </row>
    <row r="133" spans="1:8" ht="14" customHeight="1" x14ac:dyDescent="0.3">
      <c r="A133" s="19"/>
      <c r="B133" s="461"/>
      <c r="C133" s="462"/>
      <c r="D133" s="463"/>
      <c r="E133" s="463"/>
      <c r="F133" s="463"/>
      <c r="G133" s="464"/>
      <c r="H133" s="464"/>
    </row>
    <row r="134" spans="1:8" ht="14" customHeight="1" x14ac:dyDescent="0.3">
      <c r="A134" s="19"/>
      <c r="B134" s="461"/>
      <c r="C134" s="462"/>
      <c r="D134" s="463"/>
      <c r="E134" s="463"/>
      <c r="F134" s="463"/>
      <c r="G134" s="464"/>
      <c r="H134" s="464"/>
    </row>
    <row r="135" spans="1:8" ht="14" customHeight="1" x14ac:dyDescent="0.35">
      <c r="A135" s="19"/>
      <c r="B135" s="408" t="s">
        <v>1116</v>
      </c>
      <c r="C135" s="408"/>
      <c r="D135" s="463"/>
      <c r="E135" s="463"/>
      <c r="F135" s="463"/>
      <c r="G135" s="464"/>
      <c r="H135" s="464"/>
    </row>
    <row r="136" spans="1:8" ht="14" customHeight="1" x14ac:dyDescent="0.3">
      <c r="A136" s="19"/>
      <c r="B136" s="409"/>
      <c r="C136" s="410" t="s">
        <v>474</v>
      </c>
      <c r="D136" s="466">
        <v>0</v>
      </c>
      <c r="E136" s="467"/>
      <c r="F136" s="468"/>
      <c r="G136" s="468"/>
      <c r="H136" s="469"/>
    </row>
    <row r="137" spans="1:8" ht="14" customHeight="1" thickBot="1" x14ac:dyDescent="0.35">
      <c r="A137" s="19"/>
      <c r="B137" s="299"/>
      <c r="C137" s="300"/>
      <c r="D137" s="384"/>
      <c r="E137" s="384"/>
      <c r="F137" s="384"/>
      <c r="G137" s="411"/>
      <c r="H137" s="301"/>
    </row>
    <row r="138" spans="1:8" ht="14" customHeight="1" thickBot="1" x14ac:dyDescent="0.35">
      <c r="A138" s="19"/>
      <c r="B138" s="36"/>
    </row>
    <row r="139" spans="1:8" ht="14" customHeight="1" thickBot="1" x14ac:dyDescent="0.35">
      <c r="A139" s="19"/>
      <c r="B139" s="91"/>
      <c r="C139" s="302" t="s">
        <v>11</v>
      </c>
      <c r="D139" s="511">
        <f>SUMIFS(D120:D136,E120:E136,"",F120:F136,"")</f>
        <v>0</v>
      </c>
      <c r="E139" s="412">
        <f>SUM(E120:E136)</f>
        <v>0</v>
      </c>
      <c r="F139" s="413">
        <f>SUM(F120:F137)</f>
        <v>0</v>
      </c>
    </row>
    <row r="140" spans="1:8" ht="14" customHeight="1" thickBot="1" x14ac:dyDescent="0.35">
      <c r="A140" s="19"/>
      <c r="B140" s="36"/>
    </row>
    <row r="141" spans="1:8" ht="14" customHeight="1" thickBot="1" x14ac:dyDescent="0.35">
      <c r="A141" s="19"/>
      <c r="B141" s="164" t="s">
        <v>459</v>
      </c>
      <c r="C141" s="165"/>
      <c r="D141" s="414"/>
      <c r="E141" s="415"/>
    </row>
    <row r="142" spans="1:8" ht="14" customHeight="1" thickBot="1" x14ac:dyDescent="0.35">
      <c r="A142" s="19"/>
      <c r="B142" s="416" t="s">
        <v>460</v>
      </c>
      <c r="C142" s="417" t="s">
        <v>461</v>
      </c>
      <c r="D142" s="418" t="s">
        <v>462</v>
      </c>
      <c r="E142" s="419" t="s">
        <v>463</v>
      </c>
    </row>
    <row r="143" spans="1:8" ht="14" customHeight="1" x14ac:dyDescent="0.3">
      <c r="A143" s="19"/>
      <c r="B143" s="2" t="s">
        <v>464</v>
      </c>
      <c r="C143" s="3">
        <f t="shared" ref="C143:C153" si="10">SUMIF(G$120:G$137,B143,F$120:F$137)+SUMIF(G$120:G$137,B143,E$120:E$137)</f>
        <v>0</v>
      </c>
      <c r="D143" s="4">
        <f t="shared" ref="D143:D153" si="11">IFERROR(C143/SUM(E$139:F$139), 0)</f>
        <v>0</v>
      </c>
      <c r="E143" s="5">
        <f>IFERROR(C143/G116, 0)</f>
        <v>0</v>
      </c>
    </row>
    <row r="144" spans="1:8" ht="14" customHeight="1" x14ac:dyDescent="0.3">
      <c r="A144" s="19"/>
      <c r="B144" s="6" t="s">
        <v>465</v>
      </c>
      <c r="C144" s="7">
        <f t="shared" si="10"/>
        <v>0</v>
      </c>
      <c r="D144" s="8">
        <f t="shared" si="11"/>
        <v>0</v>
      </c>
      <c r="E144" s="9">
        <f>IFERROR(C144/G116, 0)</f>
        <v>0</v>
      </c>
    </row>
    <row r="145" spans="1:5" ht="14" customHeight="1" x14ac:dyDescent="0.3">
      <c r="A145" s="19"/>
      <c r="B145" s="6" t="s">
        <v>466</v>
      </c>
      <c r="C145" s="7">
        <f t="shared" si="10"/>
        <v>0</v>
      </c>
      <c r="D145" s="8">
        <f t="shared" si="11"/>
        <v>0</v>
      </c>
      <c r="E145" s="9">
        <f>IFERROR(C145/G116, 0)</f>
        <v>0</v>
      </c>
    </row>
    <row r="146" spans="1:5" ht="14" customHeight="1" x14ac:dyDescent="0.3">
      <c r="A146" s="19"/>
      <c r="B146" s="6" t="s">
        <v>467</v>
      </c>
      <c r="C146" s="7">
        <f t="shared" si="10"/>
        <v>0</v>
      </c>
      <c r="D146" s="8">
        <f t="shared" si="11"/>
        <v>0</v>
      </c>
      <c r="E146" s="9">
        <f>IFERROR(C146/G116, 0)</f>
        <v>0</v>
      </c>
    </row>
    <row r="147" spans="1:5" ht="14" customHeight="1" x14ac:dyDescent="0.3">
      <c r="A147" s="19"/>
      <c r="B147" s="6" t="s">
        <v>468</v>
      </c>
      <c r="C147" s="7">
        <f t="shared" si="10"/>
        <v>0</v>
      </c>
      <c r="D147" s="8">
        <f t="shared" si="11"/>
        <v>0</v>
      </c>
      <c r="E147" s="9">
        <f>IFERROR(C147/G116, 0)</f>
        <v>0</v>
      </c>
    </row>
    <row r="148" spans="1:5" ht="14" customHeight="1" x14ac:dyDescent="0.3">
      <c r="A148" s="19"/>
      <c r="B148" s="6" t="s">
        <v>469</v>
      </c>
      <c r="C148" s="7">
        <f t="shared" si="10"/>
        <v>0</v>
      </c>
      <c r="D148" s="8">
        <f t="shared" si="11"/>
        <v>0</v>
      </c>
      <c r="E148" s="9">
        <f>IFERROR(C148/G116, 0)</f>
        <v>0</v>
      </c>
    </row>
    <row r="149" spans="1:5" ht="14" customHeight="1" x14ac:dyDescent="0.3">
      <c r="A149" s="19"/>
      <c r="B149" s="6" t="s">
        <v>1152</v>
      </c>
      <c r="C149" s="7">
        <f t="shared" si="10"/>
        <v>0</v>
      </c>
      <c r="D149" s="8">
        <f t="shared" si="11"/>
        <v>0</v>
      </c>
      <c r="E149" s="9">
        <f>IFERROR(C149/G116, 0)</f>
        <v>0</v>
      </c>
    </row>
    <row r="150" spans="1:5" ht="14" customHeight="1" x14ac:dyDescent="0.3">
      <c r="A150" s="19"/>
      <c r="B150" s="6" t="s">
        <v>470</v>
      </c>
      <c r="C150" s="7">
        <f t="shared" si="10"/>
        <v>0</v>
      </c>
      <c r="D150" s="8">
        <f t="shared" si="11"/>
        <v>0</v>
      </c>
      <c r="E150" s="9">
        <f>IFERROR(C150/G116, 0)</f>
        <v>0</v>
      </c>
    </row>
    <row r="151" spans="1:5" ht="14" customHeight="1" x14ac:dyDescent="0.3">
      <c r="A151" s="19"/>
      <c r="B151" s="6" t="s">
        <v>471</v>
      </c>
      <c r="C151" s="7">
        <f t="shared" si="10"/>
        <v>0</v>
      </c>
      <c r="D151" s="8">
        <f t="shared" si="11"/>
        <v>0</v>
      </c>
      <c r="E151" s="9">
        <f>IFERROR(C151/G116, 0)</f>
        <v>0</v>
      </c>
    </row>
    <row r="152" spans="1:5" ht="14" customHeight="1" x14ac:dyDescent="0.3">
      <c r="A152" s="19"/>
      <c r="B152" s="6" t="s">
        <v>473</v>
      </c>
      <c r="C152" s="7">
        <f t="shared" si="10"/>
        <v>0</v>
      </c>
      <c r="D152" s="8">
        <f t="shared" si="11"/>
        <v>0</v>
      </c>
      <c r="E152" s="9">
        <f>IFERROR(C152/G116, 0)</f>
        <v>0</v>
      </c>
    </row>
    <row r="153" spans="1:5" ht="14" customHeight="1" thickBot="1" x14ac:dyDescent="0.35">
      <c r="A153" s="19"/>
      <c r="B153" s="92" t="s">
        <v>472</v>
      </c>
      <c r="C153" s="93">
        <f t="shared" si="10"/>
        <v>0</v>
      </c>
      <c r="D153" s="94">
        <f t="shared" si="11"/>
        <v>0</v>
      </c>
      <c r="E153" s="95">
        <f>IFERROR(C153/G116, 0)</f>
        <v>0</v>
      </c>
    </row>
    <row r="154" spans="1:5" ht="14" customHeight="1" x14ac:dyDescent="0.3">
      <c r="A154" s="19"/>
      <c r="B154" s="36"/>
    </row>
    <row r="155" spans="1:5" ht="14" customHeight="1" x14ac:dyDescent="0.3">
      <c r="A155" s="19"/>
      <c r="B155" s="36"/>
    </row>
    <row r="156" spans="1:5" ht="14" customHeight="1" x14ac:dyDescent="0.3">
      <c r="A156" s="19"/>
      <c r="B156" s="36"/>
    </row>
    <row r="157" spans="1:5" ht="14" customHeight="1" x14ac:dyDescent="0.3">
      <c r="A157" s="19"/>
      <c r="B157" s="36"/>
    </row>
    <row r="158" spans="1:5" ht="14" customHeight="1" x14ac:dyDescent="0.3">
      <c r="A158" s="19"/>
      <c r="B158" s="36"/>
    </row>
    <row r="159" spans="1:5" ht="14" customHeight="1" x14ac:dyDescent="0.3">
      <c r="A159" s="19"/>
      <c r="B159" s="36"/>
    </row>
    <row r="160" spans="1:5" ht="14" customHeight="1" x14ac:dyDescent="0.3">
      <c r="A160" s="19"/>
      <c r="B160" s="36"/>
    </row>
    <row r="161" spans="1:2" ht="14" customHeight="1" x14ac:dyDescent="0.3">
      <c r="A161" s="19"/>
      <c r="B161" s="36"/>
    </row>
    <row r="162" spans="1:2" ht="14" customHeight="1" x14ac:dyDescent="0.3">
      <c r="A162" s="19"/>
      <c r="B162" s="36"/>
    </row>
    <row r="163" spans="1:2" ht="14" customHeight="1" x14ac:dyDescent="0.3">
      <c r="A163" s="19"/>
      <c r="B163" s="36"/>
    </row>
    <row r="164" spans="1:2" ht="14" customHeight="1" x14ac:dyDescent="0.3">
      <c r="A164" s="19"/>
      <c r="B164" s="36"/>
    </row>
    <row r="165" spans="1:2" ht="14" customHeight="1" x14ac:dyDescent="0.3">
      <c r="A165" s="19"/>
      <c r="B165" s="36"/>
    </row>
    <row r="166" spans="1:2" ht="14" customHeight="1" x14ac:dyDescent="0.3">
      <c r="A166" s="19"/>
      <c r="B166" s="36"/>
    </row>
    <row r="167" spans="1:2" ht="14" customHeight="1" x14ac:dyDescent="0.3">
      <c r="A167" s="19"/>
      <c r="B167" s="36"/>
    </row>
    <row r="168" spans="1:2" ht="14" customHeight="1" x14ac:dyDescent="0.3">
      <c r="A168" s="19"/>
      <c r="B168" s="36"/>
    </row>
    <row r="169" spans="1:2" ht="14" customHeight="1" x14ac:dyDescent="0.3">
      <c r="A169" s="19"/>
      <c r="B169" s="36"/>
    </row>
    <row r="170" spans="1:2" ht="14" customHeight="1" x14ac:dyDescent="0.3">
      <c r="A170" s="19"/>
      <c r="B170" s="36"/>
    </row>
    <row r="171" spans="1:2" ht="14" customHeight="1" x14ac:dyDescent="0.3">
      <c r="A171" s="19"/>
      <c r="B171" s="36"/>
    </row>
    <row r="172" spans="1:2" ht="14" customHeight="1" x14ac:dyDescent="0.3">
      <c r="A172" s="19"/>
      <c r="B172" s="36"/>
    </row>
    <row r="173" spans="1:2" ht="14" customHeight="1" x14ac:dyDescent="0.3">
      <c r="A173" s="19"/>
      <c r="B173" s="36"/>
    </row>
    <row r="174" spans="1:2" ht="14" customHeight="1" x14ac:dyDescent="0.3">
      <c r="A174" s="19"/>
      <c r="B174" s="36"/>
    </row>
    <row r="175" spans="1:2" ht="14" customHeight="1" x14ac:dyDescent="0.3">
      <c r="A175" s="19"/>
      <c r="B175" s="36"/>
    </row>
    <row r="176" spans="1:2" ht="14" customHeight="1" x14ac:dyDescent="0.3">
      <c r="A176" s="19"/>
      <c r="B176" s="36"/>
    </row>
    <row r="177" spans="1:2" ht="14" customHeight="1" x14ac:dyDescent="0.3">
      <c r="A177" s="19"/>
      <c r="B177" s="36"/>
    </row>
    <row r="178" spans="1:2" ht="14" customHeight="1" x14ac:dyDescent="0.3">
      <c r="A178" s="19"/>
      <c r="B178" s="36"/>
    </row>
    <row r="179" spans="1:2" ht="14" customHeight="1" x14ac:dyDescent="0.3">
      <c r="A179" s="19"/>
      <c r="B179" s="36"/>
    </row>
    <row r="180" spans="1:2" ht="14" customHeight="1" x14ac:dyDescent="0.3">
      <c r="A180" s="19"/>
      <c r="B180" s="36"/>
    </row>
    <row r="181" spans="1:2" ht="14" customHeight="1" x14ac:dyDescent="0.3">
      <c r="A181" s="19"/>
      <c r="B181" s="36"/>
    </row>
    <row r="182" spans="1:2" ht="14" customHeight="1" x14ac:dyDescent="0.3">
      <c r="A182" s="19"/>
      <c r="B182" s="36"/>
    </row>
    <row r="183" spans="1:2" ht="14" customHeight="1" x14ac:dyDescent="0.3">
      <c r="A183" s="19"/>
      <c r="B183" s="36"/>
    </row>
    <row r="184" spans="1:2" ht="14" customHeight="1" x14ac:dyDescent="0.3">
      <c r="A184" s="19"/>
      <c r="B184" s="36"/>
    </row>
    <row r="185" spans="1:2" ht="14" customHeight="1" x14ac:dyDescent="0.3">
      <c r="A185" s="19"/>
      <c r="B185" s="36"/>
    </row>
    <row r="186" spans="1:2" ht="14" customHeight="1" x14ac:dyDescent="0.3">
      <c r="A186" s="19"/>
      <c r="B186" s="36"/>
    </row>
    <row r="187" spans="1:2" ht="14" customHeight="1" x14ac:dyDescent="0.3">
      <c r="A187" s="19"/>
      <c r="B187" s="36"/>
    </row>
    <row r="188" spans="1:2" ht="14" customHeight="1" x14ac:dyDescent="0.3">
      <c r="A188" s="19"/>
      <c r="B188" s="36"/>
    </row>
    <row r="189" spans="1:2" ht="14" customHeight="1" x14ac:dyDescent="0.3">
      <c r="A189" s="19"/>
      <c r="B189" s="36"/>
    </row>
    <row r="190" spans="1:2" ht="14" customHeight="1" x14ac:dyDescent="0.3">
      <c r="A190" s="19"/>
      <c r="B190" s="36"/>
    </row>
    <row r="191" spans="1:2" ht="14" customHeight="1" x14ac:dyDescent="0.3">
      <c r="A191" s="19"/>
      <c r="B191" s="36"/>
    </row>
    <row r="192" spans="1:2" ht="14" customHeight="1" x14ac:dyDescent="0.3">
      <c r="A192" s="19"/>
      <c r="B192" s="36"/>
    </row>
    <row r="193" spans="1:2" ht="14" customHeight="1" x14ac:dyDescent="0.3">
      <c r="A193" s="19"/>
      <c r="B193" s="36"/>
    </row>
    <row r="194" spans="1:2" ht="14" customHeight="1" x14ac:dyDescent="0.3">
      <c r="A194" s="19"/>
      <c r="B194" s="36"/>
    </row>
    <row r="195" spans="1:2" ht="14" customHeight="1" x14ac:dyDescent="0.3">
      <c r="A195" s="19"/>
      <c r="B195" s="36"/>
    </row>
    <row r="196" spans="1:2" ht="14" customHeight="1" x14ac:dyDescent="0.3">
      <c r="A196" s="19"/>
      <c r="B196" s="36"/>
    </row>
    <row r="197" spans="1:2" ht="14" customHeight="1" x14ac:dyDescent="0.3">
      <c r="A197" s="19"/>
      <c r="B197" s="36"/>
    </row>
    <row r="198" spans="1:2" ht="14" customHeight="1" x14ac:dyDescent="0.3">
      <c r="A198" s="19"/>
      <c r="B198" s="36"/>
    </row>
    <row r="199" spans="1:2" ht="14" customHeight="1" x14ac:dyDescent="0.3">
      <c r="A199" s="19"/>
      <c r="B199" s="36"/>
    </row>
    <row r="200" spans="1:2" ht="14" customHeight="1" x14ac:dyDescent="0.3">
      <c r="A200" s="19"/>
      <c r="B200" s="36"/>
    </row>
    <row r="201" spans="1:2" ht="14" customHeight="1" x14ac:dyDescent="0.3">
      <c r="A201" s="19"/>
      <c r="B201" s="36"/>
    </row>
    <row r="202" spans="1:2" ht="14" customHeight="1" x14ac:dyDescent="0.3">
      <c r="A202" s="19"/>
      <c r="B202" s="36"/>
    </row>
    <row r="203" spans="1:2" ht="14" customHeight="1" x14ac:dyDescent="0.3">
      <c r="A203" s="19"/>
      <c r="B203" s="36"/>
    </row>
    <row r="204" spans="1:2" ht="14" customHeight="1" x14ac:dyDescent="0.3">
      <c r="A204" s="19"/>
      <c r="B204" s="36"/>
    </row>
    <row r="205" spans="1:2" ht="14" customHeight="1" x14ac:dyDescent="0.3">
      <c r="A205" s="19"/>
      <c r="B205" s="36"/>
    </row>
    <row r="206" spans="1:2" ht="14" customHeight="1" x14ac:dyDescent="0.3">
      <c r="A206" s="19"/>
      <c r="B206" s="36"/>
    </row>
    <row r="207" spans="1:2" ht="14" customHeight="1" x14ac:dyDescent="0.3">
      <c r="A207" s="19"/>
      <c r="B207" s="36"/>
    </row>
    <row r="208" spans="1:2" ht="14" customHeight="1" x14ac:dyDescent="0.3">
      <c r="A208" s="19"/>
      <c r="B208" s="36"/>
    </row>
    <row r="209" spans="1:2" ht="14" customHeight="1" x14ac:dyDescent="0.3">
      <c r="A209" s="19"/>
      <c r="B209" s="36"/>
    </row>
    <row r="210" spans="1:2" ht="14" customHeight="1" x14ac:dyDescent="0.3">
      <c r="A210" s="19"/>
      <c r="B210" s="36"/>
    </row>
    <row r="211" spans="1:2" ht="14" customHeight="1" x14ac:dyDescent="0.3">
      <c r="A211" s="19"/>
      <c r="B211" s="36"/>
    </row>
    <row r="212" spans="1:2" ht="14" customHeight="1" x14ac:dyDescent="0.3">
      <c r="A212" s="19"/>
      <c r="B212" s="36"/>
    </row>
    <row r="213" spans="1:2" ht="14" customHeight="1" x14ac:dyDescent="0.3">
      <c r="A213" s="19"/>
      <c r="B213" s="36"/>
    </row>
    <row r="214" spans="1:2" ht="14" customHeight="1" x14ac:dyDescent="0.3">
      <c r="A214" s="19"/>
      <c r="B214" s="36"/>
    </row>
    <row r="215" spans="1:2" ht="14" customHeight="1" x14ac:dyDescent="0.3">
      <c r="A215" s="19"/>
      <c r="B215" s="36"/>
    </row>
    <row r="216" spans="1:2" ht="14" customHeight="1" x14ac:dyDescent="0.3">
      <c r="A216" s="19"/>
      <c r="B216" s="36"/>
    </row>
    <row r="217" spans="1:2" ht="14" customHeight="1" x14ac:dyDescent="0.3">
      <c r="A217" s="19"/>
      <c r="B217" s="36"/>
    </row>
    <row r="218" spans="1:2" ht="14" customHeight="1" x14ac:dyDescent="0.3">
      <c r="A218" s="19"/>
      <c r="B218" s="36"/>
    </row>
    <row r="219" spans="1:2" ht="14" customHeight="1" x14ac:dyDescent="0.3">
      <c r="A219" s="19"/>
      <c r="B219" s="36"/>
    </row>
    <row r="220" spans="1:2" ht="14" customHeight="1" x14ac:dyDescent="0.3">
      <c r="A220" s="19"/>
      <c r="B220" s="36"/>
    </row>
    <row r="221" spans="1:2" ht="14" customHeight="1" x14ac:dyDescent="0.3">
      <c r="A221" s="19"/>
      <c r="B221" s="36"/>
    </row>
    <row r="222" spans="1:2" ht="14" customHeight="1" x14ac:dyDescent="0.3">
      <c r="A222" s="19"/>
      <c r="B222" s="36"/>
    </row>
    <row r="223" spans="1:2" ht="14" customHeight="1" x14ac:dyDescent="0.3">
      <c r="A223" s="19"/>
      <c r="B223" s="36"/>
    </row>
    <row r="224" spans="1:2" ht="14" customHeight="1" x14ac:dyDescent="0.3">
      <c r="A224" s="19"/>
      <c r="B224" s="36"/>
    </row>
    <row r="225" spans="1:2" ht="14" customHeight="1" x14ac:dyDescent="0.3">
      <c r="A225" s="19"/>
      <c r="B225" s="36"/>
    </row>
    <row r="226" spans="1:2" ht="14" customHeight="1" x14ac:dyDescent="0.3">
      <c r="A226" s="19"/>
      <c r="B226" s="36"/>
    </row>
    <row r="227" spans="1:2" ht="14" customHeight="1" x14ac:dyDescent="0.3">
      <c r="A227" s="19"/>
      <c r="B227" s="36"/>
    </row>
    <row r="228" spans="1:2" ht="14" customHeight="1" x14ac:dyDescent="0.3">
      <c r="A228" s="19"/>
      <c r="B228" s="36"/>
    </row>
    <row r="229" spans="1:2" ht="14" customHeight="1" x14ac:dyDescent="0.3">
      <c r="A229" s="19"/>
      <c r="B229" s="36"/>
    </row>
    <row r="230" spans="1:2" ht="14" customHeight="1" x14ac:dyDescent="0.3">
      <c r="A230" s="19"/>
      <c r="B230" s="36"/>
    </row>
    <row r="231" spans="1:2" ht="14" customHeight="1" x14ac:dyDescent="0.3">
      <c r="A231" s="19"/>
      <c r="B231" s="36"/>
    </row>
    <row r="232" spans="1:2" ht="14" customHeight="1" x14ac:dyDescent="0.3">
      <c r="A232" s="19"/>
      <c r="B232" s="36"/>
    </row>
    <row r="233" spans="1:2" ht="14" customHeight="1" x14ac:dyDescent="0.3">
      <c r="A233" s="19"/>
      <c r="B233" s="36"/>
    </row>
    <row r="234" spans="1:2" ht="14" customHeight="1" x14ac:dyDescent="0.3">
      <c r="A234" s="19"/>
      <c r="B234" s="36"/>
    </row>
    <row r="235" spans="1:2" ht="14" customHeight="1" x14ac:dyDescent="0.3">
      <c r="A235" s="19"/>
      <c r="B235" s="36"/>
    </row>
    <row r="236" spans="1:2" ht="14" customHeight="1" x14ac:dyDescent="0.3">
      <c r="A236" s="19"/>
      <c r="B236" s="36"/>
    </row>
    <row r="237" spans="1:2" ht="14" customHeight="1" x14ac:dyDescent="0.3">
      <c r="A237" s="19"/>
      <c r="B237" s="36"/>
    </row>
    <row r="238" spans="1:2" ht="14" customHeight="1" x14ac:dyDescent="0.3">
      <c r="A238" s="19"/>
      <c r="B238" s="36"/>
    </row>
    <row r="239" spans="1:2" ht="14" customHeight="1" x14ac:dyDescent="0.3">
      <c r="A239" s="19"/>
      <c r="B239" s="36"/>
    </row>
    <row r="240" spans="1:2" ht="14" customHeight="1" x14ac:dyDescent="0.3">
      <c r="A240" s="19"/>
      <c r="B240" s="36"/>
    </row>
    <row r="241" spans="1:2" ht="14" customHeight="1" x14ac:dyDescent="0.3">
      <c r="A241" s="19"/>
      <c r="B241" s="36"/>
    </row>
    <row r="242" spans="1:2" ht="14" customHeight="1" x14ac:dyDescent="0.3">
      <c r="A242" s="19"/>
      <c r="B242" s="36"/>
    </row>
    <row r="243" spans="1:2" ht="14" customHeight="1" x14ac:dyDescent="0.3">
      <c r="A243" s="19"/>
      <c r="B243" s="36"/>
    </row>
    <row r="244" spans="1:2" ht="14" customHeight="1" x14ac:dyDescent="0.3">
      <c r="A244" s="19"/>
      <c r="B244" s="36"/>
    </row>
    <row r="245" spans="1:2" ht="14" customHeight="1" x14ac:dyDescent="0.3">
      <c r="A245" s="19"/>
      <c r="B245" s="36"/>
    </row>
    <row r="246" spans="1:2" ht="14" customHeight="1" x14ac:dyDescent="0.3">
      <c r="A246" s="19"/>
      <c r="B246" s="36"/>
    </row>
    <row r="247" spans="1:2" ht="14" customHeight="1" x14ac:dyDescent="0.3">
      <c r="A247" s="19"/>
      <c r="B247" s="36"/>
    </row>
    <row r="248" spans="1:2" ht="14" customHeight="1" x14ac:dyDescent="0.3">
      <c r="A248" s="19"/>
      <c r="B248" s="36"/>
    </row>
    <row r="249" spans="1:2" ht="14" customHeight="1" x14ac:dyDescent="0.3">
      <c r="A249" s="19"/>
      <c r="B249" s="36"/>
    </row>
    <row r="250" spans="1:2" ht="14" customHeight="1" x14ac:dyDescent="0.3">
      <c r="A250" s="19"/>
      <c r="B250" s="36"/>
    </row>
    <row r="251" spans="1:2" ht="14" customHeight="1" x14ac:dyDescent="0.3">
      <c r="A251" s="19"/>
      <c r="B251" s="36"/>
    </row>
    <row r="252" spans="1:2" ht="14" customHeight="1" x14ac:dyDescent="0.3">
      <c r="A252" s="19"/>
      <c r="B252" s="36"/>
    </row>
    <row r="253" spans="1:2" ht="14" customHeight="1" x14ac:dyDescent="0.3">
      <c r="A253" s="19"/>
      <c r="B253" s="36"/>
    </row>
    <row r="254" spans="1:2" ht="14" customHeight="1" x14ac:dyDescent="0.3">
      <c r="A254" s="19"/>
      <c r="B254" s="36"/>
    </row>
    <row r="255" spans="1:2" ht="14" customHeight="1" x14ac:dyDescent="0.3">
      <c r="A255" s="19"/>
      <c r="B255" s="36"/>
    </row>
    <row r="256" spans="1:2" ht="14" customHeight="1" x14ac:dyDescent="0.3">
      <c r="A256" s="19"/>
      <c r="B256" s="36"/>
    </row>
    <row r="257" spans="1:2" ht="14" customHeight="1" x14ac:dyDescent="0.3">
      <c r="A257" s="19"/>
      <c r="B257" s="36"/>
    </row>
    <row r="258" spans="1:2" ht="14" customHeight="1" x14ac:dyDescent="0.3">
      <c r="A258" s="19"/>
      <c r="B258" s="36"/>
    </row>
    <row r="259" spans="1:2" ht="14" customHeight="1" x14ac:dyDescent="0.3">
      <c r="A259" s="19"/>
      <c r="B259" s="36"/>
    </row>
    <row r="260" spans="1:2" ht="14" customHeight="1" x14ac:dyDescent="0.3">
      <c r="A260" s="19"/>
      <c r="B260" s="36"/>
    </row>
    <row r="261" spans="1:2" ht="14" customHeight="1" x14ac:dyDescent="0.3">
      <c r="A261" s="19"/>
      <c r="B261" s="36"/>
    </row>
    <row r="262" spans="1:2" ht="14" customHeight="1" x14ac:dyDescent="0.3">
      <c r="A262" s="19"/>
      <c r="B262" s="36"/>
    </row>
    <row r="263" spans="1:2" ht="14" customHeight="1" x14ac:dyDescent="0.3">
      <c r="A263" s="19"/>
      <c r="B263" s="36"/>
    </row>
    <row r="264" spans="1:2" ht="14" customHeight="1" x14ac:dyDescent="0.3">
      <c r="A264" s="19"/>
      <c r="B264" s="36"/>
    </row>
    <row r="265" spans="1:2" ht="14" customHeight="1" x14ac:dyDescent="0.3">
      <c r="A265" s="19"/>
      <c r="B265" s="36"/>
    </row>
    <row r="266" spans="1:2" ht="14" customHeight="1" x14ac:dyDescent="0.3">
      <c r="A266" s="19"/>
      <c r="B266" s="36"/>
    </row>
    <row r="267" spans="1:2" ht="14" customHeight="1" x14ac:dyDescent="0.3">
      <c r="A267" s="19"/>
      <c r="B267" s="36"/>
    </row>
    <row r="268" spans="1:2" ht="14" customHeight="1" x14ac:dyDescent="0.3">
      <c r="A268" s="19"/>
      <c r="B268" s="36"/>
    </row>
    <row r="269" spans="1:2" ht="14" customHeight="1" x14ac:dyDescent="0.3">
      <c r="A269" s="19"/>
      <c r="B269" s="36"/>
    </row>
    <row r="270" spans="1:2" ht="14" customHeight="1" x14ac:dyDescent="0.3">
      <c r="A270" s="19"/>
      <c r="B270" s="36"/>
    </row>
    <row r="271" spans="1:2" ht="14" customHeight="1" x14ac:dyDescent="0.3">
      <c r="A271" s="19"/>
      <c r="B271" s="36"/>
    </row>
    <row r="272" spans="1:2" ht="14" customHeight="1" x14ac:dyDescent="0.3">
      <c r="A272" s="19"/>
      <c r="B272" s="36"/>
    </row>
    <row r="273" spans="1:2" ht="14" customHeight="1" x14ac:dyDescent="0.3">
      <c r="A273" s="19"/>
      <c r="B273" s="36"/>
    </row>
    <row r="274" spans="1:2" ht="14" customHeight="1" x14ac:dyDescent="0.3">
      <c r="A274" s="19"/>
      <c r="B274" s="36"/>
    </row>
    <row r="275" spans="1:2" ht="14" customHeight="1" x14ac:dyDescent="0.3">
      <c r="A275" s="19"/>
      <c r="B275" s="36"/>
    </row>
    <row r="276" spans="1:2" ht="14" customHeight="1" x14ac:dyDescent="0.3">
      <c r="A276" s="19"/>
      <c r="B276" s="36"/>
    </row>
    <row r="277" spans="1:2" ht="14" customHeight="1" x14ac:dyDescent="0.3">
      <c r="A277" s="19"/>
      <c r="B277" s="36"/>
    </row>
    <row r="278" spans="1:2" ht="14" customHeight="1" x14ac:dyDescent="0.3">
      <c r="A278" s="19"/>
      <c r="B278" s="36"/>
    </row>
    <row r="279" spans="1:2" ht="14" customHeight="1" x14ac:dyDescent="0.3">
      <c r="A279" s="19"/>
      <c r="B279" s="36"/>
    </row>
    <row r="280" spans="1:2" ht="14" customHeight="1" x14ac:dyDescent="0.3">
      <c r="A280" s="19"/>
      <c r="B280" s="36"/>
    </row>
    <row r="281" spans="1:2" ht="14" customHeight="1" x14ac:dyDescent="0.3">
      <c r="A281" s="19"/>
      <c r="B281" s="36"/>
    </row>
    <row r="282" spans="1:2" ht="14" customHeight="1" x14ac:dyDescent="0.3">
      <c r="A282" s="19"/>
      <c r="B282" s="36"/>
    </row>
    <row r="283" spans="1:2" ht="14" customHeight="1" x14ac:dyDescent="0.3">
      <c r="A283" s="19"/>
      <c r="B283" s="36"/>
    </row>
    <row r="284" spans="1:2" ht="14" customHeight="1" x14ac:dyDescent="0.3">
      <c r="A284" s="19"/>
      <c r="B284" s="36"/>
    </row>
    <row r="285" spans="1:2" ht="14" customHeight="1" x14ac:dyDescent="0.3">
      <c r="A285" s="19"/>
      <c r="B285" s="36"/>
    </row>
    <row r="286" spans="1:2" ht="14" customHeight="1" x14ac:dyDescent="0.3">
      <c r="A286" s="19"/>
      <c r="B286" s="36"/>
    </row>
    <row r="287" spans="1:2" ht="14" customHeight="1" x14ac:dyDescent="0.3">
      <c r="A287" s="19"/>
      <c r="B287" s="36"/>
    </row>
    <row r="288" spans="1:2" ht="14" customHeight="1" x14ac:dyDescent="0.3">
      <c r="A288" s="19"/>
      <c r="B288" s="36"/>
    </row>
    <row r="289" spans="1:2" ht="14" customHeight="1" x14ac:dyDescent="0.3">
      <c r="A289" s="19"/>
      <c r="B289" s="36"/>
    </row>
    <row r="290" spans="1:2" ht="14" customHeight="1" x14ac:dyDescent="0.3">
      <c r="A290" s="19"/>
      <c r="B290" s="36"/>
    </row>
    <row r="291" spans="1:2" ht="14" customHeight="1" x14ac:dyDescent="0.3">
      <c r="A291" s="19"/>
      <c r="B291" s="36"/>
    </row>
    <row r="292" spans="1:2" ht="14" customHeight="1" x14ac:dyDescent="0.3">
      <c r="A292" s="19"/>
      <c r="B292" s="36"/>
    </row>
    <row r="293" spans="1:2" ht="14" customHeight="1" x14ac:dyDescent="0.3">
      <c r="A293" s="19"/>
      <c r="B293" s="36"/>
    </row>
    <row r="294" spans="1:2" ht="14" customHeight="1" x14ac:dyDescent="0.3">
      <c r="A294" s="19"/>
      <c r="B294" s="36"/>
    </row>
    <row r="295" spans="1:2" ht="14" customHeight="1" x14ac:dyDescent="0.3">
      <c r="A295" s="19"/>
      <c r="B295" s="36"/>
    </row>
    <row r="296" spans="1:2" ht="14" customHeight="1" x14ac:dyDescent="0.3">
      <c r="A296" s="19"/>
      <c r="B296" s="36"/>
    </row>
    <row r="297" spans="1:2" ht="14" customHeight="1" x14ac:dyDescent="0.3">
      <c r="A297" s="19"/>
      <c r="B297" s="36"/>
    </row>
    <row r="298" spans="1:2" ht="14" customHeight="1" x14ac:dyDescent="0.3">
      <c r="A298" s="19"/>
      <c r="B298" s="36"/>
    </row>
    <row r="299" spans="1:2" ht="14" customHeight="1" x14ac:dyDescent="0.3">
      <c r="A299" s="19"/>
      <c r="B299" s="36"/>
    </row>
    <row r="300" spans="1:2" ht="14" customHeight="1" x14ac:dyDescent="0.3">
      <c r="A300" s="19"/>
      <c r="B300" s="36"/>
    </row>
    <row r="301" spans="1:2" ht="14" customHeight="1" x14ac:dyDescent="0.3">
      <c r="A301" s="19"/>
      <c r="B301" s="36"/>
    </row>
    <row r="302" spans="1:2" ht="14" customHeight="1" x14ac:dyDescent="0.3">
      <c r="A302" s="19"/>
      <c r="B302" s="36"/>
    </row>
    <row r="303" spans="1:2" ht="14" customHeight="1" x14ac:dyDescent="0.3">
      <c r="A303" s="19"/>
      <c r="B303" s="36"/>
    </row>
    <row r="304" spans="1:2" ht="14" customHeight="1" x14ac:dyDescent="0.3">
      <c r="A304" s="19"/>
      <c r="B304" s="36"/>
    </row>
    <row r="305" spans="1:2" ht="14" customHeight="1" x14ac:dyDescent="0.3">
      <c r="A305" s="19"/>
      <c r="B305" s="36"/>
    </row>
    <row r="306" spans="1:2" ht="14" customHeight="1" x14ac:dyDescent="0.3">
      <c r="A306" s="19"/>
      <c r="B306" s="36"/>
    </row>
    <row r="307" spans="1:2" ht="14" customHeight="1" x14ac:dyDescent="0.3">
      <c r="A307" s="19"/>
      <c r="B307" s="36"/>
    </row>
    <row r="308" spans="1:2" ht="14" customHeight="1" x14ac:dyDescent="0.3">
      <c r="A308" s="19"/>
      <c r="B308" s="36"/>
    </row>
    <row r="309" spans="1:2" ht="14" customHeight="1" x14ac:dyDescent="0.3">
      <c r="A309" s="19"/>
      <c r="B309" s="36"/>
    </row>
    <row r="310" spans="1:2" ht="14" customHeight="1" x14ac:dyDescent="0.3">
      <c r="A310" s="19"/>
      <c r="B310" s="36"/>
    </row>
    <row r="311" spans="1:2" ht="14" customHeight="1" x14ac:dyDescent="0.3">
      <c r="A311" s="19"/>
      <c r="B311" s="36"/>
    </row>
    <row r="312" spans="1:2" ht="14" customHeight="1" x14ac:dyDescent="0.3">
      <c r="A312" s="19"/>
      <c r="B312" s="36"/>
    </row>
    <row r="313" spans="1:2" ht="14" customHeight="1" x14ac:dyDescent="0.3">
      <c r="A313" s="19"/>
      <c r="B313" s="36"/>
    </row>
    <row r="314" spans="1:2" ht="14" customHeight="1" x14ac:dyDescent="0.3">
      <c r="A314" s="19"/>
      <c r="B314" s="36"/>
    </row>
    <row r="315" spans="1:2" ht="14" customHeight="1" x14ac:dyDescent="0.3">
      <c r="A315" s="19"/>
      <c r="B315" s="36"/>
    </row>
    <row r="316" spans="1:2" ht="14" customHeight="1" x14ac:dyDescent="0.3">
      <c r="A316" s="19"/>
      <c r="B316" s="36"/>
    </row>
    <row r="317" spans="1:2" ht="14" customHeight="1" x14ac:dyDescent="0.3">
      <c r="A317" s="19"/>
      <c r="B317" s="36"/>
    </row>
    <row r="318" spans="1:2" ht="14" customHeight="1" x14ac:dyDescent="0.3">
      <c r="A318" s="19"/>
      <c r="B318" s="36"/>
    </row>
    <row r="319" spans="1:2" ht="14" customHeight="1" x14ac:dyDescent="0.3">
      <c r="A319" s="19"/>
      <c r="B319" s="36"/>
    </row>
    <row r="320" spans="1:2" ht="14" customHeight="1" x14ac:dyDescent="0.3">
      <c r="A320" s="19"/>
      <c r="B320" s="36"/>
    </row>
    <row r="321" spans="1:2" ht="14" customHeight="1" x14ac:dyDescent="0.3">
      <c r="A321" s="19"/>
      <c r="B321" s="36"/>
    </row>
    <row r="322" spans="1:2" ht="14" customHeight="1" x14ac:dyDescent="0.3">
      <c r="A322" s="19"/>
      <c r="B322" s="36"/>
    </row>
    <row r="323" spans="1:2" ht="14" customHeight="1" x14ac:dyDescent="0.3">
      <c r="A323" s="19"/>
      <c r="B323" s="36"/>
    </row>
    <row r="324" spans="1:2" ht="14" customHeight="1" x14ac:dyDescent="0.3">
      <c r="A324" s="19"/>
      <c r="B324" s="36"/>
    </row>
    <row r="325" spans="1:2" ht="14" customHeight="1" x14ac:dyDescent="0.3">
      <c r="A325" s="19"/>
      <c r="B325" s="36"/>
    </row>
    <row r="326" spans="1:2" ht="14" customHeight="1" x14ac:dyDescent="0.3">
      <c r="A326" s="19"/>
      <c r="B326" s="36"/>
    </row>
    <row r="327" spans="1:2" ht="14" customHeight="1" x14ac:dyDescent="0.3">
      <c r="A327" s="19"/>
      <c r="B327" s="36"/>
    </row>
    <row r="328" spans="1:2" ht="14" customHeight="1" x14ac:dyDescent="0.3">
      <c r="A328" s="19"/>
      <c r="B328" s="36"/>
    </row>
    <row r="329" spans="1:2" ht="14" customHeight="1" x14ac:dyDescent="0.3">
      <c r="A329" s="19"/>
      <c r="B329" s="36"/>
    </row>
    <row r="330" spans="1:2" ht="14" customHeight="1" x14ac:dyDescent="0.3">
      <c r="A330" s="19"/>
      <c r="B330" s="36"/>
    </row>
    <row r="331" spans="1:2" ht="14" customHeight="1" x14ac:dyDescent="0.3">
      <c r="A331" s="19"/>
      <c r="B331" s="36"/>
    </row>
    <row r="332" spans="1:2" ht="14" customHeight="1" x14ac:dyDescent="0.3">
      <c r="A332" s="19"/>
      <c r="B332" s="36"/>
    </row>
    <row r="333" spans="1:2" ht="14" customHeight="1" x14ac:dyDescent="0.3">
      <c r="A333" s="19"/>
      <c r="B333" s="36"/>
    </row>
    <row r="334" spans="1:2" ht="14" customHeight="1" x14ac:dyDescent="0.3">
      <c r="A334" s="19"/>
      <c r="B334" s="36"/>
    </row>
    <row r="335" spans="1:2" ht="14" customHeight="1" x14ac:dyDescent="0.3">
      <c r="A335" s="19"/>
      <c r="B335" s="36"/>
    </row>
    <row r="336" spans="1:2" ht="14" customHeight="1" x14ac:dyDescent="0.3">
      <c r="A336" s="19"/>
      <c r="B336" s="36"/>
    </row>
    <row r="337" spans="1:2" ht="14" customHeight="1" x14ac:dyDescent="0.3">
      <c r="A337" s="19"/>
      <c r="B337" s="36"/>
    </row>
    <row r="338" spans="1:2" ht="14" customHeight="1" x14ac:dyDescent="0.3">
      <c r="A338" s="19"/>
      <c r="B338" s="36"/>
    </row>
    <row r="339" spans="1:2" ht="14" customHeight="1" x14ac:dyDescent="0.3">
      <c r="A339" s="19"/>
      <c r="B339" s="36"/>
    </row>
    <row r="340" spans="1:2" ht="14" customHeight="1" x14ac:dyDescent="0.3">
      <c r="A340" s="19"/>
      <c r="B340" s="36"/>
    </row>
    <row r="341" spans="1:2" ht="14" customHeight="1" x14ac:dyDescent="0.3">
      <c r="A341" s="19"/>
      <c r="B341" s="36"/>
    </row>
    <row r="342" spans="1:2" ht="14" customHeight="1" x14ac:dyDescent="0.3">
      <c r="A342" s="19"/>
      <c r="B342" s="36"/>
    </row>
    <row r="343" spans="1:2" ht="14" customHeight="1" x14ac:dyDescent="0.3">
      <c r="A343" s="19"/>
      <c r="B343" s="36"/>
    </row>
    <row r="344" spans="1:2" ht="14" customHeight="1" x14ac:dyDescent="0.3">
      <c r="A344" s="19"/>
      <c r="B344" s="36"/>
    </row>
    <row r="345" spans="1:2" ht="14" customHeight="1" x14ac:dyDescent="0.3">
      <c r="A345" s="19"/>
      <c r="B345" s="36"/>
    </row>
    <row r="346" spans="1:2" ht="14" customHeight="1" x14ac:dyDescent="0.3">
      <c r="A346" s="19"/>
      <c r="B346" s="36"/>
    </row>
    <row r="347" spans="1:2" ht="14" customHeight="1" x14ac:dyDescent="0.3">
      <c r="A347" s="19"/>
      <c r="B347" s="36"/>
    </row>
    <row r="348" spans="1:2" ht="14" customHeight="1" x14ac:dyDescent="0.3">
      <c r="A348" s="19"/>
      <c r="B348" s="36"/>
    </row>
    <row r="349" spans="1:2" ht="14" customHeight="1" x14ac:dyDescent="0.3">
      <c r="A349" s="19"/>
      <c r="B349" s="36"/>
    </row>
    <row r="350" spans="1:2" ht="14" customHeight="1" x14ac:dyDescent="0.3">
      <c r="A350" s="19"/>
      <c r="B350" s="36"/>
    </row>
    <row r="351" spans="1:2" ht="14" customHeight="1" x14ac:dyDescent="0.3">
      <c r="A351" s="19"/>
      <c r="B351" s="36"/>
    </row>
    <row r="352" spans="1:2" ht="14" customHeight="1" x14ac:dyDescent="0.3">
      <c r="A352" s="19"/>
      <c r="B352" s="36"/>
    </row>
    <row r="353" spans="1:2" ht="14" customHeight="1" x14ac:dyDescent="0.3">
      <c r="A353" s="19"/>
      <c r="B353" s="36"/>
    </row>
    <row r="354" spans="1:2" ht="14" customHeight="1" x14ac:dyDescent="0.3">
      <c r="A354" s="19"/>
      <c r="B354" s="36"/>
    </row>
    <row r="355" spans="1:2" ht="14" customHeight="1" x14ac:dyDescent="0.3">
      <c r="A355" s="19"/>
      <c r="B355" s="36"/>
    </row>
    <row r="356" spans="1:2" ht="14" customHeight="1" x14ac:dyDescent="0.3">
      <c r="A356" s="19"/>
      <c r="B356" s="36"/>
    </row>
    <row r="357" spans="1:2" ht="14" customHeight="1" x14ac:dyDescent="0.3">
      <c r="A357" s="19"/>
      <c r="B357" s="36"/>
    </row>
    <row r="358" spans="1:2" ht="14" customHeight="1" x14ac:dyDescent="0.3">
      <c r="A358" s="19"/>
      <c r="B358" s="36"/>
    </row>
    <row r="359" spans="1:2" ht="14" customHeight="1" x14ac:dyDescent="0.3">
      <c r="A359" s="19"/>
      <c r="B359" s="36"/>
    </row>
    <row r="360" spans="1:2" ht="14" customHeight="1" x14ac:dyDescent="0.3">
      <c r="A360" s="19"/>
      <c r="B360" s="36"/>
    </row>
    <row r="361" spans="1:2" ht="14" customHeight="1" x14ac:dyDescent="0.3">
      <c r="A361" s="19"/>
      <c r="B361" s="36"/>
    </row>
    <row r="362" spans="1:2" ht="14" customHeight="1" x14ac:dyDescent="0.3">
      <c r="A362" s="19"/>
      <c r="B362" s="36"/>
    </row>
    <row r="363" spans="1:2" ht="14" customHeight="1" x14ac:dyDescent="0.3">
      <c r="A363" s="19"/>
      <c r="B363" s="36"/>
    </row>
    <row r="364" spans="1:2" ht="14" customHeight="1" x14ac:dyDescent="0.3">
      <c r="A364" s="19"/>
      <c r="B364" s="36"/>
    </row>
    <row r="365" spans="1:2" ht="14" customHeight="1" x14ac:dyDescent="0.3">
      <c r="A365" s="19"/>
      <c r="B365" s="36"/>
    </row>
    <row r="366" spans="1:2" ht="14" customHeight="1" x14ac:dyDescent="0.3">
      <c r="A366" s="19"/>
      <c r="B366" s="36"/>
    </row>
    <row r="367" spans="1:2" ht="14" customHeight="1" x14ac:dyDescent="0.3">
      <c r="A367" s="19"/>
      <c r="B367" s="36"/>
    </row>
    <row r="368" spans="1:2" ht="14" customHeight="1" x14ac:dyDescent="0.3">
      <c r="A368" s="19"/>
      <c r="B368" s="36"/>
    </row>
    <row r="369" spans="1:2" ht="14" customHeight="1" x14ac:dyDescent="0.3">
      <c r="A369" s="19"/>
      <c r="B369" s="36"/>
    </row>
    <row r="370" spans="1:2" ht="14" customHeight="1" x14ac:dyDescent="0.3">
      <c r="A370" s="19"/>
      <c r="B370" s="36"/>
    </row>
    <row r="371" spans="1:2" ht="14" customHeight="1" x14ac:dyDescent="0.3">
      <c r="A371" s="19"/>
      <c r="B371" s="36"/>
    </row>
    <row r="372" spans="1:2" ht="14" customHeight="1" x14ac:dyDescent="0.3">
      <c r="A372" s="19"/>
      <c r="B372" s="36"/>
    </row>
    <row r="373" spans="1:2" ht="14" customHeight="1" x14ac:dyDescent="0.3">
      <c r="A373" s="19"/>
      <c r="B373" s="36"/>
    </row>
    <row r="374" spans="1:2" ht="14" customHeight="1" x14ac:dyDescent="0.3">
      <c r="A374" s="19"/>
      <c r="B374" s="36"/>
    </row>
    <row r="375" spans="1:2" ht="14" customHeight="1" x14ac:dyDescent="0.3">
      <c r="A375" s="19"/>
      <c r="B375" s="36"/>
    </row>
    <row r="376" spans="1:2" ht="14" customHeight="1" x14ac:dyDescent="0.3">
      <c r="A376" s="19"/>
      <c r="B376" s="36"/>
    </row>
    <row r="377" spans="1:2" ht="14" customHeight="1" x14ac:dyDescent="0.3">
      <c r="A377" s="19"/>
      <c r="B377" s="36"/>
    </row>
    <row r="378" spans="1:2" ht="14" customHeight="1" x14ac:dyDescent="0.3">
      <c r="A378" s="19"/>
      <c r="B378" s="36"/>
    </row>
    <row r="379" spans="1:2" ht="14" customHeight="1" x14ac:dyDescent="0.3">
      <c r="A379" s="19"/>
      <c r="B379" s="36"/>
    </row>
    <row r="380" spans="1:2" ht="14" customHeight="1" x14ac:dyDescent="0.3">
      <c r="A380" s="19"/>
      <c r="B380" s="36"/>
    </row>
    <row r="381" spans="1:2" ht="14" customHeight="1" x14ac:dyDescent="0.3">
      <c r="A381" s="19"/>
      <c r="B381" s="36"/>
    </row>
    <row r="382" spans="1:2" ht="14" customHeight="1" x14ac:dyDescent="0.3">
      <c r="A382" s="19"/>
      <c r="B382" s="36"/>
    </row>
    <row r="383" spans="1:2" ht="14" customHeight="1" x14ac:dyDescent="0.3">
      <c r="A383" s="19"/>
      <c r="B383" s="36"/>
    </row>
    <row r="384" spans="1:2" ht="14" customHeight="1" x14ac:dyDescent="0.3">
      <c r="A384" s="19"/>
      <c r="B384" s="36"/>
    </row>
    <row r="385" spans="1:2" ht="14" customHeight="1" x14ac:dyDescent="0.3">
      <c r="A385" s="19"/>
      <c r="B385" s="36"/>
    </row>
    <row r="386" spans="1:2" ht="14" customHeight="1" x14ac:dyDescent="0.3">
      <c r="A386" s="19"/>
      <c r="B386" s="36"/>
    </row>
    <row r="387" spans="1:2" ht="14" customHeight="1" x14ac:dyDescent="0.3">
      <c r="A387" s="19"/>
      <c r="B387" s="36"/>
    </row>
    <row r="388" spans="1:2" ht="14" customHeight="1" x14ac:dyDescent="0.3">
      <c r="A388" s="19"/>
      <c r="B388" s="36"/>
    </row>
    <row r="389" spans="1:2" ht="14" customHeight="1" x14ac:dyDescent="0.3">
      <c r="A389" s="19"/>
      <c r="B389" s="36"/>
    </row>
    <row r="390" spans="1:2" ht="14" customHeight="1" x14ac:dyDescent="0.3">
      <c r="A390" s="19"/>
      <c r="B390" s="36"/>
    </row>
    <row r="391" spans="1:2" ht="14" customHeight="1" x14ac:dyDescent="0.3">
      <c r="A391" s="19"/>
      <c r="B391" s="36"/>
    </row>
    <row r="392" spans="1:2" ht="14" customHeight="1" x14ac:dyDescent="0.3">
      <c r="A392" s="19"/>
      <c r="B392" s="36"/>
    </row>
    <row r="393" spans="1:2" ht="14" customHeight="1" x14ac:dyDescent="0.3">
      <c r="A393" s="19"/>
      <c r="B393" s="36"/>
    </row>
    <row r="394" spans="1:2" ht="14" customHeight="1" x14ac:dyDescent="0.3">
      <c r="A394" s="19"/>
      <c r="B394" s="36"/>
    </row>
    <row r="395" spans="1:2" ht="14" customHeight="1" x14ac:dyDescent="0.3">
      <c r="A395" s="19"/>
      <c r="B395" s="36"/>
    </row>
    <row r="396" spans="1:2" ht="14" customHeight="1" x14ac:dyDescent="0.3">
      <c r="A396" s="19"/>
      <c r="B396" s="36"/>
    </row>
    <row r="397" spans="1:2" ht="14" customHeight="1" x14ac:dyDescent="0.3">
      <c r="A397" s="19"/>
      <c r="B397" s="36"/>
    </row>
    <row r="398" spans="1:2" ht="14" customHeight="1" x14ac:dyDescent="0.3">
      <c r="A398" s="19"/>
      <c r="B398" s="36"/>
    </row>
    <row r="399" spans="1:2" ht="14" customHeight="1" x14ac:dyDescent="0.3">
      <c r="A399" s="19"/>
      <c r="B399" s="36"/>
    </row>
    <row r="400" spans="1:2" ht="14" customHeight="1" x14ac:dyDescent="0.3">
      <c r="A400" s="19"/>
      <c r="B400" s="36"/>
    </row>
    <row r="401" spans="1:2" ht="14" customHeight="1" x14ac:dyDescent="0.3">
      <c r="A401" s="19"/>
      <c r="B401" s="36"/>
    </row>
    <row r="402" spans="1:2" ht="14" customHeight="1" x14ac:dyDescent="0.3">
      <c r="A402" s="19"/>
      <c r="B402" s="36"/>
    </row>
    <row r="403" spans="1:2" ht="14" customHeight="1" x14ac:dyDescent="0.3">
      <c r="A403" s="19"/>
      <c r="B403" s="36"/>
    </row>
    <row r="404" spans="1:2" ht="14" customHeight="1" x14ac:dyDescent="0.3">
      <c r="A404" s="19"/>
      <c r="B404" s="36"/>
    </row>
    <row r="405" spans="1:2" ht="14" customHeight="1" x14ac:dyDescent="0.3">
      <c r="A405" s="19"/>
      <c r="B405" s="36"/>
    </row>
    <row r="406" spans="1:2" ht="14" customHeight="1" x14ac:dyDescent="0.3">
      <c r="A406" s="19"/>
      <c r="B406" s="36"/>
    </row>
    <row r="407" spans="1:2" ht="14" customHeight="1" x14ac:dyDescent="0.3">
      <c r="A407" s="19"/>
      <c r="B407" s="36"/>
    </row>
    <row r="408" spans="1:2" ht="14" customHeight="1" x14ac:dyDescent="0.3">
      <c r="A408" s="19"/>
      <c r="B408" s="36"/>
    </row>
    <row r="409" spans="1:2" ht="14" customHeight="1" x14ac:dyDescent="0.3">
      <c r="A409" s="19"/>
      <c r="B409" s="36"/>
    </row>
    <row r="410" spans="1:2" ht="14" customHeight="1" x14ac:dyDescent="0.3">
      <c r="A410" s="19"/>
      <c r="B410" s="36"/>
    </row>
    <row r="411" spans="1:2" ht="14" customHeight="1" x14ac:dyDescent="0.3">
      <c r="A411" s="19"/>
      <c r="B411" s="36"/>
    </row>
    <row r="412" spans="1:2" ht="14" customHeight="1" x14ac:dyDescent="0.3">
      <c r="A412" s="19"/>
      <c r="B412" s="36"/>
    </row>
    <row r="413" spans="1:2" ht="14" customHeight="1" x14ac:dyDescent="0.3">
      <c r="A413" s="19"/>
      <c r="B413" s="36"/>
    </row>
    <row r="414" spans="1:2" ht="14" customHeight="1" x14ac:dyDescent="0.3">
      <c r="A414" s="19"/>
      <c r="B414" s="36"/>
    </row>
    <row r="415" spans="1:2" ht="14" customHeight="1" x14ac:dyDescent="0.3">
      <c r="A415" s="19"/>
      <c r="B415" s="36"/>
    </row>
    <row r="416" spans="1:2" ht="14" customHeight="1" x14ac:dyDescent="0.3">
      <c r="A416" s="19"/>
      <c r="B416" s="36"/>
    </row>
    <row r="417" spans="1:2" ht="14" customHeight="1" x14ac:dyDescent="0.3">
      <c r="A417" s="19"/>
      <c r="B417" s="36"/>
    </row>
    <row r="418" spans="1:2" ht="14" customHeight="1" x14ac:dyDescent="0.3">
      <c r="A418" s="19"/>
      <c r="B418" s="36"/>
    </row>
    <row r="419" spans="1:2" ht="14" customHeight="1" x14ac:dyDescent="0.3">
      <c r="A419" s="19"/>
      <c r="B419" s="36"/>
    </row>
    <row r="420" spans="1:2" ht="14" customHeight="1" x14ac:dyDescent="0.3">
      <c r="A420" s="19"/>
      <c r="B420" s="36"/>
    </row>
    <row r="421" spans="1:2" ht="14" customHeight="1" x14ac:dyDescent="0.3">
      <c r="A421" s="19"/>
      <c r="B421" s="36"/>
    </row>
    <row r="422" spans="1:2" ht="14" customHeight="1" x14ac:dyDescent="0.3">
      <c r="A422" s="19"/>
      <c r="B422" s="36"/>
    </row>
    <row r="423" spans="1:2" ht="14" customHeight="1" x14ac:dyDescent="0.3">
      <c r="A423" s="19"/>
      <c r="B423" s="36"/>
    </row>
    <row r="424" spans="1:2" ht="14" customHeight="1" x14ac:dyDescent="0.3">
      <c r="A424" s="19"/>
      <c r="B424" s="36"/>
    </row>
    <row r="425" spans="1:2" ht="14" customHeight="1" x14ac:dyDescent="0.3">
      <c r="A425" s="19"/>
      <c r="B425" s="36"/>
    </row>
    <row r="426" spans="1:2" ht="14" customHeight="1" x14ac:dyDescent="0.3">
      <c r="A426" s="19"/>
      <c r="B426" s="36"/>
    </row>
    <row r="427" spans="1:2" ht="14" customHeight="1" x14ac:dyDescent="0.3">
      <c r="A427" s="19"/>
      <c r="B427" s="36"/>
    </row>
    <row r="428" spans="1:2" ht="14" customHeight="1" x14ac:dyDescent="0.3">
      <c r="A428" s="19"/>
      <c r="B428" s="36"/>
    </row>
    <row r="429" spans="1:2" ht="14" customHeight="1" x14ac:dyDescent="0.3">
      <c r="A429" s="19"/>
      <c r="B429" s="36"/>
    </row>
    <row r="430" spans="1:2" ht="14" customHeight="1" x14ac:dyDescent="0.3">
      <c r="A430" s="19"/>
      <c r="B430" s="36"/>
    </row>
    <row r="431" spans="1:2" ht="14" customHeight="1" x14ac:dyDescent="0.3">
      <c r="A431" s="19"/>
      <c r="B431" s="36"/>
    </row>
    <row r="432" spans="1:2" ht="14" customHeight="1" x14ac:dyDescent="0.3">
      <c r="A432" s="19"/>
      <c r="B432" s="36"/>
    </row>
    <row r="433" spans="1:2" ht="14" customHeight="1" x14ac:dyDescent="0.3">
      <c r="A433" s="19"/>
      <c r="B433" s="36"/>
    </row>
    <row r="434" spans="1:2" ht="14" customHeight="1" x14ac:dyDescent="0.3">
      <c r="A434" s="19"/>
      <c r="B434" s="36"/>
    </row>
    <row r="435" spans="1:2" ht="14" customHeight="1" x14ac:dyDescent="0.3">
      <c r="A435" s="19"/>
      <c r="B435" s="36"/>
    </row>
    <row r="436" spans="1:2" ht="14" customHeight="1" x14ac:dyDescent="0.3">
      <c r="A436" s="19"/>
      <c r="B436" s="36"/>
    </row>
    <row r="437" spans="1:2" ht="14" customHeight="1" x14ac:dyDescent="0.3">
      <c r="A437" s="19"/>
      <c r="B437" s="36"/>
    </row>
    <row r="438" spans="1:2" ht="14" customHeight="1" x14ac:dyDescent="0.3">
      <c r="A438" s="19"/>
      <c r="B438" s="36"/>
    </row>
    <row r="439" spans="1:2" ht="14" customHeight="1" x14ac:dyDescent="0.3">
      <c r="A439" s="19"/>
      <c r="B439" s="36"/>
    </row>
    <row r="440" spans="1:2" ht="14" customHeight="1" x14ac:dyDescent="0.3">
      <c r="A440" s="19"/>
      <c r="B440" s="36"/>
    </row>
    <row r="441" spans="1:2" ht="14" customHeight="1" x14ac:dyDescent="0.3">
      <c r="A441" s="19"/>
      <c r="B441" s="36"/>
    </row>
    <row r="442" spans="1:2" ht="14" customHeight="1" x14ac:dyDescent="0.3">
      <c r="A442" s="19"/>
      <c r="B442" s="36"/>
    </row>
    <row r="443" spans="1:2" ht="14" customHeight="1" x14ac:dyDescent="0.3">
      <c r="A443" s="19"/>
      <c r="B443" s="36"/>
    </row>
    <row r="444" spans="1:2" ht="14" customHeight="1" x14ac:dyDescent="0.3">
      <c r="A444" s="19"/>
      <c r="B444" s="36"/>
    </row>
    <row r="445" spans="1:2" ht="14" customHeight="1" x14ac:dyDescent="0.3">
      <c r="A445" s="19"/>
      <c r="B445" s="36"/>
    </row>
    <row r="446" spans="1:2" ht="14" customHeight="1" x14ac:dyDescent="0.3">
      <c r="A446" s="19"/>
      <c r="B446" s="36"/>
    </row>
    <row r="447" spans="1:2" ht="14" customHeight="1" x14ac:dyDescent="0.3">
      <c r="A447" s="19"/>
      <c r="B447" s="36"/>
    </row>
    <row r="448" spans="1:2" ht="14" customHeight="1" x14ac:dyDescent="0.3">
      <c r="A448" s="19"/>
      <c r="B448" s="36"/>
    </row>
    <row r="449" spans="1:2" ht="14" customHeight="1" x14ac:dyDescent="0.3">
      <c r="A449" s="19"/>
      <c r="B449" s="36"/>
    </row>
    <row r="450" spans="1:2" ht="14" customHeight="1" x14ac:dyDescent="0.3">
      <c r="A450" s="19"/>
      <c r="B450" s="36"/>
    </row>
    <row r="451" spans="1:2" ht="14" customHeight="1" x14ac:dyDescent="0.3">
      <c r="A451" s="19"/>
      <c r="B451" s="36"/>
    </row>
    <row r="452" spans="1:2" ht="14" customHeight="1" x14ac:dyDescent="0.3">
      <c r="A452" s="19"/>
      <c r="B452" s="36"/>
    </row>
    <row r="453" spans="1:2" ht="14" customHeight="1" x14ac:dyDescent="0.3">
      <c r="A453" s="19"/>
      <c r="B453" s="36"/>
    </row>
    <row r="454" spans="1:2" ht="14" customHeight="1" x14ac:dyDescent="0.3">
      <c r="A454" s="19"/>
      <c r="B454" s="36"/>
    </row>
    <row r="455" spans="1:2" ht="14" customHeight="1" x14ac:dyDescent="0.3">
      <c r="A455" s="19"/>
      <c r="B455" s="36"/>
    </row>
    <row r="456" spans="1:2" ht="14" customHeight="1" x14ac:dyDescent="0.3">
      <c r="A456" s="19"/>
      <c r="B456" s="36"/>
    </row>
    <row r="457" spans="1:2" ht="14" customHeight="1" x14ac:dyDescent="0.3">
      <c r="A457" s="19"/>
      <c r="B457" s="36"/>
    </row>
    <row r="458" spans="1:2" ht="14" customHeight="1" x14ac:dyDescent="0.3">
      <c r="A458" s="19"/>
      <c r="B458" s="36"/>
    </row>
    <row r="459" spans="1:2" ht="14" customHeight="1" x14ac:dyDescent="0.3">
      <c r="A459" s="19"/>
      <c r="B459" s="36"/>
    </row>
    <row r="460" spans="1:2" ht="14" customHeight="1" x14ac:dyDescent="0.3">
      <c r="A460" s="19"/>
      <c r="B460" s="36"/>
    </row>
    <row r="461" spans="1:2" ht="14" customHeight="1" x14ac:dyDescent="0.3">
      <c r="A461" s="19"/>
      <c r="B461" s="36"/>
    </row>
    <row r="462" spans="1:2" ht="14" customHeight="1" x14ac:dyDescent="0.3">
      <c r="A462" s="19"/>
      <c r="B462" s="36"/>
    </row>
    <row r="463" spans="1:2" ht="14" customHeight="1" x14ac:dyDescent="0.3">
      <c r="A463" s="19"/>
      <c r="B463" s="36"/>
    </row>
    <row r="464" spans="1:2" ht="14" customHeight="1" x14ac:dyDescent="0.3">
      <c r="A464" s="19"/>
      <c r="B464" s="36"/>
    </row>
    <row r="465" spans="1:2" ht="14" customHeight="1" x14ac:dyDescent="0.3">
      <c r="A465" s="19"/>
      <c r="B465" s="36"/>
    </row>
    <row r="466" spans="1:2" ht="14" customHeight="1" x14ac:dyDescent="0.3">
      <c r="A466" s="19"/>
      <c r="B466" s="36"/>
    </row>
    <row r="467" spans="1:2" ht="14" customHeight="1" x14ac:dyDescent="0.3">
      <c r="A467" s="19"/>
      <c r="B467" s="36"/>
    </row>
    <row r="468" spans="1:2" ht="14" customHeight="1" x14ac:dyDescent="0.3">
      <c r="A468" s="19"/>
      <c r="B468" s="36"/>
    </row>
    <row r="469" spans="1:2" ht="14" customHeight="1" x14ac:dyDescent="0.3">
      <c r="A469" s="19"/>
      <c r="B469" s="36"/>
    </row>
    <row r="470" spans="1:2" ht="14" customHeight="1" x14ac:dyDescent="0.3">
      <c r="A470" s="19"/>
      <c r="B470" s="36"/>
    </row>
    <row r="471" spans="1:2" ht="14" customHeight="1" x14ac:dyDescent="0.3">
      <c r="A471" s="19"/>
      <c r="B471" s="36"/>
    </row>
    <row r="472" spans="1:2" ht="14" customHeight="1" x14ac:dyDescent="0.3">
      <c r="A472" s="19"/>
      <c r="B472" s="36"/>
    </row>
    <row r="473" spans="1:2" ht="14" customHeight="1" x14ac:dyDescent="0.3">
      <c r="A473" s="19"/>
      <c r="B473" s="36"/>
    </row>
    <row r="474" spans="1:2" ht="14" customHeight="1" x14ac:dyDescent="0.3">
      <c r="A474" s="19"/>
      <c r="B474" s="36"/>
    </row>
    <row r="475" spans="1:2" ht="14" customHeight="1" x14ac:dyDescent="0.3">
      <c r="A475" s="19"/>
      <c r="B475" s="36"/>
    </row>
    <row r="476" spans="1:2" ht="14" customHeight="1" x14ac:dyDescent="0.3">
      <c r="A476" s="19"/>
      <c r="B476" s="36"/>
    </row>
    <row r="477" spans="1:2" ht="14" customHeight="1" x14ac:dyDescent="0.3">
      <c r="A477" s="19"/>
      <c r="B477" s="36"/>
    </row>
    <row r="478" spans="1:2" ht="14" customHeight="1" x14ac:dyDescent="0.3">
      <c r="A478" s="19"/>
      <c r="B478" s="36"/>
    </row>
    <row r="479" spans="1:2" ht="14" customHeight="1" x14ac:dyDescent="0.3">
      <c r="A479" s="19"/>
      <c r="B479" s="36"/>
    </row>
    <row r="480" spans="1:2" ht="14" customHeight="1" x14ac:dyDescent="0.3">
      <c r="A480" s="19"/>
      <c r="B480" s="36"/>
    </row>
    <row r="481" spans="1:2" ht="14" customHeight="1" x14ac:dyDescent="0.3">
      <c r="A481" s="19"/>
      <c r="B481" s="36"/>
    </row>
    <row r="482" spans="1:2" ht="14" customHeight="1" x14ac:dyDescent="0.3">
      <c r="A482" s="19"/>
      <c r="B482" s="36"/>
    </row>
    <row r="483" spans="1:2" ht="14" customHeight="1" x14ac:dyDescent="0.3">
      <c r="A483" s="19"/>
      <c r="B483" s="36"/>
    </row>
    <row r="484" spans="1:2" ht="14" customHeight="1" x14ac:dyDescent="0.3">
      <c r="A484" s="19"/>
      <c r="B484" s="36"/>
    </row>
    <row r="485" spans="1:2" ht="14" customHeight="1" x14ac:dyDescent="0.3">
      <c r="A485" s="19"/>
      <c r="B485" s="36"/>
    </row>
    <row r="486" spans="1:2" ht="14" customHeight="1" x14ac:dyDescent="0.3">
      <c r="A486" s="19"/>
      <c r="B486" s="36"/>
    </row>
    <row r="487" spans="1:2" ht="14" customHeight="1" x14ac:dyDescent="0.3">
      <c r="A487" s="19"/>
      <c r="B487" s="36"/>
    </row>
    <row r="488" spans="1:2" ht="14" customHeight="1" x14ac:dyDescent="0.3">
      <c r="A488" s="19"/>
      <c r="B488" s="36"/>
    </row>
    <row r="489" spans="1:2" ht="14" customHeight="1" x14ac:dyDescent="0.3">
      <c r="A489" s="19"/>
      <c r="B489" s="36"/>
    </row>
    <row r="490" spans="1:2" ht="14" customHeight="1" x14ac:dyDescent="0.3">
      <c r="A490" s="19"/>
      <c r="B490" s="36"/>
    </row>
    <row r="491" spans="1:2" ht="14" customHeight="1" x14ac:dyDescent="0.3">
      <c r="A491" s="19"/>
      <c r="B491" s="36"/>
    </row>
    <row r="492" spans="1:2" ht="14" customHeight="1" x14ac:dyDescent="0.3">
      <c r="A492" s="19"/>
      <c r="B492" s="36"/>
    </row>
    <row r="493" spans="1:2" ht="14" customHeight="1" x14ac:dyDescent="0.3">
      <c r="A493" s="19"/>
      <c r="B493" s="36"/>
    </row>
    <row r="494" spans="1:2" ht="14" customHeight="1" x14ac:dyDescent="0.3">
      <c r="A494" s="19"/>
      <c r="B494" s="36"/>
    </row>
    <row r="495" spans="1:2" ht="14" customHeight="1" x14ac:dyDescent="0.3">
      <c r="A495" s="19"/>
      <c r="B495" s="36"/>
    </row>
    <row r="496" spans="1:2" ht="14" customHeight="1" x14ac:dyDescent="0.3">
      <c r="A496" s="19"/>
      <c r="B496" s="36"/>
    </row>
    <row r="497" spans="1:2" ht="14" customHeight="1" x14ac:dyDescent="0.3">
      <c r="A497" s="19"/>
      <c r="B497" s="36"/>
    </row>
    <row r="498" spans="1:2" ht="14" customHeight="1" x14ac:dyDescent="0.3">
      <c r="A498" s="19"/>
      <c r="B498" s="36"/>
    </row>
    <row r="499" spans="1:2" ht="14" customHeight="1" x14ac:dyDescent="0.3">
      <c r="A499" s="19"/>
      <c r="B499" s="36"/>
    </row>
    <row r="500" spans="1:2" ht="14" customHeight="1" x14ac:dyDescent="0.3">
      <c r="A500" s="19"/>
      <c r="B500" s="36"/>
    </row>
    <row r="501" spans="1:2" ht="14" customHeight="1" x14ac:dyDescent="0.3">
      <c r="A501" s="19"/>
      <c r="B501" s="36"/>
    </row>
    <row r="502" spans="1:2" ht="14" customHeight="1" x14ac:dyDescent="0.3">
      <c r="A502" s="19"/>
      <c r="B502" s="36"/>
    </row>
    <row r="503" spans="1:2" ht="14" customHeight="1" x14ac:dyDescent="0.3">
      <c r="A503" s="19"/>
      <c r="B503" s="36"/>
    </row>
    <row r="504" spans="1:2" ht="14" customHeight="1" x14ac:dyDescent="0.3">
      <c r="A504" s="19"/>
      <c r="B504" s="36"/>
    </row>
    <row r="505" spans="1:2" ht="14" customHeight="1" x14ac:dyDescent="0.3">
      <c r="A505" s="19"/>
      <c r="B505" s="36"/>
    </row>
    <row r="506" spans="1:2" ht="14" customHeight="1" x14ac:dyDescent="0.3">
      <c r="A506" s="19"/>
      <c r="B506" s="36"/>
    </row>
    <row r="507" spans="1:2" ht="14" customHeight="1" x14ac:dyDescent="0.3">
      <c r="A507" s="19"/>
      <c r="B507" s="36"/>
    </row>
    <row r="508" spans="1:2" ht="14" customHeight="1" x14ac:dyDescent="0.3">
      <c r="A508" s="19"/>
      <c r="B508" s="36"/>
    </row>
    <row r="509" spans="1:2" ht="14" customHeight="1" x14ac:dyDescent="0.3">
      <c r="A509" s="19"/>
      <c r="B509" s="36"/>
    </row>
    <row r="510" spans="1:2" ht="14" customHeight="1" x14ac:dyDescent="0.3">
      <c r="A510" s="19"/>
      <c r="B510" s="36"/>
    </row>
    <row r="511" spans="1:2" ht="14" customHeight="1" x14ac:dyDescent="0.3">
      <c r="A511" s="19"/>
      <c r="B511" s="36"/>
    </row>
    <row r="512" spans="1:2" ht="14" customHeight="1" x14ac:dyDescent="0.3">
      <c r="A512" s="19"/>
      <c r="B512" s="36"/>
    </row>
    <row r="513" spans="1:2" ht="14" customHeight="1" x14ac:dyDescent="0.3">
      <c r="A513" s="19"/>
      <c r="B513" s="36"/>
    </row>
    <row r="514" spans="1:2" ht="14" customHeight="1" x14ac:dyDescent="0.3">
      <c r="A514" s="19"/>
      <c r="B514" s="36"/>
    </row>
    <row r="515" spans="1:2" ht="14" customHeight="1" x14ac:dyDescent="0.3">
      <c r="A515" s="19"/>
      <c r="B515" s="36"/>
    </row>
    <row r="516" spans="1:2" ht="14" customHeight="1" x14ac:dyDescent="0.3">
      <c r="A516" s="19"/>
      <c r="B516" s="36"/>
    </row>
    <row r="517" spans="1:2" ht="14" customHeight="1" x14ac:dyDescent="0.3">
      <c r="A517" s="19"/>
      <c r="B517" s="36"/>
    </row>
    <row r="518" spans="1:2" ht="14" customHeight="1" x14ac:dyDescent="0.3">
      <c r="A518" s="19"/>
      <c r="B518" s="36"/>
    </row>
    <row r="519" spans="1:2" ht="14" customHeight="1" x14ac:dyDescent="0.3">
      <c r="A519" s="19"/>
      <c r="B519" s="36"/>
    </row>
    <row r="520" spans="1:2" ht="14" customHeight="1" x14ac:dyDescent="0.3">
      <c r="A520" s="19"/>
      <c r="B520" s="36"/>
    </row>
    <row r="521" spans="1:2" ht="14" customHeight="1" x14ac:dyDescent="0.3">
      <c r="A521" s="19"/>
      <c r="B521" s="36"/>
    </row>
    <row r="522" spans="1:2" ht="14" customHeight="1" x14ac:dyDescent="0.3">
      <c r="A522" s="19"/>
      <c r="B522" s="36"/>
    </row>
    <row r="523" spans="1:2" ht="14" customHeight="1" x14ac:dyDescent="0.3">
      <c r="A523" s="19"/>
      <c r="B523" s="36"/>
    </row>
    <row r="524" spans="1:2" ht="14" customHeight="1" x14ac:dyDescent="0.3">
      <c r="A524" s="19"/>
      <c r="B524" s="36"/>
    </row>
    <row r="525" spans="1:2" ht="14" customHeight="1" x14ac:dyDescent="0.3">
      <c r="A525" s="19"/>
      <c r="B525" s="36"/>
    </row>
    <row r="526" spans="1:2" ht="14" customHeight="1" x14ac:dyDescent="0.3">
      <c r="A526" s="19"/>
      <c r="B526" s="36"/>
    </row>
    <row r="527" spans="1:2" ht="14" customHeight="1" x14ac:dyDescent="0.3">
      <c r="A527" s="19"/>
      <c r="B527" s="36"/>
    </row>
    <row r="528" spans="1:2" ht="14" customHeight="1" x14ac:dyDescent="0.3">
      <c r="A528" s="19"/>
      <c r="B528" s="36"/>
    </row>
    <row r="529" spans="1:2" ht="14" customHeight="1" x14ac:dyDescent="0.3">
      <c r="A529" s="19"/>
      <c r="B529" s="36"/>
    </row>
    <row r="530" spans="1:2" ht="14" customHeight="1" x14ac:dyDescent="0.3">
      <c r="A530" s="19"/>
      <c r="B530" s="36"/>
    </row>
    <row r="531" spans="1:2" ht="14" customHeight="1" x14ac:dyDescent="0.3">
      <c r="A531" s="19"/>
      <c r="B531" s="36"/>
    </row>
    <row r="532" spans="1:2" ht="14" customHeight="1" x14ac:dyDescent="0.3">
      <c r="A532" s="19"/>
      <c r="B532" s="36"/>
    </row>
    <row r="533" spans="1:2" ht="14" customHeight="1" x14ac:dyDescent="0.3">
      <c r="A533" s="19"/>
      <c r="B533" s="36"/>
    </row>
    <row r="534" spans="1:2" ht="14" customHeight="1" x14ac:dyDescent="0.3">
      <c r="A534" s="19"/>
      <c r="B534" s="36"/>
    </row>
    <row r="535" spans="1:2" ht="14" customHeight="1" x14ac:dyDescent="0.3">
      <c r="A535" s="19"/>
      <c r="B535" s="36"/>
    </row>
    <row r="536" spans="1:2" ht="14" customHeight="1" x14ac:dyDescent="0.3">
      <c r="A536" s="19"/>
      <c r="B536" s="36"/>
    </row>
    <row r="537" spans="1:2" ht="14" customHeight="1" x14ac:dyDescent="0.3">
      <c r="A537" s="19"/>
      <c r="B537" s="36"/>
    </row>
    <row r="538" spans="1:2" ht="14" customHeight="1" x14ac:dyDescent="0.3">
      <c r="A538" s="19"/>
      <c r="B538" s="36"/>
    </row>
    <row r="539" spans="1:2" ht="14" customHeight="1" x14ac:dyDescent="0.3">
      <c r="A539" s="19"/>
      <c r="B539" s="36"/>
    </row>
    <row r="540" spans="1:2" ht="14" customHeight="1" x14ac:dyDescent="0.3">
      <c r="A540" s="19"/>
      <c r="B540" s="36"/>
    </row>
    <row r="541" spans="1:2" ht="14" customHeight="1" x14ac:dyDescent="0.3">
      <c r="A541" s="19"/>
      <c r="B541" s="36"/>
    </row>
    <row r="542" spans="1:2" ht="14" customHeight="1" x14ac:dyDescent="0.3">
      <c r="A542" s="19"/>
      <c r="B542" s="36"/>
    </row>
    <row r="543" spans="1:2" ht="14" customHeight="1" x14ac:dyDescent="0.3">
      <c r="A543" s="19"/>
      <c r="B543" s="36"/>
    </row>
    <row r="544" spans="1:2" ht="14" customHeight="1" x14ac:dyDescent="0.3">
      <c r="A544" s="19"/>
      <c r="B544" s="36"/>
    </row>
    <row r="545" spans="1:2" ht="14" customHeight="1" x14ac:dyDescent="0.3">
      <c r="A545" s="19"/>
      <c r="B545" s="36"/>
    </row>
    <row r="546" spans="1:2" ht="14" customHeight="1" x14ac:dyDescent="0.3">
      <c r="A546" s="19"/>
      <c r="B546" s="36"/>
    </row>
    <row r="547" spans="1:2" ht="14" customHeight="1" x14ac:dyDescent="0.3">
      <c r="A547" s="19"/>
      <c r="B547" s="36"/>
    </row>
    <row r="548" spans="1:2" ht="14" customHeight="1" x14ac:dyDescent="0.3">
      <c r="A548" s="19"/>
      <c r="B548" s="36"/>
    </row>
    <row r="549" spans="1:2" ht="14" customHeight="1" x14ac:dyDescent="0.3">
      <c r="A549" s="19"/>
      <c r="B549" s="36"/>
    </row>
    <row r="550" spans="1:2" ht="14" customHeight="1" x14ac:dyDescent="0.3">
      <c r="A550" s="19"/>
      <c r="B550" s="36"/>
    </row>
    <row r="551" spans="1:2" ht="14" customHeight="1" x14ac:dyDescent="0.3">
      <c r="A551" s="19"/>
      <c r="B551" s="36"/>
    </row>
    <row r="552" spans="1:2" ht="14" customHeight="1" x14ac:dyDescent="0.3">
      <c r="A552" s="19"/>
      <c r="B552" s="36"/>
    </row>
    <row r="553" spans="1:2" ht="14" customHeight="1" x14ac:dyDescent="0.3">
      <c r="A553" s="19"/>
      <c r="B553" s="36"/>
    </row>
    <row r="554" spans="1:2" ht="14" customHeight="1" x14ac:dyDescent="0.3">
      <c r="A554" s="19"/>
      <c r="B554" s="36"/>
    </row>
    <row r="555" spans="1:2" ht="14" customHeight="1" x14ac:dyDescent="0.3">
      <c r="A555" s="19"/>
      <c r="B555" s="36"/>
    </row>
    <row r="556" spans="1:2" ht="14" customHeight="1" x14ac:dyDescent="0.3">
      <c r="A556" s="19"/>
      <c r="B556" s="36"/>
    </row>
    <row r="557" spans="1:2" ht="14" customHeight="1" x14ac:dyDescent="0.3">
      <c r="A557" s="19"/>
      <c r="B557" s="36"/>
    </row>
    <row r="558" spans="1:2" ht="14" customHeight="1" x14ac:dyDescent="0.3">
      <c r="A558" s="19"/>
      <c r="B558" s="36"/>
    </row>
    <row r="559" spans="1:2" ht="14" customHeight="1" x14ac:dyDescent="0.3">
      <c r="A559" s="19"/>
      <c r="B559" s="36"/>
    </row>
    <row r="560" spans="1:2" ht="14" customHeight="1" x14ac:dyDescent="0.3">
      <c r="A560" s="19"/>
      <c r="B560" s="36"/>
    </row>
    <row r="561" spans="1:2" ht="14" customHeight="1" x14ac:dyDescent="0.3">
      <c r="A561" s="19"/>
      <c r="B561" s="36"/>
    </row>
    <row r="562" spans="1:2" ht="14" customHeight="1" x14ac:dyDescent="0.3">
      <c r="A562" s="19"/>
      <c r="B562" s="36"/>
    </row>
    <row r="563" spans="1:2" ht="14" customHeight="1" x14ac:dyDescent="0.3">
      <c r="A563" s="19"/>
      <c r="B563" s="36"/>
    </row>
    <row r="564" spans="1:2" ht="14" customHeight="1" x14ac:dyDescent="0.3">
      <c r="A564" s="19"/>
      <c r="B564" s="36"/>
    </row>
    <row r="565" spans="1:2" ht="14" customHeight="1" x14ac:dyDescent="0.3">
      <c r="A565" s="19"/>
      <c r="B565" s="36"/>
    </row>
    <row r="566" spans="1:2" ht="14" customHeight="1" x14ac:dyDescent="0.3">
      <c r="A566" s="19"/>
      <c r="B566" s="36"/>
    </row>
    <row r="567" spans="1:2" ht="14" customHeight="1" x14ac:dyDescent="0.3">
      <c r="A567" s="19"/>
      <c r="B567" s="36"/>
    </row>
    <row r="568" spans="1:2" ht="14" customHeight="1" x14ac:dyDescent="0.3">
      <c r="A568" s="19"/>
      <c r="B568" s="36"/>
    </row>
    <row r="569" spans="1:2" ht="14" customHeight="1" x14ac:dyDescent="0.3">
      <c r="A569" s="19"/>
      <c r="B569" s="36"/>
    </row>
    <row r="570" spans="1:2" ht="14" customHeight="1" x14ac:dyDescent="0.3">
      <c r="A570" s="19"/>
      <c r="B570" s="36"/>
    </row>
    <row r="571" spans="1:2" ht="14" customHeight="1" x14ac:dyDescent="0.3">
      <c r="A571" s="19"/>
      <c r="B571" s="36"/>
    </row>
    <row r="572" spans="1:2" ht="14" customHeight="1" x14ac:dyDescent="0.3">
      <c r="A572" s="19"/>
      <c r="B572" s="36"/>
    </row>
    <row r="573" spans="1:2" ht="14" customHeight="1" x14ac:dyDescent="0.3">
      <c r="A573" s="19"/>
      <c r="B573" s="36"/>
    </row>
    <row r="574" spans="1:2" ht="14" customHeight="1" x14ac:dyDescent="0.3">
      <c r="A574" s="19"/>
      <c r="B574" s="36"/>
    </row>
    <row r="575" spans="1:2" ht="14" customHeight="1" x14ac:dyDescent="0.3">
      <c r="A575" s="19"/>
      <c r="B575" s="36"/>
    </row>
    <row r="576" spans="1:2" ht="14" customHeight="1" x14ac:dyDescent="0.3">
      <c r="A576" s="19"/>
      <c r="B576" s="36"/>
    </row>
    <row r="577" spans="1:2" ht="14" customHeight="1" x14ac:dyDescent="0.3">
      <c r="A577" s="19"/>
      <c r="B577" s="36"/>
    </row>
    <row r="578" spans="1:2" ht="14" customHeight="1" x14ac:dyDescent="0.3">
      <c r="A578" s="19"/>
      <c r="B578" s="36"/>
    </row>
    <row r="579" spans="1:2" ht="14" customHeight="1" x14ac:dyDescent="0.3">
      <c r="A579" s="19"/>
      <c r="B579" s="36"/>
    </row>
    <row r="580" spans="1:2" ht="14" customHeight="1" x14ac:dyDescent="0.3">
      <c r="A580" s="19"/>
      <c r="B580" s="36"/>
    </row>
    <row r="581" spans="1:2" ht="14" customHeight="1" x14ac:dyDescent="0.3">
      <c r="A581" s="19"/>
      <c r="B581" s="36"/>
    </row>
    <row r="582" spans="1:2" ht="14" customHeight="1" x14ac:dyDescent="0.3">
      <c r="A582" s="19"/>
      <c r="B582" s="36"/>
    </row>
    <row r="583" spans="1:2" ht="14" customHeight="1" x14ac:dyDescent="0.3">
      <c r="A583" s="19"/>
      <c r="B583" s="36"/>
    </row>
    <row r="584" spans="1:2" ht="14" customHeight="1" x14ac:dyDescent="0.3">
      <c r="A584" s="19"/>
      <c r="B584" s="36"/>
    </row>
    <row r="585" spans="1:2" ht="14" customHeight="1" x14ac:dyDescent="0.3">
      <c r="A585" s="19"/>
      <c r="B585" s="36"/>
    </row>
    <row r="586" spans="1:2" ht="14" customHeight="1" x14ac:dyDescent="0.3">
      <c r="A586" s="19"/>
      <c r="B586" s="36"/>
    </row>
    <row r="587" spans="1:2" ht="14" customHeight="1" x14ac:dyDescent="0.3">
      <c r="A587" s="19"/>
      <c r="B587" s="36"/>
    </row>
    <row r="588" spans="1:2" ht="14" customHeight="1" x14ac:dyDescent="0.3">
      <c r="A588" s="19"/>
      <c r="B588" s="36"/>
    </row>
    <row r="589" spans="1:2" ht="14" customHeight="1" x14ac:dyDescent="0.3">
      <c r="A589" s="19"/>
      <c r="B589" s="36"/>
    </row>
    <row r="590" spans="1:2" ht="14" customHeight="1" x14ac:dyDescent="0.3">
      <c r="A590" s="19"/>
      <c r="B590" s="36"/>
    </row>
    <row r="591" spans="1:2" ht="14" customHeight="1" x14ac:dyDescent="0.3">
      <c r="A591" s="19"/>
      <c r="B591" s="36"/>
    </row>
    <row r="592" spans="1:2" ht="14" customHeight="1" x14ac:dyDescent="0.3">
      <c r="A592" s="19"/>
      <c r="B592" s="36"/>
    </row>
    <row r="593" spans="1:2" ht="14" customHeight="1" x14ac:dyDescent="0.3">
      <c r="A593" s="19"/>
      <c r="B593" s="36"/>
    </row>
    <row r="594" spans="1:2" ht="14" customHeight="1" x14ac:dyDescent="0.3">
      <c r="A594" s="19"/>
      <c r="B594" s="36"/>
    </row>
    <row r="595" spans="1:2" ht="14" customHeight="1" x14ac:dyDescent="0.3">
      <c r="A595" s="19"/>
      <c r="B595" s="36"/>
    </row>
    <row r="596" spans="1:2" ht="14" customHeight="1" x14ac:dyDescent="0.3">
      <c r="A596" s="19"/>
      <c r="B596" s="36"/>
    </row>
    <row r="597" spans="1:2" ht="14" customHeight="1" x14ac:dyDescent="0.3">
      <c r="A597" s="19"/>
      <c r="B597" s="36"/>
    </row>
    <row r="598" spans="1:2" ht="14" customHeight="1" x14ac:dyDescent="0.3">
      <c r="A598" s="19"/>
      <c r="B598" s="36"/>
    </row>
    <row r="599" spans="1:2" ht="14" customHeight="1" x14ac:dyDescent="0.3">
      <c r="A599" s="19"/>
      <c r="B599" s="36"/>
    </row>
    <row r="600" spans="1:2" ht="14" customHeight="1" x14ac:dyDescent="0.3">
      <c r="A600" s="19"/>
      <c r="B600" s="36"/>
    </row>
    <row r="601" spans="1:2" ht="14" customHeight="1" x14ac:dyDescent="0.3">
      <c r="A601" s="19"/>
      <c r="B601" s="36"/>
    </row>
    <row r="602" spans="1:2" ht="14" customHeight="1" x14ac:dyDescent="0.3">
      <c r="A602" s="19"/>
      <c r="B602" s="36"/>
    </row>
    <row r="603" spans="1:2" ht="14" customHeight="1" x14ac:dyDescent="0.3">
      <c r="A603" s="19"/>
      <c r="B603" s="36"/>
    </row>
    <row r="604" spans="1:2" ht="14" customHeight="1" x14ac:dyDescent="0.3">
      <c r="A604" s="19"/>
      <c r="B604" s="36"/>
    </row>
    <row r="605" spans="1:2" ht="14" customHeight="1" x14ac:dyDescent="0.3">
      <c r="A605" s="19"/>
      <c r="B605" s="36"/>
    </row>
    <row r="606" spans="1:2" ht="14" customHeight="1" x14ac:dyDescent="0.3">
      <c r="A606" s="19"/>
      <c r="B606" s="36"/>
    </row>
    <row r="607" spans="1:2" ht="14" customHeight="1" x14ac:dyDescent="0.3">
      <c r="A607" s="19"/>
      <c r="B607" s="36"/>
    </row>
    <row r="608" spans="1:2" ht="14" customHeight="1" x14ac:dyDescent="0.3">
      <c r="A608" s="19"/>
      <c r="B608" s="36"/>
    </row>
    <row r="609" spans="1:2" ht="14" customHeight="1" x14ac:dyDescent="0.3">
      <c r="A609" s="19"/>
      <c r="B609" s="36"/>
    </row>
    <row r="610" spans="1:2" ht="14" customHeight="1" x14ac:dyDescent="0.3">
      <c r="A610" s="19"/>
      <c r="B610" s="36"/>
    </row>
    <row r="611" spans="1:2" ht="14" customHeight="1" x14ac:dyDescent="0.3">
      <c r="A611" s="19"/>
      <c r="B611" s="36"/>
    </row>
    <row r="612" spans="1:2" ht="14" customHeight="1" x14ac:dyDescent="0.3">
      <c r="A612" s="19"/>
      <c r="B612" s="36"/>
    </row>
    <row r="613" spans="1:2" ht="14" customHeight="1" x14ac:dyDescent="0.3">
      <c r="A613" s="19"/>
      <c r="B613" s="36"/>
    </row>
    <row r="614" spans="1:2" ht="14" customHeight="1" x14ac:dyDescent="0.3">
      <c r="A614" s="19"/>
      <c r="B614" s="36"/>
    </row>
    <row r="615" spans="1:2" ht="14" customHeight="1" x14ac:dyDescent="0.3">
      <c r="A615" s="19"/>
      <c r="B615" s="36"/>
    </row>
    <row r="616" spans="1:2" ht="14" customHeight="1" x14ac:dyDescent="0.3">
      <c r="A616" s="19"/>
      <c r="B616" s="36"/>
    </row>
    <row r="617" spans="1:2" ht="14" customHeight="1" x14ac:dyDescent="0.3">
      <c r="A617" s="19"/>
      <c r="B617" s="36"/>
    </row>
    <row r="618" spans="1:2" ht="14" customHeight="1" x14ac:dyDescent="0.3">
      <c r="A618" s="19"/>
      <c r="B618" s="36"/>
    </row>
    <row r="619" spans="1:2" ht="14" customHeight="1" x14ac:dyDescent="0.3">
      <c r="A619" s="19"/>
      <c r="B619" s="36"/>
    </row>
    <row r="620" spans="1:2" ht="14" customHeight="1" x14ac:dyDescent="0.3">
      <c r="A620" s="19"/>
      <c r="B620" s="36"/>
    </row>
    <row r="621" spans="1:2" ht="14" customHeight="1" x14ac:dyDescent="0.3">
      <c r="A621" s="19"/>
      <c r="B621" s="36"/>
    </row>
    <row r="622" spans="1:2" ht="14" customHeight="1" x14ac:dyDescent="0.3">
      <c r="A622" s="19"/>
      <c r="B622" s="36"/>
    </row>
    <row r="623" spans="1:2" ht="14" customHeight="1" x14ac:dyDescent="0.3">
      <c r="A623" s="19"/>
      <c r="B623" s="36"/>
    </row>
    <row r="624" spans="1:2" ht="14" customHeight="1" x14ac:dyDescent="0.3">
      <c r="A624" s="19"/>
      <c r="B624" s="36"/>
    </row>
    <row r="625" spans="1:2" ht="14" customHeight="1" x14ac:dyDescent="0.3">
      <c r="A625" s="19"/>
      <c r="B625" s="36"/>
    </row>
    <row r="626" spans="1:2" ht="14" customHeight="1" x14ac:dyDescent="0.3">
      <c r="A626" s="19"/>
      <c r="B626" s="36"/>
    </row>
    <row r="627" spans="1:2" ht="14" customHeight="1" x14ac:dyDescent="0.3">
      <c r="A627" s="19"/>
      <c r="B627" s="36"/>
    </row>
    <row r="628" spans="1:2" ht="14" customHeight="1" x14ac:dyDescent="0.3">
      <c r="A628" s="19"/>
      <c r="B628" s="36"/>
    </row>
    <row r="629" spans="1:2" ht="14" customHeight="1" x14ac:dyDescent="0.3">
      <c r="A629" s="19"/>
      <c r="B629" s="36"/>
    </row>
    <row r="630" spans="1:2" ht="14" customHeight="1" x14ac:dyDescent="0.3">
      <c r="A630" s="19"/>
      <c r="B630" s="36"/>
    </row>
    <row r="631" spans="1:2" ht="14" customHeight="1" x14ac:dyDescent="0.3">
      <c r="A631" s="19"/>
      <c r="B631" s="36"/>
    </row>
    <row r="632" spans="1:2" ht="14" customHeight="1" x14ac:dyDescent="0.3">
      <c r="A632" s="19"/>
      <c r="B632" s="36"/>
    </row>
    <row r="633" spans="1:2" ht="14" customHeight="1" x14ac:dyDescent="0.3">
      <c r="A633" s="19"/>
      <c r="B633" s="36"/>
    </row>
    <row r="634" spans="1:2" ht="14" customHeight="1" x14ac:dyDescent="0.3">
      <c r="A634" s="19"/>
      <c r="B634" s="36"/>
    </row>
    <row r="635" spans="1:2" ht="14" customHeight="1" x14ac:dyDescent="0.3">
      <c r="A635" s="19"/>
      <c r="B635" s="36"/>
    </row>
    <row r="636" spans="1:2" ht="14" customHeight="1" x14ac:dyDescent="0.3">
      <c r="A636" s="19"/>
      <c r="B636" s="36"/>
    </row>
    <row r="637" spans="1:2" ht="14" customHeight="1" x14ac:dyDescent="0.3">
      <c r="A637" s="19"/>
      <c r="B637" s="36"/>
    </row>
    <row r="638" spans="1:2" ht="14" customHeight="1" x14ac:dyDescent="0.3">
      <c r="A638" s="19"/>
      <c r="B638" s="36"/>
    </row>
    <row r="639" spans="1:2" ht="14" customHeight="1" x14ac:dyDescent="0.3">
      <c r="A639" s="19"/>
      <c r="B639" s="36"/>
    </row>
    <row r="640" spans="1:2" ht="14" customHeight="1" x14ac:dyDescent="0.3">
      <c r="A640" s="19"/>
      <c r="B640" s="36"/>
    </row>
    <row r="641" spans="1:2" ht="14" customHeight="1" x14ac:dyDescent="0.3">
      <c r="A641" s="19"/>
      <c r="B641" s="36"/>
    </row>
    <row r="642" spans="1:2" ht="14" customHeight="1" x14ac:dyDescent="0.3">
      <c r="A642" s="19"/>
      <c r="B642" s="36"/>
    </row>
    <row r="643" spans="1:2" ht="14" customHeight="1" x14ac:dyDescent="0.3">
      <c r="A643" s="19"/>
      <c r="B643" s="36"/>
    </row>
    <row r="644" spans="1:2" ht="14" customHeight="1" x14ac:dyDescent="0.3">
      <c r="A644" s="19"/>
      <c r="B644" s="36"/>
    </row>
    <row r="645" spans="1:2" ht="14" customHeight="1" x14ac:dyDescent="0.3">
      <c r="A645" s="19"/>
      <c r="B645" s="36"/>
    </row>
    <row r="646" spans="1:2" ht="14" customHeight="1" x14ac:dyDescent="0.3">
      <c r="A646" s="19"/>
      <c r="B646" s="36"/>
    </row>
    <row r="647" spans="1:2" ht="14" customHeight="1" x14ac:dyDescent="0.3">
      <c r="A647" s="19"/>
      <c r="B647" s="36"/>
    </row>
    <row r="648" spans="1:2" ht="14" customHeight="1" x14ac:dyDescent="0.3">
      <c r="A648" s="19"/>
      <c r="B648" s="36"/>
    </row>
    <row r="649" spans="1:2" ht="14" customHeight="1" x14ac:dyDescent="0.3">
      <c r="A649" s="19"/>
      <c r="B649" s="36"/>
    </row>
    <row r="650" spans="1:2" ht="14" customHeight="1" x14ac:dyDescent="0.3">
      <c r="A650" s="19"/>
      <c r="B650" s="36"/>
    </row>
    <row r="651" spans="1:2" ht="14" customHeight="1" x14ac:dyDescent="0.3">
      <c r="A651" s="19"/>
      <c r="B651" s="36"/>
    </row>
    <row r="652" spans="1:2" ht="14" customHeight="1" x14ac:dyDescent="0.3">
      <c r="A652" s="19"/>
      <c r="B652" s="36"/>
    </row>
    <row r="653" spans="1:2" ht="14" customHeight="1" x14ac:dyDescent="0.3">
      <c r="A653" s="19"/>
      <c r="B653" s="36"/>
    </row>
    <row r="654" spans="1:2" ht="14" customHeight="1" x14ac:dyDescent="0.3">
      <c r="A654" s="19"/>
      <c r="B654" s="36"/>
    </row>
    <row r="655" spans="1:2" ht="14" customHeight="1" x14ac:dyDescent="0.3">
      <c r="A655" s="19"/>
      <c r="B655" s="36"/>
    </row>
    <row r="656" spans="1:2" ht="14" customHeight="1" x14ac:dyDescent="0.3">
      <c r="A656" s="19"/>
      <c r="B656" s="36"/>
    </row>
    <row r="657" spans="1:2" ht="14" customHeight="1" x14ac:dyDescent="0.3">
      <c r="A657" s="19"/>
      <c r="B657" s="36"/>
    </row>
    <row r="658" spans="1:2" ht="14" customHeight="1" x14ac:dyDescent="0.3">
      <c r="A658" s="19"/>
      <c r="B658" s="36"/>
    </row>
    <row r="659" spans="1:2" ht="14" customHeight="1" x14ac:dyDescent="0.3">
      <c r="A659" s="19"/>
      <c r="B659" s="36"/>
    </row>
    <row r="660" spans="1:2" ht="14" customHeight="1" x14ac:dyDescent="0.3">
      <c r="A660" s="19"/>
      <c r="B660" s="36"/>
    </row>
    <row r="661" spans="1:2" ht="14" customHeight="1" x14ac:dyDescent="0.3">
      <c r="A661" s="19"/>
      <c r="B661" s="36"/>
    </row>
    <row r="662" spans="1:2" ht="14" customHeight="1" x14ac:dyDescent="0.3">
      <c r="A662" s="19"/>
      <c r="B662" s="36"/>
    </row>
    <row r="663" spans="1:2" ht="14" customHeight="1" x14ac:dyDescent="0.3">
      <c r="A663" s="19"/>
      <c r="B663" s="36"/>
    </row>
    <row r="664" spans="1:2" ht="14" customHeight="1" x14ac:dyDescent="0.3">
      <c r="A664" s="19"/>
      <c r="B664" s="36"/>
    </row>
    <row r="665" spans="1:2" ht="14" customHeight="1" x14ac:dyDescent="0.3">
      <c r="A665" s="19"/>
      <c r="B665" s="36"/>
    </row>
    <row r="666" spans="1:2" ht="14" customHeight="1" x14ac:dyDescent="0.3">
      <c r="A666" s="19"/>
      <c r="B666" s="36"/>
    </row>
    <row r="667" spans="1:2" ht="14" customHeight="1" x14ac:dyDescent="0.3">
      <c r="A667" s="19"/>
      <c r="B667" s="36"/>
    </row>
    <row r="668" spans="1:2" ht="14" customHeight="1" x14ac:dyDescent="0.3">
      <c r="A668" s="19"/>
      <c r="B668" s="36"/>
    </row>
    <row r="669" spans="1:2" ht="14" customHeight="1" x14ac:dyDescent="0.3">
      <c r="A669" s="19"/>
      <c r="B669" s="36"/>
    </row>
    <row r="670" spans="1:2" ht="14" customHeight="1" x14ac:dyDescent="0.3">
      <c r="A670" s="19"/>
      <c r="B670" s="36"/>
    </row>
    <row r="671" spans="1:2" ht="14" customHeight="1" x14ac:dyDescent="0.3">
      <c r="A671" s="19"/>
      <c r="B671" s="36"/>
    </row>
    <row r="672" spans="1:2" ht="14" customHeight="1" x14ac:dyDescent="0.3">
      <c r="A672" s="19"/>
      <c r="B672" s="36"/>
    </row>
    <row r="673" spans="1:2" ht="14" customHeight="1" x14ac:dyDescent="0.3">
      <c r="A673" s="19"/>
      <c r="B673" s="36"/>
    </row>
    <row r="674" spans="1:2" ht="14" customHeight="1" x14ac:dyDescent="0.3">
      <c r="A674" s="19"/>
      <c r="B674" s="36"/>
    </row>
    <row r="675" spans="1:2" ht="14" customHeight="1" x14ac:dyDescent="0.3">
      <c r="A675" s="19"/>
      <c r="B675" s="36"/>
    </row>
    <row r="676" spans="1:2" ht="14" customHeight="1" x14ac:dyDescent="0.3">
      <c r="A676" s="19"/>
      <c r="B676" s="36"/>
    </row>
    <row r="677" spans="1:2" ht="14" customHeight="1" x14ac:dyDescent="0.3">
      <c r="A677" s="19"/>
      <c r="B677" s="36"/>
    </row>
    <row r="678" spans="1:2" ht="14" customHeight="1" x14ac:dyDescent="0.3">
      <c r="A678" s="19"/>
      <c r="B678" s="36"/>
    </row>
    <row r="679" spans="1:2" ht="14" customHeight="1" x14ac:dyDescent="0.3">
      <c r="A679" s="19"/>
      <c r="B679" s="36"/>
    </row>
    <row r="680" spans="1:2" ht="14" customHeight="1" x14ac:dyDescent="0.3">
      <c r="A680" s="19"/>
      <c r="B680" s="36"/>
    </row>
    <row r="681" spans="1:2" ht="14" customHeight="1" x14ac:dyDescent="0.3">
      <c r="A681" s="19"/>
      <c r="B681" s="36"/>
    </row>
    <row r="682" spans="1:2" ht="14" customHeight="1" x14ac:dyDescent="0.3">
      <c r="A682" s="19"/>
      <c r="B682" s="36"/>
    </row>
    <row r="683" spans="1:2" ht="14" customHeight="1" x14ac:dyDescent="0.3">
      <c r="A683" s="19"/>
      <c r="B683" s="36"/>
    </row>
    <row r="684" spans="1:2" ht="14" customHeight="1" x14ac:dyDescent="0.3">
      <c r="A684" s="19"/>
      <c r="B684" s="36"/>
    </row>
    <row r="685" spans="1:2" ht="14" customHeight="1" x14ac:dyDescent="0.3">
      <c r="A685" s="19"/>
      <c r="B685" s="36"/>
    </row>
    <row r="686" spans="1:2" ht="14" customHeight="1" x14ac:dyDescent="0.3">
      <c r="A686" s="19"/>
      <c r="B686" s="36"/>
    </row>
    <row r="687" spans="1:2" ht="14" customHeight="1" x14ac:dyDescent="0.3">
      <c r="A687" s="19"/>
      <c r="B687" s="36"/>
    </row>
    <row r="688" spans="1:2" ht="14" customHeight="1" x14ac:dyDescent="0.3">
      <c r="A688" s="19"/>
      <c r="B688" s="36"/>
    </row>
    <row r="689" spans="1:2" ht="14" customHeight="1" x14ac:dyDescent="0.3">
      <c r="A689" s="19"/>
      <c r="B689" s="36"/>
    </row>
    <row r="690" spans="1:2" ht="14" customHeight="1" x14ac:dyDescent="0.3">
      <c r="A690" s="19"/>
      <c r="B690" s="36"/>
    </row>
    <row r="691" spans="1:2" ht="14" customHeight="1" x14ac:dyDescent="0.3">
      <c r="A691" s="19"/>
      <c r="B691" s="36"/>
    </row>
    <row r="692" spans="1:2" ht="14" customHeight="1" x14ac:dyDescent="0.3">
      <c r="A692" s="19"/>
      <c r="B692" s="36"/>
    </row>
    <row r="693" spans="1:2" ht="14" customHeight="1" x14ac:dyDescent="0.3">
      <c r="A693" s="19"/>
      <c r="B693" s="36"/>
    </row>
    <row r="694" spans="1:2" ht="14" customHeight="1" x14ac:dyDescent="0.3">
      <c r="A694" s="19"/>
      <c r="B694" s="36"/>
    </row>
    <row r="695" spans="1:2" ht="14" customHeight="1" x14ac:dyDescent="0.3">
      <c r="A695" s="19"/>
      <c r="B695" s="36"/>
    </row>
    <row r="696" spans="1:2" ht="14" customHeight="1" x14ac:dyDescent="0.3">
      <c r="A696" s="19"/>
      <c r="B696" s="36"/>
    </row>
    <row r="697" spans="1:2" ht="14" customHeight="1" x14ac:dyDescent="0.3">
      <c r="A697" s="19"/>
      <c r="B697" s="36"/>
    </row>
    <row r="698" spans="1:2" ht="14" customHeight="1" x14ac:dyDescent="0.3">
      <c r="A698" s="19"/>
      <c r="B698" s="36"/>
    </row>
    <row r="699" spans="1:2" ht="14" customHeight="1" x14ac:dyDescent="0.3">
      <c r="A699" s="19"/>
      <c r="B699" s="36"/>
    </row>
    <row r="700" spans="1:2" ht="14" customHeight="1" x14ac:dyDescent="0.3">
      <c r="A700" s="19"/>
      <c r="B700" s="36"/>
    </row>
    <row r="701" spans="1:2" ht="14" customHeight="1" x14ac:dyDescent="0.3">
      <c r="A701" s="19"/>
      <c r="B701" s="36"/>
    </row>
    <row r="702" spans="1:2" ht="14" customHeight="1" x14ac:dyDescent="0.3">
      <c r="A702" s="19"/>
      <c r="B702" s="36"/>
    </row>
    <row r="703" spans="1:2" ht="14" customHeight="1" x14ac:dyDescent="0.3">
      <c r="A703" s="19"/>
      <c r="B703" s="36"/>
    </row>
    <row r="704" spans="1:2" ht="14" customHeight="1" x14ac:dyDescent="0.3">
      <c r="A704" s="19"/>
      <c r="B704" s="36"/>
    </row>
    <row r="705" spans="1:2" ht="14" customHeight="1" x14ac:dyDescent="0.3">
      <c r="A705" s="19"/>
      <c r="B705" s="36"/>
    </row>
    <row r="706" spans="1:2" ht="14" customHeight="1" x14ac:dyDescent="0.3">
      <c r="A706" s="19"/>
      <c r="B706" s="36"/>
    </row>
    <row r="707" spans="1:2" ht="14" customHeight="1" x14ac:dyDescent="0.3">
      <c r="A707" s="19"/>
      <c r="B707" s="36"/>
    </row>
    <row r="708" spans="1:2" ht="14" customHeight="1" x14ac:dyDescent="0.3">
      <c r="A708" s="19"/>
      <c r="B708" s="36"/>
    </row>
    <row r="709" spans="1:2" ht="14" customHeight="1" x14ac:dyDescent="0.3">
      <c r="A709" s="19"/>
      <c r="B709" s="36"/>
    </row>
    <row r="710" spans="1:2" ht="14" customHeight="1" x14ac:dyDescent="0.3">
      <c r="A710" s="19"/>
      <c r="B710" s="36"/>
    </row>
    <row r="711" spans="1:2" ht="14" customHeight="1" x14ac:dyDescent="0.3">
      <c r="A711" s="19"/>
      <c r="B711" s="36"/>
    </row>
    <row r="712" spans="1:2" ht="14" customHeight="1" x14ac:dyDescent="0.3">
      <c r="A712" s="19"/>
      <c r="B712" s="36"/>
    </row>
    <row r="713" spans="1:2" ht="14" customHeight="1" x14ac:dyDescent="0.3">
      <c r="A713" s="19"/>
      <c r="B713" s="36"/>
    </row>
    <row r="714" spans="1:2" ht="14" customHeight="1" x14ac:dyDescent="0.3">
      <c r="A714" s="19"/>
      <c r="B714" s="36"/>
    </row>
    <row r="715" spans="1:2" ht="14" customHeight="1" x14ac:dyDescent="0.3">
      <c r="A715" s="19"/>
      <c r="B715" s="36"/>
    </row>
    <row r="716" spans="1:2" ht="14" customHeight="1" x14ac:dyDescent="0.3">
      <c r="A716" s="19"/>
      <c r="B716" s="36"/>
    </row>
    <row r="717" spans="1:2" ht="14" customHeight="1" x14ac:dyDescent="0.3">
      <c r="A717" s="19"/>
      <c r="B717" s="36"/>
    </row>
    <row r="718" spans="1:2" ht="14" customHeight="1" x14ac:dyDescent="0.3">
      <c r="A718" s="19"/>
      <c r="B718" s="36"/>
    </row>
    <row r="719" spans="1:2" ht="14" customHeight="1" x14ac:dyDescent="0.3">
      <c r="A719" s="19"/>
      <c r="B719" s="36"/>
    </row>
    <row r="720" spans="1:2" ht="14" customHeight="1" x14ac:dyDescent="0.3">
      <c r="A720" s="19"/>
      <c r="B720" s="36"/>
    </row>
    <row r="721" spans="1:2" ht="14" customHeight="1" x14ac:dyDescent="0.3">
      <c r="A721" s="19"/>
      <c r="B721" s="36"/>
    </row>
    <row r="722" spans="1:2" ht="14" customHeight="1" x14ac:dyDescent="0.3">
      <c r="A722" s="19"/>
      <c r="B722" s="36"/>
    </row>
    <row r="723" spans="1:2" ht="14" customHeight="1" x14ac:dyDescent="0.3">
      <c r="A723" s="19"/>
      <c r="B723" s="36"/>
    </row>
    <row r="724" spans="1:2" ht="14" customHeight="1" x14ac:dyDescent="0.3">
      <c r="A724" s="19"/>
      <c r="B724" s="36"/>
    </row>
    <row r="725" spans="1:2" ht="14" customHeight="1" x14ac:dyDescent="0.3">
      <c r="A725" s="19"/>
      <c r="B725" s="36"/>
    </row>
    <row r="726" spans="1:2" ht="14" customHeight="1" x14ac:dyDescent="0.3">
      <c r="A726" s="19"/>
      <c r="B726" s="36"/>
    </row>
    <row r="727" spans="1:2" ht="14" customHeight="1" x14ac:dyDescent="0.3">
      <c r="A727" s="19"/>
      <c r="B727" s="36"/>
    </row>
    <row r="728" spans="1:2" ht="14" customHeight="1" x14ac:dyDescent="0.3">
      <c r="A728" s="19"/>
      <c r="B728" s="36"/>
    </row>
    <row r="729" spans="1:2" ht="14" customHeight="1" x14ac:dyDescent="0.3">
      <c r="A729" s="19"/>
      <c r="B729" s="36"/>
    </row>
    <row r="730" spans="1:2" ht="14" customHeight="1" x14ac:dyDescent="0.3">
      <c r="A730" s="19"/>
      <c r="B730" s="36"/>
    </row>
    <row r="731" spans="1:2" ht="14" customHeight="1" x14ac:dyDescent="0.3">
      <c r="A731" s="19"/>
      <c r="B731" s="36"/>
    </row>
    <row r="732" spans="1:2" ht="14" customHeight="1" x14ac:dyDescent="0.3">
      <c r="A732" s="19"/>
      <c r="B732" s="36"/>
    </row>
    <row r="733" spans="1:2" ht="14" customHeight="1" x14ac:dyDescent="0.3">
      <c r="A733" s="19"/>
      <c r="B733" s="36"/>
    </row>
    <row r="734" spans="1:2" ht="14" customHeight="1" x14ac:dyDescent="0.3">
      <c r="A734" s="19"/>
      <c r="B734" s="36"/>
    </row>
    <row r="735" spans="1:2" ht="14" customHeight="1" x14ac:dyDescent="0.3">
      <c r="A735" s="19"/>
      <c r="B735" s="36"/>
    </row>
    <row r="736" spans="1:2" ht="14" customHeight="1" x14ac:dyDescent="0.3">
      <c r="A736" s="19"/>
      <c r="B736" s="36"/>
    </row>
    <row r="737" spans="1:2" ht="14" customHeight="1" x14ac:dyDescent="0.3">
      <c r="A737" s="19"/>
      <c r="B737" s="36"/>
    </row>
    <row r="738" spans="1:2" ht="14" customHeight="1" x14ac:dyDescent="0.3">
      <c r="A738" s="19"/>
      <c r="B738" s="36"/>
    </row>
    <row r="739" spans="1:2" ht="14" customHeight="1" x14ac:dyDescent="0.3">
      <c r="A739" s="19"/>
      <c r="B739" s="36"/>
    </row>
    <row r="740" spans="1:2" ht="14" customHeight="1" x14ac:dyDescent="0.3">
      <c r="A740" s="19"/>
      <c r="B740" s="36"/>
    </row>
    <row r="741" spans="1:2" ht="14" customHeight="1" x14ac:dyDescent="0.3">
      <c r="A741" s="19"/>
      <c r="B741" s="36"/>
    </row>
    <row r="742" spans="1:2" ht="14" customHeight="1" x14ac:dyDescent="0.3">
      <c r="A742" s="19"/>
      <c r="B742" s="36"/>
    </row>
    <row r="743" spans="1:2" ht="14" customHeight="1" x14ac:dyDescent="0.3">
      <c r="A743" s="19"/>
      <c r="B743" s="36"/>
    </row>
    <row r="744" spans="1:2" ht="14" customHeight="1" x14ac:dyDescent="0.3">
      <c r="A744" s="19"/>
      <c r="B744" s="36"/>
    </row>
    <row r="745" spans="1:2" ht="14" customHeight="1" x14ac:dyDescent="0.3">
      <c r="A745" s="19"/>
      <c r="B745" s="36"/>
    </row>
    <row r="746" spans="1:2" ht="14" customHeight="1" x14ac:dyDescent="0.3">
      <c r="A746" s="19"/>
      <c r="B746" s="36"/>
    </row>
    <row r="747" spans="1:2" ht="14" customHeight="1" x14ac:dyDescent="0.3">
      <c r="A747" s="19"/>
      <c r="B747" s="36"/>
    </row>
    <row r="748" spans="1:2" ht="14" customHeight="1" x14ac:dyDescent="0.3">
      <c r="A748" s="19"/>
      <c r="B748" s="36"/>
    </row>
    <row r="749" spans="1:2" ht="14" customHeight="1" x14ac:dyDescent="0.3">
      <c r="A749" s="19"/>
      <c r="B749" s="36"/>
    </row>
    <row r="750" spans="1:2" ht="14" customHeight="1" x14ac:dyDescent="0.3">
      <c r="A750" s="19"/>
      <c r="B750" s="36"/>
    </row>
    <row r="751" spans="1:2" ht="14" customHeight="1" x14ac:dyDescent="0.3">
      <c r="A751" s="19"/>
      <c r="B751" s="36"/>
    </row>
    <row r="752" spans="1:2" ht="14" customHeight="1" x14ac:dyDescent="0.3">
      <c r="A752" s="19"/>
      <c r="B752" s="36"/>
    </row>
    <row r="753" spans="1:2" ht="14" customHeight="1" x14ac:dyDescent="0.3">
      <c r="A753" s="19"/>
      <c r="B753" s="36"/>
    </row>
    <row r="754" spans="1:2" ht="14" customHeight="1" x14ac:dyDescent="0.3">
      <c r="A754" s="19"/>
      <c r="B754" s="36"/>
    </row>
    <row r="755" spans="1:2" ht="14" customHeight="1" x14ac:dyDescent="0.3">
      <c r="A755" s="19"/>
      <c r="B755" s="36"/>
    </row>
    <row r="756" spans="1:2" ht="14" customHeight="1" x14ac:dyDescent="0.3">
      <c r="A756" s="19"/>
      <c r="B756" s="36"/>
    </row>
    <row r="757" spans="1:2" ht="14" customHeight="1" x14ac:dyDescent="0.3">
      <c r="A757" s="19"/>
      <c r="B757" s="36"/>
    </row>
    <row r="758" spans="1:2" ht="14" customHeight="1" x14ac:dyDescent="0.3">
      <c r="A758" s="19"/>
      <c r="B758" s="36"/>
    </row>
    <row r="759" spans="1:2" ht="14" customHeight="1" x14ac:dyDescent="0.3">
      <c r="A759" s="19"/>
      <c r="B759" s="36"/>
    </row>
    <row r="760" spans="1:2" ht="14" customHeight="1" x14ac:dyDescent="0.3">
      <c r="A760" s="19"/>
      <c r="B760" s="36"/>
    </row>
    <row r="761" spans="1:2" ht="14" customHeight="1" x14ac:dyDescent="0.3">
      <c r="A761" s="19"/>
      <c r="B761" s="36"/>
    </row>
    <row r="762" spans="1:2" ht="14" customHeight="1" x14ac:dyDescent="0.3">
      <c r="A762" s="19"/>
      <c r="B762" s="36"/>
    </row>
    <row r="763" spans="1:2" ht="14" customHeight="1" x14ac:dyDescent="0.3">
      <c r="A763" s="19"/>
      <c r="B763" s="36"/>
    </row>
    <row r="764" spans="1:2" ht="14" customHeight="1" x14ac:dyDescent="0.3">
      <c r="A764" s="19"/>
      <c r="B764" s="36"/>
    </row>
    <row r="765" spans="1:2" ht="14" customHeight="1" x14ac:dyDescent="0.3">
      <c r="A765" s="19"/>
      <c r="B765" s="36"/>
    </row>
    <row r="766" spans="1:2" ht="14" customHeight="1" x14ac:dyDescent="0.3">
      <c r="A766" s="19"/>
      <c r="B766" s="36"/>
    </row>
    <row r="767" spans="1:2" ht="14" customHeight="1" x14ac:dyDescent="0.3">
      <c r="A767" s="19"/>
      <c r="B767" s="36"/>
    </row>
    <row r="768" spans="1:2" ht="14" customHeight="1" x14ac:dyDescent="0.3">
      <c r="A768" s="19"/>
      <c r="B768" s="36"/>
    </row>
    <row r="769" spans="1:2" ht="14" customHeight="1" x14ac:dyDescent="0.3">
      <c r="A769" s="19"/>
      <c r="B769" s="36"/>
    </row>
    <row r="770" spans="1:2" ht="14" customHeight="1" x14ac:dyDescent="0.3">
      <c r="A770" s="19"/>
      <c r="B770" s="36"/>
    </row>
    <row r="771" spans="1:2" ht="14" customHeight="1" x14ac:dyDescent="0.3">
      <c r="A771" s="19"/>
      <c r="B771" s="36"/>
    </row>
    <row r="772" spans="1:2" ht="14" customHeight="1" x14ac:dyDescent="0.3">
      <c r="A772" s="19"/>
      <c r="B772" s="36"/>
    </row>
    <row r="773" spans="1:2" ht="14" customHeight="1" x14ac:dyDescent="0.3">
      <c r="A773" s="19"/>
      <c r="B773" s="36"/>
    </row>
    <row r="774" spans="1:2" ht="14" customHeight="1" x14ac:dyDescent="0.3">
      <c r="A774" s="19"/>
      <c r="B774" s="36"/>
    </row>
    <row r="775" spans="1:2" ht="14" customHeight="1" x14ac:dyDescent="0.3">
      <c r="A775" s="19"/>
      <c r="B775" s="36"/>
    </row>
    <row r="776" spans="1:2" ht="14" customHeight="1" x14ac:dyDescent="0.3">
      <c r="A776" s="19"/>
      <c r="B776" s="36"/>
    </row>
    <row r="777" spans="1:2" ht="14" customHeight="1" x14ac:dyDescent="0.3">
      <c r="A777" s="19"/>
      <c r="B777" s="36"/>
    </row>
    <row r="778" spans="1:2" ht="14" customHeight="1" x14ac:dyDescent="0.3">
      <c r="A778" s="19"/>
      <c r="B778" s="36"/>
    </row>
    <row r="779" spans="1:2" ht="14" customHeight="1" x14ac:dyDescent="0.3">
      <c r="A779" s="19"/>
      <c r="B779" s="36"/>
    </row>
    <row r="780" spans="1:2" ht="14" customHeight="1" x14ac:dyDescent="0.3">
      <c r="A780" s="19"/>
      <c r="B780" s="36"/>
    </row>
    <row r="781" spans="1:2" ht="14" customHeight="1" x14ac:dyDescent="0.3">
      <c r="A781" s="19"/>
      <c r="B781" s="36"/>
    </row>
    <row r="782" spans="1:2" ht="14" customHeight="1" x14ac:dyDescent="0.3">
      <c r="A782" s="19"/>
      <c r="B782" s="36"/>
    </row>
    <row r="783" spans="1:2" ht="14" customHeight="1" x14ac:dyDescent="0.3">
      <c r="A783" s="19"/>
      <c r="B783" s="36"/>
    </row>
    <row r="784" spans="1:2" ht="14" customHeight="1" x14ac:dyDescent="0.3">
      <c r="A784" s="19"/>
      <c r="B784" s="36"/>
    </row>
    <row r="785" spans="1:2" ht="14" customHeight="1" x14ac:dyDescent="0.3">
      <c r="A785" s="19"/>
      <c r="B785" s="36"/>
    </row>
    <row r="786" spans="1:2" ht="14" customHeight="1" x14ac:dyDescent="0.3">
      <c r="A786" s="19"/>
      <c r="B786" s="36"/>
    </row>
    <row r="787" spans="1:2" ht="14" customHeight="1" x14ac:dyDescent="0.3">
      <c r="A787" s="19"/>
      <c r="B787" s="36"/>
    </row>
    <row r="788" spans="1:2" ht="14" customHeight="1" x14ac:dyDescent="0.3">
      <c r="A788" s="19"/>
      <c r="B788" s="36"/>
    </row>
    <row r="789" spans="1:2" ht="14" customHeight="1" x14ac:dyDescent="0.3">
      <c r="A789" s="19"/>
      <c r="B789" s="36"/>
    </row>
    <row r="790" spans="1:2" ht="14" customHeight="1" x14ac:dyDescent="0.3">
      <c r="A790" s="19"/>
      <c r="B790" s="36"/>
    </row>
    <row r="791" spans="1:2" ht="14" customHeight="1" x14ac:dyDescent="0.3">
      <c r="A791" s="19"/>
      <c r="B791" s="36"/>
    </row>
    <row r="792" spans="1:2" ht="14" customHeight="1" x14ac:dyDescent="0.3">
      <c r="A792" s="19"/>
      <c r="B792" s="36"/>
    </row>
    <row r="793" spans="1:2" ht="14" customHeight="1" x14ac:dyDescent="0.3">
      <c r="A793" s="19"/>
      <c r="B793" s="36"/>
    </row>
    <row r="794" spans="1:2" ht="14" customHeight="1" x14ac:dyDescent="0.3">
      <c r="A794" s="19"/>
      <c r="B794" s="36"/>
    </row>
    <row r="795" spans="1:2" ht="14" customHeight="1" x14ac:dyDescent="0.3">
      <c r="A795" s="19"/>
      <c r="B795" s="36"/>
    </row>
    <row r="796" spans="1:2" ht="14" customHeight="1" x14ac:dyDescent="0.3">
      <c r="A796" s="19"/>
      <c r="B796" s="36"/>
    </row>
    <row r="797" spans="1:2" ht="14" customHeight="1" x14ac:dyDescent="0.3">
      <c r="A797" s="19"/>
      <c r="B797" s="36"/>
    </row>
    <row r="798" spans="1:2" ht="14" customHeight="1" x14ac:dyDescent="0.3">
      <c r="A798" s="19"/>
      <c r="B798" s="36"/>
    </row>
    <row r="799" spans="1:2" ht="14" customHeight="1" x14ac:dyDescent="0.3">
      <c r="A799" s="19"/>
      <c r="B799" s="36"/>
    </row>
    <row r="800" spans="1:2" ht="14" customHeight="1" x14ac:dyDescent="0.3">
      <c r="A800" s="19"/>
      <c r="B800" s="36"/>
    </row>
    <row r="801" spans="1:2" ht="14" customHeight="1" x14ac:dyDescent="0.3">
      <c r="A801" s="19"/>
      <c r="B801" s="36"/>
    </row>
    <row r="802" spans="1:2" ht="14" customHeight="1" x14ac:dyDescent="0.3">
      <c r="A802" s="19"/>
      <c r="B802" s="36"/>
    </row>
    <row r="803" spans="1:2" ht="14" customHeight="1" x14ac:dyDescent="0.3">
      <c r="A803" s="19"/>
      <c r="B803" s="36"/>
    </row>
    <row r="804" spans="1:2" ht="14" customHeight="1" x14ac:dyDescent="0.3">
      <c r="A804" s="19"/>
      <c r="B804" s="36"/>
    </row>
    <row r="805" spans="1:2" ht="14" customHeight="1" x14ac:dyDescent="0.3">
      <c r="A805" s="19"/>
      <c r="B805" s="36"/>
    </row>
    <row r="806" spans="1:2" ht="14" customHeight="1" x14ac:dyDescent="0.3">
      <c r="A806" s="19"/>
      <c r="B806" s="36"/>
    </row>
    <row r="807" spans="1:2" ht="14" customHeight="1" x14ac:dyDescent="0.3">
      <c r="A807" s="19"/>
      <c r="B807" s="36"/>
    </row>
    <row r="808" spans="1:2" ht="14" customHeight="1" x14ac:dyDescent="0.3">
      <c r="A808" s="19"/>
      <c r="B808" s="36"/>
    </row>
    <row r="809" spans="1:2" ht="14" customHeight="1" x14ac:dyDescent="0.3">
      <c r="A809" s="19"/>
      <c r="B809" s="36"/>
    </row>
    <row r="810" spans="1:2" ht="14" customHeight="1" x14ac:dyDescent="0.3">
      <c r="A810" s="19"/>
      <c r="B810" s="36"/>
    </row>
    <row r="811" spans="1:2" ht="14" customHeight="1" x14ac:dyDescent="0.3">
      <c r="A811" s="19"/>
      <c r="B811" s="36"/>
    </row>
    <row r="812" spans="1:2" ht="14" customHeight="1" x14ac:dyDescent="0.3">
      <c r="A812" s="19"/>
      <c r="B812" s="36"/>
    </row>
    <row r="813" spans="1:2" ht="14" customHeight="1" x14ac:dyDescent="0.3">
      <c r="A813" s="19"/>
      <c r="B813" s="36"/>
    </row>
    <row r="814" spans="1:2" ht="14" customHeight="1" x14ac:dyDescent="0.3">
      <c r="A814" s="19"/>
      <c r="B814" s="36"/>
    </row>
    <row r="815" spans="1:2" ht="14" customHeight="1" x14ac:dyDescent="0.3">
      <c r="A815" s="19"/>
      <c r="B815" s="36"/>
    </row>
    <row r="816" spans="1:2" ht="14" customHeight="1" x14ac:dyDescent="0.3">
      <c r="A816" s="19"/>
      <c r="B816" s="36"/>
    </row>
    <row r="817" spans="1:2" ht="14" customHeight="1" x14ac:dyDescent="0.3">
      <c r="A817" s="19"/>
      <c r="B817" s="36"/>
    </row>
    <row r="818" spans="1:2" ht="14" customHeight="1" x14ac:dyDescent="0.3">
      <c r="A818" s="19"/>
      <c r="B818" s="36"/>
    </row>
    <row r="819" spans="1:2" ht="14" customHeight="1" x14ac:dyDescent="0.3">
      <c r="A819" s="19"/>
      <c r="B819" s="36"/>
    </row>
    <row r="820" spans="1:2" ht="14" customHeight="1" x14ac:dyDescent="0.3">
      <c r="A820" s="19"/>
      <c r="B820" s="36"/>
    </row>
    <row r="821" spans="1:2" ht="14" customHeight="1" x14ac:dyDescent="0.3">
      <c r="A821" s="19"/>
      <c r="B821" s="36"/>
    </row>
    <row r="822" spans="1:2" ht="14" customHeight="1" x14ac:dyDescent="0.3">
      <c r="A822" s="19"/>
      <c r="B822" s="36"/>
    </row>
    <row r="823" spans="1:2" ht="14" customHeight="1" x14ac:dyDescent="0.3">
      <c r="A823" s="19"/>
      <c r="B823" s="36"/>
    </row>
    <row r="824" spans="1:2" ht="14" customHeight="1" x14ac:dyDescent="0.3">
      <c r="A824" s="19"/>
      <c r="B824" s="36"/>
    </row>
    <row r="825" spans="1:2" ht="14" customHeight="1" x14ac:dyDescent="0.3">
      <c r="A825" s="19"/>
      <c r="B825" s="36"/>
    </row>
    <row r="826" spans="1:2" ht="14" customHeight="1" x14ac:dyDescent="0.3">
      <c r="A826" s="19"/>
      <c r="B826" s="36"/>
    </row>
    <row r="827" spans="1:2" ht="14" customHeight="1" x14ac:dyDescent="0.3">
      <c r="A827" s="19"/>
      <c r="B827" s="36"/>
    </row>
    <row r="828" spans="1:2" ht="14" customHeight="1" x14ac:dyDescent="0.3">
      <c r="A828" s="19"/>
      <c r="B828" s="36"/>
    </row>
    <row r="829" spans="1:2" ht="14" customHeight="1" x14ac:dyDescent="0.3">
      <c r="A829" s="19"/>
      <c r="B829" s="36"/>
    </row>
    <row r="830" spans="1:2" ht="14" customHeight="1" x14ac:dyDescent="0.3">
      <c r="A830" s="19"/>
      <c r="B830" s="36"/>
    </row>
    <row r="831" spans="1:2" ht="14" customHeight="1" x14ac:dyDescent="0.3">
      <c r="A831" s="19"/>
      <c r="B831" s="36"/>
    </row>
    <row r="832" spans="1:2" ht="14" customHeight="1" x14ac:dyDescent="0.3">
      <c r="A832" s="19"/>
      <c r="B832" s="36"/>
    </row>
    <row r="833" spans="1:2" ht="14" customHeight="1" x14ac:dyDescent="0.3">
      <c r="A833" s="19"/>
      <c r="B833" s="36"/>
    </row>
    <row r="834" spans="1:2" ht="14" customHeight="1" x14ac:dyDescent="0.3">
      <c r="A834" s="19"/>
      <c r="B834" s="36"/>
    </row>
    <row r="835" spans="1:2" ht="14" customHeight="1" x14ac:dyDescent="0.3">
      <c r="A835" s="19"/>
      <c r="B835" s="36"/>
    </row>
    <row r="836" spans="1:2" ht="14" customHeight="1" x14ac:dyDescent="0.3">
      <c r="A836" s="19"/>
      <c r="B836" s="36"/>
    </row>
    <row r="837" spans="1:2" ht="14" customHeight="1" x14ac:dyDescent="0.3">
      <c r="A837" s="19"/>
      <c r="B837" s="36"/>
    </row>
    <row r="838" spans="1:2" ht="14" customHeight="1" x14ac:dyDescent="0.3">
      <c r="A838" s="19"/>
      <c r="B838" s="36"/>
    </row>
    <row r="839" spans="1:2" ht="14" customHeight="1" x14ac:dyDescent="0.3">
      <c r="A839" s="19"/>
      <c r="B839" s="36"/>
    </row>
    <row r="840" spans="1:2" ht="14" customHeight="1" x14ac:dyDescent="0.3">
      <c r="A840" s="19"/>
      <c r="B840" s="36"/>
    </row>
    <row r="841" spans="1:2" ht="14" customHeight="1" x14ac:dyDescent="0.3">
      <c r="A841" s="19"/>
      <c r="B841" s="36"/>
    </row>
    <row r="842" spans="1:2" ht="14" customHeight="1" x14ac:dyDescent="0.3">
      <c r="A842" s="19"/>
      <c r="B842" s="36"/>
    </row>
    <row r="843" spans="1:2" ht="14" customHeight="1" x14ac:dyDescent="0.3">
      <c r="A843" s="19"/>
      <c r="B843" s="36"/>
    </row>
    <row r="844" spans="1:2" ht="14" customHeight="1" x14ac:dyDescent="0.3">
      <c r="A844" s="19"/>
      <c r="B844" s="36"/>
    </row>
    <row r="845" spans="1:2" ht="14" customHeight="1" x14ac:dyDescent="0.3">
      <c r="A845" s="19"/>
      <c r="B845" s="36"/>
    </row>
    <row r="846" spans="1:2" ht="14" customHeight="1" x14ac:dyDescent="0.3">
      <c r="A846" s="19"/>
      <c r="B846" s="36"/>
    </row>
    <row r="847" spans="1:2" ht="14" customHeight="1" x14ac:dyDescent="0.3">
      <c r="A847" s="19"/>
      <c r="B847" s="36"/>
    </row>
    <row r="848" spans="1:2" ht="14" customHeight="1" x14ac:dyDescent="0.3">
      <c r="A848" s="19"/>
      <c r="B848" s="36"/>
    </row>
    <row r="849" spans="1:2" ht="14" customHeight="1" x14ac:dyDescent="0.3">
      <c r="A849" s="19"/>
      <c r="B849" s="36"/>
    </row>
    <row r="850" spans="1:2" ht="14" customHeight="1" x14ac:dyDescent="0.3">
      <c r="A850" s="19"/>
      <c r="B850" s="36"/>
    </row>
    <row r="851" spans="1:2" ht="14" customHeight="1" x14ac:dyDescent="0.3">
      <c r="A851" s="19"/>
      <c r="B851" s="36"/>
    </row>
    <row r="852" spans="1:2" ht="14" customHeight="1" x14ac:dyDescent="0.3">
      <c r="A852" s="19"/>
      <c r="B852" s="36"/>
    </row>
    <row r="853" spans="1:2" ht="14" customHeight="1" x14ac:dyDescent="0.3">
      <c r="A853" s="19"/>
      <c r="B853" s="36"/>
    </row>
    <row r="854" spans="1:2" ht="14" customHeight="1" x14ac:dyDescent="0.3">
      <c r="A854" s="19"/>
      <c r="B854" s="36"/>
    </row>
    <row r="855" spans="1:2" ht="14" customHeight="1" x14ac:dyDescent="0.3">
      <c r="A855" s="19"/>
      <c r="B855" s="36"/>
    </row>
    <row r="856" spans="1:2" ht="14" customHeight="1" x14ac:dyDescent="0.3">
      <c r="A856" s="19"/>
      <c r="B856" s="36"/>
    </row>
    <row r="857" spans="1:2" ht="14" customHeight="1" x14ac:dyDescent="0.3">
      <c r="A857" s="19"/>
      <c r="B857" s="36"/>
    </row>
    <row r="858" spans="1:2" ht="14" customHeight="1" x14ac:dyDescent="0.3">
      <c r="A858" s="19"/>
      <c r="B858" s="36"/>
    </row>
    <row r="859" spans="1:2" ht="14" customHeight="1" x14ac:dyDescent="0.3">
      <c r="A859" s="19"/>
      <c r="B859" s="36"/>
    </row>
    <row r="860" spans="1:2" ht="14" customHeight="1" x14ac:dyDescent="0.3">
      <c r="A860" s="19"/>
      <c r="B860" s="36"/>
    </row>
    <row r="861" spans="1:2" ht="14" customHeight="1" x14ac:dyDescent="0.3">
      <c r="A861" s="19"/>
      <c r="B861" s="36"/>
    </row>
    <row r="862" spans="1:2" ht="14" customHeight="1" x14ac:dyDescent="0.3">
      <c r="A862" s="19"/>
      <c r="B862" s="36"/>
    </row>
    <row r="863" spans="1:2" ht="14" customHeight="1" x14ac:dyDescent="0.3">
      <c r="A863" s="19"/>
      <c r="B863" s="36"/>
    </row>
    <row r="864" spans="1:2" ht="14" customHeight="1" x14ac:dyDescent="0.3">
      <c r="A864" s="19"/>
      <c r="B864" s="36"/>
    </row>
    <row r="865" spans="1:2" ht="14" customHeight="1" x14ac:dyDescent="0.3">
      <c r="A865" s="19"/>
      <c r="B865" s="36"/>
    </row>
    <row r="866" spans="1:2" ht="14" customHeight="1" x14ac:dyDescent="0.3">
      <c r="A866" s="19"/>
      <c r="B866" s="36"/>
    </row>
    <row r="867" spans="1:2" ht="14" customHeight="1" x14ac:dyDescent="0.3">
      <c r="A867" s="19"/>
      <c r="B867" s="36"/>
    </row>
    <row r="868" spans="1:2" ht="14" customHeight="1" x14ac:dyDescent="0.3">
      <c r="A868" s="19"/>
      <c r="B868" s="36"/>
    </row>
    <row r="869" spans="1:2" ht="14" customHeight="1" x14ac:dyDescent="0.3">
      <c r="A869" s="19"/>
      <c r="B869" s="36"/>
    </row>
    <row r="870" spans="1:2" ht="14" customHeight="1" x14ac:dyDescent="0.3">
      <c r="A870" s="19"/>
      <c r="B870" s="36"/>
    </row>
    <row r="871" spans="1:2" ht="14" customHeight="1" x14ac:dyDescent="0.3">
      <c r="A871" s="19"/>
      <c r="B871" s="36"/>
    </row>
    <row r="872" spans="1:2" ht="14" customHeight="1" x14ac:dyDescent="0.3">
      <c r="A872" s="19"/>
      <c r="B872" s="36"/>
    </row>
    <row r="873" spans="1:2" ht="14" customHeight="1" x14ac:dyDescent="0.3">
      <c r="A873" s="19"/>
      <c r="B873" s="36"/>
    </row>
    <row r="874" spans="1:2" ht="14" customHeight="1" x14ac:dyDescent="0.3">
      <c r="A874" s="19"/>
      <c r="B874" s="36"/>
    </row>
    <row r="875" spans="1:2" ht="14" customHeight="1" x14ac:dyDescent="0.3">
      <c r="A875" s="19"/>
      <c r="B875" s="36"/>
    </row>
    <row r="876" spans="1:2" ht="14" customHeight="1" x14ac:dyDescent="0.3">
      <c r="A876" s="19"/>
      <c r="B876" s="36"/>
    </row>
    <row r="877" spans="1:2" ht="14" customHeight="1" x14ac:dyDescent="0.3">
      <c r="A877" s="19"/>
      <c r="B877" s="36"/>
    </row>
    <row r="878" spans="1:2" ht="14" customHeight="1" x14ac:dyDescent="0.3">
      <c r="A878" s="19"/>
      <c r="B878" s="36"/>
    </row>
    <row r="879" spans="1:2" ht="14" customHeight="1" x14ac:dyDescent="0.3">
      <c r="A879" s="19"/>
      <c r="B879" s="36"/>
    </row>
    <row r="880" spans="1:2" ht="14" customHeight="1" x14ac:dyDescent="0.3">
      <c r="A880" s="19"/>
      <c r="B880" s="36"/>
    </row>
    <row r="881" spans="1:2" ht="14" customHeight="1" x14ac:dyDescent="0.3">
      <c r="A881" s="19"/>
      <c r="B881" s="36"/>
    </row>
    <row r="882" spans="1:2" ht="14" customHeight="1" x14ac:dyDescent="0.3">
      <c r="A882" s="19"/>
      <c r="B882" s="36"/>
    </row>
    <row r="883" spans="1:2" ht="14" customHeight="1" x14ac:dyDescent="0.3">
      <c r="A883" s="19"/>
      <c r="B883" s="36"/>
    </row>
    <row r="884" spans="1:2" ht="14" customHeight="1" x14ac:dyDescent="0.3">
      <c r="A884" s="19"/>
      <c r="B884" s="36"/>
    </row>
    <row r="885" spans="1:2" ht="14" customHeight="1" x14ac:dyDescent="0.3">
      <c r="A885" s="19"/>
      <c r="B885" s="36"/>
    </row>
    <row r="886" spans="1:2" ht="14" customHeight="1" x14ac:dyDescent="0.3">
      <c r="A886" s="19"/>
      <c r="B886" s="36"/>
    </row>
    <row r="887" spans="1:2" ht="14" customHeight="1" x14ac:dyDescent="0.3">
      <c r="A887" s="19"/>
      <c r="B887" s="36"/>
    </row>
    <row r="888" spans="1:2" ht="14" customHeight="1" x14ac:dyDescent="0.3">
      <c r="A888" s="19"/>
      <c r="B888" s="36"/>
    </row>
    <row r="889" spans="1:2" ht="14" customHeight="1" x14ac:dyDescent="0.3">
      <c r="A889" s="19"/>
      <c r="B889" s="36"/>
    </row>
    <row r="890" spans="1:2" ht="14" customHeight="1" x14ac:dyDescent="0.3">
      <c r="A890" s="19"/>
      <c r="B890" s="36"/>
    </row>
    <row r="891" spans="1:2" ht="14" customHeight="1" x14ac:dyDescent="0.3">
      <c r="A891" s="19"/>
      <c r="B891" s="36"/>
    </row>
    <row r="892" spans="1:2" ht="14" customHeight="1" x14ac:dyDescent="0.3">
      <c r="A892" s="19"/>
      <c r="B892" s="36"/>
    </row>
    <row r="893" spans="1:2" ht="14" customHeight="1" x14ac:dyDescent="0.3">
      <c r="A893" s="19"/>
      <c r="B893" s="36"/>
    </row>
    <row r="894" spans="1:2" ht="14" customHeight="1" x14ac:dyDescent="0.3">
      <c r="A894" s="19"/>
      <c r="B894" s="36"/>
    </row>
    <row r="895" spans="1:2" ht="14" customHeight="1" x14ac:dyDescent="0.3">
      <c r="A895" s="19"/>
      <c r="B895" s="36"/>
    </row>
    <row r="896" spans="1:2" ht="14" customHeight="1" x14ac:dyDescent="0.3">
      <c r="A896" s="19"/>
      <c r="B896" s="36"/>
    </row>
    <row r="897" spans="1:2" ht="14" customHeight="1" x14ac:dyDescent="0.3">
      <c r="A897" s="19"/>
      <c r="B897" s="36"/>
    </row>
    <row r="898" spans="1:2" ht="14" customHeight="1" x14ac:dyDescent="0.3">
      <c r="A898" s="19"/>
      <c r="B898" s="36"/>
    </row>
    <row r="899" spans="1:2" ht="14" customHeight="1" x14ac:dyDescent="0.3">
      <c r="A899" s="19"/>
      <c r="B899" s="36"/>
    </row>
    <row r="900" spans="1:2" ht="14" customHeight="1" x14ac:dyDescent="0.3">
      <c r="A900" s="19"/>
      <c r="B900" s="36"/>
    </row>
    <row r="901" spans="1:2" ht="14" customHeight="1" x14ac:dyDescent="0.3">
      <c r="A901" s="19"/>
      <c r="B901" s="36"/>
    </row>
    <row r="902" spans="1:2" ht="14" customHeight="1" x14ac:dyDescent="0.3">
      <c r="A902" s="19"/>
      <c r="B902" s="36"/>
    </row>
    <row r="903" spans="1:2" ht="14" customHeight="1" x14ac:dyDescent="0.3">
      <c r="A903" s="19"/>
      <c r="B903" s="36"/>
    </row>
    <row r="904" spans="1:2" ht="14" customHeight="1" x14ac:dyDescent="0.3">
      <c r="A904" s="19"/>
      <c r="B904" s="36"/>
    </row>
    <row r="905" spans="1:2" ht="14" customHeight="1" x14ac:dyDescent="0.3">
      <c r="A905" s="19"/>
      <c r="B905" s="36"/>
    </row>
    <row r="906" spans="1:2" ht="14" customHeight="1" x14ac:dyDescent="0.3">
      <c r="A906" s="19"/>
      <c r="B906" s="36"/>
    </row>
    <row r="907" spans="1:2" ht="14" customHeight="1" x14ac:dyDescent="0.3">
      <c r="A907" s="19"/>
      <c r="B907" s="36"/>
    </row>
    <row r="908" spans="1:2" ht="14" customHeight="1" x14ac:dyDescent="0.3">
      <c r="A908" s="19"/>
      <c r="B908" s="36"/>
    </row>
    <row r="909" spans="1:2" ht="14" customHeight="1" x14ac:dyDescent="0.3">
      <c r="A909" s="19"/>
      <c r="B909" s="36"/>
    </row>
    <row r="910" spans="1:2" ht="14" customHeight="1" x14ac:dyDescent="0.3">
      <c r="A910" s="19"/>
      <c r="B910" s="36"/>
    </row>
    <row r="911" spans="1:2" ht="14" customHeight="1" x14ac:dyDescent="0.3">
      <c r="A911" s="19"/>
      <c r="B911" s="36"/>
    </row>
    <row r="912" spans="1:2" ht="14" customHeight="1" x14ac:dyDescent="0.3">
      <c r="A912" s="19"/>
      <c r="B912" s="36"/>
    </row>
    <row r="913" spans="1:2" ht="14" customHeight="1" x14ac:dyDescent="0.3">
      <c r="A913" s="19"/>
      <c r="B913" s="36"/>
    </row>
    <row r="914" spans="1:2" ht="14" customHeight="1" x14ac:dyDescent="0.3">
      <c r="A914" s="19"/>
      <c r="B914" s="36"/>
    </row>
    <row r="915" spans="1:2" ht="14" customHeight="1" x14ac:dyDescent="0.3">
      <c r="A915" s="19"/>
      <c r="B915" s="36"/>
    </row>
    <row r="916" spans="1:2" ht="14" customHeight="1" x14ac:dyDescent="0.3">
      <c r="A916" s="19"/>
      <c r="B916" s="36"/>
    </row>
    <row r="917" spans="1:2" ht="14" customHeight="1" x14ac:dyDescent="0.3">
      <c r="A917" s="19"/>
      <c r="B917" s="36"/>
    </row>
    <row r="918" spans="1:2" ht="14" customHeight="1" x14ac:dyDescent="0.3">
      <c r="A918" s="19"/>
      <c r="B918" s="36"/>
    </row>
    <row r="919" spans="1:2" ht="14" customHeight="1" x14ac:dyDescent="0.3">
      <c r="A919" s="19"/>
      <c r="B919" s="36"/>
    </row>
    <row r="920" spans="1:2" ht="14" customHeight="1" x14ac:dyDescent="0.3">
      <c r="A920" s="19"/>
      <c r="B920" s="36"/>
    </row>
    <row r="921" spans="1:2" ht="14" customHeight="1" x14ac:dyDescent="0.3">
      <c r="A921" s="19"/>
      <c r="B921" s="36"/>
    </row>
    <row r="922" spans="1:2" ht="14" customHeight="1" x14ac:dyDescent="0.3">
      <c r="A922" s="19"/>
      <c r="B922" s="36"/>
    </row>
    <row r="923" spans="1:2" ht="14" customHeight="1" x14ac:dyDescent="0.3">
      <c r="A923" s="19"/>
      <c r="B923" s="36"/>
    </row>
    <row r="924" spans="1:2" ht="14" customHeight="1" x14ac:dyDescent="0.3">
      <c r="A924" s="19"/>
      <c r="B924" s="36"/>
    </row>
    <row r="925" spans="1:2" ht="14" customHeight="1" x14ac:dyDescent="0.3">
      <c r="A925" s="19"/>
      <c r="B925" s="36"/>
    </row>
    <row r="926" spans="1:2" ht="14" customHeight="1" x14ac:dyDescent="0.3">
      <c r="A926" s="19"/>
      <c r="B926" s="36"/>
    </row>
    <row r="927" spans="1:2" ht="14" customHeight="1" x14ac:dyDescent="0.3">
      <c r="A927" s="19"/>
      <c r="B927" s="36"/>
    </row>
    <row r="928" spans="1:2" ht="14" customHeight="1" x14ac:dyDescent="0.3">
      <c r="A928" s="19"/>
      <c r="B928" s="36"/>
    </row>
    <row r="929" spans="1:2" ht="14" customHeight="1" x14ac:dyDescent="0.3">
      <c r="A929" s="19"/>
      <c r="B929" s="36"/>
    </row>
    <row r="930" spans="1:2" ht="14" customHeight="1" x14ac:dyDescent="0.3">
      <c r="A930" s="19"/>
      <c r="B930" s="36"/>
    </row>
    <row r="931" spans="1:2" ht="14" customHeight="1" x14ac:dyDescent="0.3">
      <c r="A931" s="19"/>
      <c r="B931" s="36"/>
    </row>
    <row r="932" spans="1:2" ht="14" customHeight="1" x14ac:dyDescent="0.3">
      <c r="A932" s="19"/>
      <c r="B932" s="36"/>
    </row>
    <row r="933" spans="1:2" ht="14" customHeight="1" x14ac:dyDescent="0.3">
      <c r="A933" s="19"/>
      <c r="B933" s="36"/>
    </row>
    <row r="934" spans="1:2" ht="14" customHeight="1" x14ac:dyDescent="0.3">
      <c r="A934" s="19"/>
      <c r="B934" s="36"/>
    </row>
    <row r="935" spans="1:2" ht="14" customHeight="1" x14ac:dyDescent="0.3">
      <c r="A935" s="19"/>
      <c r="B935" s="36"/>
    </row>
    <row r="936" spans="1:2" ht="14" customHeight="1" x14ac:dyDescent="0.3">
      <c r="A936" s="19"/>
      <c r="B936" s="36"/>
    </row>
    <row r="937" spans="1:2" ht="14" customHeight="1" x14ac:dyDescent="0.3">
      <c r="A937" s="19"/>
      <c r="B937" s="36"/>
    </row>
    <row r="938" spans="1:2" ht="14" customHeight="1" x14ac:dyDescent="0.3">
      <c r="A938" s="19"/>
      <c r="B938" s="36"/>
    </row>
    <row r="939" spans="1:2" ht="14" customHeight="1" x14ac:dyDescent="0.3">
      <c r="A939" s="19"/>
      <c r="B939" s="36"/>
    </row>
    <row r="940" spans="1:2" ht="14" customHeight="1" x14ac:dyDescent="0.3">
      <c r="A940" s="19"/>
      <c r="B940" s="36"/>
    </row>
    <row r="941" spans="1:2" ht="14" customHeight="1" x14ac:dyDescent="0.3">
      <c r="A941" s="19"/>
      <c r="B941" s="36"/>
    </row>
    <row r="942" spans="1:2" ht="14" customHeight="1" x14ac:dyDescent="0.3">
      <c r="A942" s="19"/>
      <c r="B942" s="36"/>
    </row>
    <row r="943" spans="1:2" ht="14" customHeight="1" x14ac:dyDescent="0.3">
      <c r="A943" s="19"/>
      <c r="B943" s="36"/>
    </row>
    <row r="944" spans="1:2" ht="14" customHeight="1" x14ac:dyDescent="0.3">
      <c r="A944" s="19"/>
      <c r="B944" s="36"/>
    </row>
    <row r="945" spans="1:2" ht="14" customHeight="1" x14ac:dyDescent="0.3">
      <c r="A945" s="19"/>
      <c r="B945" s="36"/>
    </row>
    <row r="946" spans="1:2" ht="14" customHeight="1" x14ac:dyDescent="0.3">
      <c r="A946" s="19"/>
      <c r="B946" s="36"/>
    </row>
    <row r="947" spans="1:2" ht="14" customHeight="1" x14ac:dyDescent="0.3">
      <c r="A947" s="19"/>
      <c r="B947" s="36"/>
    </row>
    <row r="948" spans="1:2" ht="14" customHeight="1" x14ac:dyDescent="0.3">
      <c r="A948" s="19"/>
      <c r="B948" s="36"/>
    </row>
    <row r="949" spans="1:2" ht="14" customHeight="1" x14ac:dyDescent="0.3">
      <c r="A949" s="19"/>
      <c r="B949" s="36"/>
    </row>
    <row r="950" spans="1:2" ht="14" customHeight="1" x14ac:dyDescent="0.3">
      <c r="A950" s="19"/>
      <c r="B950" s="36"/>
    </row>
    <row r="951" spans="1:2" ht="14" customHeight="1" x14ac:dyDescent="0.3">
      <c r="A951" s="19"/>
      <c r="B951" s="36"/>
    </row>
    <row r="952" spans="1:2" ht="14" customHeight="1" x14ac:dyDescent="0.3">
      <c r="A952" s="19"/>
      <c r="B952" s="36"/>
    </row>
    <row r="953" spans="1:2" ht="14" customHeight="1" x14ac:dyDescent="0.3">
      <c r="A953" s="19"/>
      <c r="B953" s="36"/>
    </row>
    <row r="954" spans="1:2" ht="14" customHeight="1" x14ac:dyDescent="0.3">
      <c r="A954" s="19"/>
      <c r="B954" s="36"/>
    </row>
    <row r="955" spans="1:2" ht="14" customHeight="1" x14ac:dyDescent="0.3">
      <c r="A955" s="19"/>
      <c r="B955" s="36"/>
    </row>
    <row r="956" spans="1:2" ht="14" customHeight="1" x14ac:dyDescent="0.3">
      <c r="A956" s="19"/>
      <c r="B956" s="36"/>
    </row>
    <row r="957" spans="1:2" ht="14" customHeight="1" x14ac:dyDescent="0.3">
      <c r="A957" s="19"/>
      <c r="B957" s="36"/>
    </row>
    <row r="958" spans="1:2" ht="14" customHeight="1" x14ac:dyDescent="0.3">
      <c r="A958" s="19"/>
      <c r="B958" s="36"/>
    </row>
    <row r="959" spans="1:2" ht="14" customHeight="1" x14ac:dyDescent="0.3">
      <c r="A959" s="19"/>
      <c r="B959" s="36"/>
    </row>
    <row r="960" spans="1:2" ht="14" customHeight="1" x14ac:dyDescent="0.3">
      <c r="A960" s="19"/>
      <c r="B960" s="36"/>
    </row>
    <row r="961" spans="1:2" ht="14" customHeight="1" x14ac:dyDescent="0.3">
      <c r="A961" s="19"/>
      <c r="B961" s="36"/>
    </row>
    <row r="962" spans="1:2" ht="14" customHeight="1" x14ac:dyDescent="0.3">
      <c r="A962" s="19"/>
      <c r="B962" s="36"/>
    </row>
    <row r="963" spans="1:2" ht="14" customHeight="1" x14ac:dyDescent="0.3">
      <c r="A963" s="19"/>
      <c r="B963" s="36"/>
    </row>
    <row r="964" spans="1:2" ht="14" customHeight="1" x14ac:dyDescent="0.3">
      <c r="A964" s="19"/>
      <c r="B964" s="36"/>
    </row>
    <row r="965" spans="1:2" ht="14" customHeight="1" x14ac:dyDescent="0.3">
      <c r="A965" s="19"/>
      <c r="B965" s="36"/>
    </row>
    <row r="966" spans="1:2" ht="14" customHeight="1" x14ac:dyDescent="0.3">
      <c r="A966" s="19"/>
      <c r="B966" s="36"/>
    </row>
    <row r="967" spans="1:2" ht="14" customHeight="1" x14ac:dyDescent="0.3">
      <c r="A967" s="19"/>
      <c r="B967" s="36"/>
    </row>
    <row r="968" spans="1:2" ht="14" customHeight="1" x14ac:dyDescent="0.3">
      <c r="A968" s="19"/>
      <c r="B968" s="36"/>
    </row>
    <row r="969" spans="1:2" ht="14" customHeight="1" x14ac:dyDescent="0.3">
      <c r="A969" s="19"/>
      <c r="B969" s="36"/>
    </row>
    <row r="970" spans="1:2" ht="14" customHeight="1" x14ac:dyDescent="0.3">
      <c r="A970" s="19"/>
      <c r="B970" s="36"/>
    </row>
    <row r="971" spans="1:2" ht="14" customHeight="1" x14ac:dyDescent="0.3">
      <c r="A971" s="19"/>
      <c r="B971" s="36"/>
    </row>
    <row r="972" spans="1:2" ht="14" customHeight="1" x14ac:dyDescent="0.3">
      <c r="A972" s="19"/>
      <c r="B972" s="36"/>
    </row>
    <row r="973" spans="1:2" ht="14" customHeight="1" x14ac:dyDescent="0.3">
      <c r="A973" s="19"/>
      <c r="B973" s="36"/>
    </row>
    <row r="974" spans="1:2" ht="14" customHeight="1" x14ac:dyDescent="0.3">
      <c r="A974" s="19"/>
      <c r="B974" s="36"/>
    </row>
    <row r="975" spans="1:2" ht="14" customHeight="1" x14ac:dyDescent="0.3">
      <c r="A975" s="19"/>
      <c r="B975" s="36"/>
    </row>
    <row r="976" spans="1:2" ht="14" customHeight="1" x14ac:dyDescent="0.3">
      <c r="A976" s="19"/>
      <c r="B976" s="36"/>
    </row>
    <row r="977" spans="1:2" ht="14" customHeight="1" x14ac:dyDescent="0.3">
      <c r="A977" s="19"/>
      <c r="B977" s="36"/>
    </row>
    <row r="978" spans="1:2" ht="14" customHeight="1" x14ac:dyDescent="0.3">
      <c r="A978" s="19"/>
      <c r="B978" s="36"/>
    </row>
    <row r="979" spans="1:2" ht="14" customHeight="1" x14ac:dyDescent="0.3">
      <c r="A979" s="19"/>
      <c r="B979" s="36"/>
    </row>
    <row r="980" spans="1:2" ht="14" customHeight="1" x14ac:dyDescent="0.3">
      <c r="A980" s="19"/>
      <c r="B980" s="36"/>
    </row>
    <row r="981" spans="1:2" ht="14" customHeight="1" x14ac:dyDescent="0.3">
      <c r="A981" s="19"/>
      <c r="B981" s="36"/>
    </row>
    <row r="982" spans="1:2" ht="14" customHeight="1" x14ac:dyDescent="0.3">
      <c r="A982" s="19"/>
      <c r="B982" s="36"/>
    </row>
    <row r="983" spans="1:2" ht="14" customHeight="1" x14ac:dyDescent="0.3">
      <c r="A983" s="19"/>
      <c r="B983" s="36"/>
    </row>
    <row r="984" spans="1:2" ht="14" customHeight="1" x14ac:dyDescent="0.3">
      <c r="A984" s="19"/>
      <c r="B984" s="36"/>
    </row>
    <row r="985" spans="1:2" ht="14" customHeight="1" x14ac:dyDescent="0.3">
      <c r="A985" s="19"/>
      <c r="B985" s="36"/>
    </row>
    <row r="986" spans="1:2" ht="14" customHeight="1" x14ac:dyDescent="0.3">
      <c r="A986" s="19"/>
      <c r="B986" s="36"/>
    </row>
    <row r="987" spans="1:2" ht="14" customHeight="1" x14ac:dyDescent="0.3">
      <c r="A987" s="19"/>
      <c r="B987" s="36"/>
    </row>
    <row r="988" spans="1:2" ht="14" customHeight="1" x14ac:dyDescent="0.3">
      <c r="A988" s="19"/>
      <c r="B988" s="36"/>
    </row>
    <row r="989" spans="1:2" ht="14" customHeight="1" x14ac:dyDescent="0.3">
      <c r="A989" s="19"/>
      <c r="B989" s="36"/>
    </row>
    <row r="990" spans="1:2" ht="14" customHeight="1" x14ac:dyDescent="0.3">
      <c r="A990" s="19"/>
      <c r="B990" s="36"/>
    </row>
    <row r="991" spans="1:2" ht="14" customHeight="1" x14ac:dyDescent="0.3">
      <c r="A991" s="19"/>
      <c r="B991" s="36"/>
    </row>
    <row r="992" spans="1:2" ht="14" customHeight="1" x14ac:dyDescent="0.3">
      <c r="A992" s="19"/>
      <c r="B992" s="36"/>
    </row>
    <row r="993" spans="1:2" ht="14" customHeight="1" x14ac:dyDescent="0.3">
      <c r="A993" s="19"/>
      <c r="B993" s="36"/>
    </row>
    <row r="994" spans="1:2" ht="14" customHeight="1" x14ac:dyDescent="0.3">
      <c r="A994" s="19"/>
      <c r="B994" s="36"/>
    </row>
    <row r="995" spans="1:2" ht="14" customHeight="1" x14ac:dyDescent="0.3">
      <c r="A995" s="19"/>
      <c r="B995" s="36"/>
    </row>
    <row r="996" spans="1:2" ht="14" customHeight="1" x14ac:dyDescent="0.3">
      <c r="A996" s="19"/>
      <c r="B996" s="36"/>
    </row>
    <row r="997" spans="1:2" ht="14" customHeight="1" x14ac:dyDescent="0.3">
      <c r="A997" s="19"/>
      <c r="B997" s="36"/>
    </row>
    <row r="998" spans="1:2" ht="14" customHeight="1" x14ac:dyDescent="0.3">
      <c r="A998" s="19"/>
      <c r="B998" s="36"/>
    </row>
    <row r="999" spans="1:2" ht="14" customHeight="1" x14ac:dyDescent="0.3">
      <c r="A999" s="19"/>
      <c r="B999" s="36"/>
    </row>
    <row r="1000" spans="1:2" ht="14" customHeight="1" x14ac:dyDescent="0.3">
      <c r="A1000" s="19"/>
      <c r="B1000" s="36"/>
    </row>
    <row r="1001" spans="1:2" ht="14" customHeight="1" x14ac:dyDescent="0.3">
      <c r="A1001" s="19"/>
      <c r="B1001" s="36"/>
    </row>
    <row r="1002" spans="1:2" ht="14" customHeight="1" x14ac:dyDescent="0.3">
      <c r="A1002" s="19"/>
      <c r="B1002" s="36"/>
    </row>
    <row r="1003" spans="1:2" ht="14" customHeight="1" x14ac:dyDescent="0.3">
      <c r="A1003" s="19"/>
      <c r="B1003" s="36"/>
    </row>
    <row r="1004" spans="1:2" ht="14" customHeight="1" x14ac:dyDescent="0.3">
      <c r="A1004" s="19"/>
      <c r="B1004" s="36"/>
    </row>
    <row r="1005" spans="1:2" ht="14" customHeight="1" x14ac:dyDescent="0.3">
      <c r="A1005" s="19"/>
      <c r="B1005" s="36"/>
    </row>
    <row r="1006" spans="1:2" ht="14" customHeight="1" x14ac:dyDescent="0.3">
      <c r="A1006" s="19"/>
      <c r="B1006" s="36"/>
    </row>
    <row r="1007" spans="1:2" ht="14" customHeight="1" x14ac:dyDescent="0.3">
      <c r="A1007" s="19"/>
      <c r="B1007" s="36"/>
    </row>
    <row r="1008" spans="1:2" ht="14" customHeight="1" x14ac:dyDescent="0.3">
      <c r="A1008" s="19"/>
      <c r="B1008" s="36"/>
    </row>
    <row r="1009" spans="1:2" ht="14" customHeight="1" x14ac:dyDescent="0.3">
      <c r="A1009" s="19"/>
      <c r="B1009" s="36"/>
    </row>
    <row r="1010" spans="1:2" ht="14" customHeight="1" x14ac:dyDescent="0.3">
      <c r="A1010" s="19"/>
      <c r="B1010" s="36"/>
    </row>
    <row r="1011" spans="1:2" ht="14" customHeight="1" x14ac:dyDescent="0.3">
      <c r="A1011" s="19"/>
      <c r="B1011" s="36"/>
    </row>
    <row r="1012" spans="1:2" ht="14" customHeight="1" x14ac:dyDescent="0.3">
      <c r="A1012" s="19"/>
      <c r="B1012" s="36"/>
    </row>
    <row r="1013" spans="1:2" ht="14" customHeight="1" x14ac:dyDescent="0.3">
      <c r="A1013" s="19"/>
      <c r="B1013" s="36"/>
    </row>
    <row r="1014" spans="1:2" ht="14" customHeight="1" x14ac:dyDescent="0.3">
      <c r="A1014" s="19"/>
      <c r="B1014" s="36"/>
    </row>
    <row r="1015" spans="1:2" ht="14" customHeight="1" x14ac:dyDescent="0.3">
      <c r="A1015" s="19"/>
      <c r="B1015" s="36"/>
    </row>
    <row r="1016" spans="1:2" ht="14" customHeight="1" x14ac:dyDescent="0.3">
      <c r="A1016" s="19"/>
      <c r="B1016" s="36"/>
    </row>
    <row r="1017" spans="1:2" ht="14" customHeight="1" x14ac:dyDescent="0.3">
      <c r="A1017" s="19"/>
      <c r="B1017" s="36"/>
    </row>
    <row r="1018" spans="1:2" ht="14" customHeight="1" x14ac:dyDescent="0.3">
      <c r="A1018" s="19"/>
      <c r="B1018" s="36"/>
    </row>
    <row r="1019" spans="1:2" ht="14" customHeight="1" x14ac:dyDescent="0.3">
      <c r="A1019" s="19"/>
      <c r="B1019" s="36"/>
    </row>
    <row r="1020" spans="1:2" ht="14" customHeight="1" x14ac:dyDescent="0.3">
      <c r="A1020" s="19"/>
      <c r="B1020" s="36"/>
    </row>
    <row r="1021" spans="1:2" ht="14" customHeight="1" x14ac:dyDescent="0.3">
      <c r="A1021" s="19"/>
      <c r="B1021" s="36"/>
    </row>
    <row r="1022" spans="1:2" ht="14" customHeight="1" x14ac:dyDescent="0.3">
      <c r="A1022" s="19"/>
      <c r="B1022" s="36"/>
    </row>
    <row r="1023" spans="1:2" ht="14" customHeight="1" x14ac:dyDescent="0.3">
      <c r="A1023" s="19"/>
      <c r="B1023" s="36"/>
    </row>
    <row r="1024" spans="1:2" ht="14" customHeight="1" x14ac:dyDescent="0.3">
      <c r="A1024" s="19"/>
      <c r="B1024" s="36"/>
    </row>
    <row r="1025" spans="1:2" ht="14" customHeight="1" x14ac:dyDescent="0.3">
      <c r="A1025" s="19"/>
      <c r="B1025" s="36"/>
    </row>
    <row r="1026" spans="1:2" ht="14" customHeight="1" x14ac:dyDescent="0.3">
      <c r="A1026" s="19"/>
      <c r="B1026" s="36"/>
    </row>
    <row r="1027" spans="1:2" ht="14" customHeight="1" x14ac:dyDescent="0.3">
      <c r="A1027" s="19"/>
      <c r="B1027" s="36"/>
    </row>
    <row r="1028" spans="1:2" ht="14" customHeight="1" x14ac:dyDescent="0.3">
      <c r="A1028" s="19"/>
      <c r="B1028" s="36"/>
    </row>
    <row r="1029" spans="1:2" ht="14" customHeight="1" x14ac:dyDescent="0.3">
      <c r="A1029" s="19"/>
      <c r="B1029" s="36"/>
    </row>
    <row r="1030" spans="1:2" ht="14" customHeight="1" x14ac:dyDescent="0.3">
      <c r="A1030" s="19"/>
      <c r="B1030" s="36"/>
    </row>
    <row r="1031" spans="1:2" ht="14" customHeight="1" x14ac:dyDescent="0.3">
      <c r="A1031" s="19"/>
      <c r="B1031" s="36"/>
    </row>
    <row r="1032" spans="1:2" ht="14" customHeight="1" x14ac:dyDescent="0.3">
      <c r="A1032" s="19"/>
      <c r="B1032" s="36"/>
    </row>
    <row r="1033" spans="1:2" ht="14" customHeight="1" x14ac:dyDescent="0.3">
      <c r="A1033" s="19"/>
      <c r="B1033" s="36"/>
    </row>
    <row r="1034" spans="1:2" ht="14" customHeight="1" x14ac:dyDescent="0.3">
      <c r="A1034" s="19"/>
      <c r="B1034" s="36"/>
    </row>
    <row r="1035" spans="1:2" ht="14" customHeight="1" x14ac:dyDescent="0.3">
      <c r="A1035" s="19"/>
      <c r="B1035" s="36"/>
    </row>
    <row r="1036" spans="1:2" ht="14" customHeight="1" x14ac:dyDescent="0.3">
      <c r="A1036" s="19"/>
      <c r="B1036" s="36"/>
    </row>
    <row r="1037" spans="1:2" ht="14" customHeight="1" x14ac:dyDescent="0.3">
      <c r="A1037" s="19"/>
      <c r="B1037" s="36"/>
    </row>
    <row r="1038" spans="1:2" ht="14" customHeight="1" x14ac:dyDescent="0.3">
      <c r="A1038" s="19"/>
      <c r="B1038" s="36"/>
    </row>
    <row r="1039" spans="1:2" ht="14" customHeight="1" x14ac:dyDescent="0.3">
      <c r="A1039" s="19"/>
      <c r="B1039" s="36"/>
    </row>
    <row r="1040" spans="1:2" ht="14" customHeight="1" x14ac:dyDescent="0.3">
      <c r="A1040" s="19"/>
      <c r="B1040" s="36"/>
    </row>
    <row r="1041" spans="1:2" ht="14" customHeight="1" x14ac:dyDescent="0.3">
      <c r="A1041" s="19"/>
      <c r="B1041" s="36"/>
    </row>
    <row r="1042" spans="1:2" ht="14" customHeight="1" x14ac:dyDescent="0.3">
      <c r="A1042" s="19"/>
      <c r="B1042" s="36"/>
    </row>
    <row r="1043" spans="1:2" ht="14" customHeight="1" x14ac:dyDescent="0.3">
      <c r="A1043" s="19"/>
      <c r="B1043" s="36"/>
    </row>
    <row r="1044" spans="1:2" ht="14" customHeight="1" x14ac:dyDescent="0.3">
      <c r="A1044" s="19"/>
      <c r="B1044" s="36"/>
    </row>
    <row r="1045" spans="1:2" ht="14" customHeight="1" x14ac:dyDescent="0.3">
      <c r="A1045" s="19"/>
      <c r="B1045" s="36"/>
    </row>
    <row r="1046" spans="1:2" ht="14" customHeight="1" x14ac:dyDescent="0.3">
      <c r="A1046" s="19"/>
      <c r="B1046" s="36"/>
    </row>
    <row r="1047" spans="1:2" ht="14" customHeight="1" x14ac:dyDescent="0.3">
      <c r="A1047" s="19"/>
      <c r="B1047" s="36"/>
    </row>
    <row r="1048" spans="1:2" ht="14" customHeight="1" x14ac:dyDescent="0.3">
      <c r="A1048" s="19"/>
      <c r="B1048" s="36"/>
    </row>
    <row r="1049" spans="1:2" ht="14" customHeight="1" x14ac:dyDescent="0.3">
      <c r="A1049" s="19"/>
      <c r="B1049" s="36"/>
    </row>
    <row r="1050" spans="1:2" ht="14" customHeight="1" x14ac:dyDescent="0.3">
      <c r="A1050" s="19"/>
      <c r="B1050" s="36"/>
    </row>
    <row r="1051" spans="1:2" ht="14" customHeight="1" x14ac:dyDescent="0.3">
      <c r="A1051" s="19"/>
      <c r="B1051" s="36"/>
    </row>
    <row r="1052" spans="1:2" ht="14" customHeight="1" x14ac:dyDescent="0.3">
      <c r="A1052" s="19"/>
      <c r="B1052" s="36"/>
    </row>
    <row r="1053" spans="1:2" ht="14" customHeight="1" x14ac:dyDescent="0.3">
      <c r="A1053" s="19"/>
      <c r="B1053" s="36"/>
    </row>
    <row r="1054" spans="1:2" ht="14" customHeight="1" x14ac:dyDescent="0.3">
      <c r="A1054" s="19"/>
      <c r="B1054" s="36"/>
    </row>
    <row r="1055" spans="1:2" ht="14" customHeight="1" x14ac:dyDescent="0.3">
      <c r="A1055" s="19"/>
      <c r="B1055" s="36"/>
    </row>
    <row r="1056" spans="1:2" ht="14" customHeight="1" x14ac:dyDescent="0.3">
      <c r="A1056" s="19"/>
      <c r="B1056" s="36"/>
    </row>
    <row r="1057" spans="1:2" ht="14" customHeight="1" x14ac:dyDescent="0.3">
      <c r="A1057" s="19"/>
      <c r="B1057" s="36"/>
    </row>
    <row r="1058" spans="1:2" ht="14" customHeight="1" x14ac:dyDescent="0.3">
      <c r="A1058" s="19"/>
      <c r="B1058" s="36"/>
    </row>
    <row r="1059" spans="1:2" ht="14" customHeight="1" x14ac:dyDescent="0.3">
      <c r="A1059" s="19"/>
      <c r="B1059" s="36"/>
    </row>
    <row r="1060" spans="1:2" ht="14" customHeight="1" x14ac:dyDescent="0.3">
      <c r="A1060" s="19"/>
      <c r="B1060" s="36"/>
    </row>
    <row r="1061" spans="1:2" ht="14" customHeight="1" x14ac:dyDescent="0.3">
      <c r="A1061" s="19"/>
      <c r="B1061" s="36"/>
    </row>
    <row r="1062" spans="1:2" ht="14" customHeight="1" x14ac:dyDescent="0.3">
      <c r="A1062" s="19"/>
      <c r="B1062" s="36"/>
    </row>
    <row r="1063" spans="1:2" ht="14" customHeight="1" x14ac:dyDescent="0.3">
      <c r="A1063" s="19"/>
      <c r="B1063" s="36"/>
    </row>
    <row r="1064" spans="1:2" ht="14" customHeight="1" x14ac:dyDescent="0.3">
      <c r="A1064" s="19"/>
      <c r="B1064" s="36"/>
    </row>
    <row r="1065" spans="1:2" ht="14" customHeight="1" x14ac:dyDescent="0.3">
      <c r="A1065" s="19"/>
      <c r="B1065" s="36"/>
    </row>
    <row r="1066" spans="1:2" ht="14" customHeight="1" x14ac:dyDescent="0.3">
      <c r="A1066" s="19"/>
      <c r="B1066" s="36"/>
    </row>
    <row r="1067" spans="1:2" ht="14" customHeight="1" x14ac:dyDescent="0.3">
      <c r="A1067" s="19"/>
      <c r="B1067" s="36"/>
    </row>
    <row r="1068" spans="1:2" ht="14" customHeight="1" x14ac:dyDescent="0.3">
      <c r="A1068" s="19"/>
      <c r="B1068" s="36"/>
    </row>
    <row r="1069" spans="1:2" ht="14" customHeight="1" x14ac:dyDescent="0.3">
      <c r="A1069" s="19"/>
      <c r="B1069" s="36"/>
    </row>
    <row r="1070" spans="1:2" ht="14" customHeight="1" x14ac:dyDescent="0.3">
      <c r="A1070" s="19"/>
      <c r="B1070" s="36"/>
    </row>
    <row r="1071" spans="1:2" ht="14" customHeight="1" x14ac:dyDescent="0.3">
      <c r="A1071" s="19"/>
      <c r="B1071" s="36"/>
    </row>
    <row r="1072" spans="1:2" ht="14" customHeight="1" x14ac:dyDescent="0.3">
      <c r="A1072" s="19"/>
      <c r="B1072" s="36"/>
    </row>
    <row r="1073" spans="1:2" ht="14" customHeight="1" x14ac:dyDescent="0.3">
      <c r="A1073" s="19"/>
      <c r="B1073" s="36"/>
    </row>
    <row r="1074" spans="1:2" ht="14" customHeight="1" x14ac:dyDescent="0.3">
      <c r="A1074" s="19"/>
      <c r="B1074" s="36"/>
    </row>
    <row r="1075" spans="1:2" ht="14" customHeight="1" x14ac:dyDescent="0.3">
      <c r="A1075" s="19"/>
      <c r="B1075" s="36"/>
    </row>
    <row r="1076" spans="1:2" ht="14" customHeight="1" x14ac:dyDescent="0.3">
      <c r="A1076" s="19"/>
      <c r="B1076" s="36"/>
    </row>
    <row r="1077" spans="1:2" ht="14" customHeight="1" x14ac:dyDescent="0.3">
      <c r="A1077" s="19"/>
      <c r="B1077" s="36"/>
    </row>
    <row r="1078" spans="1:2" ht="14" customHeight="1" x14ac:dyDescent="0.3">
      <c r="A1078" s="19"/>
      <c r="B1078" s="36"/>
    </row>
    <row r="1079" spans="1:2" ht="14" customHeight="1" x14ac:dyDescent="0.3">
      <c r="A1079" s="19"/>
      <c r="B1079" s="36"/>
    </row>
    <row r="1080" spans="1:2" ht="14" customHeight="1" x14ac:dyDescent="0.3">
      <c r="A1080" s="19"/>
      <c r="B1080" s="36"/>
    </row>
    <row r="1081" spans="1:2" ht="14" customHeight="1" x14ac:dyDescent="0.3">
      <c r="A1081" s="19"/>
      <c r="B1081" s="36"/>
    </row>
    <row r="1082" spans="1:2" ht="14" customHeight="1" x14ac:dyDescent="0.3">
      <c r="A1082" s="19"/>
      <c r="B1082" s="36"/>
    </row>
    <row r="1083" spans="1:2" ht="14" customHeight="1" x14ac:dyDescent="0.3">
      <c r="A1083" s="19"/>
      <c r="B1083" s="36"/>
    </row>
    <row r="1084" spans="1:2" ht="14" customHeight="1" x14ac:dyDescent="0.3">
      <c r="A1084" s="19"/>
      <c r="B1084" s="36"/>
    </row>
    <row r="1085" spans="1:2" ht="14" customHeight="1" x14ac:dyDescent="0.3">
      <c r="A1085" s="19"/>
      <c r="B1085" s="36"/>
    </row>
    <row r="1086" spans="1:2" ht="14" customHeight="1" x14ac:dyDescent="0.3">
      <c r="A1086" s="19"/>
      <c r="B1086" s="36"/>
    </row>
    <row r="1087" spans="1:2" ht="14" customHeight="1" x14ac:dyDescent="0.3">
      <c r="A1087" s="19"/>
      <c r="B1087" s="36"/>
    </row>
    <row r="1088" spans="1:2" ht="14" customHeight="1" x14ac:dyDescent="0.3">
      <c r="A1088" s="19"/>
      <c r="B1088" s="36"/>
    </row>
    <row r="1089" spans="1:2" ht="14" customHeight="1" x14ac:dyDescent="0.3">
      <c r="A1089" s="19"/>
      <c r="B1089" s="36"/>
    </row>
    <row r="1090" spans="1:2" ht="14" customHeight="1" x14ac:dyDescent="0.3">
      <c r="A1090" s="19"/>
      <c r="B1090" s="36"/>
    </row>
    <row r="1091" spans="1:2" ht="14" customHeight="1" x14ac:dyDescent="0.3">
      <c r="A1091" s="19"/>
      <c r="B1091" s="36"/>
    </row>
    <row r="1092" spans="1:2" ht="14" customHeight="1" x14ac:dyDescent="0.3">
      <c r="A1092" s="19"/>
      <c r="B1092" s="36"/>
    </row>
    <row r="1093" spans="1:2" ht="14" customHeight="1" x14ac:dyDescent="0.3">
      <c r="A1093" s="19"/>
      <c r="B1093" s="36"/>
    </row>
    <row r="1094" spans="1:2" ht="14" customHeight="1" x14ac:dyDescent="0.3">
      <c r="A1094" s="19"/>
      <c r="B1094" s="36"/>
    </row>
    <row r="1095" spans="1:2" ht="14" customHeight="1" x14ac:dyDescent="0.3">
      <c r="A1095" s="19"/>
      <c r="B1095" s="36"/>
    </row>
    <row r="1096" spans="1:2" ht="14" customHeight="1" x14ac:dyDescent="0.3">
      <c r="A1096" s="19"/>
      <c r="B1096" s="36"/>
    </row>
    <row r="1097" spans="1:2" ht="14" customHeight="1" x14ac:dyDescent="0.3">
      <c r="A1097" s="19"/>
      <c r="B1097" s="36"/>
    </row>
    <row r="1098" spans="1:2" ht="14" customHeight="1" x14ac:dyDescent="0.3">
      <c r="A1098" s="19"/>
      <c r="B1098" s="36"/>
    </row>
    <row r="1099" spans="1:2" ht="14" customHeight="1" x14ac:dyDescent="0.3">
      <c r="A1099" s="19"/>
      <c r="B1099" s="36"/>
    </row>
    <row r="1100" spans="1:2" ht="14" customHeight="1" x14ac:dyDescent="0.3">
      <c r="A1100" s="19"/>
      <c r="B1100" s="36"/>
    </row>
    <row r="1101" spans="1:2" ht="14" customHeight="1" x14ac:dyDescent="0.3">
      <c r="A1101" s="19"/>
      <c r="B1101" s="36"/>
    </row>
    <row r="1102" spans="1:2" ht="14" customHeight="1" x14ac:dyDescent="0.3">
      <c r="A1102" s="19"/>
      <c r="B1102" s="36"/>
    </row>
    <row r="1103" spans="1:2" ht="14" customHeight="1" x14ac:dyDescent="0.3">
      <c r="A1103" s="19"/>
      <c r="B1103" s="36"/>
    </row>
    <row r="1104" spans="1:2" ht="14" customHeight="1" x14ac:dyDescent="0.3">
      <c r="A1104" s="19"/>
      <c r="B1104" s="36"/>
    </row>
    <row r="1105" spans="1:2" ht="14" customHeight="1" x14ac:dyDescent="0.3">
      <c r="A1105" s="19"/>
      <c r="B1105" s="36"/>
    </row>
    <row r="1106" spans="1:2" ht="14" customHeight="1" x14ac:dyDescent="0.3">
      <c r="A1106" s="19"/>
      <c r="B1106" s="36"/>
    </row>
    <row r="1107" spans="1:2" ht="14" customHeight="1" x14ac:dyDescent="0.3">
      <c r="A1107" s="19"/>
      <c r="B1107" s="36"/>
    </row>
    <row r="1108" spans="1:2" ht="14" customHeight="1" x14ac:dyDescent="0.3">
      <c r="A1108" s="19"/>
      <c r="B1108" s="36"/>
    </row>
    <row r="1109" spans="1:2" ht="14" customHeight="1" x14ac:dyDescent="0.3">
      <c r="A1109" s="19"/>
      <c r="B1109" s="36"/>
    </row>
    <row r="1110" spans="1:2" ht="14" customHeight="1" x14ac:dyDescent="0.3">
      <c r="A1110" s="19"/>
      <c r="B1110" s="36"/>
    </row>
    <row r="1111" spans="1:2" ht="14" customHeight="1" x14ac:dyDescent="0.3">
      <c r="A1111" s="19"/>
      <c r="B1111" s="36"/>
    </row>
    <row r="1112" spans="1:2" ht="14" customHeight="1" x14ac:dyDescent="0.3">
      <c r="A1112" s="19"/>
      <c r="B1112" s="36"/>
    </row>
    <row r="1113" spans="1:2" ht="14" customHeight="1" x14ac:dyDescent="0.3">
      <c r="A1113" s="19"/>
      <c r="B1113" s="36"/>
    </row>
    <row r="1114" spans="1:2" ht="14" customHeight="1" x14ac:dyDescent="0.3">
      <c r="A1114" s="19"/>
      <c r="B1114" s="36"/>
    </row>
    <row r="1115" spans="1:2" ht="14" customHeight="1" x14ac:dyDescent="0.3">
      <c r="A1115" s="19"/>
      <c r="B1115" s="36"/>
    </row>
    <row r="1116" spans="1:2" ht="14" customHeight="1" x14ac:dyDescent="0.3">
      <c r="A1116" s="19"/>
      <c r="B1116" s="36"/>
    </row>
    <row r="1117" spans="1:2" ht="14" customHeight="1" x14ac:dyDescent="0.3">
      <c r="A1117" s="19"/>
      <c r="B1117" s="36"/>
    </row>
    <row r="1118" spans="1:2" ht="14" customHeight="1" x14ac:dyDescent="0.3">
      <c r="A1118" s="19"/>
      <c r="B1118" s="36"/>
    </row>
    <row r="1119" spans="1:2" ht="14" customHeight="1" x14ac:dyDescent="0.3">
      <c r="A1119" s="19"/>
      <c r="B1119" s="36"/>
    </row>
    <row r="1120" spans="1:2" ht="14" customHeight="1" x14ac:dyDescent="0.3">
      <c r="A1120" s="19"/>
      <c r="B1120" s="36"/>
    </row>
    <row r="1121" spans="1:2" ht="14" customHeight="1" x14ac:dyDescent="0.3">
      <c r="A1121" s="19"/>
      <c r="B1121" s="36"/>
    </row>
    <row r="1122" spans="1:2" ht="14" customHeight="1" x14ac:dyDescent="0.3">
      <c r="A1122" s="19"/>
      <c r="B1122" s="36"/>
    </row>
    <row r="1123" spans="1:2" ht="14" customHeight="1" x14ac:dyDescent="0.3">
      <c r="A1123" s="19"/>
      <c r="B1123" s="36"/>
    </row>
    <row r="1124" spans="1:2" ht="14" customHeight="1" x14ac:dyDescent="0.3">
      <c r="A1124" s="19"/>
      <c r="B1124" s="36"/>
    </row>
    <row r="1125" spans="1:2" ht="14" customHeight="1" x14ac:dyDescent="0.3">
      <c r="A1125" s="19"/>
      <c r="B1125" s="36"/>
    </row>
    <row r="1126" spans="1:2" ht="14" customHeight="1" x14ac:dyDescent="0.3">
      <c r="A1126" s="19"/>
      <c r="B1126" s="36"/>
    </row>
    <row r="1127" spans="1:2" ht="14" customHeight="1" x14ac:dyDescent="0.3">
      <c r="A1127" s="19"/>
      <c r="B1127" s="36"/>
    </row>
    <row r="1128" spans="1:2" ht="14" customHeight="1" x14ac:dyDescent="0.3">
      <c r="A1128" s="19"/>
      <c r="B1128" s="36"/>
    </row>
    <row r="1129" spans="1:2" ht="14" customHeight="1" x14ac:dyDescent="0.3">
      <c r="A1129" s="19"/>
      <c r="B1129" s="36"/>
    </row>
    <row r="1130" spans="1:2" ht="14" customHeight="1" x14ac:dyDescent="0.3">
      <c r="A1130" s="19"/>
      <c r="B1130" s="36"/>
    </row>
    <row r="1131" spans="1:2" ht="14" customHeight="1" x14ac:dyDescent="0.3">
      <c r="A1131" s="19"/>
      <c r="B1131" s="36"/>
    </row>
    <row r="1132" spans="1:2" ht="14" customHeight="1" x14ac:dyDescent="0.3">
      <c r="A1132" s="19"/>
      <c r="B1132" s="36"/>
    </row>
    <row r="1133" spans="1:2" ht="14" customHeight="1" x14ac:dyDescent="0.3">
      <c r="A1133" s="19"/>
      <c r="B1133" s="36"/>
    </row>
    <row r="1134" spans="1:2" ht="14" customHeight="1" x14ac:dyDescent="0.3">
      <c r="A1134" s="19"/>
      <c r="B1134" s="36"/>
    </row>
    <row r="1135" spans="1:2" ht="14" customHeight="1" x14ac:dyDescent="0.3">
      <c r="A1135" s="19"/>
      <c r="B1135" s="36"/>
    </row>
    <row r="1136" spans="1:2" ht="14" customHeight="1" x14ac:dyDescent="0.3">
      <c r="A1136" s="19"/>
      <c r="B1136" s="36"/>
    </row>
    <row r="1137" spans="1:2" ht="14" customHeight="1" x14ac:dyDescent="0.3">
      <c r="A1137" s="19"/>
      <c r="B1137" s="36"/>
    </row>
    <row r="1138" spans="1:2" ht="14" customHeight="1" x14ac:dyDescent="0.3">
      <c r="A1138" s="19"/>
      <c r="B1138" s="36"/>
    </row>
    <row r="1139" spans="1:2" ht="14" customHeight="1" x14ac:dyDescent="0.3">
      <c r="A1139" s="19"/>
      <c r="B1139" s="36"/>
    </row>
    <row r="1140" spans="1:2" ht="14" customHeight="1" x14ac:dyDescent="0.3">
      <c r="A1140" s="19"/>
      <c r="B1140" s="36"/>
    </row>
    <row r="1141" spans="1:2" ht="14" customHeight="1" x14ac:dyDescent="0.3">
      <c r="A1141" s="19"/>
      <c r="B1141" s="36"/>
    </row>
    <row r="1142" spans="1:2" ht="14" customHeight="1" x14ac:dyDescent="0.3">
      <c r="A1142" s="19"/>
      <c r="B1142" s="36"/>
    </row>
    <row r="1143" spans="1:2" ht="14" customHeight="1" x14ac:dyDescent="0.3">
      <c r="A1143" s="19"/>
      <c r="B1143" s="36"/>
    </row>
    <row r="1144" spans="1:2" ht="14" customHeight="1" x14ac:dyDescent="0.3">
      <c r="A1144" s="19"/>
      <c r="B1144" s="36"/>
    </row>
    <row r="1145" spans="1:2" ht="14" customHeight="1" x14ac:dyDescent="0.3">
      <c r="A1145" s="19"/>
      <c r="B1145" s="36"/>
    </row>
    <row r="1146" spans="1:2" ht="14" customHeight="1" x14ac:dyDescent="0.3">
      <c r="A1146" s="19"/>
      <c r="B1146" s="36"/>
    </row>
    <row r="1147" spans="1:2" ht="14" customHeight="1" x14ac:dyDescent="0.3">
      <c r="A1147" s="19"/>
      <c r="B1147" s="36"/>
    </row>
    <row r="1148" spans="1:2" ht="14" customHeight="1" x14ac:dyDescent="0.3">
      <c r="A1148" s="19"/>
      <c r="B1148" s="36"/>
    </row>
    <row r="1149" spans="1:2" ht="14" customHeight="1" x14ac:dyDescent="0.3">
      <c r="A1149" s="19"/>
      <c r="B1149" s="36"/>
    </row>
    <row r="1150" spans="1:2" ht="14" customHeight="1" x14ac:dyDescent="0.3">
      <c r="A1150" s="19"/>
      <c r="B1150" s="36"/>
    </row>
    <row r="1151" spans="1:2" ht="14" customHeight="1" x14ac:dyDescent="0.3">
      <c r="A1151" s="19"/>
      <c r="B1151" s="36"/>
    </row>
    <row r="1152" spans="1:2" ht="14" customHeight="1" x14ac:dyDescent="0.3">
      <c r="A1152" s="19"/>
      <c r="B1152" s="36"/>
    </row>
    <row r="1153" spans="1:2" ht="14" customHeight="1" x14ac:dyDescent="0.3">
      <c r="A1153" s="19"/>
      <c r="B1153" s="36"/>
    </row>
    <row r="1154" spans="1:2" ht="14" customHeight="1" x14ac:dyDescent="0.3">
      <c r="A1154" s="19"/>
      <c r="B1154" s="36"/>
    </row>
    <row r="1155" spans="1:2" ht="14" customHeight="1" x14ac:dyDescent="0.3">
      <c r="A1155" s="19"/>
      <c r="B1155" s="36"/>
    </row>
    <row r="1156" spans="1:2" ht="14" customHeight="1" x14ac:dyDescent="0.3">
      <c r="A1156" s="19"/>
      <c r="B1156" s="36"/>
    </row>
    <row r="1157" spans="1:2" ht="14" customHeight="1" x14ac:dyDescent="0.3">
      <c r="A1157" s="19"/>
      <c r="B1157" s="36"/>
    </row>
    <row r="1158" spans="1:2" ht="14" customHeight="1" x14ac:dyDescent="0.3">
      <c r="A1158" s="19"/>
      <c r="B1158" s="36"/>
    </row>
    <row r="1159" spans="1:2" ht="14" customHeight="1" x14ac:dyDescent="0.3">
      <c r="A1159" s="19"/>
      <c r="B1159" s="36"/>
    </row>
    <row r="1160" spans="1:2" ht="14" customHeight="1" x14ac:dyDescent="0.3">
      <c r="A1160" s="19"/>
      <c r="B1160" s="36"/>
    </row>
    <row r="1161" spans="1:2" ht="14" customHeight="1" x14ac:dyDescent="0.3">
      <c r="A1161" s="19"/>
      <c r="B1161" s="36"/>
    </row>
    <row r="1162" spans="1:2" ht="14" customHeight="1" x14ac:dyDescent="0.3">
      <c r="A1162" s="19"/>
      <c r="B1162" s="36"/>
    </row>
    <row r="1163" spans="1:2" ht="14" customHeight="1" x14ac:dyDescent="0.3">
      <c r="A1163" s="19"/>
      <c r="B1163" s="36"/>
    </row>
    <row r="1164" spans="1:2" ht="14" customHeight="1" x14ac:dyDescent="0.3">
      <c r="A1164" s="19"/>
      <c r="B1164" s="36"/>
    </row>
    <row r="1165" spans="1:2" ht="14" customHeight="1" x14ac:dyDescent="0.3">
      <c r="A1165" s="19"/>
      <c r="B1165" s="36"/>
    </row>
    <row r="1166" spans="1:2" ht="14" customHeight="1" x14ac:dyDescent="0.3">
      <c r="A1166" s="19"/>
      <c r="B1166" s="36"/>
    </row>
    <row r="1167" spans="1:2" ht="14" customHeight="1" x14ac:dyDescent="0.3">
      <c r="A1167" s="19"/>
      <c r="B1167" s="36"/>
    </row>
    <row r="1168" spans="1:2" ht="14" customHeight="1" x14ac:dyDescent="0.3">
      <c r="A1168" s="19"/>
      <c r="B1168" s="36"/>
    </row>
    <row r="1169" spans="1:2" ht="14" customHeight="1" x14ac:dyDescent="0.3">
      <c r="A1169" s="19"/>
      <c r="B1169" s="36"/>
    </row>
    <row r="1170" spans="1:2" ht="14" customHeight="1" x14ac:dyDescent="0.3">
      <c r="A1170" s="19"/>
      <c r="B1170" s="36"/>
    </row>
    <row r="1171" spans="1:2" ht="14" customHeight="1" x14ac:dyDescent="0.3">
      <c r="A1171" s="19"/>
      <c r="B1171" s="36"/>
    </row>
    <row r="1172" spans="1:2" ht="14" customHeight="1" x14ac:dyDescent="0.3">
      <c r="A1172" s="19"/>
      <c r="B1172" s="36"/>
    </row>
    <row r="1173" spans="1:2" ht="14" customHeight="1" x14ac:dyDescent="0.3">
      <c r="A1173" s="19"/>
      <c r="B1173" s="36"/>
    </row>
    <row r="1174" spans="1:2" ht="14" customHeight="1" x14ac:dyDescent="0.3">
      <c r="A1174" s="19"/>
      <c r="B1174" s="36"/>
    </row>
    <row r="1175" spans="1:2" ht="14" customHeight="1" x14ac:dyDescent="0.3">
      <c r="A1175" s="19"/>
      <c r="B1175" s="36"/>
    </row>
    <row r="1176" spans="1:2" ht="14" customHeight="1" x14ac:dyDescent="0.3">
      <c r="A1176" s="19"/>
      <c r="B1176" s="36"/>
    </row>
    <row r="1177" spans="1:2" ht="14" customHeight="1" x14ac:dyDescent="0.3">
      <c r="A1177" s="19"/>
      <c r="B1177" s="36"/>
    </row>
    <row r="1178" spans="1:2" ht="14" customHeight="1" x14ac:dyDescent="0.3">
      <c r="A1178" s="19"/>
      <c r="B1178" s="36"/>
    </row>
    <row r="1179" spans="1:2" ht="14" customHeight="1" x14ac:dyDescent="0.3">
      <c r="A1179" s="19"/>
      <c r="B1179" s="36"/>
    </row>
    <row r="1180" spans="1:2" ht="14" customHeight="1" x14ac:dyDescent="0.3">
      <c r="A1180" s="19"/>
      <c r="B1180" s="36"/>
    </row>
    <row r="1181" spans="1:2" ht="14" customHeight="1" x14ac:dyDescent="0.3">
      <c r="A1181" s="19"/>
      <c r="B1181" s="36"/>
    </row>
    <row r="1182" spans="1:2" ht="14" customHeight="1" x14ac:dyDescent="0.3">
      <c r="A1182" s="19"/>
      <c r="B1182" s="36"/>
    </row>
    <row r="1183" spans="1:2" ht="14" customHeight="1" x14ac:dyDescent="0.3">
      <c r="A1183" s="19"/>
      <c r="B1183" s="36"/>
    </row>
    <row r="1184" spans="1:2" ht="14" customHeight="1" x14ac:dyDescent="0.3">
      <c r="A1184" s="19"/>
      <c r="B1184" s="36"/>
    </row>
    <row r="1185" spans="1:2" ht="14" customHeight="1" x14ac:dyDescent="0.3">
      <c r="A1185" s="19"/>
      <c r="B1185" s="36"/>
    </row>
    <row r="1186" spans="1:2" ht="14" customHeight="1" x14ac:dyDescent="0.3">
      <c r="A1186" s="19"/>
      <c r="B1186" s="36"/>
    </row>
    <row r="1187" spans="1:2" ht="14" customHeight="1" x14ac:dyDescent="0.3">
      <c r="A1187" s="19"/>
      <c r="B1187" s="36"/>
    </row>
    <row r="1188" spans="1:2" ht="14" customHeight="1" x14ac:dyDescent="0.3">
      <c r="A1188" s="19"/>
      <c r="B1188" s="36"/>
    </row>
    <row r="1189" spans="1:2" ht="14" customHeight="1" x14ac:dyDescent="0.3">
      <c r="A1189" s="19"/>
      <c r="B1189" s="36"/>
    </row>
    <row r="1190" spans="1:2" ht="14" customHeight="1" x14ac:dyDescent="0.3">
      <c r="A1190" s="19"/>
      <c r="B1190" s="36"/>
    </row>
    <row r="1191" spans="1:2" ht="14" customHeight="1" x14ac:dyDescent="0.3">
      <c r="A1191" s="19"/>
      <c r="B1191" s="36"/>
    </row>
    <row r="1192" spans="1:2" ht="14" customHeight="1" x14ac:dyDescent="0.3">
      <c r="A1192" s="19"/>
      <c r="B1192" s="36"/>
    </row>
    <row r="1193" spans="1:2" ht="14" customHeight="1" x14ac:dyDescent="0.3">
      <c r="A1193" s="19"/>
      <c r="B1193" s="36"/>
    </row>
    <row r="1194" spans="1:2" ht="14" customHeight="1" x14ac:dyDescent="0.3">
      <c r="A1194" s="19"/>
      <c r="B1194" s="36"/>
    </row>
    <row r="1195" spans="1:2" ht="14" customHeight="1" x14ac:dyDescent="0.3">
      <c r="A1195" s="19"/>
      <c r="B1195" s="36"/>
    </row>
    <row r="1196" spans="1:2" ht="14" customHeight="1" x14ac:dyDescent="0.3">
      <c r="A1196" s="19"/>
      <c r="B1196" s="36"/>
    </row>
    <row r="1197" spans="1:2" ht="14" customHeight="1" x14ac:dyDescent="0.3">
      <c r="A1197" s="19"/>
      <c r="B1197" s="36"/>
    </row>
    <row r="1198" spans="1:2" ht="14" customHeight="1" x14ac:dyDescent="0.3">
      <c r="A1198" s="19"/>
      <c r="B1198" s="36"/>
    </row>
    <row r="1199" spans="1:2" ht="14" customHeight="1" x14ac:dyDescent="0.3">
      <c r="A1199" s="19"/>
      <c r="B1199" s="36"/>
    </row>
    <row r="1200" spans="1:2" ht="14" customHeight="1" x14ac:dyDescent="0.3">
      <c r="A1200" s="19"/>
      <c r="B1200" s="36"/>
    </row>
    <row r="1201" spans="1:2" ht="14" customHeight="1" x14ac:dyDescent="0.3">
      <c r="A1201" s="19"/>
      <c r="B1201" s="36"/>
    </row>
    <row r="1202" spans="1:2" ht="14" customHeight="1" x14ac:dyDescent="0.3">
      <c r="A1202" s="19"/>
      <c r="B1202" s="36"/>
    </row>
    <row r="1203" spans="1:2" ht="14" customHeight="1" x14ac:dyDescent="0.3">
      <c r="A1203" s="19"/>
      <c r="B1203" s="36"/>
    </row>
    <row r="1204" spans="1:2" ht="14" customHeight="1" x14ac:dyDescent="0.3">
      <c r="A1204" s="19"/>
      <c r="B1204" s="36"/>
    </row>
    <row r="1205" spans="1:2" ht="14" customHeight="1" x14ac:dyDescent="0.3">
      <c r="A1205" s="19"/>
      <c r="B1205" s="36"/>
    </row>
    <row r="1206" spans="1:2" ht="14" customHeight="1" x14ac:dyDescent="0.3">
      <c r="A1206" s="19"/>
      <c r="B1206" s="36"/>
    </row>
    <row r="1207" spans="1:2" ht="14" customHeight="1" x14ac:dyDescent="0.3">
      <c r="A1207" s="19"/>
      <c r="B1207" s="36"/>
    </row>
    <row r="1208" spans="1:2" ht="14" customHeight="1" x14ac:dyDescent="0.3">
      <c r="A1208" s="19"/>
      <c r="B1208" s="36"/>
    </row>
    <row r="1209" spans="1:2" ht="14" customHeight="1" x14ac:dyDescent="0.3">
      <c r="A1209" s="19"/>
      <c r="B1209" s="36"/>
    </row>
    <row r="1210" spans="1:2" ht="14" customHeight="1" x14ac:dyDescent="0.3">
      <c r="A1210" s="19"/>
      <c r="B1210" s="36"/>
    </row>
    <row r="1211" spans="1:2" ht="14" customHeight="1" x14ac:dyDescent="0.3">
      <c r="A1211" s="19"/>
      <c r="B1211" s="36"/>
    </row>
    <row r="1212" spans="1:2" ht="14" customHeight="1" x14ac:dyDescent="0.3">
      <c r="A1212" s="19"/>
      <c r="B1212" s="36"/>
    </row>
    <row r="1213" spans="1:2" ht="14" customHeight="1" x14ac:dyDescent="0.3">
      <c r="A1213" s="19"/>
      <c r="B1213" s="36"/>
    </row>
    <row r="1214" spans="1:2" ht="14" customHeight="1" x14ac:dyDescent="0.3">
      <c r="A1214" s="19"/>
      <c r="B1214" s="36"/>
    </row>
    <row r="1215" spans="1:2" ht="14" customHeight="1" x14ac:dyDescent="0.3">
      <c r="A1215" s="19"/>
      <c r="B1215" s="36"/>
    </row>
    <row r="1216" spans="1:2" ht="14" customHeight="1" x14ac:dyDescent="0.3">
      <c r="A1216" s="19"/>
      <c r="B1216" s="36"/>
    </row>
    <row r="1217" spans="1:2" ht="14" customHeight="1" x14ac:dyDescent="0.3">
      <c r="A1217" s="19"/>
      <c r="B1217" s="36"/>
    </row>
    <row r="1218" spans="1:2" ht="14" customHeight="1" x14ac:dyDescent="0.3">
      <c r="A1218" s="19"/>
      <c r="B1218" s="36"/>
    </row>
    <row r="1219" spans="1:2" ht="14" customHeight="1" x14ac:dyDescent="0.3">
      <c r="A1219" s="19"/>
      <c r="B1219" s="36"/>
    </row>
    <row r="1220" spans="1:2" ht="14" customHeight="1" x14ac:dyDescent="0.3">
      <c r="A1220" s="19"/>
      <c r="B1220" s="36"/>
    </row>
    <row r="1221" spans="1:2" ht="14" customHeight="1" x14ac:dyDescent="0.3">
      <c r="A1221" s="19"/>
      <c r="B1221" s="36"/>
    </row>
    <row r="1222" spans="1:2" ht="14" customHeight="1" x14ac:dyDescent="0.3">
      <c r="A1222" s="19"/>
      <c r="B1222" s="36"/>
    </row>
    <row r="1223" spans="1:2" ht="14" customHeight="1" x14ac:dyDescent="0.3">
      <c r="A1223" s="19"/>
      <c r="B1223" s="36"/>
    </row>
    <row r="1224" spans="1:2" ht="14" customHeight="1" x14ac:dyDescent="0.3">
      <c r="A1224" s="19"/>
      <c r="B1224" s="36"/>
    </row>
    <row r="1225" spans="1:2" ht="14" customHeight="1" x14ac:dyDescent="0.3">
      <c r="A1225" s="19"/>
      <c r="B1225" s="36"/>
    </row>
    <row r="1226" spans="1:2" ht="14" customHeight="1" x14ac:dyDescent="0.3">
      <c r="A1226" s="19"/>
      <c r="B1226" s="36"/>
    </row>
    <row r="1227" spans="1:2" ht="14" customHeight="1" x14ac:dyDescent="0.3">
      <c r="A1227" s="19"/>
      <c r="B1227" s="36"/>
    </row>
    <row r="1228" spans="1:2" ht="14" customHeight="1" x14ac:dyDescent="0.3">
      <c r="A1228" s="19"/>
      <c r="B1228" s="36"/>
    </row>
    <row r="1229" spans="1:2" ht="14" customHeight="1" x14ac:dyDescent="0.3">
      <c r="A1229" s="19"/>
      <c r="B1229" s="36"/>
    </row>
    <row r="1230" spans="1:2" ht="14" customHeight="1" x14ac:dyDescent="0.3">
      <c r="A1230" s="19"/>
      <c r="B1230" s="36"/>
    </row>
    <row r="1231" spans="1:2" ht="14" customHeight="1" x14ac:dyDescent="0.3">
      <c r="A1231" s="19"/>
      <c r="B1231" s="36"/>
    </row>
    <row r="1232" spans="1:2" ht="14" customHeight="1" x14ac:dyDescent="0.3">
      <c r="A1232" s="19"/>
      <c r="B1232" s="36"/>
    </row>
    <row r="1233" spans="1:2" ht="14" customHeight="1" x14ac:dyDescent="0.3">
      <c r="A1233" s="19"/>
      <c r="B1233" s="36"/>
    </row>
    <row r="1234" spans="1:2" ht="14" customHeight="1" x14ac:dyDescent="0.3">
      <c r="A1234" s="19"/>
      <c r="B1234" s="36"/>
    </row>
    <row r="1235" spans="1:2" ht="14" customHeight="1" x14ac:dyDescent="0.3">
      <c r="A1235" s="19"/>
      <c r="B1235" s="36"/>
    </row>
    <row r="1236" spans="1:2" ht="14" customHeight="1" x14ac:dyDescent="0.3">
      <c r="A1236" s="19"/>
      <c r="B1236" s="36"/>
    </row>
    <row r="1237" spans="1:2" ht="14" customHeight="1" x14ac:dyDescent="0.3">
      <c r="A1237" s="19"/>
      <c r="B1237" s="36"/>
    </row>
    <row r="1238" spans="1:2" ht="14" customHeight="1" x14ac:dyDescent="0.3">
      <c r="A1238" s="19"/>
      <c r="B1238" s="36"/>
    </row>
    <row r="1239" spans="1:2" ht="14" customHeight="1" x14ac:dyDescent="0.3">
      <c r="A1239" s="19"/>
      <c r="B1239" s="36"/>
    </row>
    <row r="1240" spans="1:2" ht="14" customHeight="1" x14ac:dyDescent="0.3">
      <c r="A1240" s="19"/>
      <c r="B1240" s="36"/>
    </row>
    <row r="1241" spans="1:2" ht="14" customHeight="1" x14ac:dyDescent="0.3">
      <c r="A1241" s="19"/>
      <c r="B1241" s="36"/>
    </row>
    <row r="1242" spans="1:2" ht="14" customHeight="1" x14ac:dyDescent="0.3">
      <c r="A1242" s="19"/>
      <c r="B1242" s="36"/>
    </row>
    <row r="1243" spans="1:2" ht="14" customHeight="1" x14ac:dyDescent="0.3">
      <c r="A1243" s="19"/>
      <c r="B1243" s="36"/>
    </row>
    <row r="1244" spans="1:2" ht="14" customHeight="1" x14ac:dyDescent="0.3">
      <c r="A1244" s="19"/>
      <c r="B1244" s="36"/>
    </row>
    <row r="1245" spans="1:2" ht="14" customHeight="1" x14ac:dyDescent="0.3">
      <c r="A1245" s="19"/>
      <c r="B1245" s="36"/>
    </row>
    <row r="1246" spans="1:2" ht="14" customHeight="1" x14ac:dyDescent="0.3">
      <c r="A1246" s="19"/>
      <c r="B1246" s="36"/>
    </row>
    <row r="1247" spans="1:2" ht="14" customHeight="1" x14ac:dyDescent="0.3">
      <c r="A1247" s="19"/>
      <c r="B1247" s="36"/>
    </row>
    <row r="1248" spans="1:2" ht="14" customHeight="1" x14ac:dyDescent="0.3">
      <c r="A1248" s="19"/>
      <c r="B1248" s="36"/>
    </row>
    <row r="1249" spans="1:2" ht="14" customHeight="1" x14ac:dyDescent="0.3">
      <c r="A1249" s="19"/>
      <c r="B1249" s="36"/>
    </row>
    <row r="1250" spans="1:2" ht="14" customHeight="1" x14ac:dyDescent="0.3">
      <c r="A1250" s="19"/>
      <c r="B1250" s="36"/>
    </row>
    <row r="1251" spans="1:2" ht="14" customHeight="1" x14ac:dyDescent="0.3">
      <c r="A1251" s="19"/>
      <c r="B1251" s="36"/>
    </row>
    <row r="1252" spans="1:2" ht="14" customHeight="1" x14ac:dyDescent="0.3">
      <c r="A1252" s="19"/>
      <c r="B1252" s="36"/>
    </row>
    <row r="1253" spans="1:2" ht="14" customHeight="1" x14ac:dyDescent="0.3">
      <c r="A1253" s="19"/>
      <c r="B1253" s="36"/>
    </row>
    <row r="1254" spans="1:2" ht="14" customHeight="1" x14ac:dyDescent="0.3">
      <c r="A1254" s="19"/>
      <c r="B1254" s="36"/>
    </row>
    <row r="1255" spans="1:2" ht="14" customHeight="1" x14ac:dyDescent="0.3">
      <c r="A1255" s="19"/>
      <c r="B1255" s="36"/>
    </row>
    <row r="1256" spans="1:2" ht="14" customHeight="1" x14ac:dyDescent="0.3">
      <c r="A1256" s="19"/>
      <c r="B1256" s="36"/>
    </row>
    <row r="1257" spans="1:2" ht="14" customHeight="1" x14ac:dyDescent="0.3">
      <c r="A1257" s="19"/>
      <c r="B1257" s="36"/>
    </row>
    <row r="1258" spans="1:2" ht="14" customHeight="1" x14ac:dyDescent="0.3">
      <c r="A1258" s="19"/>
      <c r="B1258" s="36"/>
    </row>
    <row r="1259" spans="1:2" ht="14" customHeight="1" x14ac:dyDescent="0.3">
      <c r="A1259" s="19"/>
      <c r="B1259" s="36"/>
    </row>
    <row r="1260" spans="1:2" ht="14" customHeight="1" x14ac:dyDescent="0.3">
      <c r="A1260" s="19"/>
      <c r="B1260" s="36"/>
    </row>
    <row r="1261" spans="1:2" ht="14" customHeight="1" x14ac:dyDescent="0.3">
      <c r="A1261" s="19"/>
      <c r="B1261" s="36"/>
    </row>
    <row r="1262" spans="1:2" ht="14" customHeight="1" x14ac:dyDescent="0.3">
      <c r="A1262" s="19"/>
      <c r="B1262" s="36"/>
    </row>
    <row r="1263" spans="1:2" ht="14" customHeight="1" x14ac:dyDescent="0.3">
      <c r="A1263" s="19"/>
      <c r="B1263" s="36"/>
    </row>
    <row r="1264" spans="1:2" ht="14" customHeight="1" x14ac:dyDescent="0.3">
      <c r="A1264" s="19"/>
      <c r="B1264" s="36"/>
    </row>
    <row r="1265" spans="1:2" ht="14" customHeight="1" x14ac:dyDescent="0.3">
      <c r="A1265" s="19"/>
      <c r="B1265" s="36"/>
    </row>
    <row r="1266" spans="1:2" ht="14" customHeight="1" x14ac:dyDescent="0.3">
      <c r="A1266" s="19"/>
      <c r="B1266" s="36"/>
    </row>
    <row r="1267" spans="1:2" ht="14" customHeight="1" x14ac:dyDescent="0.3">
      <c r="A1267" s="19"/>
      <c r="B1267" s="36"/>
    </row>
    <row r="1268" spans="1:2" ht="14" customHeight="1" x14ac:dyDescent="0.3">
      <c r="A1268" s="19"/>
      <c r="B1268" s="36"/>
    </row>
    <row r="1269" spans="1:2" ht="14" customHeight="1" x14ac:dyDescent="0.3">
      <c r="A1269" s="19"/>
      <c r="B1269" s="36"/>
    </row>
    <row r="1270" spans="1:2" ht="14" customHeight="1" x14ac:dyDescent="0.3">
      <c r="A1270" s="19"/>
      <c r="B1270" s="36"/>
    </row>
    <row r="1271" spans="1:2" ht="14" customHeight="1" x14ac:dyDescent="0.3">
      <c r="A1271" s="19"/>
      <c r="B1271" s="36"/>
    </row>
    <row r="1272" spans="1:2" ht="14" customHeight="1" x14ac:dyDescent="0.3">
      <c r="A1272" s="19"/>
      <c r="B1272" s="36"/>
    </row>
    <row r="1273" spans="1:2" ht="14" customHeight="1" x14ac:dyDescent="0.3">
      <c r="A1273" s="19"/>
      <c r="B1273" s="36"/>
    </row>
    <row r="1274" spans="1:2" ht="14" customHeight="1" x14ac:dyDescent="0.3">
      <c r="A1274" s="19"/>
      <c r="B1274" s="36"/>
    </row>
    <row r="1275" spans="1:2" ht="14" customHeight="1" x14ac:dyDescent="0.3">
      <c r="A1275" s="19"/>
      <c r="B1275" s="36"/>
    </row>
    <row r="1276" spans="1:2" ht="14" customHeight="1" x14ac:dyDescent="0.3">
      <c r="A1276" s="19"/>
      <c r="B1276" s="36"/>
    </row>
    <row r="1277" spans="1:2" ht="14" customHeight="1" x14ac:dyDescent="0.3">
      <c r="A1277" s="19"/>
      <c r="B1277" s="36"/>
    </row>
    <row r="1278" spans="1:2" ht="14" customHeight="1" x14ac:dyDescent="0.3">
      <c r="A1278" s="19"/>
      <c r="B1278" s="36"/>
    </row>
    <row r="1279" spans="1:2" ht="14" customHeight="1" x14ac:dyDescent="0.3">
      <c r="A1279" s="19"/>
      <c r="B1279" s="36"/>
    </row>
    <row r="1280" spans="1:2" ht="14" customHeight="1" x14ac:dyDescent="0.3">
      <c r="A1280" s="19"/>
      <c r="B1280" s="36"/>
    </row>
    <row r="1281" spans="1:2" ht="14" customHeight="1" x14ac:dyDescent="0.3">
      <c r="A1281" s="19"/>
      <c r="B1281" s="36"/>
    </row>
    <row r="1282" spans="1:2" ht="14" customHeight="1" x14ac:dyDescent="0.3">
      <c r="A1282" s="19"/>
      <c r="B1282" s="36"/>
    </row>
    <row r="1283" spans="1:2" ht="14" customHeight="1" x14ac:dyDescent="0.3">
      <c r="A1283" s="19"/>
      <c r="B1283" s="36"/>
    </row>
    <row r="1284" spans="1:2" ht="14" customHeight="1" x14ac:dyDescent="0.3">
      <c r="A1284" s="19"/>
      <c r="B1284" s="36"/>
    </row>
    <row r="1285" spans="1:2" ht="14" customHeight="1" x14ac:dyDescent="0.3">
      <c r="A1285" s="19"/>
      <c r="B1285" s="36"/>
    </row>
    <row r="1286" spans="1:2" ht="14" customHeight="1" x14ac:dyDescent="0.3">
      <c r="A1286" s="19"/>
      <c r="B1286" s="36"/>
    </row>
    <row r="1287" spans="1:2" ht="14" customHeight="1" x14ac:dyDescent="0.3">
      <c r="A1287" s="19"/>
      <c r="B1287" s="36"/>
    </row>
    <row r="1288" spans="1:2" ht="14" customHeight="1" x14ac:dyDescent="0.3">
      <c r="A1288" s="19"/>
      <c r="B1288" s="36"/>
    </row>
    <row r="1289" spans="1:2" ht="14" customHeight="1" x14ac:dyDescent="0.3">
      <c r="A1289" s="19"/>
      <c r="B1289" s="36"/>
    </row>
    <row r="1290" spans="1:2" ht="14" customHeight="1" x14ac:dyDescent="0.3">
      <c r="A1290" s="19"/>
      <c r="B1290" s="36"/>
    </row>
    <row r="1291" spans="1:2" ht="14" customHeight="1" x14ac:dyDescent="0.3">
      <c r="A1291" s="19"/>
      <c r="B1291" s="36"/>
    </row>
    <row r="1292" spans="1:2" ht="14" customHeight="1" x14ac:dyDescent="0.3">
      <c r="A1292" s="19"/>
      <c r="B1292" s="36"/>
    </row>
    <row r="1293" spans="1:2" ht="14" customHeight="1" x14ac:dyDescent="0.3">
      <c r="A1293" s="19"/>
      <c r="B1293" s="36"/>
    </row>
    <row r="1294" spans="1:2" ht="14" customHeight="1" x14ac:dyDescent="0.3">
      <c r="A1294" s="19"/>
      <c r="B1294" s="36"/>
    </row>
    <row r="1295" spans="1:2" ht="14" customHeight="1" x14ac:dyDescent="0.3">
      <c r="A1295" s="19"/>
      <c r="B1295" s="36"/>
    </row>
    <row r="1296" spans="1:2" ht="14" customHeight="1" x14ac:dyDescent="0.3">
      <c r="A1296" s="19"/>
      <c r="B1296" s="36"/>
    </row>
    <row r="1297" spans="1:2" ht="14" customHeight="1" x14ac:dyDescent="0.3">
      <c r="A1297" s="19"/>
      <c r="B1297" s="36"/>
    </row>
    <row r="1298" spans="1:2" ht="14" customHeight="1" x14ac:dyDescent="0.3">
      <c r="A1298" s="19"/>
      <c r="B1298" s="36"/>
    </row>
    <row r="1299" spans="1:2" ht="14" customHeight="1" x14ac:dyDescent="0.3">
      <c r="A1299" s="19"/>
      <c r="B1299" s="36"/>
    </row>
    <row r="1300" spans="1:2" ht="14" customHeight="1" x14ac:dyDescent="0.3">
      <c r="A1300" s="19"/>
      <c r="B1300" s="36"/>
    </row>
    <row r="1301" spans="1:2" ht="14" customHeight="1" x14ac:dyDescent="0.3">
      <c r="A1301" s="19"/>
      <c r="B1301" s="36"/>
    </row>
    <row r="1302" spans="1:2" ht="14" customHeight="1" x14ac:dyDescent="0.3">
      <c r="A1302" s="19"/>
      <c r="B1302" s="36"/>
    </row>
    <row r="1303" spans="1:2" ht="14" customHeight="1" x14ac:dyDescent="0.3">
      <c r="A1303" s="19"/>
      <c r="B1303" s="36"/>
    </row>
    <row r="1304" spans="1:2" ht="14" customHeight="1" x14ac:dyDescent="0.3">
      <c r="A1304" s="19"/>
      <c r="B1304" s="36"/>
    </row>
    <row r="1305" spans="1:2" ht="14" customHeight="1" x14ac:dyDescent="0.3">
      <c r="A1305" s="19"/>
      <c r="B1305" s="36"/>
    </row>
    <row r="1306" spans="1:2" ht="14" customHeight="1" x14ac:dyDescent="0.3">
      <c r="A1306" s="19"/>
      <c r="B1306" s="36"/>
    </row>
    <row r="1307" spans="1:2" ht="14" customHeight="1" x14ac:dyDescent="0.3">
      <c r="A1307" s="19"/>
      <c r="B1307" s="36"/>
    </row>
    <row r="1308" spans="1:2" ht="14" customHeight="1" x14ac:dyDescent="0.3">
      <c r="A1308" s="19"/>
      <c r="B1308" s="36"/>
    </row>
    <row r="1309" spans="1:2" ht="14" customHeight="1" x14ac:dyDescent="0.3">
      <c r="A1309" s="19"/>
      <c r="B1309" s="36"/>
    </row>
    <row r="1310" spans="1:2" ht="14" customHeight="1" x14ac:dyDescent="0.3">
      <c r="A1310" s="19"/>
      <c r="B1310" s="36"/>
    </row>
    <row r="1311" spans="1:2" ht="14" customHeight="1" x14ac:dyDescent="0.3">
      <c r="A1311" s="19"/>
      <c r="B1311" s="36"/>
    </row>
    <row r="1312" spans="1:2" ht="14" customHeight="1" x14ac:dyDescent="0.3">
      <c r="A1312" s="19"/>
      <c r="B1312" s="36"/>
    </row>
    <row r="1313" spans="1:2" ht="14" customHeight="1" x14ac:dyDescent="0.3">
      <c r="A1313" s="19"/>
      <c r="B1313" s="36"/>
    </row>
    <row r="1314" spans="1:2" ht="14" customHeight="1" x14ac:dyDescent="0.3">
      <c r="A1314" s="19"/>
      <c r="B1314" s="36"/>
    </row>
    <row r="1315" spans="1:2" ht="14" customHeight="1" x14ac:dyDescent="0.3">
      <c r="A1315" s="19"/>
      <c r="B1315" s="36"/>
    </row>
    <row r="1316" spans="1:2" ht="14" customHeight="1" x14ac:dyDescent="0.3">
      <c r="A1316" s="19"/>
      <c r="B1316" s="36"/>
    </row>
    <row r="1317" spans="1:2" ht="14" customHeight="1" x14ac:dyDescent="0.3">
      <c r="A1317" s="19"/>
      <c r="B1317" s="36"/>
    </row>
    <row r="1318" spans="1:2" ht="14" customHeight="1" x14ac:dyDescent="0.3">
      <c r="A1318" s="19"/>
      <c r="B1318" s="36"/>
    </row>
    <row r="1319" spans="1:2" ht="14" customHeight="1" x14ac:dyDescent="0.3">
      <c r="A1319" s="19"/>
      <c r="B1319" s="36"/>
    </row>
    <row r="1320" spans="1:2" ht="14" customHeight="1" x14ac:dyDescent="0.3">
      <c r="A1320" s="19"/>
      <c r="B1320" s="36"/>
    </row>
    <row r="1321" spans="1:2" ht="14" customHeight="1" x14ac:dyDescent="0.3">
      <c r="A1321" s="19"/>
      <c r="B1321" s="36"/>
    </row>
    <row r="1322" spans="1:2" ht="14" customHeight="1" x14ac:dyDescent="0.3">
      <c r="A1322" s="19"/>
      <c r="B1322" s="36"/>
    </row>
    <row r="1323" spans="1:2" ht="14" customHeight="1" x14ac:dyDescent="0.3">
      <c r="A1323" s="19"/>
      <c r="B1323" s="36"/>
    </row>
    <row r="1324" spans="1:2" ht="14" customHeight="1" x14ac:dyDescent="0.3">
      <c r="A1324" s="19"/>
      <c r="B1324" s="36"/>
    </row>
    <row r="1325" spans="1:2" ht="14" customHeight="1" x14ac:dyDescent="0.3">
      <c r="A1325" s="19"/>
      <c r="B1325" s="36"/>
    </row>
    <row r="1326" spans="1:2" ht="14" customHeight="1" x14ac:dyDescent="0.3">
      <c r="A1326" s="19"/>
      <c r="B1326" s="36"/>
    </row>
    <row r="1327" spans="1:2" ht="14" customHeight="1" x14ac:dyDescent="0.3">
      <c r="A1327" s="19"/>
      <c r="B1327" s="36"/>
    </row>
    <row r="1328" spans="1:2" ht="14" customHeight="1" x14ac:dyDescent="0.3">
      <c r="A1328" s="19"/>
      <c r="B1328" s="36"/>
    </row>
    <row r="1329" spans="1:2" ht="14" customHeight="1" x14ac:dyDescent="0.3">
      <c r="A1329" s="19"/>
      <c r="B1329" s="36"/>
    </row>
    <row r="1330" spans="1:2" ht="14" customHeight="1" x14ac:dyDescent="0.3">
      <c r="A1330" s="19"/>
      <c r="B1330" s="36"/>
    </row>
    <row r="1331" spans="1:2" ht="14" customHeight="1" x14ac:dyDescent="0.3">
      <c r="A1331" s="19"/>
      <c r="B1331" s="36"/>
    </row>
    <row r="1332" spans="1:2" ht="14" customHeight="1" x14ac:dyDescent="0.3">
      <c r="A1332" s="19"/>
      <c r="B1332" s="36"/>
    </row>
    <row r="1333" spans="1:2" ht="14" customHeight="1" x14ac:dyDescent="0.3">
      <c r="A1333" s="19"/>
      <c r="B1333" s="36"/>
    </row>
    <row r="1334" spans="1:2" ht="14" customHeight="1" x14ac:dyDescent="0.3">
      <c r="A1334" s="19"/>
      <c r="B1334" s="36"/>
    </row>
    <row r="1335" spans="1:2" ht="14" customHeight="1" x14ac:dyDescent="0.3">
      <c r="A1335" s="19"/>
      <c r="B1335" s="36"/>
    </row>
    <row r="1336" spans="1:2" ht="14" customHeight="1" x14ac:dyDescent="0.3">
      <c r="A1336" s="19"/>
      <c r="B1336" s="36"/>
    </row>
    <row r="1337" spans="1:2" ht="14" customHeight="1" x14ac:dyDescent="0.3">
      <c r="A1337" s="19"/>
      <c r="B1337" s="36"/>
    </row>
    <row r="1338" spans="1:2" ht="14" customHeight="1" x14ac:dyDescent="0.3">
      <c r="A1338" s="19"/>
      <c r="B1338" s="36"/>
    </row>
    <row r="1339" spans="1:2" ht="14" customHeight="1" x14ac:dyDescent="0.3">
      <c r="A1339" s="19"/>
      <c r="B1339" s="36"/>
    </row>
    <row r="1340" spans="1:2" ht="14" customHeight="1" x14ac:dyDescent="0.3">
      <c r="A1340" s="19"/>
      <c r="B1340" s="36"/>
    </row>
    <row r="1341" spans="1:2" ht="14" customHeight="1" x14ac:dyDescent="0.3">
      <c r="A1341" s="19"/>
      <c r="B1341" s="36"/>
    </row>
    <row r="1342" spans="1:2" ht="14" customHeight="1" x14ac:dyDescent="0.3">
      <c r="A1342" s="19"/>
      <c r="B1342" s="36"/>
    </row>
    <row r="1343" spans="1:2" ht="14" customHeight="1" x14ac:dyDescent="0.3">
      <c r="A1343" s="19"/>
      <c r="B1343" s="36"/>
    </row>
    <row r="1344" spans="1:2" ht="14" customHeight="1" x14ac:dyDescent="0.3">
      <c r="A1344" s="19"/>
      <c r="B1344" s="36"/>
    </row>
    <row r="1345" spans="1:2" ht="14" customHeight="1" x14ac:dyDescent="0.3">
      <c r="A1345" s="19"/>
      <c r="B1345" s="36"/>
    </row>
    <row r="1346" spans="1:2" ht="14" customHeight="1" x14ac:dyDescent="0.3">
      <c r="A1346" s="19"/>
      <c r="B1346" s="36"/>
    </row>
    <row r="1347" spans="1:2" ht="14" customHeight="1" x14ac:dyDescent="0.3">
      <c r="A1347" s="19"/>
      <c r="B1347" s="36"/>
    </row>
    <row r="1348" spans="1:2" ht="14" customHeight="1" x14ac:dyDescent="0.3">
      <c r="A1348" s="19"/>
      <c r="B1348" s="36"/>
    </row>
    <row r="1349" spans="1:2" ht="14" customHeight="1" x14ac:dyDescent="0.3">
      <c r="A1349" s="19"/>
      <c r="B1349" s="36"/>
    </row>
    <row r="1350" spans="1:2" ht="14" customHeight="1" x14ac:dyDescent="0.3">
      <c r="A1350" s="19"/>
      <c r="B1350" s="36"/>
    </row>
    <row r="1351" spans="1:2" ht="14" customHeight="1" x14ac:dyDescent="0.3">
      <c r="A1351" s="19"/>
      <c r="B1351" s="36"/>
    </row>
    <row r="1352" spans="1:2" ht="14" customHeight="1" x14ac:dyDescent="0.3">
      <c r="A1352" s="19"/>
      <c r="B1352" s="36"/>
    </row>
    <row r="1353" spans="1:2" ht="14" customHeight="1" x14ac:dyDescent="0.3">
      <c r="A1353" s="19"/>
      <c r="B1353" s="36"/>
    </row>
    <row r="1354" spans="1:2" ht="14" customHeight="1" x14ac:dyDescent="0.3">
      <c r="A1354" s="19"/>
      <c r="B1354" s="36"/>
    </row>
    <row r="1355" spans="1:2" ht="14" customHeight="1" x14ac:dyDescent="0.3">
      <c r="A1355" s="19"/>
      <c r="B1355" s="36"/>
    </row>
    <row r="1356" spans="1:2" ht="14" customHeight="1" x14ac:dyDescent="0.3">
      <c r="A1356" s="19"/>
      <c r="B1356" s="36"/>
    </row>
    <row r="1357" spans="1:2" ht="14" customHeight="1" x14ac:dyDescent="0.3">
      <c r="A1357" s="19"/>
      <c r="B1357" s="36"/>
    </row>
    <row r="1358" spans="1:2" ht="14" customHeight="1" x14ac:dyDescent="0.3">
      <c r="A1358" s="19"/>
      <c r="B1358" s="36"/>
    </row>
    <row r="1359" spans="1:2" ht="14" customHeight="1" x14ac:dyDescent="0.3">
      <c r="A1359" s="19"/>
      <c r="B1359" s="36"/>
    </row>
    <row r="1360" spans="1:2" ht="14" customHeight="1" x14ac:dyDescent="0.3">
      <c r="A1360" s="19"/>
      <c r="B1360" s="36"/>
    </row>
    <row r="1361" spans="1:2" ht="14" customHeight="1" x14ac:dyDescent="0.3">
      <c r="A1361" s="19"/>
      <c r="B1361" s="36"/>
    </row>
    <row r="1362" spans="1:2" ht="14" customHeight="1" x14ac:dyDescent="0.3">
      <c r="A1362" s="19"/>
      <c r="B1362" s="36"/>
    </row>
    <row r="1363" spans="1:2" ht="14" customHeight="1" x14ac:dyDescent="0.3">
      <c r="A1363" s="19"/>
      <c r="B1363" s="36"/>
    </row>
    <row r="1364" spans="1:2" ht="14" customHeight="1" x14ac:dyDescent="0.3">
      <c r="A1364" s="19"/>
      <c r="B1364" s="36"/>
    </row>
    <row r="1365" spans="1:2" ht="14" customHeight="1" x14ac:dyDescent="0.3">
      <c r="A1365" s="19"/>
      <c r="B1365" s="36"/>
    </row>
    <row r="1366" spans="1:2" ht="14" customHeight="1" x14ac:dyDescent="0.3">
      <c r="A1366" s="19"/>
      <c r="B1366" s="36"/>
    </row>
    <row r="1367" spans="1:2" ht="14" customHeight="1" x14ac:dyDescent="0.3">
      <c r="A1367" s="19"/>
      <c r="B1367" s="36"/>
    </row>
    <row r="1368" spans="1:2" ht="14" customHeight="1" x14ac:dyDescent="0.3">
      <c r="A1368" s="19"/>
      <c r="B1368" s="36"/>
    </row>
    <row r="1369" spans="1:2" ht="14" customHeight="1" x14ac:dyDescent="0.3">
      <c r="A1369" s="19"/>
      <c r="B1369" s="36"/>
    </row>
    <row r="1370" spans="1:2" ht="14" customHeight="1" x14ac:dyDescent="0.3">
      <c r="A1370" s="19"/>
      <c r="B1370" s="36"/>
    </row>
    <row r="1371" spans="1:2" ht="14" customHeight="1" x14ac:dyDescent="0.3">
      <c r="A1371" s="19"/>
      <c r="B1371" s="36"/>
    </row>
    <row r="1372" spans="1:2" ht="14" customHeight="1" x14ac:dyDescent="0.3">
      <c r="A1372" s="19"/>
      <c r="B1372" s="36"/>
    </row>
    <row r="1373" spans="1:2" ht="14" customHeight="1" x14ac:dyDescent="0.3">
      <c r="A1373" s="19"/>
      <c r="B1373" s="36"/>
    </row>
    <row r="1374" spans="1:2" ht="14" customHeight="1" x14ac:dyDescent="0.3">
      <c r="A1374" s="19"/>
      <c r="B1374" s="36"/>
    </row>
    <row r="1375" spans="1:2" ht="14" customHeight="1" x14ac:dyDescent="0.3">
      <c r="A1375" s="19"/>
      <c r="B1375" s="36"/>
    </row>
    <row r="1376" spans="1:2" ht="14" customHeight="1" x14ac:dyDescent="0.3">
      <c r="A1376" s="19"/>
      <c r="B1376" s="36"/>
    </row>
    <row r="1377" spans="1:2" ht="14" customHeight="1" x14ac:dyDescent="0.3">
      <c r="A1377" s="19"/>
      <c r="B1377" s="36"/>
    </row>
    <row r="1378" spans="1:2" ht="14" customHeight="1" x14ac:dyDescent="0.3">
      <c r="A1378" s="19"/>
      <c r="B1378" s="36"/>
    </row>
    <row r="1379" spans="1:2" ht="14" customHeight="1" x14ac:dyDescent="0.3">
      <c r="A1379" s="19"/>
      <c r="B1379" s="36"/>
    </row>
    <row r="1380" spans="1:2" ht="14" customHeight="1" x14ac:dyDescent="0.3">
      <c r="A1380" s="19"/>
      <c r="B1380" s="36"/>
    </row>
    <row r="1381" spans="1:2" ht="14" customHeight="1" x14ac:dyDescent="0.3">
      <c r="A1381" s="19"/>
      <c r="B1381" s="36"/>
    </row>
    <row r="1382" spans="1:2" ht="14" customHeight="1" x14ac:dyDescent="0.3">
      <c r="A1382" s="19"/>
      <c r="B1382" s="36"/>
    </row>
    <row r="1383" spans="1:2" ht="14" customHeight="1" x14ac:dyDescent="0.3">
      <c r="A1383" s="19"/>
      <c r="B1383" s="36"/>
    </row>
    <row r="1384" spans="1:2" ht="14" customHeight="1" x14ac:dyDescent="0.3">
      <c r="A1384" s="19"/>
      <c r="B1384" s="36"/>
    </row>
    <row r="1385" spans="1:2" ht="14" customHeight="1" x14ac:dyDescent="0.3">
      <c r="A1385" s="19"/>
      <c r="B1385" s="36"/>
    </row>
    <row r="1386" spans="1:2" ht="14" customHeight="1" x14ac:dyDescent="0.3">
      <c r="A1386" s="19"/>
      <c r="B1386" s="36"/>
    </row>
    <row r="1387" spans="1:2" ht="14" customHeight="1" x14ac:dyDescent="0.3">
      <c r="A1387" s="19"/>
      <c r="B1387" s="36"/>
    </row>
    <row r="1388" spans="1:2" ht="14" customHeight="1" x14ac:dyDescent="0.3">
      <c r="A1388" s="19"/>
      <c r="B1388" s="36"/>
    </row>
    <row r="1389" spans="1:2" ht="14" customHeight="1" x14ac:dyDescent="0.3">
      <c r="A1389" s="19"/>
      <c r="B1389" s="36"/>
    </row>
    <row r="1390" spans="1:2" ht="14" customHeight="1" x14ac:dyDescent="0.3">
      <c r="A1390" s="19"/>
      <c r="B1390" s="36"/>
    </row>
    <row r="1391" spans="1:2" ht="14" customHeight="1" x14ac:dyDescent="0.3">
      <c r="A1391" s="19"/>
      <c r="B1391" s="36"/>
    </row>
    <row r="1392" spans="1:2" ht="14" customHeight="1" x14ac:dyDescent="0.3">
      <c r="A1392" s="19"/>
      <c r="B1392" s="36"/>
    </row>
    <row r="1393" spans="1:2" ht="14" customHeight="1" x14ac:dyDescent="0.3">
      <c r="A1393" s="19"/>
      <c r="B1393" s="36"/>
    </row>
    <row r="1394" spans="1:2" ht="14" customHeight="1" x14ac:dyDescent="0.3">
      <c r="A1394" s="19"/>
      <c r="B1394" s="36"/>
    </row>
    <row r="1395" spans="1:2" ht="14" customHeight="1" x14ac:dyDescent="0.3">
      <c r="A1395" s="19"/>
      <c r="B1395" s="36"/>
    </row>
    <row r="1396" spans="1:2" ht="14" customHeight="1" x14ac:dyDescent="0.3">
      <c r="A1396" s="19"/>
      <c r="B1396" s="36"/>
    </row>
    <row r="1397" spans="1:2" ht="14" customHeight="1" x14ac:dyDescent="0.3">
      <c r="A1397" s="19"/>
      <c r="B1397" s="36"/>
    </row>
    <row r="1398" spans="1:2" ht="14" customHeight="1" x14ac:dyDescent="0.3">
      <c r="A1398" s="19"/>
      <c r="B1398" s="36"/>
    </row>
    <row r="1399" spans="1:2" ht="14" customHeight="1" x14ac:dyDescent="0.3">
      <c r="A1399" s="19"/>
      <c r="B1399" s="36"/>
    </row>
    <row r="1400" spans="1:2" ht="14" customHeight="1" x14ac:dyDescent="0.3">
      <c r="A1400" s="19"/>
      <c r="B1400" s="36"/>
    </row>
    <row r="1401" spans="1:2" ht="14" customHeight="1" x14ac:dyDescent="0.3">
      <c r="A1401" s="19"/>
      <c r="B1401" s="36"/>
    </row>
    <row r="1402" spans="1:2" ht="14" customHeight="1" x14ac:dyDescent="0.3">
      <c r="A1402" s="19"/>
      <c r="B1402" s="36"/>
    </row>
    <row r="1403" spans="1:2" ht="14" customHeight="1" x14ac:dyDescent="0.3">
      <c r="A1403" s="19"/>
      <c r="B1403" s="36"/>
    </row>
    <row r="1404" spans="1:2" ht="14" customHeight="1" x14ac:dyDescent="0.3">
      <c r="A1404" s="19"/>
      <c r="B1404" s="36"/>
    </row>
    <row r="1405" spans="1:2" ht="14" customHeight="1" x14ac:dyDescent="0.3">
      <c r="A1405" s="19"/>
      <c r="B1405" s="36"/>
    </row>
    <row r="1406" spans="1:2" ht="14" customHeight="1" x14ac:dyDescent="0.3">
      <c r="A1406" s="19"/>
      <c r="B1406" s="36"/>
    </row>
    <row r="1407" spans="1:2" ht="14" customHeight="1" x14ac:dyDescent="0.3">
      <c r="A1407" s="19"/>
      <c r="B1407" s="36"/>
    </row>
    <row r="1408" spans="1:2" ht="14" customHeight="1" x14ac:dyDescent="0.3">
      <c r="A1408" s="19"/>
      <c r="B1408" s="36"/>
    </row>
    <row r="1409" spans="1:2" ht="14" customHeight="1" x14ac:dyDescent="0.3">
      <c r="A1409" s="19"/>
      <c r="B1409" s="36"/>
    </row>
    <row r="1410" spans="1:2" ht="14" customHeight="1" x14ac:dyDescent="0.3">
      <c r="A1410" s="19"/>
      <c r="B1410" s="36"/>
    </row>
    <row r="1411" spans="1:2" ht="14" customHeight="1" x14ac:dyDescent="0.3">
      <c r="A1411" s="19"/>
      <c r="B1411" s="36"/>
    </row>
    <row r="1412" spans="1:2" ht="14" customHeight="1" x14ac:dyDescent="0.3">
      <c r="A1412" s="19"/>
      <c r="B1412" s="36"/>
    </row>
    <row r="1413" spans="1:2" ht="14" customHeight="1" x14ac:dyDescent="0.3">
      <c r="A1413" s="19"/>
      <c r="B1413" s="36"/>
    </row>
    <row r="1414" spans="1:2" ht="14" customHeight="1" x14ac:dyDescent="0.3">
      <c r="A1414" s="19"/>
      <c r="B1414" s="36"/>
    </row>
    <row r="1415" spans="1:2" ht="14" customHeight="1" x14ac:dyDescent="0.3">
      <c r="A1415" s="19"/>
      <c r="B1415" s="36"/>
    </row>
    <row r="1416" spans="1:2" ht="14" customHeight="1" x14ac:dyDescent="0.3">
      <c r="A1416" s="19"/>
      <c r="B1416" s="36"/>
    </row>
    <row r="1417" spans="1:2" ht="14" customHeight="1" x14ac:dyDescent="0.3">
      <c r="A1417" s="19"/>
      <c r="B1417" s="36"/>
    </row>
    <row r="1418" spans="1:2" ht="14" customHeight="1" x14ac:dyDescent="0.3">
      <c r="A1418" s="19"/>
      <c r="B1418" s="36"/>
    </row>
    <row r="1419" spans="1:2" ht="14" customHeight="1" x14ac:dyDescent="0.3">
      <c r="A1419" s="19"/>
      <c r="B1419" s="36"/>
    </row>
    <row r="1420" spans="1:2" ht="14" customHeight="1" x14ac:dyDescent="0.3">
      <c r="A1420" s="19"/>
      <c r="B1420" s="36"/>
    </row>
    <row r="1421" spans="1:2" ht="14" customHeight="1" x14ac:dyDescent="0.3">
      <c r="A1421" s="19"/>
      <c r="B1421" s="36"/>
    </row>
    <row r="1422" spans="1:2" ht="14" customHeight="1" x14ac:dyDescent="0.3">
      <c r="A1422" s="19"/>
      <c r="B1422" s="36"/>
    </row>
    <row r="1423" spans="1:2" ht="14" customHeight="1" x14ac:dyDescent="0.3">
      <c r="A1423" s="19"/>
      <c r="B1423" s="36"/>
    </row>
    <row r="1424" spans="1:2" ht="14" customHeight="1" x14ac:dyDescent="0.3">
      <c r="A1424" s="19"/>
      <c r="B1424" s="36"/>
    </row>
    <row r="1425" spans="1:2" ht="14" customHeight="1" x14ac:dyDescent="0.3">
      <c r="A1425" s="19"/>
      <c r="B1425" s="36"/>
    </row>
    <row r="1426" spans="1:2" ht="14" customHeight="1" x14ac:dyDescent="0.3">
      <c r="A1426" s="19"/>
      <c r="B1426" s="36"/>
    </row>
    <row r="1427" spans="1:2" ht="14" customHeight="1" x14ac:dyDescent="0.3">
      <c r="A1427" s="19"/>
      <c r="B1427" s="36"/>
    </row>
    <row r="1428" spans="1:2" ht="14" customHeight="1" x14ac:dyDescent="0.3">
      <c r="A1428" s="19"/>
      <c r="B1428" s="36"/>
    </row>
    <row r="1429" spans="1:2" ht="14" customHeight="1" x14ac:dyDescent="0.3">
      <c r="A1429" s="19"/>
      <c r="B1429" s="36"/>
    </row>
    <row r="1430" spans="1:2" ht="14" customHeight="1" x14ac:dyDescent="0.3">
      <c r="A1430" s="19"/>
      <c r="B1430" s="36"/>
    </row>
    <row r="1431" spans="1:2" ht="14" customHeight="1" x14ac:dyDescent="0.3">
      <c r="A1431" s="19"/>
      <c r="B1431" s="36"/>
    </row>
    <row r="1432" spans="1:2" ht="14" customHeight="1" x14ac:dyDescent="0.3">
      <c r="A1432" s="19"/>
      <c r="B1432" s="36"/>
    </row>
    <row r="1433" spans="1:2" ht="14" customHeight="1" x14ac:dyDescent="0.3">
      <c r="A1433" s="19"/>
      <c r="B1433" s="36"/>
    </row>
    <row r="1434" spans="1:2" ht="14" customHeight="1" x14ac:dyDescent="0.3">
      <c r="A1434" s="19"/>
      <c r="B1434" s="36"/>
    </row>
    <row r="1435" spans="1:2" ht="14" customHeight="1" x14ac:dyDescent="0.3">
      <c r="A1435" s="19"/>
      <c r="B1435" s="36"/>
    </row>
    <row r="1436" spans="1:2" ht="14" customHeight="1" x14ac:dyDescent="0.3">
      <c r="A1436" s="19"/>
      <c r="B1436" s="36"/>
    </row>
    <row r="1437" spans="1:2" ht="14" customHeight="1" x14ac:dyDescent="0.3">
      <c r="A1437" s="19"/>
      <c r="B1437" s="36"/>
    </row>
    <row r="1438" spans="1:2" ht="14" customHeight="1" x14ac:dyDescent="0.3">
      <c r="A1438" s="19"/>
      <c r="B1438" s="36"/>
    </row>
    <row r="1439" spans="1:2" ht="14" customHeight="1" x14ac:dyDescent="0.3">
      <c r="A1439" s="19"/>
      <c r="B1439" s="36"/>
    </row>
    <row r="1440" spans="1:2" ht="14" customHeight="1" x14ac:dyDescent="0.3">
      <c r="A1440" s="19"/>
      <c r="B1440" s="36"/>
    </row>
    <row r="1441" spans="1:2" ht="14" customHeight="1" x14ac:dyDescent="0.3">
      <c r="A1441" s="19"/>
      <c r="B1441" s="36"/>
    </row>
    <row r="1442" spans="1:2" ht="14" customHeight="1" x14ac:dyDescent="0.3">
      <c r="A1442" s="19"/>
      <c r="B1442" s="36"/>
    </row>
    <row r="1443" spans="1:2" ht="14" customHeight="1" x14ac:dyDescent="0.3">
      <c r="A1443" s="19"/>
      <c r="B1443" s="36"/>
    </row>
    <row r="1444" spans="1:2" ht="14" customHeight="1" x14ac:dyDescent="0.3">
      <c r="A1444" s="19"/>
      <c r="B1444" s="36"/>
    </row>
    <row r="1445" spans="1:2" ht="14" customHeight="1" x14ac:dyDescent="0.3">
      <c r="A1445" s="19"/>
      <c r="B1445" s="36"/>
    </row>
    <row r="1446" spans="1:2" ht="14" customHeight="1" x14ac:dyDescent="0.3">
      <c r="A1446" s="19"/>
      <c r="B1446" s="36"/>
    </row>
    <row r="1447" spans="1:2" ht="14" customHeight="1" x14ac:dyDescent="0.3">
      <c r="A1447" s="19"/>
      <c r="B1447" s="36"/>
    </row>
    <row r="1448" spans="1:2" ht="14" customHeight="1" x14ac:dyDescent="0.3">
      <c r="A1448" s="19"/>
      <c r="B1448" s="36"/>
    </row>
    <row r="1449" spans="1:2" ht="14" customHeight="1" x14ac:dyDescent="0.3">
      <c r="A1449" s="19"/>
      <c r="B1449" s="36"/>
    </row>
    <row r="1450" spans="1:2" ht="14" customHeight="1" x14ac:dyDescent="0.3">
      <c r="A1450" s="19"/>
      <c r="B1450" s="36"/>
    </row>
    <row r="1451" spans="1:2" ht="14" customHeight="1" x14ac:dyDescent="0.3">
      <c r="A1451" s="19"/>
      <c r="B1451" s="36"/>
    </row>
    <row r="1452" spans="1:2" ht="14" customHeight="1" x14ac:dyDescent="0.3">
      <c r="A1452" s="19"/>
      <c r="B1452" s="36"/>
    </row>
    <row r="1453" spans="1:2" ht="14" customHeight="1" x14ac:dyDescent="0.3">
      <c r="A1453" s="19"/>
      <c r="B1453" s="36"/>
    </row>
    <row r="1454" spans="1:2" ht="14" customHeight="1" x14ac:dyDescent="0.3">
      <c r="A1454" s="19"/>
      <c r="B1454" s="36"/>
    </row>
    <row r="1455" spans="1:2" ht="14" customHeight="1" x14ac:dyDescent="0.3">
      <c r="A1455" s="19"/>
      <c r="B1455" s="36"/>
    </row>
    <row r="1456" spans="1:2" ht="14" customHeight="1" x14ac:dyDescent="0.3">
      <c r="A1456" s="19"/>
      <c r="B1456" s="36"/>
    </row>
    <row r="1457" spans="1:2" ht="14" customHeight="1" x14ac:dyDescent="0.3">
      <c r="A1457" s="19"/>
      <c r="B1457" s="36"/>
    </row>
    <row r="1458" spans="1:2" ht="14" customHeight="1" x14ac:dyDescent="0.3">
      <c r="A1458" s="19"/>
      <c r="B1458" s="36"/>
    </row>
    <row r="1459" spans="1:2" ht="14" customHeight="1" x14ac:dyDescent="0.3">
      <c r="A1459" s="19"/>
      <c r="B1459" s="36"/>
    </row>
    <row r="1460" spans="1:2" ht="14" customHeight="1" x14ac:dyDescent="0.3">
      <c r="A1460" s="19"/>
      <c r="B1460" s="36"/>
    </row>
    <row r="1461" spans="1:2" ht="14" customHeight="1" x14ac:dyDescent="0.3">
      <c r="A1461" s="19"/>
      <c r="B1461" s="36"/>
    </row>
    <row r="1462" spans="1:2" ht="14" customHeight="1" x14ac:dyDescent="0.3">
      <c r="A1462" s="19"/>
      <c r="B1462" s="36"/>
    </row>
    <row r="1463" spans="1:2" ht="14" customHeight="1" x14ac:dyDescent="0.3">
      <c r="A1463" s="19"/>
      <c r="B1463" s="36"/>
    </row>
    <row r="1464" spans="1:2" ht="14" customHeight="1" x14ac:dyDescent="0.3">
      <c r="A1464" s="19"/>
      <c r="B1464" s="36"/>
    </row>
    <row r="1465" spans="1:2" ht="14" customHeight="1" x14ac:dyDescent="0.3">
      <c r="A1465" s="19"/>
      <c r="B1465" s="36"/>
    </row>
    <row r="1466" spans="1:2" ht="14" customHeight="1" x14ac:dyDescent="0.3">
      <c r="A1466" s="19"/>
      <c r="B1466" s="36"/>
    </row>
    <row r="1467" spans="1:2" ht="14" customHeight="1" x14ac:dyDescent="0.3">
      <c r="A1467" s="19"/>
      <c r="B1467" s="36"/>
    </row>
    <row r="1468" spans="1:2" ht="14" customHeight="1" x14ac:dyDescent="0.3">
      <c r="A1468" s="19"/>
      <c r="B1468" s="36"/>
    </row>
    <row r="1469" spans="1:2" ht="14" customHeight="1" x14ac:dyDescent="0.3">
      <c r="A1469" s="19"/>
      <c r="B1469" s="36"/>
    </row>
    <row r="1470" spans="1:2" ht="14" customHeight="1" x14ac:dyDescent="0.3">
      <c r="A1470" s="19"/>
      <c r="B1470" s="36"/>
    </row>
    <row r="1471" spans="1:2" ht="14" customHeight="1" x14ac:dyDescent="0.3">
      <c r="A1471" s="19"/>
      <c r="B1471" s="36"/>
    </row>
    <row r="1472" spans="1:2" ht="14" customHeight="1" x14ac:dyDescent="0.3">
      <c r="A1472" s="19"/>
      <c r="B1472" s="36"/>
    </row>
    <row r="1473" spans="1:2" ht="14" customHeight="1" x14ac:dyDescent="0.3">
      <c r="A1473" s="19"/>
      <c r="B1473" s="36"/>
    </row>
    <row r="1474" spans="1:2" ht="14" customHeight="1" x14ac:dyDescent="0.3">
      <c r="A1474" s="19"/>
      <c r="B1474" s="36"/>
    </row>
    <row r="1475" spans="1:2" ht="14" customHeight="1" x14ac:dyDescent="0.3">
      <c r="A1475" s="19"/>
      <c r="B1475" s="36"/>
    </row>
    <row r="1476" spans="1:2" ht="14" customHeight="1" x14ac:dyDescent="0.3">
      <c r="A1476" s="19"/>
      <c r="B1476" s="36"/>
    </row>
    <row r="1477" spans="1:2" ht="14" customHeight="1" x14ac:dyDescent="0.3">
      <c r="A1477" s="19"/>
      <c r="B1477" s="36"/>
    </row>
    <row r="1478" spans="1:2" ht="14" customHeight="1" x14ac:dyDescent="0.3">
      <c r="A1478" s="19"/>
      <c r="B1478" s="36"/>
    </row>
    <row r="1479" spans="1:2" ht="14" customHeight="1" x14ac:dyDescent="0.3">
      <c r="A1479" s="19"/>
      <c r="B1479" s="36"/>
    </row>
    <row r="1480" spans="1:2" ht="14" customHeight="1" x14ac:dyDescent="0.3">
      <c r="A1480" s="19"/>
      <c r="B1480" s="36"/>
    </row>
    <row r="1481" spans="1:2" ht="14" customHeight="1" x14ac:dyDescent="0.3">
      <c r="A1481" s="19"/>
      <c r="B1481" s="36"/>
    </row>
    <row r="1482" spans="1:2" ht="14" customHeight="1" x14ac:dyDescent="0.3">
      <c r="A1482" s="19"/>
      <c r="B1482" s="36"/>
    </row>
    <row r="1483" spans="1:2" ht="14" customHeight="1" x14ac:dyDescent="0.3">
      <c r="A1483" s="19"/>
      <c r="B1483" s="36"/>
    </row>
    <row r="1484" spans="1:2" ht="14" customHeight="1" x14ac:dyDescent="0.3">
      <c r="A1484" s="19"/>
      <c r="B1484" s="36"/>
    </row>
    <row r="1485" spans="1:2" ht="14" customHeight="1" x14ac:dyDescent="0.3">
      <c r="A1485" s="19"/>
      <c r="B1485" s="36"/>
    </row>
    <row r="1486" spans="1:2" ht="14" customHeight="1" x14ac:dyDescent="0.3">
      <c r="A1486" s="19"/>
      <c r="B1486" s="36"/>
    </row>
    <row r="1487" spans="1:2" ht="14" customHeight="1" x14ac:dyDescent="0.3">
      <c r="A1487" s="19"/>
      <c r="B1487" s="36"/>
    </row>
    <row r="1488" spans="1:2" ht="14" customHeight="1" x14ac:dyDescent="0.3">
      <c r="A1488" s="19"/>
      <c r="B1488" s="36"/>
    </row>
    <row r="1489" spans="1:2" ht="14" customHeight="1" x14ac:dyDescent="0.3">
      <c r="A1489" s="19"/>
      <c r="B1489" s="36"/>
    </row>
    <row r="1490" spans="1:2" ht="14" customHeight="1" x14ac:dyDescent="0.3">
      <c r="A1490" s="19"/>
      <c r="B1490" s="36"/>
    </row>
    <row r="1491" spans="1:2" ht="14" customHeight="1" x14ac:dyDescent="0.3">
      <c r="A1491" s="19"/>
      <c r="B1491" s="36"/>
    </row>
    <row r="1492" spans="1:2" ht="14" customHeight="1" x14ac:dyDescent="0.3">
      <c r="A1492" s="19"/>
      <c r="B1492" s="36"/>
    </row>
    <row r="1493" spans="1:2" ht="14" customHeight="1" x14ac:dyDescent="0.3">
      <c r="A1493" s="19"/>
      <c r="B1493" s="36"/>
    </row>
    <row r="1494" spans="1:2" ht="14" customHeight="1" x14ac:dyDescent="0.3">
      <c r="A1494" s="19"/>
      <c r="B1494" s="36"/>
    </row>
    <row r="1495" spans="1:2" ht="14" customHeight="1" x14ac:dyDescent="0.3">
      <c r="A1495" s="19"/>
      <c r="B1495" s="36"/>
    </row>
    <row r="1496" spans="1:2" ht="14" customHeight="1" x14ac:dyDescent="0.3">
      <c r="A1496" s="19"/>
      <c r="B1496" s="36"/>
    </row>
    <row r="1497" spans="1:2" ht="14" customHeight="1" x14ac:dyDescent="0.3">
      <c r="A1497" s="19"/>
      <c r="B1497" s="36"/>
    </row>
    <row r="1498" spans="1:2" ht="14" customHeight="1" x14ac:dyDescent="0.3">
      <c r="A1498" s="19"/>
      <c r="B1498" s="36"/>
    </row>
    <row r="1499" spans="1:2" ht="14" customHeight="1" x14ac:dyDescent="0.3">
      <c r="A1499" s="19"/>
      <c r="B1499" s="36"/>
    </row>
    <row r="1500" spans="1:2" ht="14" customHeight="1" x14ac:dyDescent="0.3">
      <c r="A1500" s="19"/>
      <c r="B1500" s="36"/>
    </row>
    <row r="1501" spans="1:2" ht="14" customHeight="1" x14ac:dyDescent="0.3">
      <c r="A1501" s="19"/>
      <c r="B1501" s="36"/>
    </row>
    <row r="1502" spans="1:2" ht="14" customHeight="1" x14ac:dyDescent="0.3">
      <c r="A1502" s="19"/>
      <c r="B1502" s="36"/>
    </row>
    <row r="1503" spans="1:2" ht="14" customHeight="1" x14ac:dyDescent="0.3">
      <c r="A1503" s="19"/>
      <c r="B1503" s="36"/>
    </row>
    <row r="1504" spans="1:2" ht="14" customHeight="1" x14ac:dyDescent="0.3">
      <c r="A1504" s="19"/>
      <c r="B1504" s="36"/>
    </row>
    <row r="1505" spans="1:2" ht="14" customHeight="1" x14ac:dyDescent="0.3">
      <c r="A1505" s="19"/>
      <c r="B1505" s="36"/>
    </row>
    <row r="1506" spans="1:2" ht="14" customHeight="1" x14ac:dyDescent="0.3">
      <c r="A1506" s="19"/>
      <c r="B1506" s="36"/>
    </row>
    <row r="1507" spans="1:2" ht="14" customHeight="1" x14ac:dyDescent="0.3">
      <c r="A1507" s="19"/>
      <c r="B1507" s="36"/>
    </row>
    <row r="1508" spans="1:2" ht="14" customHeight="1" x14ac:dyDescent="0.3">
      <c r="A1508" s="19"/>
      <c r="B1508" s="36"/>
    </row>
    <row r="1509" spans="1:2" ht="14" customHeight="1" x14ac:dyDescent="0.3">
      <c r="A1509" s="19"/>
      <c r="B1509" s="36"/>
    </row>
    <row r="1510" spans="1:2" ht="14" customHeight="1" x14ac:dyDescent="0.3">
      <c r="A1510" s="19"/>
      <c r="B1510" s="36"/>
    </row>
    <row r="1511" spans="1:2" ht="14" customHeight="1" x14ac:dyDescent="0.3">
      <c r="A1511" s="19"/>
      <c r="B1511" s="36"/>
    </row>
    <row r="1512" spans="1:2" ht="14" customHeight="1" x14ac:dyDescent="0.3">
      <c r="A1512" s="19"/>
      <c r="B1512" s="36"/>
    </row>
    <row r="1513" spans="1:2" ht="14" customHeight="1" x14ac:dyDescent="0.3">
      <c r="A1513" s="19"/>
      <c r="B1513" s="36"/>
    </row>
    <row r="1514" spans="1:2" ht="14" customHeight="1" x14ac:dyDescent="0.3">
      <c r="A1514" s="19"/>
      <c r="B1514" s="36"/>
    </row>
    <row r="1515" spans="1:2" ht="14" customHeight="1" x14ac:dyDescent="0.3">
      <c r="A1515" s="19"/>
      <c r="B1515" s="36"/>
    </row>
    <row r="1516" spans="1:2" ht="14" customHeight="1" x14ac:dyDescent="0.3">
      <c r="A1516" s="19"/>
      <c r="B1516" s="36"/>
    </row>
    <row r="1517" spans="1:2" ht="14" customHeight="1" x14ac:dyDescent="0.3">
      <c r="A1517" s="19"/>
      <c r="B1517" s="36"/>
    </row>
    <row r="1518" spans="1:2" ht="14" customHeight="1" x14ac:dyDescent="0.3">
      <c r="A1518" s="19"/>
      <c r="B1518" s="36"/>
    </row>
    <row r="1519" spans="1:2" ht="14" customHeight="1" x14ac:dyDescent="0.3">
      <c r="A1519" s="19"/>
      <c r="B1519" s="36"/>
    </row>
    <row r="1520" spans="1:2" ht="14" customHeight="1" x14ac:dyDescent="0.3">
      <c r="A1520" s="19"/>
      <c r="B1520" s="36"/>
    </row>
    <row r="1521" spans="1:2" ht="14" customHeight="1" x14ac:dyDescent="0.3">
      <c r="A1521" s="19"/>
      <c r="B1521" s="36"/>
    </row>
    <row r="1522" spans="1:2" ht="14" customHeight="1" x14ac:dyDescent="0.3">
      <c r="A1522" s="19"/>
      <c r="B1522" s="36"/>
    </row>
    <row r="1523" spans="1:2" ht="14" customHeight="1" x14ac:dyDescent="0.3">
      <c r="A1523" s="19"/>
      <c r="B1523" s="36"/>
    </row>
    <row r="1524" spans="1:2" ht="14" customHeight="1" x14ac:dyDescent="0.3">
      <c r="A1524" s="19"/>
      <c r="B1524" s="36"/>
    </row>
    <row r="1525" spans="1:2" ht="14" customHeight="1" x14ac:dyDescent="0.3">
      <c r="A1525" s="19"/>
      <c r="B1525" s="36"/>
    </row>
    <row r="1526" spans="1:2" ht="14" customHeight="1" x14ac:dyDescent="0.3">
      <c r="A1526" s="19"/>
      <c r="B1526" s="36"/>
    </row>
    <row r="1527" spans="1:2" ht="14" customHeight="1" x14ac:dyDescent="0.3">
      <c r="A1527" s="19"/>
      <c r="B1527" s="36"/>
    </row>
    <row r="1528" spans="1:2" ht="14" customHeight="1" x14ac:dyDescent="0.3">
      <c r="A1528" s="19"/>
      <c r="B1528" s="36"/>
    </row>
    <row r="1529" spans="1:2" ht="14" customHeight="1" x14ac:dyDescent="0.3">
      <c r="A1529" s="19"/>
      <c r="B1529" s="36"/>
    </row>
    <row r="1530" spans="1:2" ht="14" customHeight="1" x14ac:dyDescent="0.3">
      <c r="A1530" s="19"/>
      <c r="B1530" s="36"/>
    </row>
    <row r="1531" spans="1:2" ht="14" customHeight="1" x14ac:dyDescent="0.3">
      <c r="A1531" s="19"/>
      <c r="B1531" s="36"/>
    </row>
    <row r="1532" spans="1:2" ht="14" customHeight="1" x14ac:dyDescent="0.3">
      <c r="A1532" s="19"/>
      <c r="B1532" s="36"/>
    </row>
    <row r="1533" spans="1:2" ht="14" customHeight="1" x14ac:dyDescent="0.3">
      <c r="A1533" s="19"/>
      <c r="B1533" s="36"/>
    </row>
    <row r="1534" spans="1:2" ht="14" customHeight="1" x14ac:dyDescent="0.3">
      <c r="A1534" s="19"/>
      <c r="B1534" s="36"/>
    </row>
    <row r="1535" spans="1:2" ht="14" customHeight="1" x14ac:dyDescent="0.3">
      <c r="A1535" s="19"/>
      <c r="B1535" s="36"/>
    </row>
    <row r="1536" spans="1:2" ht="14" customHeight="1" x14ac:dyDescent="0.3">
      <c r="A1536" s="19"/>
      <c r="B1536" s="36"/>
    </row>
    <row r="1537" spans="1:2" ht="14" customHeight="1" x14ac:dyDescent="0.3">
      <c r="A1537" s="19"/>
      <c r="B1537" s="36"/>
    </row>
    <row r="1538" spans="1:2" ht="14" customHeight="1" x14ac:dyDescent="0.3">
      <c r="A1538" s="19"/>
      <c r="B1538" s="36"/>
    </row>
    <row r="1539" spans="1:2" ht="14" customHeight="1" x14ac:dyDescent="0.3">
      <c r="A1539" s="19"/>
      <c r="B1539" s="36"/>
    </row>
    <row r="1540" spans="1:2" ht="14" customHeight="1" x14ac:dyDescent="0.3">
      <c r="A1540" s="19"/>
      <c r="B1540" s="36"/>
    </row>
    <row r="1541" spans="1:2" ht="14" customHeight="1" x14ac:dyDescent="0.3">
      <c r="A1541" s="19"/>
      <c r="B1541" s="36"/>
    </row>
    <row r="1542" spans="1:2" ht="14" customHeight="1" x14ac:dyDescent="0.3">
      <c r="A1542" s="19"/>
      <c r="B1542" s="36"/>
    </row>
    <row r="1543" spans="1:2" ht="14" customHeight="1" x14ac:dyDescent="0.3">
      <c r="A1543" s="19"/>
      <c r="B1543" s="36"/>
    </row>
    <row r="1544" spans="1:2" ht="14" customHeight="1" x14ac:dyDescent="0.3">
      <c r="A1544" s="19"/>
      <c r="B1544" s="36"/>
    </row>
    <row r="1545" spans="1:2" ht="14" customHeight="1" x14ac:dyDescent="0.3">
      <c r="A1545" s="19"/>
      <c r="B1545" s="36"/>
    </row>
    <row r="1546" spans="1:2" ht="14" customHeight="1" x14ac:dyDescent="0.3">
      <c r="A1546" s="19"/>
      <c r="B1546" s="36"/>
    </row>
    <row r="1547" spans="1:2" ht="14" customHeight="1" x14ac:dyDescent="0.3">
      <c r="A1547" s="19"/>
      <c r="B1547" s="36"/>
    </row>
    <row r="1548" spans="1:2" ht="14" customHeight="1" x14ac:dyDescent="0.3">
      <c r="A1548" s="19"/>
      <c r="B1548" s="36"/>
    </row>
    <row r="1549" spans="1:2" ht="14" customHeight="1" x14ac:dyDescent="0.3">
      <c r="A1549" s="19"/>
      <c r="B1549" s="36"/>
    </row>
    <row r="1550" spans="1:2" ht="14" customHeight="1" x14ac:dyDescent="0.3">
      <c r="A1550" s="19"/>
      <c r="B1550" s="36"/>
    </row>
    <row r="1551" spans="1:2" ht="14" customHeight="1" x14ac:dyDescent="0.3">
      <c r="A1551" s="19"/>
      <c r="B1551" s="36"/>
    </row>
    <row r="1552" spans="1:2" ht="14" customHeight="1" x14ac:dyDescent="0.3">
      <c r="A1552" s="19"/>
      <c r="B1552" s="36"/>
    </row>
    <row r="1553" spans="1:2" ht="14" customHeight="1" x14ac:dyDescent="0.3">
      <c r="A1553" s="19"/>
      <c r="B1553" s="36"/>
    </row>
    <row r="1554" spans="1:2" ht="14" customHeight="1" x14ac:dyDescent="0.3">
      <c r="A1554" s="19"/>
      <c r="B1554" s="36"/>
    </row>
    <row r="1555" spans="1:2" ht="14" customHeight="1" x14ac:dyDescent="0.3">
      <c r="A1555" s="19"/>
      <c r="B1555" s="36"/>
    </row>
    <row r="1556" spans="1:2" ht="14" customHeight="1" x14ac:dyDescent="0.3">
      <c r="A1556" s="19"/>
      <c r="B1556" s="36"/>
    </row>
    <row r="1557" spans="1:2" ht="14" customHeight="1" x14ac:dyDescent="0.3">
      <c r="A1557" s="19"/>
      <c r="B1557" s="36"/>
    </row>
    <row r="1558" spans="1:2" ht="14" customHeight="1" x14ac:dyDescent="0.3">
      <c r="A1558" s="19"/>
      <c r="B1558" s="36"/>
    </row>
    <row r="1559" spans="1:2" ht="14" customHeight="1" x14ac:dyDescent="0.3">
      <c r="A1559" s="19"/>
      <c r="B1559" s="36"/>
    </row>
    <row r="1560" spans="1:2" ht="14" customHeight="1" x14ac:dyDescent="0.3">
      <c r="A1560" s="19"/>
      <c r="B1560" s="36"/>
    </row>
    <row r="1561" spans="1:2" ht="14" customHeight="1" x14ac:dyDescent="0.3">
      <c r="A1561" s="19"/>
      <c r="B1561" s="36"/>
    </row>
    <row r="1562" spans="1:2" ht="14" customHeight="1" x14ac:dyDescent="0.3">
      <c r="A1562" s="19"/>
      <c r="B1562" s="36"/>
    </row>
    <row r="1563" spans="1:2" ht="14" customHeight="1" x14ac:dyDescent="0.3">
      <c r="A1563" s="19"/>
      <c r="B1563" s="36"/>
    </row>
    <row r="1564" spans="1:2" ht="14" customHeight="1" x14ac:dyDescent="0.3">
      <c r="A1564" s="19"/>
      <c r="B1564" s="36"/>
    </row>
    <row r="1565" spans="1:2" ht="14" customHeight="1" x14ac:dyDescent="0.3">
      <c r="A1565" s="19"/>
      <c r="B1565" s="36"/>
    </row>
    <row r="1566" spans="1:2" ht="14" customHeight="1" x14ac:dyDescent="0.3">
      <c r="A1566" s="19"/>
      <c r="B1566" s="36"/>
    </row>
    <row r="1567" spans="1:2" ht="14" customHeight="1" x14ac:dyDescent="0.3">
      <c r="A1567" s="19"/>
      <c r="B1567" s="36"/>
    </row>
    <row r="1568" spans="1:2" ht="14" customHeight="1" x14ac:dyDescent="0.3">
      <c r="A1568" s="19"/>
      <c r="B1568" s="36"/>
    </row>
    <row r="1569" spans="1:2" ht="14" customHeight="1" x14ac:dyDescent="0.3">
      <c r="A1569" s="19"/>
      <c r="B1569" s="36"/>
    </row>
    <row r="1570" spans="1:2" ht="14" customHeight="1" x14ac:dyDescent="0.3">
      <c r="A1570" s="19"/>
      <c r="B1570" s="36"/>
    </row>
    <row r="1571" spans="1:2" ht="14" customHeight="1" x14ac:dyDescent="0.3">
      <c r="A1571" s="19"/>
      <c r="B1571" s="36"/>
    </row>
    <row r="1572" spans="1:2" ht="14" customHeight="1" x14ac:dyDescent="0.3">
      <c r="A1572" s="19"/>
      <c r="B1572" s="36"/>
    </row>
    <row r="1573" spans="1:2" ht="14" customHeight="1" x14ac:dyDescent="0.3">
      <c r="A1573" s="19"/>
      <c r="B1573" s="36"/>
    </row>
    <row r="1574" spans="1:2" ht="14" customHeight="1" x14ac:dyDescent="0.3">
      <c r="A1574" s="19"/>
      <c r="B1574" s="36"/>
    </row>
    <row r="1575" spans="1:2" ht="14" customHeight="1" x14ac:dyDescent="0.3">
      <c r="A1575" s="19"/>
      <c r="B1575" s="36"/>
    </row>
    <row r="1576" spans="1:2" ht="14" customHeight="1" x14ac:dyDescent="0.3">
      <c r="A1576" s="19"/>
      <c r="B1576" s="36"/>
    </row>
    <row r="1577" spans="1:2" ht="14" customHeight="1" x14ac:dyDescent="0.3">
      <c r="A1577" s="19"/>
      <c r="B1577" s="36"/>
    </row>
    <row r="1578" spans="1:2" ht="14" customHeight="1" x14ac:dyDescent="0.3">
      <c r="A1578" s="19"/>
      <c r="B1578" s="36"/>
    </row>
    <row r="1579" spans="1:2" ht="14" customHeight="1" x14ac:dyDescent="0.3">
      <c r="A1579" s="19"/>
      <c r="B1579" s="36"/>
    </row>
    <row r="1580" spans="1:2" ht="14" customHeight="1" x14ac:dyDescent="0.3">
      <c r="A1580" s="19"/>
      <c r="B1580" s="36"/>
    </row>
    <row r="1581" spans="1:2" ht="14" customHeight="1" x14ac:dyDescent="0.3">
      <c r="A1581" s="19"/>
      <c r="B1581" s="36"/>
    </row>
    <row r="1582" spans="1:2" ht="14" customHeight="1" x14ac:dyDescent="0.3">
      <c r="A1582" s="19"/>
      <c r="B1582" s="36"/>
    </row>
    <row r="1583" spans="1:2" ht="14" customHeight="1" x14ac:dyDescent="0.3">
      <c r="A1583" s="19"/>
      <c r="B1583" s="36"/>
    </row>
    <row r="1584" spans="1:2" ht="14" customHeight="1" x14ac:dyDescent="0.3">
      <c r="A1584" s="19"/>
      <c r="B1584" s="36"/>
    </row>
    <row r="1585" spans="1:2" ht="14" customHeight="1" x14ac:dyDescent="0.3">
      <c r="A1585" s="19"/>
      <c r="B1585" s="36"/>
    </row>
    <row r="1586" spans="1:2" ht="14" customHeight="1" x14ac:dyDescent="0.3">
      <c r="A1586" s="19"/>
      <c r="B1586" s="36"/>
    </row>
    <row r="1587" spans="1:2" ht="14" customHeight="1" x14ac:dyDescent="0.3">
      <c r="A1587" s="19"/>
      <c r="B1587" s="36"/>
    </row>
    <row r="1588" spans="1:2" ht="14" customHeight="1" x14ac:dyDescent="0.3">
      <c r="A1588" s="19"/>
      <c r="B1588" s="36"/>
    </row>
    <row r="1589" spans="1:2" ht="14" customHeight="1" x14ac:dyDescent="0.3">
      <c r="A1589" s="19"/>
      <c r="B1589" s="36"/>
    </row>
    <row r="1590" spans="1:2" ht="14" customHeight="1" x14ac:dyDescent="0.3">
      <c r="A1590" s="19"/>
      <c r="B1590" s="36"/>
    </row>
    <row r="1591" spans="1:2" ht="14" customHeight="1" x14ac:dyDescent="0.3">
      <c r="A1591" s="19"/>
      <c r="B1591" s="36"/>
    </row>
    <row r="1592" spans="1:2" ht="14" customHeight="1" x14ac:dyDescent="0.3">
      <c r="A1592" s="19"/>
      <c r="B1592" s="36"/>
    </row>
    <row r="1593" spans="1:2" ht="14" customHeight="1" x14ac:dyDescent="0.3">
      <c r="A1593" s="19"/>
      <c r="B1593" s="36"/>
    </row>
    <row r="1594" spans="1:2" ht="14" customHeight="1" x14ac:dyDescent="0.3">
      <c r="A1594" s="19"/>
      <c r="B1594" s="36"/>
    </row>
    <row r="1595" spans="1:2" ht="14" customHeight="1" x14ac:dyDescent="0.3">
      <c r="A1595" s="19"/>
      <c r="B1595" s="36"/>
    </row>
    <row r="1596" spans="1:2" ht="14" customHeight="1" x14ac:dyDescent="0.3">
      <c r="A1596" s="19"/>
      <c r="B1596" s="36"/>
    </row>
    <row r="1597" spans="1:2" ht="14" customHeight="1" x14ac:dyDescent="0.3">
      <c r="A1597" s="19"/>
      <c r="B1597" s="36"/>
    </row>
    <row r="1598" spans="1:2" ht="14" customHeight="1" x14ac:dyDescent="0.3">
      <c r="A1598" s="19"/>
      <c r="B1598" s="36"/>
    </row>
    <row r="1599" spans="1:2" ht="14" customHeight="1" x14ac:dyDescent="0.3">
      <c r="A1599" s="19"/>
      <c r="B1599" s="36"/>
    </row>
    <row r="1600" spans="1:2" ht="14" customHeight="1" x14ac:dyDescent="0.3">
      <c r="A1600" s="19"/>
      <c r="B1600" s="36"/>
    </row>
    <row r="1601" spans="1:2" ht="14" customHeight="1" x14ac:dyDescent="0.3">
      <c r="A1601" s="19"/>
      <c r="B1601" s="36"/>
    </row>
    <row r="1602" spans="1:2" ht="14" customHeight="1" x14ac:dyDescent="0.3">
      <c r="A1602" s="19"/>
      <c r="B1602" s="36"/>
    </row>
    <row r="1603" spans="1:2" ht="14" customHeight="1" x14ac:dyDescent="0.3">
      <c r="A1603" s="19"/>
      <c r="B1603" s="36"/>
    </row>
    <row r="1604" spans="1:2" ht="14" customHeight="1" x14ac:dyDescent="0.3">
      <c r="A1604" s="19"/>
      <c r="B1604" s="36"/>
    </row>
    <row r="1605" spans="1:2" ht="14" customHeight="1" x14ac:dyDescent="0.3">
      <c r="A1605" s="19"/>
      <c r="B1605" s="36"/>
    </row>
    <row r="1606" spans="1:2" ht="14" customHeight="1" x14ac:dyDescent="0.3">
      <c r="A1606" s="19"/>
      <c r="B1606" s="36"/>
    </row>
    <row r="1607" spans="1:2" ht="14" customHeight="1" x14ac:dyDescent="0.3">
      <c r="A1607" s="19"/>
      <c r="B1607" s="36"/>
    </row>
    <row r="1608" spans="1:2" ht="14" customHeight="1" x14ac:dyDescent="0.3">
      <c r="A1608" s="19"/>
      <c r="B1608" s="36"/>
    </row>
    <row r="1609" spans="1:2" ht="14" customHeight="1" x14ac:dyDescent="0.3">
      <c r="A1609" s="19"/>
      <c r="B1609" s="36"/>
    </row>
    <row r="1610" spans="1:2" ht="14" customHeight="1" x14ac:dyDescent="0.3">
      <c r="A1610" s="19"/>
      <c r="B1610" s="36"/>
    </row>
    <row r="1611" spans="1:2" ht="14" customHeight="1" x14ac:dyDescent="0.3">
      <c r="A1611" s="19"/>
      <c r="B1611" s="36"/>
    </row>
    <row r="1612" spans="1:2" ht="14" customHeight="1" x14ac:dyDescent="0.3">
      <c r="A1612" s="19"/>
      <c r="B1612" s="36"/>
    </row>
    <row r="1613" spans="1:2" ht="14" customHeight="1" x14ac:dyDescent="0.3">
      <c r="A1613" s="19"/>
      <c r="B1613" s="36"/>
    </row>
    <row r="1614" spans="1:2" ht="14" customHeight="1" x14ac:dyDescent="0.3">
      <c r="A1614" s="19"/>
      <c r="B1614" s="36"/>
    </row>
    <row r="1615" spans="1:2" ht="14" customHeight="1" x14ac:dyDescent="0.3">
      <c r="A1615" s="19"/>
      <c r="B1615" s="36"/>
    </row>
    <row r="1616" spans="1:2" ht="14" customHeight="1" x14ac:dyDescent="0.3">
      <c r="A1616" s="19"/>
      <c r="B1616" s="36"/>
    </row>
    <row r="1617" spans="1:2" ht="14" customHeight="1" x14ac:dyDescent="0.3">
      <c r="A1617" s="19"/>
      <c r="B1617" s="36"/>
    </row>
    <row r="1618" spans="1:2" ht="14" customHeight="1" x14ac:dyDescent="0.3">
      <c r="A1618" s="19"/>
      <c r="B1618" s="36"/>
    </row>
    <row r="1619" spans="1:2" ht="14" customHeight="1" x14ac:dyDescent="0.3">
      <c r="A1619" s="19"/>
      <c r="B1619" s="36"/>
    </row>
    <row r="1620" spans="1:2" ht="14" customHeight="1" x14ac:dyDescent="0.3">
      <c r="A1620" s="19"/>
      <c r="B1620" s="36"/>
    </row>
    <row r="1621" spans="1:2" ht="14" customHeight="1" x14ac:dyDescent="0.3">
      <c r="A1621" s="19"/>
      <c r="B1621" s="36"/>
    </row>
    <row r="1622" spans="1:2" ht="14" customHeight="1" x14ac:dyDescent="0.3">
      <c r="A1622" s="19"/>
      <c r="B1622" s="36"/>
    </row>
    <row r="1623" spans="1:2" ht="14" customHeight="1" x14ac:dyDescent="0.3">
      <c r="A1623" s="19"/>
      <c r="B1623" s="36"/>
    </row>
    <row r="1624" spans="1:2" ht="14" customHeight="1" x14ac:dyDescent="0.3">
      <c r="A1624" s="19"/>
      <c r="B1624" s="36"/>
    </row>
    <row r="1625" spans="1:2" ht="14" customHeight="1" x14ac:dyDescent="0.3">
      <c r="A1625" s="19"/>
      <c r="B1625" s="36"/>
    </row>
    <row r="1626" spans="1:2" ht="14" customHeight="1" x14ac:dyDescent="0.3">
      <c r="A1626" s="19"/>
      <c r="B1626" s="36"/>
    </row>
    <row r="1627" spans="1:2" ht="14" customHeight="1" x14ac:dyDescent="0.3">
      <c r="A1627" s="19"/>
      <c r="B1627" s="36"/>
    </row>
    <row r="1628" spans="1:2" ht="14" customHeight="1" x14ac:dyDescent="0.3">
      <c r="A1628" s="19"/>
      <c r="B1628" s="36"/>
    </row>
    <row r="1629" spans="1:2" ht="14" customHeight="1" x14ac:dyDescent="0.3">
      <c r="A1629" s="19"/>
      <c r="B1629" s="36"/>
    </row>
    <row r="1630" spans="1:2" ht="14" customHeight="1" x14ac:dyDescent="0.3">
      <c r="A1630" s="19"/>
      <c r="B1630" s="36"/>
    </row>
    <row r="1631" spans="1:2" ht="14" customHeight="1" x14ac:dyDescent="0.3">
      <c r="A1631" s="19"/>
      <c r="B1631" s="36"/>
    </row>
    <row r="1632" spans="1:2" ht="14" customHeight="1" x14ac:dyDescent="0.3">
      <c r="A1632" s="19"/>
      <c r="B1632" s="36"/>
    </row>
    <row r="1633" spans="1:2" ht="14" customHeight="1" x14ac:dyDescent="0.3">
      <c r="A1633" s="19"/>
      <c r="B1633" s="36"/>
    </row>
    <row r="1634" spans="1:2" ht="14" customHeight="1" x14ac:dyDescent="0.3">
      <c r="A1634" s="19"/>
      <c r="B1634" s="36"/>
    </row>
    <row r="1635" spans="1:2" ht="14" customHeight="1" x14ac:dyDescent="0.3">
      <c r="A1635" s="19"/>
      <c r="B1635" s="36"/>
    </row>
    <row r="1636" spans="1:2" ht="14" customHeight="1" x14ac:dyDescent="0.3">
      <c r="A1636" s="19"/>
      <c r="B1636" s="36"/>
    </row>
    <row r="1637" spans="1:2" ht="14" customHeight="1" x14ac:dyDescent="0.3">
      <c r="A1637" s="19"/>
      <c r="B1637" s="36"/>
    </row>
    <row r="1638" spans="1:2" ht="14" customHeight="1" x14ac:dyDescent="0.3">
      <c r="A1638" s="19"/>
      <c r="B1638" s="36"/>
    </row>
    <row r="1639" spans="1:2" ht="14" customHeight="1" x14ac:dyDescent="0.3">
      <c r="A1639" s="19"/>
      <c r="B1639" s="36"/>
    </row>
    <row r="1640" spans="1:2" ht="14" customHeight="1" x14ac:dyDescent="0.3">
      <c r="A1640" s="19"/>
      <c r="B1640" s="36"/>
    </row>
    <row r="1641" spans="1:2" ht="14" customHeight="1" x14ac:dyDescent="0.3">
      <c r="A1641" s="19"/>
      <c r="B1641" s="36"/>
    </row>
    <row r="1642" spans="1:2" ht="14" customHeight="1" x14ac:dyDescent="0.3">
      <c r="A1642" s="19"/>
      <c r="B1642" s="36"/>
    </row>
    <row r="1643" spans="1:2" ht="14" customHeight="1" x14ac:dyDescent="0.3">
      <c r="A1643" s="19"/>
      <c r="B1643" s="36"/>
    </row>
    <row r="1644" spans="1:2" ht="14" customHeight="1" x14ac:dyDescent="0.3">
      <c r="A1644" s="19"/>
      <c r="B1644" s="36"/>
    </row>
    <row r="1645" spans="1:2" ht="14" customHeight="1" x14ac:dyDescent="0.3">
      <c r="A1645" s="19"/>
      <c r="B1645" s="36"/>
    </row>
    <row r="1646" spans="1:2" ht="14" customHeight="1" x14ac:dyDescent="0.3">
      <c r="A1646" s="19"/>
      <c r="B1646" s="36"/>
    </row>
    <row r="1647" spans="1:2" ht="14" customHeight="1" x14ac:dyDescent="0.3">
      <c r="A1647" s="19"/>
      <c r="B1647" s="36"/>
    </row>
    <row r="1648" spans="1:2" ht="14" customHeight="1" x14ac:dyDescent="0.3">
      <c r="A1648" s="19"/>
      <c r="B1648" s="36"/>
    </row>
    <row r="1649" spans="1:2" ht="14" customHeight="1" x14ac:dyDescent="0.3">
      <c r="A1649" s="19"/>
      <c r="B1649" s="36"/>
    </row>
    <row r="1650" spans="1:2" ht="14" customHeight="1" x14ac:dyDescent="0.3">
      <c r="A1650" s="19"/>
      <c r="B1650" s="36"/>
    </row>
    <row r="1651" spans="1:2" ht="14" customHeight="1" x14ac:dyDescent="0.3">
      <c r="A1651" s="19"/>
      <c r="B1651" s="36"/>
    </row>
    <row r="1652" spans="1:2" ht="14" customHeight="1" x14ac:dyDescent="0.3">
      <c r="A1652" s="19"/>
      <c r="B1652" s="36"/>
    </row>
    <row r="1653" spans="1:2" ht="14" customHeight="1" x14ac:dyDescent="0.3">
      <c r="A1653" s="19"/>
      <c r="B1653" s="36"/>
    </row>
    <row r="1654" spans="1:2" ht="14" customHeight="1" x14ac:dyDescent="0.3">
      <c r="A1654" s="19"/>
      <c r="B1654" s="36"/>
    </row>
    <row r="1655" spans="1:2" ht="14" customHeight="1" x14ac:dyDescent="0.3">
      <c r="A1655" s="19"/>
      <c r="B1655" s="36"/>
    </row>
    <row r="1656" spans="1:2" ht="14" customHeight="1" x14ac:dyDescent="0.3">
      <c r="A1656" s="19"/>
      <c r="B1656" s="36"/>
    </row>
    <row r="1657" spans="1:2" ht="14" customHeight="1" x14ac:dyDescent="0.3">
      <c r="A1657" s="19"/>
      <c r="B1657" s="36"/>
    </row>
    <row r="1658" spans="1:2" ht="14" customHeight="1" x14ac:dyDescent="0.3">
      <c r="A1658" s="19"/>
      <c r="B1658" s="36"/>
    </row>
    <row r="1659" spans="1:2" ht="14" customHeight="1" x14ac:dyDescent="0.3">
      <c r="A1659" s="19"/>
      <c r="B1659" s="36"/>
    </row>
    <row r="1660" spans="1:2" ht="14" customHeight="1" x14ac:dyDescent="0.3">
      <c r="A1660" s="19"/>
      <c r="B1660" s="36"/>
    </row>
    <row r="1661" spans="1:2" ht="14" customHeight="1" x14ac:dyDescent="0.3">
      <c r="A1661" s="19"/>
      <c r="B1661" s="36"/>
    </row>
    <row r="1662" spans="1:2" ht="14" customHeight="1" x14ac:dyDescent="0.3">
      <c r="A1662" s="19"/>
      <c r="B1662" s="36"/>
    </row>
    <row r="1663" spans="1:2" ht="14" customHeight="1" x14ac:dyDescent="0.3">
      <c r="A1663" s="19"/>
      <c r="B1663" s="36"/>
    </row>
    <row r="1664" spans="1:2" ht="14" customHeight="1" x14ac:dyDescent="0.3">
      <c r="A1664" s="19"/>
      <c r="B1664" s="36"/>
    </row>
    <row r="1665" spans="1:2" ht="14" customHeight="1" x14ac:dyDescent="0.3">
      <c r="A1665" s="19"/>
      <c r="B1665" s="36"/>
    </row>
    <row r="1666" spans="1:2" ht="14" customHeight="1" x14ac:dyDescent="0.3">
      <c r="A1666" s="19"/>
      <c r="B1666" s="36"/>
    </row>
    <row r="1667" spans="1:2" ht="14" customHeight="1" x14ac:dyDescent="0.3">
      <c r="A1667" s="19"/>
      <c r="B1667" s="36"/>
    </row>
    <row r="1668" spans="1:2" ht="14" customHeight="1" x14ac:dyDescent="0.3">
      <c r="A1668" s="19"/>
      <c r="B1668" s="36"/>
    </row>
    <row r="1669" spans="1:2" ht="14" customHeight="1" x14ac:dyDescent="0.3">
      <c r="A1669" s="19"/>
      <c r="B1669" s="36"/>
    </row>
    <row r="1670" spans="1:2" ht="14" customHeight="1" x14ac:dyDescent="0.3">
      <c r="A1670" s="19"/>
      <c r="B1670" s="36"/>
    </row>
    <row r="1671" spans="1:2" ht="14" customHeight="1" x14ac:dyDescent="0.3">
      <c r="A1671" s="19"/>
      <c r="B1671" s="36"/>
    </row>
    <row r="1672" spans="1:2" ht="14" customHeight="1" x14ac:dyDescent="0.3">
      <c r="A1672" s="19"/>
      <c r="B1672" s="36"/>
    </row>
    <row r="1673" spans="1:2" ht="14" customHeight="1" x14ac:dyDescent="0.3">
      <c r="A1673" s="19"/>
      <c r="B1673" s="36"/>
    </row>
    <row r="1674" spans="1:2" ht="14" customHeight="1" x14ac:dyDescent="0.3">
      <c r="A1674" s="19"/>
      <c r="B1674" s="36"/>
    </row>
    <row r="1675" spans="1:2" ht="14" customHeight="1" x14ac:dyDescent="0.3">
      <c r="A1675" s="19"/>
      <c r="B1675" s="36"/>
    </row>
    <row r="1676" spans="1:2" ht="8" customHeight="1" x14ac:dyDescent="0.3">
      <c r="A1676" s="19"/>
      <c r="B1676" s="36"/>
    </row>
    <row r="1677" spans="1:2" ht="14" customHeight="1" x14ac:dyDescent="0.3">
      <c r="A1677" s="19"/>
      <c r="B1677" s="36"/>
    </row>
    <row r="1678" spans="1:2" ht="8" customHeight="1" x14ac:dyDescent="0.3">
      <c r="A1678" s="19"/>
      <c r="B1678" s="36"/>
    </row>
    <row r="1679" spans="1:2" ht="14" customHeight="1" x14ac:dyDescent="0.3">
      <c r="A1679" s="19"/>
      <c r="B1679" s="36"/>
    </row>
    <row r="1680" spans="1:2" ht="14" customHeight="1" x14ac:dyDescent="0.3">
      <c r="A1680" s="19"/>
      <c r="B1680" s="36"/>
    </row>
    <row r="1681" spans="1:2" ht="14" customHeight="1" x14ac:dyDescent="0.3">
      <c r="A1681" s="19"/>
      <c r="B1681" s="36"/>
    </row>
    <row r="1682" spans="1:2" ht="14" customHeight="1" x14ac:dyDescent="0.3">
      <c r="A1682" s="19"/>
      <c r="B1682" s="36"/>
    </row>
    <row r="1683" spans="1:2" ht="14" customHeight="1" x14ac:dyDescent="0.3">
      <c r="A1683" s="19"/>
      <c r="B1683" s="36"/>
    </row>
    <row r="1684" spans="1:2" ht="14" customHeight="1" x14ac:dyDescent="0.3">
      <c r="A1684" s="19"/>
      <c r="B1684" s="36"/>
    </row>
    <row r="1685" spans="1:2" ht="14" customHeight="1" x14ac:dyDescent="0.3">
      <c r="A1685" s="19"/>
      <c r="B1685" s="36"/>
    </row>
    <row r="1686" spans="1:2" ht="14" customHeight="1" x14ac:dyDescent="0.3">
      <c r="A1686" s="19"/>
      <c r="B1686" s="36"/>
    </row>
    <row r="1687" spans="1:2" ht="14" customHeight="1" x14ac:dyDescent="0.3">
      <c r="A1687" s="19"/>
      <c r="B1687" s="36"/>
    </row>
    <row r="1688" spans="1:2" ht="14" customHeight="1" x14ac:dyDescent="0.3">
      <c r="A1688" s="19"/>
      <c r="B1688" s="36"/>
    </row>
    <row r="1689" spans="1:2" ht="14" customHeight="1" x14ac:dyDescent="0.3">
      <c r="A1689" s="19"/>
      <c r="B1689" s="36"/>
    </row>
    <row r="1690" spans="1:2" ht="14" customHeight="1" x14ac:dyDescent="0.3">
      <c r="A1690" s="19"/>
      <c r="B1690" s="36"/>
    </row>
    <row r="1691" spans="1:2" ht="14" customHeight="1" x14ac:dyDescent="0.3">
      <c r="A1691" s="19"/>
      <c r="B1691" s="36"/>
    </row>
    <row r="1692" spans="1:2" ht="14" customHeight="1" x14ac:dyDescent="0.3">
      <c r="A1692" s="19"/>
      <c r="B1692" s="36"/>
    </row>
    <row r="1693" spans="1:2" ht="14" customHeight="1" x14ac:dyDescent="0.3">
      <c r="A1693" s="19"/>
      <c r="B1693" s="36"/>
    </row>
    <row r="1694" spans="1:2" ht="14" customHeight="1" x14ac:dyDescent="0.3">
      <c r="A1694" s="19"/>
      <c r="B1694" s="36"/>
    </row>
    <row r="1695" spans="1:2" ht="14" customHeight="1" x14ac:dyDescent="0.3">
      <c r="A1695" s="19"/>
      <c r="B1695" s="36"/>
    </row>
    <row r="1696" spans="1:2" ht="14" customHeight="1" x14ac:dyDescent="0.3">
      <c r="A1696" s="19"/>
      <c r="B1696" s="36"/>
    </row>
    <row r="1697" spans="1:2" ht="14" customHeight="1" x14ac:dyDescent="0.3">
      <c r="A1697" s="19"/>
      <c r="B1697" s="36"/>
    </row>
    <row r="1698" spans="1:2" ht="14" customHeight="1" x14ac:dyDescent="0.3">
      <c r="A1698" s="19"/>
      <c r="B1698" s="36"/>
    </row>
    <row r="1699" spans="1:2" ht="14" customHeight="1" x14ac:dyDescent="0.3">
      <c r="A1699" s="19"/>
      <c r="B1699" s="36"/>
    </row>
    <row r="1700" spans="1:2" ht="14" customHeight="1" x14ac:dyDescent="0.3">
      <c r="A1700" s="19"/>
      <c r="B1700" s="36"/>
    </row>
    <row r="1701" spans="1:2" ht="14" customHeight="1" x14ac:dyDescent="0.3">
      <c r="A1701" s="19"/>
      <c r="B1701" s="36"/>
    </row>
    <row r="1702" spans="1:2" ht="14" customHeight="1" x14ac:dyDescent="0.3">
      <c r="A1702" s="19"/>
      <c r="B1702" s="36"/>
    </row>
    <row r="1703" spans="1:2" ht="14" customHeight="1" x14ac:dyDescent="0.3">
      <c r="A1703" s="19"/>
      <c r="B1703" s="36"/>
    </row>
    <row r="1704" spans="1:2" ht="14" customHeight="1" x14ac:dyDescent="0.3">
      <c r="A1704" s="19"/>
      <c r="B1704" s="36"/>
    </row>
    <row r="1705" spans="1:2" ht="14" customHeight="1" x14ac:dyDescent="0.3">
      <c r="A1705" s="19"/>
      <c r="B1705" s="36"/>
    </row>
    <row r="1706" spans="1:2" ht="14" customHeight="1" x14ac:dyDescent="0.3">
      <c r="A1706" s="19"/>
      <c r="B1706" s="36"/>
    </row>
    <row r="1707" spans="1:2" ht="14" customHeight="1" x14ac:dyDescent="0.3">
      <c r="A1707" s="19"/>
      <c r="B1707" s="36"/>
    </row>
    <row r="1708" spans="1:2" ht="14" customHeight="1" x14ac:dyDescent="0.3">
      <c r="A1708" s="19"/>
      <c r="B1708" s="36"/>
    </row>
    <row r="1709" spans="1:2" ht="14" customHeight="1" x14ac:dyDescent="0.3">
      <c r="A1709" s="19"/>
      <c r="B1709" s="36"/>
    </row>
    <row r="1710" spans="1:2" ht="14" customHeight="1" x14ac:dyDescent="0.3">
      <c r="A1710" s="19"/>
      <c r="B1710" s="36"/>
    </row>
    <row r="1711" spans="1:2" ht="14" customHeight="1" x14ac:dyDescent="0.3">
      <c r="A1711" s="19"/>
      <c r="B1711" s="36"/>
    </row>
    <row r="1712" spans="1:2" ht="14" customHeight="1" x14ac:dyDescent="0.3">
      <c r="A1712" s="19"/>
      <c r="B1712" s="36"/>
    </row>
    <row r="1713" spans="1:2" ht="14" customHeight="1" x14ac:dyDescent="0.3">
      <c r="A1713" s="19"/>
      <c r="B1713" s="36"/>
    </row>
    <row r="1714" spans="1:2" ht="14" customHeight="1" x14ac:dyDescent="0.3">
      <c r="A1714" s="19"/>
      <c r="B1714" s="36"/>
    </row>
    <row r="1715" spans="1:2" ht="14" customHeight="1" x14ac:dyDescent="0.3">
      <c r="A1715" s="19"/>
      <c r="B1715" s="36"/>
    </row>
    <row r="1716" spans="1:2" ht="14" customHeight="1" x14ac:dyDescent="0.3">
      <c r="A1716" s="19"/>
      <c r="B1716" s="36"/>
    </row>
    <row r="1717" spans="1:2" ht="14" customHeight="1" x14ac:dyDescent="0.3">
      <c r="A1717" s="19"/>
      <c r="B1717" s="36"/>
    </row>
    <row r="1718" spans="1:2" ht="14" customHeight="1" x14ac:dyDescent="0.3">
      <c r="A1718" s="19"/>
      <c r="B1718" s="36"/>
    </row>
    <row r="1719" spans="1:2" ht="14" customHeight="1" x14ac:dyDescent="0.3">
      <c r="A1719" s="19"/>
      <c r="B1719" s="36"/>
    </row>
    <row r="1720" spans="1:2" ht="14" customHeight="1" x14ac:dyDescent="0.3">
      <c r="A1720" s="19"/>
      <c r="B1720" s="36"/>
    </row>
    <row r="1721" spans="1:2" ht="14" customHeight="1" x14ac:dyDescent="0.3">
      <c r="A1721" s="19"/>
      <c r="B1721" s="36"/>
    </row>
    <row r="1722" spans="1:2" ht="14" customHeight="1" x14ac:dyDescent="0.3">
      <c r="A1722" s="19"/>
      <c r="B1722" s="36"/>
    </row>
    <row r="1723" spans="1:2" ht="14" customHeight="1" x14ac:dyDescent="0.3">
      <c r="A1723" s="19"/>
      <c r="B1723" s="36"/>
    </row>
    <row r="1724" spans="1:2" ht="14" customHeight="1" x14ac:dyDescent="0.3">
      <c r="A1724" s="19"/>
      <c r="B1724" s="36"/>
    </row>
    <row r="1725" spans="1:2" ht="14" customHeight="1" x14ac:dyDescent="0.3">
      <c r="A1725" s="19"/>
      <c r="B1725" s="36"/>
    </row>
    <row r="1726" spans="1:2" ht="14" customHeight="1" x14ac:dyDescent="0.3">
      <c r="A1726" s="19"/>
      <c r="B1726" s="36"/>
    </row>
    <row r="1727" spans="1:2" ht="14" customHeight="1" x14ac:dyDescent="0.3">
      <c r="A1727" s="19"/>
      <c r="B1727" s="36"/>
    </row>
    <row r="1728" spans="1:2" ht="14" customHeight="1" x14ac:dyDescent="0.3">
      <c r="A1728" s="19"/>
      <c r="B1728" s="36"/>
    </row>
    <row r="1729" spans="1:2" ht="14" customHeight="1" x14ac:dyDescent="0.3">
      <c r="A1729" s="19"/>
      <c r="B1729" s="36"/>
    </row>
    <row r="1730" spans="1:2" ht="14" customHeight="1" x14ac:dyDescent="0.3">
      <c r="A1730" s="19"/>
      <c r="B1730" s="36"/>
    </row>
    <row r="1731" spans="1:2" ht="14" customHeight="1" x14ac:dyDescent="0.3">
      <c r="A1731" s="19"/>
      <c r="B1731" s="36"/>
    </row>
    <row r="1732" spans="1:2" ht="14" customHeight="1" x14ac:dyDescent="0.3">
      <c r="A1732" s="19"/>
      <c r="B1732" s="36"/>
    </row>
    <row r="1733" spans="1:2" ht="14" customHeight="1" x14ac:dyDescent="0.3">
      <c r="A1733" s="19"/>
      <c r="B1733" s="36"/>
    </row>
    <row r="1734" spans="1:2" ht="14" customHeight="1" x14ac:dyDescent="0.3">
      <c r="A1734" s="19"/>
      <c r="B1734" s="36"/>
    </row>
    <row r="1735" spans="1:2" ht="14" customHeight="1" x14ac:dyDescent="0.3">
      <c r="A1735" s="19"/>
      <c r="B1735" s="36"/>
    </row>
    <row r="1736" spans="1:2" ht="8" customHeight="1" x14ac:dyDescent="0.3">
      <c r="A1736" s="19"/>
      <c r="B1736" s="36"/>
    </row>
    <row r="1737" spans="1:2" ht="14" customHeight="1" x14ac:dyDescent="0.3">
      <c r="A1737" s="19"/>
      <c r="B1737" s="36"/>
    </row>
    <row r="1738" spans="1:2" ht="8" customHeight="1" x14ac:dyDescent="0.3">
      <c r="A1738" s="19"/>
      <c r="B1738" s="36"/>
    </row>
    <row r="1739" spans="1:2" ht="14" customHeight="1" x14ac:dyDescent="0.3">
      <c r="A1739" s="19"/>
      <c r="B1739" s="36"/>
    </row>
    <row r="1740" spans="1:2" ht="14" customHeight="1" x14ac:dyDescent="0.3">
      <c r="A1740" s="19"/>
      <c r="B1740" s="36"/>
    </row>
    <row r="1741" spans="1:2" ht="14" customHeight="1" x14ac:dyDescent="0.3">
      <c r="A1741" s="19"/>
      <c r="B1741" s="36"/>
    </row>
    <row r="1742" spans="1:2" ht="14" customHeight="1" x14ac:dyDescent="0.3">
      <c r="A1742" s="19"/>
      <c r="B1742" s="36"/>
    </row>
    <row r="1743" spans="1:2" ht="14" customHeight="1" x14ac:dyDescent="0.3">
      <c r="A1743" s="19"/>
      <c r="B1743" s="36"/>
    </row>
    <row r="1744" spans="1:2" x14ac:dyDescent="0.3">
      <c r="A1744" s="19"/>
      <c r="B1744" s="36"/>
    </row>
    <row r="1745" spans="1:22" x14ac:dyDescent="0.3">
      <c r="A1745" s="19"/>
      <c r="B1745" s="36"/>
    </row>
    <row r="1746" spans="1:22" ht="8" customHeight="1" x14ac:dyDescent="0.3">
      <c r="A1746" s="19"/>
      <c r="B1746" s="36"/>
    </row>
    <row r="1747" spans="1:22" x14ac:dyDescent="0.3">
      <c r="A1747" s="19"/>
      <c r="B1747" s="36"/>
    </row>
    <row r="1748" spans="1:22" s="325" customFormat="1" x14ac:dyDescent="0.3">
      <c r="A1748" s="19"/>
      <c r="B1748" s="36"/>
      <c r="C1748" s="19"/>
      <c r="D1748" s="19"/>
      <c r="E1748" s="19"/>
      <c r="F1748" s="19"/>
      <c r="G1748" s="19"/>
      <c r="H1748" s="19"/>
      <c r="I1748" s="19"/>
      <c r="J1748" s="19"/>
      <c r="K1748" s="19"/>
      <c r="L1748" s="19"/>
      <c r="M1748" s="19"/>
      <c r="N1748" s="19"/>
      <c r="O1748" s="19"/>
      <c r="P1748" s="19"/>
      <c r="Q1748" s="19"/>
      <c r="R1748" s="19"/>
      <c r="S1748" s="19"/>
      <c r="T1748" s="19"/>
      <c r="U1748" s="19"/>
      <c r="V1748" s="19"/>
    </row>
    <row r="1749" spans="1:22" s="325" customFormat="1" ht="14.5" customHeight="1" x14ac:dyDescent="0.3">
      <c r="A1749" s="19"/>
      <c r="B1749" s="36"/>
      <c r="C1749" s="19"/>
      <c r="D1749" s="19"/>
      <c r="E1749" s="19"/>
      <c r="F1749" s="19"/>
      <c r="G1749" s="19"/>
      <c r="H1749" s="19"/>
      <c r="I1749" s="19"/>
      <c r="J1749" s="19"/>
      <c r="K1749" s="19"/>
      <c r="L1749" s="19"/>
      <c r="M1749" s="19"/>
      <c r="N1749" s="19"/>
      <c r="O1749" s="19"/>
      <c r="P1749" s="19"/>
      <c r="Q1749" s="19"/>
      <c r="R1749" s="19"/>
      <c r="S1749" s="19"/>
      <c r="T1749" s="19"/>
      <c r="U1749" s="19"/>
      <c r="V1749" s="19"/>
    </row>
    <row r="1750" spans="1:22" x14ac:dyDescent="0.3">
      <c r="A1750" s="19"/>
      <c r="B1750" s="36"/>
    </row>
    <row r="1751" spans="1:22" x14ac:dyDescent="0.3">
      <c r="A1751" s="19"/>
      <c r="B1751" s="36"/>
    </row>
    <row r="1752" spans="1:22" x14ac:dyDescent="0.3">
      <c r="A1752" s="19"/>
      <c r="B1752" s="36"/>
    </row>
    <row r="1753" spans="1:22" x14ac:dyDescent="0.3">
      <c r="A1753" s="19"/>
      <c r="B1753" s="36"/>
    </row>
    <row r="1754" spans="1:22" x14ac:dyDescent="0.3">
      <c r="A1754" s="19"/>
      <c r="B1754" s="36"/>
    </row>
    <row r="1755" spans="1:22" x14ac:dyDescent="0.3">
      <c r="A1755" s="19"/>
      <c r="B1755" s="36"/>
    </row>
    <row r="1756" spans="1:22" x14ac:dyDescent="0.3">
      <c r="A1756" s="19"/>
      <c r="B1756" s="36"/>
    </row>
    <row r="1757" spans="1:22" x14ac:dyDescent="0.3">
      <c r="A1757" s="19"/>
      <c r="B1757" s="36"/>
    </row>
    <row r="1758" spans="1:22" x14ac:dyDescent="0.3">
      <c r="A1758" s="19"/>
      <c r="B1758" s="36"/>
    </row>
    <row r="1759" spans="1:22" x14ac:dyDescent="0.3">
      <c r="A1759" s="19"/>
      <c r="B1759" s="36"/>
    </row>
    <row r="1760" spans="1:22" x14ac:dyDescent="0.3">
      <c r="A1760" s="19"/>
      <c r="B1760" s="36"/>
    </row>
    <row r="1761" spans="1:2" x14ac:dyDescent="0.3">
      <c r="A1761" s="19"/>
      <c r="B1761" s="36"/>
    </row>
    <row r="1762" spans="1:2" x14ac:dyDescent="0.3">
      <c r="A1762" s="19"/>
      <c r="B1762" s="36"/>
    </row>
    <row r="1763" spans="1:2" x14ac:dyDescent="0.3">
      <c r="A1763" s="19"/>
      <c r="B1763" s="36"/>
    </row>
    <row r="1764" spans="1:2" x14ac:dyDescent="0.3">
      <c r="A1764" s="19"/>
      <c r="B1764" s="36"/>
    </row>
    <row r="1765" spans="1:2" x14ac:dyDescent="0.3">
      <c r="A1765" s="19"/>
      <c r="B1765" s="36"/>
    </row>
    <row r="1766" spans="1:2" x14ac:dyDescent="0.3">
      <c r="A1766" s="19"/>
      <c r="B1766" s="36"/>
    </row>
    <row r="1767" spans="1:2" x14ac:dyDescent="0.3">
      <c r="A1767" s="19"/>
      <c r="B1767" s="36"/>
    </row>
    <row r="1768" spans="1:2" x14ac:dyDescent="0.3">
      <c r="A1768" s="19"/>
      <c r="B1768" s="36"/>
    </row>
    <row r="1769" spans="1:2" x14ac:dyDescent="0.3">
      <c r="A1769" s="19"/>
      <c r="B1769" s="36"/>
    </row>
    <row r="1770" spans="1:2" x14ac:dyDescent="0.3">
      <c r="A1770" s="19"/>
      <c r="B1770" s="36"/>
    </row>
    <row r="1771" spans="1:2" x14ac:dyDescent="0.3">
      <c r="A1771" s="19"/>
      <c r="B1771" s="36"/>
    </row>
    <row r="1772" spans="1:2" x14ac:dyDescent="0.3">
      <c r="A1772" s="19"/>
      <c r="B1772" s="36"/>
    </row>
    <row r="1773" spans="1:2" x14ac:dyDescent="0.3">
      <c r="A1773" s="19"/>
      <c r="B1773" s="36"/>
    </row>
    <row r="1774" spans="1:2" x14ac:dyDescent="0.3">
      <c r="A1774" s="19"/>
      <c r="B1774" s="36"/>
    </row>
    <row r="1775" spans="1:2" x14ac:dyDescent="0.3">
      <c r="A1775" s="19"/>
      <c r="B1775" s="36"/>
    </row>
    <row r="1776" spans="1:2" x14ac:dyDescent="0.3">
      <c r="A1776" s="19"/>
      <c r="B1776" s="36"/>
    </row>
    <row r="1777" spans="1:2" x14ac:dyDescent="0.3">
      <c r="A1777" s="19"/>
      <c r="B1777" s="36"/>
    </row>
    <row r="1778" spans="1:2" x14ac:dyDescent="0.3">
      <c r="A1778" s="19"/>
      <c r="B1778" s="36"/>
    </row>
    <row r="1779" spans="1:2" x14ac:dyDescent="0.3">
      <c r="A1779" s="19"/>
      <c r="B1779" s="36"/>
    </row>
    <row r="1780" spans="1:2" x14ac:dyDescent="0.3">
      <c r="A1780" s="19"/>
      <c r="B1780" s="36"/>
    </row>
    <row r="1781" spans="1:2" x14ac:dyDescent="0.3">
      <c r="A1781" s="19"/>
      <c r="B1781" s="36"/>
    </row>
    <row r="1782" spans="1:2" x14ac:dyDescent="0.3">
      <c r="A1782" s="19"/>
      <c r="B1782" s="36"/>
    </row>
    <row r="1783" spans="1:2" x14ac:dyDescent="0.3">
      <c r="A1783" s="19"/>
      <c r="B1783" s="36"/>
    </row>
    <row r="1784" spans="1:2" x14ac:dyDescent="0.3">
      <c r="A1784" s="19"/>
      <c r="B1784" s="36"/>
    </row>
    <row r="1785" spans="1:2" x14ac:dyDescent="0.3">
      <c r="A1785" s="19"/>
      <c r="B1785" s="36"/>
    </row>
    <row r="1786" spans="1:2" x14ac:dyDescent="0.3">
      <c r="A1786" s="19"/>
      <c r="B1786" s="36"/>
    </row>
    <row r="1787" spans="1:2" x14ac:dyDescent="0.3">
      <c r="A1787" s="19"/>
      <c r="B1787" s="36"/>
    </row>
    <row r="1788" spans="1:2" x14ac:dyDescent="0.3">
      <c r="A1788" s="19"/>
      <c r="B1788" s="36"/>
    </row>
    <row r="1789" spans="1:2" x14ac:dyDescent="0.3">
      <c r="A1789" s="19"/>
      <c r="B1789" s="36"/>
    </row>
    <row r="1790" spans="1:2" x14ac:dyDescent="0.3">
      <c r="A1790" s="19"/>
      <c r="B1790" s="36"/>
    </row>
    <row r="1791" spans="1:2" x14ac:dyDescent="0.3">
      <c r="A1791" s="19"/>
      <c r="B1791" s="36"/>
    </row>
    <row r="1792" spans="1:2" x14ac:dyDescent="0.3">
      <c r="A1792" s="19"/>
      <c r="B1792" s="36"/>
    </row>
    <row r="1793" spans="1:2" x14ac:dyDescent="0.3">
      <c r="A1793" s="19"/>
      <c r="B1793" s="36"/>
    </row>
    <row r="1794" spans="1:2" x14ac:dyDescent="0.3">
      <c r="A1794" s="19"/>
      <c r="B1794" s="36"/>
    </row>
    <row r="1795" spans="1:2" x14ac:dyDescent="0.3">
      <c r="A1795" s="19"/>
      <c r="B1795" s="36"/>
    </row>
    <row r="1796" spans="1:2" x14ac:dyDescent="0.3">
      <c r="A1796" s="19"/>
      <c r="B1796" s="36"/>
    </row>
    <row r="1797" spans="1:2" x14ac:dyDescent="0.3">
      <c r="A1797" s="19"/>
      <c r="B1797" s="36"/>
    </row>
    <row r="1798" spans="1:2" x14ac:dyDescent="0.3">
      <c r="A1798" s="19"/>
      <c r="B1798" s="36"/>
    </row>
    <row r="1799" spans="1:2" x14ac:dyDescent="0.3">
      <c r="A1799" s="19"/>
      <c r="B1799" s="36"/>
    </row>
    <row r="1800" spans="1:2" x14ac:dyDescent="0.3">
      <c r="A1800" s="19"/>
      <c r="B1800" s="36"/>
    </row>
    <row r="1801" spans="1:2" x14ac:dyDescent="0.3">
      <c r="A1801" s="19"/>
      <c r="B1801" s="36"/>
    </row>
    <row r="1802" spans="1:2" x14ac:dyDescent="0.3">
      <c r="A1802" s="19"/>
      <c r="B1802" s="36"/>
    </row>
    <row r="1803" spans="1:2" x14ac:dyDescent="0.3">
      <c r="A1803" s="19"/>
      <c r="B1803" s="36"/>
    </row>
    <row r="1804" spans="1:2" x14ac:dyDescent="0.3">
      <c r="A1804" s="19"/>
      <c r="B1804" s="36"/>
    </row>
    <row r="1805" spans="1:2" x14ac:dyDescent="0.3">
      <c r="A1805" s="19"/>
      <c r="B1805" s="36"/>
    </row>
    <row r="1806" spans="1:2" x14ac:dyDescent="0.3">
      <c r="A1806" s="19"/>
      <c r="B1806" s="36"/>
    </row>
    <row r="1807" spans="1:2" x14ac:dyDescent="0.3">
      <c r="A1807" s="19"/>
      <c r="B1807" s="36"/>
    </row>
    <row r="1808" spans="1:2" x14ac:dyDescent="0.3">
      <c r="A1808" s="19"/>
      <c r="B1808" s="36"/>
    </row>
    <row r="1809" spans="1:2" x14ac:dyDescent="0.3">
      <c r="A1809" s="19"/>
      <c r="B1809" s="36"/>
    </row>
    <row r="1810" spans="1:2" x14ac:dyDescent="0.3">
      <c r="A1810" s="19"/>
      <c r="B1810" s="36"/>
    </row>
    <row r="1811" spans="1:2" x14ac:dyDescent="0.3">
      <c r="A1811" s="19"/>
      <c r="B1811" s="36"/>
    </row>
    <row r="1812" spans="1:2" x14ac:dyDescent="0.3">
      <c r="A1812" s="19"/>
      <c r="B1812" s="36"/>
    </row>
    <row r="1813" spans="1:2" x14ac:dyDescent="0.3">
      <c r="A1813" s="19"/>
      <c r="B1813" s="36"/>
    </row>
    <row r="1814" spans="1:2" x14ac:dyDescent="0.3">
      <c r="A1814" s="19"/>
      <c r="B1814" s="36"/>
    </row>
    <row r="1815" spans="1:2" x14ac:dyDescent="0.3">
      <c r="A1815" s="19"/>
      <c r="B1815" s="36"/>
    </row>
    <row r="1816" spans="1:2" x14ac:dyDescent="0.3">
      <c r="A1816" s="19"/>
      <c r="B1816" s="36"/>
    </row>
    <row r="1817" spans="1:2" x14ac:dyDescent="0.3">
      <c r="A1817" s="19"/>
      <c r="B1817" s="36"/>
    </row>
    <row r="1818" spans="1:2" x14ac:dyDescent="0.3">
      <c r="A1818" s="19"/>
      <c r="B1818" s="36"/>
    </row>
    <row r="1819" spans="1:2" x14ac:dyDescent="0.3">
      <c r="A1819" s="19"/>
      <c r="B1819" s="36"/>
    </row>
    <row r="1820" spans="1:2" x14ac:dyDescent="0.3">
      <c r="A1820" s="19"/>
      <c r="B1820" s="36"/>
    </row>
    <row r="1821" spans="1:2" x14ac:dyDescent="0.3">
      <c r="A1821" s="19"/>
      <c r="B1821" s="36"/>
    </row>
    <row r="1822" spans="1:2" x14ac:dyDescent="0.3">
      <c r="A1822" s="19"/>
      <c r="B1822" s="36"/>
    </row>
    <row r="1823" spans="1:2" x14ac:dyDescent="0.3">
      <c r="A1823" s="19"/>
      <c r="B1823" s="36"/>
    </row>
    <row r="1824" spans="1:2" x14ac:dyDescent="0.3">
      <c r="A1824" s="19"/>
      <c r="B1824" s="36"/>
    </row>
    <row r="1825" spans="1:2" x14ac:dyDescent="0.3">
      <c r="A1825" s="19"/>
      <c r="B1825" s="36"/>
    </row>
    <row r="1826" spans="1:2" x14ac:dyDescent="0.3">
      <c r="A1826" s="19"/>
      <c r="B1826" s="36"/>
    </row>
    <row r="1827" spans="1:2" x14ac:dyDescent="0.3">
      <c r="A1827" s="19"/>
      <c r="B1827" s="36"/>
    </row>
    <row r="1828" spans="1:2" x14ac:dyDescent="0.3">
      <c r="A1828" s="19"/>
      <c r="B1828" s="36"/>
    </row>
    <row r="1829" spans="1:2" x14ac:dyDescent="0.3">
      <c r="A1829" s="19"/>
      <c r="B1829" s="36"/>
    </row>
    <row r="1830" spans="1:2" x14ac:dyDescent="0.3">
      <c r="A1830" s="19"/>
      <c r="B1830" s="36"/>
    </row>
    <row r="1831" spans="1:2" x14ac:dyDescent="0.3">
      <c r="A1831" s="19"/>
      <c r="B1831" s="36"/>
    </row>
    <row r="1832" spans="1:2" x14ac:dyDescent="0.3">
      <c r="A1832" s="19"/>
      <c r="B1832" s="36"/>
    </row>
    <row r="1833" spans="1:2" x14ac:dyDescent="0.3">
      <c r="A1833" s="19"/>
      <c r="B1833" s="36"/>
    </row>
    <row r="1834" spans="1:2" x14ac:dyDescent="0.3">
      <c r="A1834" s="19"/>
      <c r="B1834" s="36"/>
    </row>
    <row r="1835" spans="1:2" x14ac:dyDescent="0.3">
      <c r="A1835" s="19"/>
      <c r="B1835" s="36"/>
    </row>
    <row r="1836" spans="1:2" x14ac:dyDescent="0.3">
      <c r="A1836" s="19"/>
      <c r="B1836" s="36"/>
    </row>
    <row r="1837" spans="1:2" x14ac:dyDescent="0.3">
      <c r="A1837" s="19"/>
      <c r="B1837" s="36"/>
    </row>
    <row r="1838" spans="1:2" x14ac:dyDescent="0.3">
      <c r="A1838" s="19"/>
      <c r="B1838" s="36"/>
    </row>
    <row r="1839" spans="1:2" x14ac:dyDescent="0.3">
      <c r="A1839" s="19"/>
      <c r="B1839" s="36"/>
    </row>
    <row r="1840" spans="1:2" x14ac:dyDescent="0.3">
      <c r="A1840" s="19"/>
      <c r="B1840" s="36"/>
    </row>
    <row r="1841" spans="1:2" x14ac:dyDescent="0.3">
      <c r="A1841" s="19"/>
      <c r="B1841" s="36"/>
    </row>
    <row r="1842" spans="1:2" x14ac:dyDescent="0.3">
      <c r="A1842" s="19"/>
      <c r="B1842" s="36"/>
    </row>
    <row r="1843" spans="1:2" x14ac:dyDescent="0.3">
      <c r="A1843" s="19"/>
      <c r="B1843" s="36"/>
    </row>
    <row r="1844" spans="1:2" x14ac:dyDescent="0.3">
      <c r="A1844" s="19"/>
      <c r="B1844" s="36"/>
    </row>
    <row r="1845" spans="1:2" x14ac:dyDescent="0.3">
      <c r="A1845" s="19"/>
      <c r="B1845" s="36"/>
    </row>
    <row r="1846" spans="1:2" x14ac:dyDescent="0.3">
      <c r="A1846" s="19"/>
      <c r="B1846" s="36"/>
    </row>
    <row r="1847" spans="1:2" x14ac:dyDescent="0.3">
      <c r="A1847" s="19"/>
      <c r="B1847" s="36"/>
    </row>
    <row r="1848" spans="1:2" x14ac:dyDescent="0.3">
      <c r="A1848" s="19"/>
      <c r="B1848" s="36"/>
    </row>
    <row r="1849" spans="1:2" x14ac:dyDescent="0.3">
      <c r="A1849" s="19"/>
      <c r="B1849" s="36"/>
    </row>
    <row r="1850" spans="1:2" x14ac:dyDescent="0.3">
      <c r="A1850" s="19"/>
      <c r="B1850" s="36"/>
    </row>
    <row r="1851" spans="1:2" x14ac:dyDescent="0.3">
      <c r="A1851" s="19"/>
      <c r="B1851" s="36"/>
    </row>
    <row r="1852" spans="1:2" x14ac:dyDescent="0.3">
      <c r="A1852" s="19"/>
      <c r="B1852" s="36"/>
    </row>
    <row r="1853" spans="1:2" x14ac:dyDescent="0.3">
      <c r="A1853" s="19"/>
      <c r="B1853" s="36"/>
    </row>
    <row r="1854" spans="1:2" x14ac:dyDescent="0.3">
      <c r="A1854" s="19"/>
      <c r="B1854" s="36"/>
    </row>
    <row r="1855" spans="1:2" x14ac:dyDescent="0.3">
      <c r="A1855" s="19"/>
      <c r="B1855" s="36"/>
    </row>
    <row r="1856" spans="1:2" x14ac:dyDescent="0.3">
      <c r="A1856" s="19"/>
      <c r="B1856" s="36"/>
    </row>
    <row r="1857" spans="1:2" x14ac:dyDescent="0.3">
      <c r="A1857" s="19"/>
      <c r="B1857" s="36"/>
    </row>
    <row r="1858" spans="1:2" x14ac:dyDescent="0.3">
      <c r="A1858" s="19"/>
      <c r="B1858" s="36"/>
    </row>
    <row r="1859" spans="1:2" x14ac:dyDescent="0.3">
      <c r="A1859" s="19"/>
      <c r="B1859" s="36"/>
    </row>
    <row r="1860" spans="1:2" x14ac:dyDescent="0.3">
      <c r="A1860" s="19"/>
      <c r="B1860" s="36"/>
    </row>
    <row r="1861" spans="1:2" x14ac:dyDescent="0.3">
      <c r="A1861" s="19"/>
      <c r="B1861" s="36"/>
    </row>
    <row r="1862" spans="1:2" x14ac:dyDescent="0.3">
      <c r="A1862" s="19"/>
      <c r="B1862" s="36"/>
    </row>
    <row r="1863" spans="1:2" x14ac:dyDescent="0.3">
      <c r="A1863" s="19"/>
      <c r="B1863" s="36"/>
    </row>
    <row r="1864" spans="1:2" x14ac:dyDescent="0.3">
      <c r="A1864" s="19"/>
      <c r="B1864" s="36"/>
    </row>
    <row r="1865" spans="1:2" x14ac:dyDescent="0.3">
      <c r="A1865" s="19"/>
      <c r="B1865" s="36"/>
    </row>
    <row r="1866" spans="1:2" x14ac:dyDescent="0.3">
      <c r="A1866" s="19"/>
      <c r="B1866" s="36"/>
    </row>
    <row r="1867" spans="1:2" x14ac:dyDescent="0.3">
      <c r="A1867" s="19"/>
      <c r="B1867" s="36"/>
    </row>
    <row r="1868" spans="1:2" x14ac:dyDescent="0.3">
      <c r="A1868" s="19"/>
      <c r="B1868" s="36"/>
    </row>
    <row r="1869" spans="1:2" x14ac:dyDescent="0.3">
      <c r="A1869" s="19"/>
      <c r="B1869" s="36"/>
    </row>
    <row r="1870" spans="1:2" x14ac:dyDescent="0.3">
      <c r="A1870" s="19"/>
      <c r="B1870" s="36"/>
    </row>
    <row r="1871" spans="1:2" x14ac:dyDescent="0.3">
      <c r="A1871" s="19"/>
      <c r="B1871" s="36"/>
    </row>
    <row r="1872" spans="1:2" x14ac:dyDescent="0.3">
      <c r="A1872" s="19"/>
      <c r="B1872" s="36"/>
    </row>
    <row r="1873" spans="1:2" x14ac:dyDescent="0.3">
      <c r="A1873" s="19"/>
      <c r="B1873" s="36"/>
    </row>
    <row r="1874" spans="1:2" x14ac:dyDescent="0.3">
      <c r="A1874" s="19"/>
      <c r="B1874" s="36"/>
    </row>
    <row r="1875" spans="1:2" x14ac:dyDescent="0.3">
      <c r="A1875" s="19"/>
      <c r="B1875" s="36"/>
    </row>
    <row r="1876" spans="1:2" x14ac:dyDescent="0.3">
      <c r="A1876" s="19"/>
      <c r="B1876" s="36"/>
    </row>
    <row r="1877" spans="1:2" x14ac:dyDescent="0.3">
      <c r="A1877" s="19"/>
      <c r="B1877" s="36"/>
    </row>
    <row r="1878" spans="1:2" x14ac:dyDescent="0.3">
      <c r="A1878" s="19"/>
      <c r="B1878" s="36"/>
    </row>
    <row r="1879" spans="1:2" x14ac:dyDescent="0.3">
      <c r="A1879" s="19"/>
      <c r="B1879" s="36"/>
    </row>
    <row r="1880" spans="1:2" x14ac:dyDescent="0.3">
      <c r="A1880" s="19"/>
      <c r="B1880" s="36"/>
    </row>
    <row r="1881" spans="1:2" x14ac:dyDescent="0.3">
      <c r="A1881" s="19"/>
      <c r="B1881" s="36"/>
    </row>
    <row r="1882" spans="1:2" x14ac:dyDescent="0.3">
      <c r="A1882" s="19"/>
      <c r="B1882" s="36"/>
    </row>
    <row r="1883" spans="1:2" x14ac:dyDescent="0.3">
      <c r="A1883" s="19"/>
      <c r="B1883" s="36"/>
    </row>
    <row r="1884" spans="1:2" x14ac:dyDescent="0.3">
      <c r="A1884" s="19"/>
      <c r="B1884" s="36"/>
    </row>
    <row r="1885" spans="1:2" x14ac:dyDescent="0.3">
      <c r="A1885" s="19"/>
      <c r="B1885" s="36"/>
    </row>
    <row r="1886" spans="1:2" x14ac:dyDescent="0.3">
      <c r="A1886" s="19"/>
      <c r="B1886" s="36"/>
    </row>
    <row r="1887" spans="1:2" x14ac:dyDescent="0.3">
      <c r="A1887" s="19"/>
      <c r="B1887" s="36"/>
    </row>
    <row r="1888" spans="1:2" x14ac:dyDescent="0.3">
      <c r="A1888" s="19"/>
      <c r="B1888" s="36"/>
    </row>
    <row r="1889" spans="1:2" x14ac:dyDescent="0.3">
      <c r="A1889" s="19"/>
      <c r="B1889" s="36"/>
    </row>
    <row r="1890" spans="1:2" x14ac:dyDescent="0.3">
      <c r="A1890" s="19"/>
      <c r="B1890" s="36"/>
    </row>
    <row r="1891" spans="1:2" ht="8" customHeight="1" x14ac:dyDescent="0.3">
      <c r="A1891" s="19"/>
      <c r="B1891" s="36"/>
    </row>
    <row r="1892" spans="1:2" x14ac:dyDescent="0.3">
      <c r="A1892" s="19"/>
      <c r="B1892" s="36"/>
    </row>
    <row r="1893" spans="1:2" ht="8" customHeight="1" x14ac:dyDescent="0.3">
      <c r="A1893" s="19"/>
      <c r="B1893" s="36"/>
    </row>
    <row r="1894" spans="1:2" x14ac:dyDescent="0.3">
      <c r="A1894" s="19"/>
      <c r="B1894" s="36"/>
    </row>
    <row r="1895" spans="1:2" x14ac:dyDescent="0.3">
      <c r="A1895" s="19"/>
      <c r="B1895" s="36"/>
    </row>
    <row r="1896" spans="1:2" x14ac:dyDescent="0.3">
      <c r="A1896" s="19"/>
      <c r="B1896" s="36"/>
    </row>
    <row r="1897" spans="1:2" x14ac:dyDescent="0.3">
      <c r="A1897" s="19"/>
      <c r="B1897" s="36"/>
    </row>
    <row r="1898" spans="1:2" x14ac:dyDescent="0.3">
      <c r="A1898" s="19"/>
      <c r="B1898" s="36"/>
    </row>
    <row r="1899" spans="1:2" x14ac:dyDescent="0.3">
      <c r="A1899" s="19"/>
      <c r="B1899" s="36"/>
    </row>
    <row r="1900" spans="1:2" x14ac:dyDescent="0.3">
      <c r="A1900" s="19"/>
      <c r="B1900" s="36"/>
    </row>
    <row r="1901" spans="1:2" x14ac:dyDescent="0.3">
      <c r="A1901" s="19"/>
      <c r="B1901" s="36"/>
    </row>
    <row r="1902" spans="1:2" x14ac:dyDescent="0.3">
      <c r="A1902" s="19"/>
      <c r="B1902" s="36"/>
    </row>
    <row r="1903" spans="1:2" x14ac:dyDescent="0.3">
      <c r="A1903" s="19"/>
      <c r="B1903" s="36"/>
    </row>
    <row r="1904" spans="1:2" x14ac:dyDescent="0.3">
      <c r="A1904" s="19"/>
      <c r="B1904" s="36"/>
    </row>
    <row r="1905" spans="1:2" x14ac:dyDescent="0.3">
      <c r="A1905" s="19"/>
      <c r="B1905" s="36"/>
    </row>
    <row r="1906" spans="1:2" x14ac:dyDescent="0.3">
      <c r="A1906" s="19"/>
      <c r="B1906" s="36"/>
    </row>
    <row r="1907" spans="1:2" x14ac:dyDescent="0.3">
      <c r="A1907" s="19"/>
      <c r="B1907" s="36"/>
    </row>
    <row r="1908" spans="1:2" x14ac:dyDescent="0.3">
      <c r="A1908" s="19"/>
      <c r="B1908" s="36"/>
    </row>
    <row r="1909" spans="1:2" x14ac:dyDescent="0.3">
      <c r="A1909" s="19"/>
      <c r="B1909" s="36"/>
    </row>
    <row r="1910" spans="1:2" x14ac:dyDescent="0.3">
      <c r="A1910" s="19"/>
      <c r="B1910" s="36"/>
    </row>
    <row r="1911" spans="1:2" x14ac:dyDescent="0.3">
      <c r="A1911" s="19"/>
      <c r="B1911" s="36"/>
    </row>
    <row r="1912" spans="1:2" x14ac:dyDescent="0.3">
      <c r="A1912" s="19"/>
      <c r="B1912" s="36"/>
    </row>
    <row r="1913" spans="1:2" x14ac:dyDescent="0.3">
      <c r="A1913" s="19"/>
      <c r="B1913" s="36"/>
    </row>
    <row r="1914" spans="1:2" x14ac:dyDescent="0.3">
      <c r="A1914" s="19"/>
      <c r="B1914" s="36"/>
    </row>
    <row r="1915" spans="1:2" x14ac:dyDescent="0.3">
      <c r="A1915" s="19"/>
      <c r="B1915" s="36"/>
    </row>
    <row r="1916" spans="1:2" x14ac:dyDescent="0.3">
      <c r="A1916" s="19"/>
      <c r="B1916" s="36"/>
    </row>
    <row r="1917" spans="1:2" x14ac:dyDescent="0.3">
      <c r="A1917" s="19"/>
      <c r="B1917" s="36"/>
    </row>
    <row r="1918" spans="1:2" x14ac:dyDescent="0.3">
      <c r="A1918" s="19"/>
      <c r="B1918" s="36"/>
    </row>
    <row r="1919" spans="1:2" x14ac:dyDescent="0.3">
      <c r="A1919" s="19"/>
      <c r="B1919" s="36"/>
    </row>
    <row r="1920" spans="1:2" x14ac:dyDescent="0.3">
      <c r="A1920" s="19"/>
      <c r="B1920" s="36"/>
    </row>
    <row r="1921" spans="1:2" x14ac:dyDescent="0.3">
      <c r="A1921" s="19"/>
      <c r="B1921" s="36"/>
    </row>
    <row r="1922" spans="1:2" x14ac:dyDescent="0.3">
      <c r="A1922" s="19"/>
      <c r="B1922" s="36"/>
    </row>
    <row r="1923" spans="1:2" x14ac:dyDescent="0.3">
      <c r="A1923" s="19"/>
      <c r="B1923" s="36"/>
    </row>
    <row r="1924" spans="1:2" x14ac:dyDescent="0.3">
      <c r="A1924" s="19"/>
      <c r="B1924" s="36"/>
    </row>
    <row r="1925" spans="1:2" x14ac:dyDescent="0.3">
      <c r="A1925" s="19"/>
      <c r="B1925" s="36"/>
    </row>
    <row r="1926" spans="1:2" x14ac:dyDescent="0.3">
      <c r="A1926" s="19"/>
      <c r="B1926" s="36"/>
    </row>
    <row r="1927" spans="1:2" x14ac:dyDescent="0.3">
      <c r="A1927" s="19"/>
      <c r="B1927" s="36"/>
    </row>
    <row r="1928" spans="1:2" x14ac:dyDescent="0.3">
      <c r="A1928" s="19"/>
      <c r="B1928" s="36"/>
    </row>
    <row r="1929" spans="1:2" x14ac:dyDescent="0.3">
      <c r="A1929" s="19"/>
      <c r="B1929" s="36"/>
    </row>
    <row r="1930" spans="1:2" x14ac:dyDescent="0.3">
      <c r="A1930" s="19"/>
      <c r="B1930" s="36"/>
    </row>
    <row r="1931" spans="1:2" x14ac:dyDescent="0.3">
      <c r="A1931" s="19"/>
      <c r="B1931" s="36"/>
    </row>
    <row r="1932" spans="1:2" x14ac:dyDescent="0.3">
      <c r="A1932" s="19"/>
      <c r="B1932" s="36"/>
    </row>
    <row r="1933" spans="1:2" x14ac:dyDescent="0.3">
      <c r="A1933" s="19"/>
      <c r="B1933" s="36"/>
    </row>
    <row r="1934" spans="1:2" x14ac:dyDescent="0.3">
      <c r="A1934" s="19"/>
      <c r="B1934" s="36"/>
    </row>
    <row r="1935" spans="1:2" x14ac:dyDescent="0.3">
      <c r="A1935" s="19"/>
      <c r="B1935" s="36"/>
    </row>
    <row r="1936" spans="1:2" x14ac:dyDescent="0.3">
      <c r="A1936" s="19"/>
      <c r="B1936" s="36"/>
    </row>
    <row r="1937" spans="1:2" x14ac:dyDescent="0.3">
      <c r="A1937" s="19"/>
      <c r="B1937" s="36"/>
    </row>
    <row r="1938" spans="1:2" x14ac:dyDescent="0.3">
      <c r="A1938" s="19"/>
      <c r="B1938" s="36"/>
    </row>
    <row r="1939" spans="1:2" x14ac:dyDescent="0.3">
      <c r="A1939" s="19"/>
      <c r="B1939" s="36"/>
    </row>
    <row r="1940" spans="1:2" x14ac:dyDescent="0.3">
      <c r="A1940" s="19"/>
      <c r="B1940" s="36"/>
    </row>
    <row r="1941" spans="1:2" x14ac:dyDescent="0.3">
      <c r="A1941" s="19"/>
      <c r="B1941" s="36"/>
    </row>
    <row r="1942" spans="1:2" x14ac:dyDescent="0.3">
      <c r="A1942" s="19"/>
      <c r="B1942" s="36"/>
    </row>
    <row r="1943" spans="1:2" x14ac:dyDescent="0.3">
      <c r="A1943" s="19"/>
      <c r="B1943" s="36"/>
    </row>
    <row r="1944" spans="1:2" x14ac:dyDescent="0.3">
      <c r="A1944" s="19"/>
      <c r="B1944" s="36"/>
    </row>
    <row r="1945" spans="1:2" x14ac:dyDescent="0.3">
      <c r="A1945" s="19"/>
      <c r="B1945" s="36"/>
    </row>
    <row r="1946" spans="1:2" x14ac:dyDescent="0.3">
      <c r="A1946" s="19"/>
      <c r="B1946" s="36"/>
    </row>
    <row r="1947" spans="1:2" x14ac:dyDescent="0.3">
      <c r="A1947" s="19"/>
      <c r="B1947" s="36"/>
    </row>
    <row r="1948" spans="1:2" x14ac:dyDescent="0.3">
      <c r="A1948" s="19"/>
      <c r="B1948" s="36"/>
    </row>
    <row r="1949" spans="1:2" x14ac:dyDescent="0.3">
      <c r="A1949" s="19"/>
      <c r="B1949" s="36"/>
    </row>
    <row r="1950" spans="1:2" x14ac:dyDescent="0.3">
      <c r="A1950" s="19"/>
      <c r="B1950" s="36"/>
    </row>
    <row r="1951" spans="1:2" x14ac:dyDescent="0.3">
      <c r="A1951" s="19"/>
      <c r="B1951" s="36"/>
    </row>
    <row r="1952" spans="1:2" x14ac:dyDescent="0.3">
      <c r="A1952" s="19"/>
      <c r="B1952" s="36"/>
    </row>
    <row r="1953" spans="1:2" x14ac:dyDescent="0.3">
      <c r="A1953" s="19"/>
      <c r="B1953" s="36"/>
    </row>
    <row r="1954" spans="1:2" x14ac:dyDescent="0.3">
      <c r="A1954" s="19"/>
      <c r="B1954" s="36"/>
    </row>
    <row r="1955" spans="1:2" x14ac:dyDescent="0.3">
      <c r="A1955" s="19"/>
      <c r="B1955" s="36"/>
    </row>
    <row r="1956" spans="1:2" x14ac:dyDescent="0.3">
      <c r="A1956" s="19"/>
      <c r="B1956" s="36"/>
    </row>
    <row r="1957" spans="1:2" x14ac:dyDescent="0.3">
      <c r="A1957" s="19"/>
      <c r="B1957" s="36"/>
    </row>
    <row r="1958" spans="1:2" x14ac:dyDescent="0.3">
      <c r="A1958" s="19"/>
      <c r="B1958" s="36"/>
    </row>
    <row r="1959" spans="1:2" x14ac:dyDescent="0.3">
      <c r="A1959" s="19"/>
      <c r="B1959" s="36"/>
    </row>
    <row r="1960" spans="1:2" x14ac:dyDescent="0.3">
      <c r="A1960" s="19"/>
      <c r="B1960" s="36"/>
    </row>
    <row r="1961" spans="1:2" x14ac:dyDescent="0.3">
      <c r="A1961" s="19"/>
      <c r="B1961" s="36"/>
    </row>
    <row r="1962" spans="1:2" x14ac:dyDescent="0.3">
      <c r="A1962" s="19"/>
      <c r="B1962" s="36"/>
    </row>
    <row r="1963" spans="1:2" x14ac:dyDescent="0.3">
      <c r="A1963" s="19"/>
      <c r="B1963" s="36"/>
    </row>
    <row r="1964" spans="1:2" x14ac:dyDescent="0.3">
      <c r="A1964" s="19"/>
      <c r="B1964" s="36"/>
    </row>
    <row r="1965" spans="1:2" x14ac:dyDescent="0.3">
      <c r="A1965" s="19"/>
      <c r="B1965" s="36"/>
    </row>
    <row r="1966" spans="1:2" x14ac:dyDescent="0.3">
      <c r="A1966" s="19"/>
      <c r="B1966" s="36"/>
    </row>
    <row r="1967" spans="1:2" x14ac:dyDescent="0.3">
      <c r="A1967" s="19"/>
      <c r="B1967" s="36"/>
    </row>
    <row r="1968" spans="1:2" x14ac:dyDescent="0.3">
      <c r="A1968" s="19"/>
      <c r="B1968" s="36"/>
    </row>
    <row r="1969" spans="1:2" x14ac:dyDescent="0.3">
      <c r="A1969" s="19"/>
      <c r="B1969" s="36"/>
    </row>
    <row r="1970" spans="1:2" x14ac:dyDescent="0.3">
      <c r="A1970" s="19"/>
      <c r="B1970" s="36"/>
    </row>
    <row r="1971" spans="1:2" x14ac:dyDescent="0.3">
      <c r="A1971" s="19"/>
      <c r="B1971" s="36"/>
    </row>
    <row r="1972" spans="1:2" x14ac:dyDescent="0.3">
      <c r="A1972" s="19"/>
      <c r="B1972" s="36"/>
    </row>
    <row r="1973" spans="1:2" x14ac:dyDescent="0.3">
      <c r="A1973" s="19"/>
      <c r="B1973" s="36"/>
    </row>
    <row r="1974" spans="1:2" x14ac:dyDescent="0.3">
      <c r="A1974" s="19"/>
      <c r="B1974" s="36"/>
    </row>
    <row r="1975" spans="1:2" x14ac:dyDescent="0.3">
      <c r="A1975" s="19"/>
      <c r="B1975" s="36"/>
    </row>
    <row r="1976" spans="1:2" x14ac:dyDescent="0.3">
      <c r="A1976" s="19"/>
      <c r="B1976" s="36"/>
    </row>
    <row r="1977" spans="1:2" x14ac:dyDescent="0.3">
      <c r="A1977" s="19"/>
      <c r="B1977" s="36"/>
    </row>
    <row r="1978" spans="1:2" x14ac:dyDescent="0.3">
      <c r="A1978" s="19"/>
      <c r="B1978" s="36"/>
    </row>
    <row r="1979" spans="1:2" x14ac:dyDescent="0.3">
      <c r="A1979" s="19"/>
      <c r="B1979" s="36"/>
    </row>
    <row r="1980" spans="1:2" x14ac:dyDescent="0.3">
      <c r="A1980" s="19"/>
      <c r="B1980" s="36"/>
    </row>
    <row r="1981" spans="1:2" x14ac:dyDescent="0.3">
      <c r="A1981" s="19"/>
      <c r="B1981" s="36"/>
    </row>
    <row r="1982" spans="1:2" x14ac:dyDescent="0.3">
      <c r="A1982" s="19"/>
      <c r="B1982" s="36"/>
    </row>
    <row r="1983" spans="1:2" x14ac:dyDescent="0.3">
      <c r="A1983" s="19"/>
      <c r="B1983" s="36"/>
    </row>
    <row r="1984" spans="1:2" x14ac:dyDescent="0.3">
      <c r="A1984" s="19"/>
      <c r="B1984" s="36"/>
    </row>
    <row r="1985" spans="1:2" x14ac:dyDescent="0.3">
      <c r="A1985" s="19"/>
      <c r="B1985" s="36"/>
    </row>
    <row r="1986" spans="1:2" x14ac:dyDescent="0.3">
      <c r="A1986" s="19"/>
      <c r="B1986" s="36"/>
    </row>
    <row r="1987" spans="1:2" x14ac:dyDescent="0.3">
      <c r="A1987" s="19"/>
      <c r="B1987" s="36"/>
    </row>
    <row r="1988" spans="1:2" x14ac:dyDescent="0.3">
      <c r="A1988" s="19"/>
      <c r="B1988" s="36"/>
    </row>
    <row r="1989" spans="1:2" x14ac:dyDescent="0.3">
      <c r="A1989" s="19"/>
      <c r="B1989" s="36"/>
    </row>
    <row r="1990" spans="1:2" x14ac:dyDescent="0.3">
      <c r="A1990" s="19"/>
      <c r="B1990" s="36"/>
    </row>
    <row r="1991" spans="1:2" x14ac:dyDescent="0.3">
      <c r="A1991" s="19"/>
      <c r="B1991" s="36"/>
    </row>
    <row r="1992" spans="1:2" x14ac:dyDescent="0.3">
      <c r="A1992" s="19"/>
      <c r="B1992" s="36"/>
    </row>
    <row r="1993" spans="1:2" x14ac:dyDescent="0.3">
      <c r="A1993" s="19"/>
      <c r="B1993" s="36"/>
    </row>
    <row r="1994" spans="1:2" x14ac:dyDescent="0.3">
      <c r="A1994" s="19"/>
      <c r="B1994" s="36"/>
    </row>
    <row r="1995" spans="1:2" x14ac:dyDescent="0.3">
      <c r="A1995" s="19"/>
      <c r="B1995" s="36"/>
    </row>
    <row r="1996" spans="1:2" x14ac:dyDescent="0.3">
      <c r="A1996" s="19"/>
      <c r="B1996" s="36"/>
    </row>
    <row r="1997" spans="1:2" x14ac:dyDescent="0.3">
      <c r="A1997" s="19"/>
      <c r="B1997" s="36"/>
    </row>
    <row r="1998" spans="1:2" x14ac:dyDescent="0.3">
      <c r="A1998" s="19"/>
      <c r="B1998" s="36"/>
    </row>
    <row r="1999" spans="1:2" x14ac:dyDescent="0.3">
      <c r="A1999" s="19"/>
      <c r="B1999" s="36"/>
    </row>
    <row r="2000" spans="1:2" x14ac:dyDescent="0.3">
      <c r="A2000" s="19"/>
      <c r="B2000" s="36"/>
    </row>
    <row r="2001" spans="1:2" x14ac:dyDescent="0.3">
      <c r="A2001" s="19"/>
      <c r="B2001" s="36"/>
    </row>
    <row r="2002" spans="1:2" x14ac:dyDescent="0.3">
      <c r="A2002" s="19"/>
      <c r="B2002" s="36"/>
    </row>
    <row r="2003" spans="1:2" x14ac:dyDescent="0.3">
      <c r="A2003" s="19"/>
      <c r="B2003" s="36"/>
    </row>
    <row r="2004" spans="1:2" x14ac:dyDescent="0.3">
      <c r="A2004" s="19"/>
      <c r="B2004" s="36"/>
    </row>
    <row r="2005" spans="1:2" x14ac:dyDescent="0.3">
      <c r="A2005" s="19"/>
      <c r="B2005" s="36"/>
    </row>
    <row r="2006" spans="1:2" x14ac:dyDescent="0.3">
      <c r="A2006" s="19"/>
      <c r="B2006" s="36"/>
    </row>
    <row r="2007" spans="1:2" x14ac:dyDescent="0.3">
      <c r="A2007" s="19"/>
      <c r="B2007" s="36"/>
    </row>
    <row r="2008" spans="1:2" x14ac:dyDescent="0.3">
      <c r="A2008" s="19"/>
      <c r="B2008" s="36"/>
    </row>
    <row r="2009" spans="1:2" x14ac:dyDescent="0.3">
      <c r="A2009" s="19"/>
      <c r="B2009" s="36"/>
    </row>
    <row r="2010" spans="1:2" x14ac:dyDescent="0.3">
      <c r="A2010" s="19"/>
      <c r="B2010" s="36"/>
    </row>
    <row r="2011" spans="1:2" x14ac:dyDescent="0.3">
      <c r="A2011" s="19"/>
      <c r="B2011" s="36"/>
    </row>
    <row r="2012" spans="1:2" x14ac:dyDescent="0.3">
      <c r="A2012" s="19"/>
      <c r="B2012" s="36"/>
    </row>
    <row r="2013" spans="1:2" x14ac:dyDescent="0.3">
      <c r="A2013" s="19"/>
      <c r="B2013" s="36"/>
    </row>
    <row r="2014" spans="1:2" x14ac:dyDescent="0.3">
      <c r="A2014" s="19"/>
      <c r="B2014" s="36"/>
    </row>
    <row r="2015" spans="1:2" x14ac:dyDescent="0.3">
      <c r="A2015" s="19"/>
      <c r="B2015" s="36"/>
    </row>
    <row r="2016" spans="1:2" x14ac:dyDescent="0.3">
      <c r="A2016" s="19"/>
      <c r="B2016" s="36"/>
    </row>
    <row r="2017" spans="1:2" x14ac:dyDescent="0.3">
      <c r="A2017" s="19"/>
      <c r="B2017" s="36"/>
    </row>
    <row r="2018" spans="1:2" x14ac:dyDescent="0.3">
      <c r="A2018" s="19"/>
      <c r="B2018" s="36"/>
    </row>
    <row r="2019" spans="1:2" x14ac:dyDescent="0.3">
      <c r="A2019" s="19"/>
      <c r="B2019" s="36"/>
    </row>
    <row r="2020" spans="1:2" x14ac:dyDescent="0.3">
      <c r="A2020" s="19"/>
      <c r="B2020" s="36"/>
    </row>
    <row r="2021" spans="1:2" x14ac:dyDescent="0.3">
      <c r="A2021" s="19"/>
      <c r="B2021" s="36"/>
    </row>
    <row r="2022" spans="1:2" x14ac:dyDescent="0.3">
      <c r="A2022" s="19"/>
      <c r="B2022" s="36"/>
    </row>
    <row r="2023" spans="1:2" x14ac:dyDescent="0.3">
      <c r="A2023" s="19"/>
      <c r="B2023" s="36"/>
    </row>
    <row r="2024" spans="1:2" x14ac:dyDescent="0.3">
      <c r="A2024" s="19"/>
      <c r="B2024" s="36"/>
    </row>
    <row r="2025" spans="1:2" x14ac:dyDescent="0.3">
      <c r="A2025" s="19"/>
      <c r="B2025" s="36"/>
    </row>
    <row r="2026" spans="1:2" x14ac:dyDescent="0.3">
      <c r="A2026" s="19"/>
      <c r="B2026" s="36"/>
    </row>
    <row r="2027" spans="1:2" x14ac:dyDescent="0.3">
      <c r="A2027" s="19"/>
      <c r="B2027" s="36"/>
    </row>
    <row r="2028" spans="1:2" x14ac:dyDescent="0.3">
      <c r="A2028" s="19"/>
      <c r="B2028" s="36"/>
    </row>
    <row r="2029" spans="1:2" x14ac:dyDescent="0.3">
      <c r="A2029" s="19"/>
      <c r="B2029" s="36"/>
    </row>
    <row r="2030" spans="1:2" x14ac:dyDescent="0.3">
      <c r="A2030" s="19"/>
      <c r="B2030" s="36"/>
    </row>
    <row r="2031" spans="1:2" x14ac:dyDescent="0.3">
      <c r="A2031" s="19"/>
      <c r="B2031" s="36"/>
    </row>
    <row r="2032" spans="1:2" x14ac:dyDescent="0.3">
      <c r="A2032" s="19"/>
      <c r="B2032" s="36"/>
    </row>
    <row r="2033" spans="1:2" x14ac:dyDescent="0.3">
      <c r="A2033" s="19"/>
      <c r="B2033" s="36"/>
    </row>
    <row r="2034" spans="1:2" x14ac:dyDescent="0.3">
      <c r="A2034" s="19"/>
      <c r="B2034" s="36"/>
    </row>
    <row r="2035" spans="1:2" x14ac:dyDescent="0.3">
      <c r="A2035" s="19"/>
      <c r="B2035" s="36"/>
    </row>
    <row r="2036" spans="1:2" x14ac:dyDescent="0.3">
      <c r="A2036" s="19"/>
      <c r="B2036" s="36"/>
    </row>
    <row r="2037" spans="1:2" x14ac:dyDescent="0.3">
      <c r="A2037" s="19"/>
      <c r="B2037" s="36"/>
    </row>
    <row r="2038" spans="1:2" x14ac:dyDescent="0.3">
      <c r="A2038" s="19"/>
      <c r="B2038" s="36"/>
    </row>
    <row r="2039" spans="1:2" x14ac:dyDescent="0.3">
      <c r="A2039" s="19"/>
      <c r="B2039" s="36"/>
    </row>
    <row r="2040" spans="1:2" x14ac:dyDescent="0.3">
      <c r="A2040" s="19"/>
      <c r="B2040" s="36"/>
    </row>
    <row r="2041" spans="1:2" x14ac:dyDescent="0.3">
      <c r="A2041" s="19"/>
      <c r="B2041" s="36"/>
    </row>
    <row r="2042" spans="1:2" x14ac:dyDescent="0.3">
      <c r="A2042" s="19"/>
      <c r="B2042" s="36"/>
    </row>
    <row r="2043" spans="1:2" x14ac:dyDescent="0.3">
      <c r="A2043" s="19"/>
      <c r="B2043" s="36"/>
    </row>
    <row r="2044" spans="1:2" x14ac:dyDescent="0.3">
      <c r="A2044" s="19"/>
      <c r="B2044" s="36"/>
    </row>
    <row r="2045" spans="1:2" x14ac:dyDescent="0.3">
      <c r="A2045" s="19"/>
      <c r="B2045" s="36"/>
    </row>
    <row r="2046" spans="1:2" x14ac:dyDescent="0.3">
      <c r="A2046" s="19"/>
      <c r="B2046" s="36"/>
    </row>
    <row r="2047" spans="1:2" x14ac:dyDescent="0.3">
      <c r="A2047" s="19"/>
      <c r="B2047" s="36"/>
    </row>
    <row r="2048" spans="1:2" x14ac:dyDescent="0.3">
      <c r="A2048" s="19"/>
      <c r="B2048" s="36"/>
    </row>
    <row r="2049" spans="1:2" x14ac:dyDescent="0.3">
      <c r="A2049" s="19"/>
      <c r="B2049" s="36"/>
    </row>
    <row r="2050" spans="1:2" x14ac:dyDescent="0.3">
      <c r="A2050" s="19"/>
      <c r="B2050" s="36"/>
    </row>
    <row r="2051" spans="1:2" x14ac:dyDescent="0.3">
      <c r="A2051" s="19"/>
      <c r="B2051" s="36"/>
    </row>
    <row r="2052" spans="1:2" x14ac:dyDescent="0.3">
      <c r="A2052" s="19"/>
      <c r="B2052" s="36"/>
    </row>
    <row r="2053" spans="1:2" x14ac:dyDescent="0.3">
      <c r="A2053" s="19"/>
      <c r="B2053" s="36"/>
    </row>
    <row r="2054" spans="1:2" x14ac:dyDescent="0.3">
      <c r="A2054" s="19"/>
      <c r="B2054" s="36"/>
    </row>
    <row r="2055" spans="1:2" x14ac:dyDescent="0.3">
      <c r="A2055" s="19"/>
      <c r="B2055" s="36"/>
    </row>
    <row r="2056" spans="1:2" x14ac:dyDescent="0.3">
      <c r="A2056" s="19"/>
      <c r="B2056" s="36"/>
    </row>
    <row r="2057" spans="1:2" x14ac:dyDescent="0.3">
      <c r="A2057" s="19"/>
      <c r="B2057" s="36"/>
    </row>
    <row r="2058" spans="1:2" x14ac:dyDescent="0.3">
      <c r="A2058" s="19"/>
      <c r="B2058" s="36"/>
    </row>
    <row r="2059" spans="1:2" x14ac:dyDescent="0.3">
      <c r="A2059" s="19"/>
      <c r="B2059" s="36"/>
    </row>
    <row r="2060" spans="1:2" x14ac:dyDescent="0.3">
      <c r="A2060" s="19"/>
      <c r="B2060" s="36"/>
    </row>
    <row r="2061" spans="1:2" x14ac:dyDescent="0.3">
      <c r="A2061" s="19"/>
      <c r="B2061" s="36"/>
    </row>
    <row r="2062" spans="1:2" x14ac:dyDescent="0.3">
      <c r="A2062" s="19"/>
      <c r="B2062" s="36"/>
    </row>
    <row r="2063" spans="1:2" x14ac:dyDescent="0.3">
      <c r="A2063" s="19"/>
      <c r="B2063" s="36"/>
    </row>
    <row r="2064" spans="1:2" x14ac:dyDescent="0.3">
      <c r="A2064" s="19"/>
      <c r="B2064" s="36"/>
    </row>
    <row r="2065" spans="1:2" x14ac:dyDescent="0.3">
      <c r="A2065" s="19"/>
      <c r="B2065" s="36"/>
    </row>
    <row r="2066" spans="1:2" x14ac:dyDescent="0.3">
      <c r="A2066" s="19"/>
      <c r="B2066" s="36"/>
    </row>
    <row r="2067" spans="1:2" x14ac:dyDescent="0.3">
      <c r="A2067" s="19"/>
      <c r="B2067" s="36"/>
    </row>
    <row r="2068" spans="1:2" x14ac:dyDescent="0.3">
      <c r="A2068" s="19"/>
      <c r="B2068" s="36"/>
    </row>
    <row r="2069" spans="1:2" x14ac:dyDescent="0.3">
      <c r="A2069" s="19"/>
      <c r="B2069" s="36"/>
    </row>
    <row r="2070" spans="1:2" x14ac:dyDescent="0.3">
      <c r="A2070" s="19"/>
      <c r="B2070" s="36"/>
    </row>
    <row r="2071" spans="1:2" x14ac:dyDescent="0.3">
      <c r="A2071" s="19"/>
      <c r="B2071" s="36"/>
    </row>
    <row r="2072" spans="1:2" x14ac:dyDescent="0.3">
      <c r="A2072" s="19"/>
      <c r="B2072" s="36"/>
    </row>
    <row r="2073" spans="1:2" x14ac:dyDescent="0.3">
      <c r="A2073" s="19"/>
      <c r="B2073" s="36"/>
    </row>
    <row r="2074" spans="1:2" x14ac:dyDescent="0.3">
      <c r="A2074" s="19"/>
      <c r="B2074" s="36"/>
    </row>
    <row r="2075" spans="1:2" x14ac:dyDescent="0.3">
      <c r="A2075" s="19"/>
      <c r="B2075" s="36"/>
    </row>
    <row r="2076" spans="1:2" x14ac:dyDescent="0.3">
      <c r="A2076" s="19"/>
      <c r="B2076" s="36"/>
    </row>
    <row r="2077" spans="1:2" x14ac:dyDescent="0.3">
      <c r="A2077" s="19"/>
      <c r="B2077" s="36"/>
    </row>
    <row r="2078" spans="1:2" x14ac:dyDescent="0.3">
      <c r="A2078" s="19"/>
      <c r="B2078" s="36"/>
    </row>
    <row r="2079" spans="1:2" x14ac:dyDescent="0.3">
      <c r="A2079" s="19"/>
      <c r="B2079" s="36"/>
    </row>
    <row r="2080" spans="1:2" x14ac:dyDescent="0.3">
      <c r="A2080" s="19"/>
      <c r="B2080" s="36"/>
    </row>
    <row r="2081" spans="1:2" x14ac:dyDescent="0.3">
      <c r="A2081" s="19"/>
      <c r="B2081" s="36"/>
    </row>
    <row r="2082" spans="1:2" x14ac:dyDescent="0.3">
      <c r="A2082" s="19"/>
      <c r="B2082" s="36"/>
    </row>
    <row r="2083" spans="1:2" x14ac:dyDescent="0.3">
      <c r="A2083" s="19"/>
      <c r="B2083" s="36"/>
    </row>
    <row r="2084" spans="1:2" x14ac:dyDescent="0.3">
      <c r="A2084" s="19"/>
      <c r="B2084" s="36"/>
    </row>
    <row r="2085" spans="1:2" x14ac:dyDescent="0.3">
      <c r="A2085" s="19"/>
      <c r="B2085" s="36"/>
    </row>
    <row r="2086" spans="1:2" x14ac:dyDescent="0.3">
      <c r="A2086" s="19"/>
      <c r="B2086" s="36"/>
    </row>
    <row r="2087" spans="1:2" x14ac:dyDescent="0.3">
      <c r="A2087" s="19"/>
      <c r="B2087" s="36"/>
    </row>
    <row r="2088" spans="1:2" x14ac:dyDescent="0.3">
      <c r="A2088" s="19"/>
      <c r="B2088" s="36"/>
    </row>
    <row r="2089" spans="1:2" x14ac:dyDescent="0.3">
      <c r="A2089" s="19"/>
      <c r="B2089" s="36"/>
    </row>
    <row r="2090" spans="1:2" x14ac:dyDescent="0.3">
      <c r="A2090" s="19"/>
      <c r="B2090" s="36"/>
    </row>
    <row r="2091" spans="1:2" x14ac:dyDescent="0.3">
      <c r="A2091" s="19"/>
      <c r="B2091" s="36"/>
    </row>
    <row r="2092" spans="1:2" x14ac:dyDescent="0.3">
      <c r="A2092" s="19"/>
      <c r="B2092" s="36"/>
    </row>
    <row r="2093" spans="1:2" x14ac:dyDescent="0.3">
      <c r="A2093" s="19"/>
      <c r="B2093" s="36"/>
    </row>
    <row r="2094" spans="1:2" x14ac:dyDescent="0.3">
      <c r="A2094" s="19"/>
      <c r="B2094" s="36"/>
    </row>
    <row r="2095" spans="1:2" x14ac:dyDescent="0.3">
      <c r="A2095" s="19"/>
      <c r="B2095" s="36"/>
    </row>
    <row r="2096" spans="1:2" x14ac:dyDescent="0.3">
      <c r="A2096" s="19"/>
      <c r="B2096" s="36"/>
    </row>
    <row r="2097" spans="1:2" x14ac:dyDescent="0.3">
      <c r="A2097" s="19"/>
      <c r="B2097" s="36"/>
    </row>
    <row r="2098" spans="1:2" x14ac:dyDescent="0.3">
      <c r="A2098" s="19"/>
      <c r="B2098" s="36"/>
    </row>
    <row r="2099" spans="1:2" x14ac:dyDescent="0.3">
      <c r="A2099" s="19"/>
      <c r="B2099" s="36"/>
    </row>
    <row r="2100" spans="1:2" x14ac:dyDescent="0.3">
      <c r="A2100" s="19"/>
      <c r="B2100" s="36"/>
    </row>
    <row r="2101" spans="1:2" x14ac:dyDescent="0.3">
      <c r="A2101" s="19"/>
      <c r="B2101" s="36"/>
    </row>
    <row r="2102" spans="1:2" x14ac:dyDescent="0.3">
      <c r="A2102" s="19"/>
      <c r="B2102" s="36"/>
    </row>
    <row r="2103" spans="1:2" x14ac:dyDescent="0.3">
      <c r="A2103" s="19"/>
      <c r="B2103" s="36"/>
    </row>
    <row r="2104" spans="1:2" x14ac:dyDescent="0.3">
      <c r="A2104" s="19"/>
      <c r="B2104" s="36"/>
    </row>
    <row r="2105" spans="1:2" x14ac:dyDescent="0.3">
      <c r="A2105" s="19"/>
      <c r="B2105" s="36"/>
    </row>
    <row r="2106" spans="1:2" x14ac:dyDescent="0.3">
      <c r="A2106" s="19"/>
      <c r="B2106" s="36"/>
    </row>
    <row r="2107" spans="1:2" x14ac:dyDescent="0.3">
      <c r="A2107" s="19"/>
      <c r="B2107" s="36"/>
    </row>
    <row r="2108" spans="1:2" x14ac:dyDescent="0.3">
      <c r="A2108" s="19"/>
      <c r="B2108" s="36"/>
    </row>
    <row r="2109" spans="1:2" x14ac:dyDescent="0.3">
      <c r="A2109" s="19"/>
      <c r="B2109" s="36"/>
    </row>
    <row r="2110" spans="1:2" x14ac:dyDescent="0.3">
      <c r="A2110" s="19"/>
      <c r="B2110" s="36"/>
    </row>
    <row r="2111" spans="1:2" x14ac:dyDescent="0.3">
      <c r="A2111" s="19"/>
      <c r="B2111" s="36"/>
    </row>
    <row r="2112" spans="1:2" x14ac:dyDescent="0.3">
      <c r="A2112" s="19"/>
      <c r="B2112" s="36"/>
    </row>
    <row r="2113" spans="1:2" x14ac:dyDescent="0.3">
      <c r="A2113" s="19"/>
      <c r="B2113" s="36"/>
    </row>
    <row r="2114" spans="1:2" x14ac:dyDescent="0.3">
      <c r="A2114" s="19"/>
      <c r="B2114" s="36"/>
    </row>
    <row r="2115" spans="1:2" x14ac:dyDescent="0.3">
      <c r="A2115" s="19"/>
      <c r="B2115" s="36"/>
    </row>
    <row r="2116" spans="1:2" x14ac:dyDescent="0.3">
      <c r="A2116" s="19"/>
      <c r="B2116" s="36"/>
    </row>
    <row r="2117" spans="1:2" x14ac:dyDescent="0.3">
      <c r="A2117" s="19"/>
      <c r="B2117" s="36"/>
    </row>
    <row r="2118" spans="1:2" x14ac:dyDescent="0.3">
      <c r="A2118" s="19"/>
      <c r="B2118" s="36"/>
    </row>
    <row r="2119" spans="1:2" x14ac:dyDescent="0.3">
      <c r="A2119" s="19"/>
      <c r="B2119" s="36"/>
    </row>
    <row r="2120" spans="1:2" x14ac:dyDescent="0.3">
      <c r="A2120" s="19"/>
      <c r="B2120" s="36"/>
    </row>
    <row r="2121" spans="1:2" x14ac:dyDescent="0.3">
      <c r="A2121" s="19"/>
      <c r="B2121" s="36"/>
    </row>
    <row r="2122" spans="1:2" x14ac:dyDescent="0.3">
      <c r="A2122" s="19"/>
      <c r="B2122" s="36"/>
    </row>
    <row r="2123" spans="1:2" x14ac:dyDescent="0.3">
      <c r="A2123" s="19"/>
      <c r="B2123" s="36"/>
    </row>
    <row r="2124" spans="1:2" x14ac:dyDescent="0.3">
      <c r="A2124" s="19"/>
      <c r="B2124" s="36"/>
    </row>
    <row r="2125" spans="1:2" x14ac:dyDescent="0.3">
      <c r="A2125" s="19"/>
      <c r="B2125" s="36"/>
    </row>
    <row r="2126" spans="1:2" x14ac:dyDescent="0.3">
      <c r="A2126" s="19"/>
      <c r="B2126" s="36"/>
    </row>
    <row r="2127" spans="1:2" x14ac:dyDescent="0.3">
      <c r="A2127" s="19"/>
      <c r="B2127" s="36"/>
    </row>
    <row r="2128" spans="1:2" x14ac:dyDescent="0.3">
      <c r="A2128" s="19"/>
      <c r="B2128" s="36"/>
    </row>
    <row r="2129" spans="1:2" x14ac:dyDescent="0.3">
      <c r="A2129" s="19"/>
      <c r="B2129" s="36"/>
    </row>
    <row r="2130" spans="1:2" x14ac:dyDescent="0.3">
      <c r="A2130" s="19"/>
      <c r="B2130" s="36"/>
    </row>
    <row r="2131" spans="1:2" x14ac:dyDescent="0.3">
      <c r="A2131" s="19"/>
      <c r="B2131" s="36"/>
    </row>
    <row r="2132" spans="1:2" x14ac:dyDescent="0.3">
      <c r="A2132" s="19"/>
      <c r="B2132" s="36"/>
    </row>
    <row r="2133" spans="1:2" x14ac:dyDescent="0.3">
      <c r="A2133" s="19"/>
      <c r="B2133" s="36"/>
    </row>
    <row r="2134" spans="1:2" x14ac:dyDescent="0.3">
      <c r="A2134" s="19"/>
      <c r="B2134" s="36"/>
    </row>
    <row r="2135" spans="1:2" x14ac:dyDescent="0.3">
      <c r="A2135" s="19"/>
      <c r="B2135" s="36"/>
    </row>
    <row r="2136" spans="1:2" x14ac:dyDescent="0.3">
      <c r="A2136" s="19"/>
      <c r="B2136" s="36"/>
    </row>
    <row r="2137" spans="1:2" x14ac:dyDescent="0.3">
      <c r="A2137" s="19"/>
      <c r="B2137" s="36"/>
    </row>
    <row r="2138" spans="1:2" x14ac:dyDescent="0.3">
      <c r="A2138" s="19"/>
      <c r="B2138" s="36"/>
    </row>
    <row r="2139" spans="1:2" x14ac:dyDescent="0.3">
      <c r="A2139" s="19"/>
      <c r="B2139" s="36"/>
    </row>
    <row r="2140" spans="1:2" x14ac:dyDescent="0.3">
      <c r="A2140" s="19"/>
      <c r="B2140" s="36"/>
    </row>
    <row r="2141" spans="1:2" x14ac:dyDescent="0.3">
      <c r="A2141" s="19"/>
      <c r="B2141" s="36"/>
    </row>
    <row r="2142" spans="1:2" x14ac:dyDescent="0.3">
      <c r="A2142" s="19"/>
      <c r="B2142" s="36"/>
    </row>
    <row r="2143" spans="1:2" x14ac:dyDescent="0.3">
      <c r="A2143" s="19"/>
      <c r="B2143" s="36"/>
    </row>
    <row r="2144" spans="1:2" x14ac:dyDescent="0.3">
      <c r="A2144" s="19"/>
      <c r="B2144" s="36"/>
    </row>
    <row r="2145" spans="1:2" x14ac:dyDescent="0.3">
      <c r="A2145" s="19"/>
      <c r="B2145" s="36"/>
    </row>
    <row r="2146" spans="1:2" x14ac:dyDescent="0.3">
      <c r="A2146" s="19"/>
      <c r="B2146" s="36"/>
    </row>
    <row r="2147" spans="1:2" x14ac:dyDescent="0.3">
      <c r="A2147" s="19"/>
      <c r="B2147" s="36"/>
    </row>
    <row r="2148" spans="1:2" x14ac:dyDescent="0.3">
      <c r="A2148" s="19"/>
      <c r="B2148" s="36"/>
    </row>
    <row r="2149" spans="1:2" x14ac:dyDescent="0.3">
      <c r="A2149" s="19"/>
      <c r="B2149" s="36"/>
    </row>
    <row r="2150" spans="1:2" x14ac:dyDescent="0.3">
      <c r="A2150" s="19"/>
      <c r="B2150" s="36"/>
    </row>
    <row r="2151" spans="1:2" x14ac:dyDescent="0.3">
      <c r="A2151" s="19"/>
      <c r="B2151" s="36"/>
    </row>
    <row r="2152" spans="1:2" x14ac:dyDescent="0.3">
      <c r="A2152" s="19"/>
      <c r="B2152" s="36"/>
    </row>
    <row r="2153" spans="1:2" x14ac:dyDescent="0.3">
      <c r="A2153" s="19"/>
      <c r="B2153" s="36"/>
    </row>
    <row r="2154" spans="1:2" x14ac:dyDescent="0.3">
      <c r="A2154" s="19"/>
      <c r="B2154" s="36"/>
    </row>
    <row r="2155" spans="1:2" x14ac:dyDescent="0.3">
      <c r="A2155" s="19"/>
      <c r="B2155" s="36"/>
    </row>
    <row r="2156" spans="1:2" x14ac:dyDescent="0.3">
      <c r="A2156" s="19"/>
      <c r="B2156" s="36"/>
    </row>
    <row r="2157" spans="1:2" x14ac:dyDescent="0.3">
      <c r="A2157" s="19"/>
      <c r="B2157" s="36"/>
    </row>
    <row r="2158" spans="1:2" x14ac:dyDescent="0.3">
      <c r="A2158" s="19"/>
      <c r="B2158" s="36"/>
    </row>
    <row r="2159" spans="1:2" x14ac:dyDescent="0.3">
      <c r="A2159" s="19"/>
      <c r="B2159" s="36"/>
    </row>
    <row r="2160" spans="1:2" x14ac:dyDescent="0.3">
      <c r="A2160" s="19"/>
      <c r="B2160" s="36"/>
    </row>
    <row r="2161" spans="1:2" x14ac:dyDescent="0.3">
      <c r="A2161" s="19"/>
      <c r="B2161" s="36"/>
    </row>
    <row r="2162" spans="1:2" x14ac:dyDescent="0.3">
      <c r="A2162" s="19"/>
      <c r="B2162" s="36"/>
    </row>
    <row r="2163" spans="1:2" x14ac:dyDescent="0.3">
      <c r="A2163" s="19"/>
      <c r="B2163" s="36"/>
    </row>
    <row r="2164" spans="1:2" x14ac:dyDescent="0.3">
      <c r="A2164" s="19"/>
      <c r="B2164" s="36"/>
    </row>
    <row r="2165" spans="1:2" x14ac:dyDescent="0.3">
      <c r="A2165" s="19"/>
      <c r="B2165" s="36"/>
    </row>
    <row r="2166" spans="1:2" x14ac:dyDescent="0.3">
      <c r="A2166" s="19"/>
      <c r="B2166" s="36"/>
    </row>
    <row r="2167" spans="1:2" x14ac:dyDescent="0.3">
      <c r="A2167" s="19"/>
      <c r="B2167" s="36"/>
    </row>
    <row r="2168" spans="1:2" x14ac:dyDescent="0.3">
      <c r="A2168" s="19"/>
      <c r="B2168" s="36"/>
    </row>
    <row r="2169" spans="1:2" x14ac:dyDescent="0.3">
      <c r="A2169" s="19"/>
      <c r="B2169" s="36"/>
    </row>
    <row r="2170" spans="1:2" x14ac:dyDescent="0.3">
      <c r="A2170" s="19"/>
      <c r="B2170" s="36"/>
    </row>
    <row r="2171" spans="1:2" x14ac:dyDescent="0.3">
      <c r="A2171" s="19"/>
      <c r="B2171" s="36"/>
    </row>
    <row r="2172" spans="1:2" x14ac:dyDescent="0.3">
      <c r="A2172" s="19"/>
      <c r="B2172" s="36"/>
    </row>
    <row r="2173" spans="1:2" x14ac:dyDescent="0.3">
      <c r="A2173" s="19"/>
      <c r="B2173" s="36"/>
    </row>
    <row r="2174" spans="1:2" x14ac:dyDescent="0.3">
      <c r="A2174" s="19"/>
      <c r="B2174" s="36"/>
    </row>
    <row r="2175" spans="1:2" x14ac:dyDescent="0.3">
      <c r="A2175" s="19"/>
      <c r="B2175" s="36"/>
    </row>
    <row r="2176" spans="1:2" x14ac:dyDescent="0.3">
      <c r="A2176" s="19"/>
      <c r="B2176" s="36"/>
    </row>
    <row r="2177" spans="1:2" x14ac:dyDescent="0.3">
      <c r="A2177" s="19"/>
      <c r="B2177" s="36"/>
    </row>
    <row r="2178" spans="1:2" x14ac:dyDescent="0.3">
      <c r="A2178" s="19"/>
      <c r="B2178" s="36"/>
    </row>
    <row r="2179" spans="1:2" x14ac:dyDescent="0.3">
      <c r="A2179" s="19"/>
      <c r="B2179" s="36"/>
    </row>
    <row r="2180" spans="1:2" x14ac:dyDescent="0.3">
      <c r="A2180" s="19"/>
      <c r="B2180" s="36"/>
    </row>
    <row r="2181" spans="1:2" x14ac:dyDescent="0.3">
      <c r="A2181" s="19"/>
      <c r="B2181" s="36"/>
    </row>
    <row r="2182" spans="1:2" x14ac:dyDescent="0.3">
      <c r="A2182" s="19"/>
      <c r="B2182" s="36"/>
    </row>
    <row r="2183" spans="1:2" x14ac:dyDescent="0.3">
      <c r="A2183" s="19"/>
      <c r="B2183" s="36"/>
    </row>
    <row r="2184" spans="1:2" x14ac:dyDescent="0.3">
      <c r="A2184" s="19"/>
      <c r="B2184" s="36"/>
    </row>
    <row r="2185" spans="1:2" x14ac:dyDescent="0.3">
      <c r="A2185" s="19"/>
      <c r="B2185" s="36"/>
    </row>
    <row r="2186" spans="1:2" x14ac:dyDescent="0.3">
      <c r="A2186" s="19"/>
      <c r="B2186" s="36"/>
    </row>
    <row r="2187" spans="1:2" x14ac:dyDescent="0.3">
      <c r="A2187" s="19"/>
      <c r="B2187" s="36"/>
    </row>
    <row r="2188" spans="1:2" x14ac:dyDescent="0.3">
      <c r="A2188" s="19"/>
      <c r="B2188" s="36"/>
    </row>
    <row r="2189" spans="1:2" x14ac:dyDescent="0.3">
      <c r="A2189" s="19"/>
      <c r="B2189" s="36"/>
    </row>
    <row r="2190" spans="1:2" x14ac:dyDescent="0.3">
      <c r="A2190" s="19"/>
      <c r="B2190" s="36"/>
    </row>
    <row r="2191" spans="1:2" x14ac:dyDescent="0.3">
      <c r="A2191" s="19"/>
      <c r="B2191" s="36"/>
    </row>
    <row r="2192" spans="1:2" x14ac:dyDescent="0.3">
      <c r="A2192" s="19"/>
      <c r="B2192" s="36"/>
    </row>
    <row r="2193" spans="1:2" x14ac:dyDescent="0.3">
      <c r="A2193" s="19"/>
      <c r="B2193" s="36"/>
    </row>
    <row r="2194" spans="1:2" x14ac:dyDescent="0.3">
      <c r="A2194" s="19"/>
      <c r="B2194" s="36"/>
    </row>
    <row r="2195" spans="1:2" x14ac:dyDescent="0.3">
      <c r="A2195" s="19"/>
      <c r="B2195" s="36"/>
    </row>
    <row r="2196" spans="1:2" x14ac:dyDescent="0.3">
      <c r="A2196" s="19"/>
      <c r="B2196" s="36"/>
    </row>
    <row r="2197" spans="1:2" x14ac:dyDescent="0.3">
      <c r="A2197" s="19"/>
      <c r="B2197" s="36"/>
    </row>
    <row r="2198" spans="1:2" x14ac:dyDescent="0.3">
      <c r="A2198" s="19"/>
      <c r="B2198" s="36"/>
    </row>
    <row r="2199" spans="1:2" x14ac:dyDescent="0.3">
      <c r="A2199" s="19"/>
      <c r="B2199" s="36"/>
    </row>
    <row r="2200" spans="1:2" x14ac:dyDescent="0.3">
      <c r="A2200" s="19"/>
      <c r="B2200" s="36"/>
    </row>
    <row r="2201" spans="1:2" x14ac:dyDescent="0.3">
      <c r="A2201" s="19"/>
      <c r="B2201" s="36"/>
    </row>
    <row r="2202" spans="1:2" x14ac:dyDescent="0.3">
      <c r="A2202" s="19"/>
      <c r="B2202" s="36"/>
    </row>
    <row r="2203" spans="1:2" x14ac:dyDescent="0.3">
      <c r="A2203" s="19"/>
      <c r="B2203" s="36"/>
    </row>
    <row r="2204" spans="1:2" x14ac:dyDescent="0.3">
      <c r="A2204" s="19"/>
      <c r="B2204" s="36"/>
    </row>
    <row r="2205" spans="1:2" x14ac:dyDescent="0.3">
      <c r="A2205" s="19"/>
      <c r="B2205" s="36"/>
    </row>
    <row r="2206" spans="1:2" x14ac:dyDescent="0.3">
      <c r="A2206" s="19"/>
      <c r="B2206" s="36"/>
    </row>
    <row r="2207" spans="1:2" x14ac:dyDescent="0.3">
      <c r="A2207" s="19"/>
      <c r="B2207" s="36"/>
    </row>
    <row r="2208" spans="1:2" x14ac:dyDescent="0.3">
      <c r="A2208" s="19"/>
      <c r="B2208" s="36"/>
    </row>
    <row r="2209" spans="1:2" x14ac:dyDescent="0.3">
      <c r="A2209" s="19"/>
      <c r="B2209" s="36"/>
    </row>
    <row r="2210" spans="1:2" x14ac:dyDescent="0.3">
      <c r="A2210" s="19"/>
      <c r="B2210" s="36"/>
    </row>
    <row r="2211" spans="1:2" x14ac:dyDescent="0.3">
      <c r="A2211" s="19"/>
      <c r="B2211" s="36"/>
    </row>
    <row r="2212" spans="1:2" x14ac:dyDescent="0.3">
      <c r="A2212" s="19"/>
      <c r="B2212" s="36"/>
    </row>
    <row r="2213" spans="1:2" x14ac:dyDescent="0.3">
      <c r="A2213" s="19"/>
      <c r="B2213" s="36"/>
    </row>
    <row r="2214" spans="1:2" x14ac:dyDescent="0.3">
      <c r="A2214" s="19"/>
      <c r="B2214" s="36"/>
    </row>
    <row r="2215" spans="1:2" x14ac:dyDescent="0.3">
      <c r="A2215" s="19"/>
      <c r="B2215" s="36"/>
    </row>
    <row r="2216" spans="1:2" x14ac:dyDescent="0.3">
      <c r="A2216" s="19"/>
      <c r="B2216" s="36"/>
    </row>
    <row r="2217" spans="1:2" x14ac:dyDescent="0.3">
      <c r="A2217" s="19"/>
      <c r="B2217" s="36"/>
    </row>
    <row r="2218" spans="1:2" x14ac:dyDescent="0.3">
      <c r="A2218" s="19"/>
      <c r="B2218" s="36"/>
    </row>
    <row r="2219" spans="1:2" x14ac:dyDescent="0.3">
      <c r="A2219" s="19"/>
      <c r="B2219" s="36"/>
    </row>
    <row r="2220" spans="1:2" x14ac:dyDescent="0.3">
      <c r="A2220" s="19"/>
      <c r="B2220" s="36"/>
    </row>
    <row r="2221" spans="1:2" x14ac:dyDescent="0.3">
      <c r="A2221" s="19"/>
      <c r="B2221" s="36"/>
    </row>
    <row r="2222" spans="1:2" x14ac:dyDescent="0.3">
      <c r="A2222" s="19"/>
      <c r="B2222" s="36"/>
    </row>
    <row r="2223" spans="1:2" x14ac:dyDescent="0.3">
      <c r="A2223" s="19"/>
      <c r="B2223" s="36"/>
    </row>
    <row r="2224" spans="1:2" x14ac:dyDescent="0.3">
      <c r="A2224" s="19"/>
      <c r="B2224" s="36"/>
    </row>
    <row r="2225" spans="1:2" x14ac:dyDescent="0.3">
      <c r="A2225" s="19"/>
      <c r="B2225" s="36"/>
    </row>
    <row r="2226" spans="1:2" x14ac:dyDescent="0.3">
      <c r="A2226" s="19"/>
      <c r="B2226" s="36"/>
    </row>
    <row r="2227" spans="1:2" x14ac:dyDescent="0.3">
      <c r="A2227" s="19"/>
      <c r="B2227" s="36"/>
    </row>
    <row r="2228" spans="1:2" x14ac:dyDescent="0.3">
      <c r="A2228" s="19"/>
      <c r="B2228" s="36"/>
    </row>
    <row r="2229" spans="1:2" x14ac:dyDescent="0.3">
      <c r="A2229" s="19"/>
      <c r="B2229" s="36"/>
    </row>
    <row r="2230" spans="1:2" x14ac:dyDescent="0.3">
      <c r="A2230" s="19"/>
      <c r="B2230" s="36"/>
    </row>
    <row r="2231" spans="1:2" x14ac:dyDescent="0.3">
      <c r="A2231" s="19"/>
      <c r="B2231" s="36"/>
    </row>
    <row r="2232" spans="1:2" x14ac:dyDescent="0.3">
      <c r="A2232" s="19"/>
      <c r="B2232" s="36"/>
    </row>
    <row r="2233" spans="1:2" x14ac:dyDescent="0.3">
      <c r="A2233" s="19"/>
      <c r="B2233" s="36"/>
    </row>
    <row r="2234" spans="1:2" x14ac:dyDescent="0.3">
      <c r="A2234" s="19"/>
      <c r="B2234" s="36"/>
    </row>
    <row r="2235" spans="1:2" x14ac:dyDescent="0.3">
      <c r="A2235" s="19"/>
      <c r="B2235" s="36"/>
    </row>
    <row r="2236" spans="1:2" x14ac:dyDescent="0.3">
      <c r="A2236" s="19"/>
      <c r="B2236" s="36"/>
    </row>
    <row r="2237" spans="1:2" x14ac:dyDescent="0.3">
      <c r="A2237" s="19"/>
      <c r="B2237" s="36"/>
    </row>
    <row r="2238" spans="1:2" x14ac:dyDescent="0.3">
      <c r="A2238" s="19"/>
      <c r="B2238" s="36"/>
    </row>
    <row r="2239" spans="1:2" x14ac:dyDescent="0.3">
      <c r="A2239" s="19"/>
      <c r="B2239" s="36"/>
    </row>
    <row r="2240" spans="1:2" x14ac:dyDescent="0.3">
      <c r="A2240" s="19"/>
      <c r="B2240" s="36"/>
    </row>
    <row r="2241" spans="1:2" x14ac:dyDescent="0.3">
      <c r="A2241" s="19"/>
      <c r="B2241" s="36"/>
    </row>
    <row r="2242" spans="1:2" x14ac:dyDescent="0.3">
      <c r="A2242" s="19"/>
      <c r="B2242" s="36"/>
    </row>
    <row r="2243" spans="1:2" x14ac:dyDescent="0.3">
      <c r="A2243" s="19"/>
      <c r="B2243" s="36"/>
    </row>
    <row r="2244" spans="1:2" x14ac:dyDescent="0.3">
      <c r="A2244" s="19"/>
      <c r="B2244" s="36"/>
    </row>
    <row r="2245" spans="1:2" x14ac:dyDescent="0.3">
      <c r="A2245" s="19"/>
      <c r="B2245" s="36"/>
    </row>
    <row r="2246" spans="1:2" x14ac:dyDescent="0.3">
      <c r="A2246" s="19"/>
      <c r="B2246" s="36"/>
    </row>
    <row r="2247" spans="1:2" x14ac:dyDescent="0.3">
      <c r="A2247" s="19"/>
      <c r="B2247" s="36"/>
    </row>
    <row r="2248" spans="1:2" x14ac:dyDescent="0.3">
      <c r="A2248" s="19"/>
      <c r="B2248" s="36"/>
    </row>
    <row r="2249" spans="1:2" x14ac:dyDescent="0.3">
      <c r="A2249" s="19"/>
      <c r="B2249" s="36"/>
    </row>
    <row r="2250" spans="1:2" x14ac:dyDescent="0.3">
      <c r="A2250" s="19"/>
      <c r="B2250" s="36"/>
    </row>
    <row r="2251" spans="1:2" x14ac:dyDescent="0.3">
      <c r="A2251" s="19"/>
      <c r="B2251" s="36"/>
    </row>
    <row r="2252" spans="1:2" x14ac:dyDescent="0.3">
      <c r="A2252" s="19"/>
      <c r="B2252" s="36"/>
    </row>
    <row r="2253" spans="1:2" x14ac:dyDescent="0.3">
      <c r="A2253" s="19"/>
      <c r="B2253" s="36"/>
    </row>
    <row r="2254" spans="1:2" x14ac:dyDescent="0.3">
      <c r="A2254" s="19"/>
      <c r="B2254" s="36"/>
    </row>
    <row r="2255" spans="1:2" x14ac:dyDescent="0.3">
      <c r="A2255" s="19"/>
      <c r="B2255" s="36"/>
    </row>
    <row r="2256" spans="1:2" x14ac:dyDescent="0.3">
      <c r="A2256" s="19"/>
      <c r="B2256" s="36"/>
    </row>
    <row r="2257" spans="1:2" x14ac:dyDescent="0.3">
      <c r="A2257" s="19"/>
      <c r="B2257" s="36"/>
    </row>
    <row r="2258" spans="1:2" x14ac:dyDescent="0.3">
      <c r="A2258" s="19"/>
      <c r="B2258" s="36"/>
    </row>
    <row r="2259" spans="1:2" x14ac:dyDescent="0.3">
      <c r="A2259" s="19"/>
      <c r="B2259" s="36"/>
    </row>
    <row r="2260" spans="1:2" x14ac:dyDescent="0.3">
      <c r="A2260" s="19"/>
      <c r="B2260" s="36"/>
    </row>
    <row r="2261" spans="1:2" x14ac:dyDescent="0.3">
      <c r="A2261" s="19"/>
      <c r="B2261" s="36"/>
    </row>
    <row r="2262" spans="1:2" x14ac:dyDescent="0.3">
      <c r="A2262" s="19"/>
      <c r="B2262" s="36"/>
    </row>
    <row r="2263" spans="1:2" x14ac:dyDescent="0.3">
      <c r="A2263" s="19"/>
      <c r="B2263" s="36"/>
    </row>
    <row r="2264" spans="1:2" x14ac:dyDescent="0.3">
      <c r="A2264" s="19"/>
      <c r="B2264" s="36"/>
    </row>
    <row r="2265" spans="1:2" x14ac:dyDescent="0.3">
      <c r="A2265" s="19"/>
      <c r="B2265" s="36"/>
    </row>
    <row r="2266" spans="1:2" x14ac:dyDescent="0.3">
      <c r="A2266" s="19"/>
      <c r="B2266" s="36"/>
    </row>
    <row r="2267" spans="1:2" x14ac:dyDescent="0.3">
      <c r="A2267" s="19"/>
      <c r="B2267" s="36"/>
    </row>
    <row r="2268" spans="1:2" x14ac:dyDescent="0.3">
      <c r="A2268" s="19"/>
      <c r="B2268" s="36"/>
    </row>
    <row r="2269" spans="1:2" x14ac:dyDescent="0.3">
      <c r="A2269" s="19"/>
      <c r="B2269" s="36"/>
    </row>
    <row r="2270" spans="1:2" x14ac:dyDescent="0.3">
      <c r="A2270" s="19"/>
      <c r="B2270" s="36"/>
    </row>
    <row r="2271" spans="1:2" x14ac:dyDescent="0.3">
      <c r="A2271" s="19"/>
      <c r="B2271" s="36"/>
    </row>
    <row r="2272" spans="1:2" x14ac:dyDescent="0.3">
      <c r="A2272" s="19"/>
      <c r="B2272" s="36"/>
    </row>
    <row r="2273" spans="1:2" x14ac:dyDescent="0.3">
      <c r="A2273" s="19"/>
      <c r="B2273" s="36"/>
    </row>
    <row r="2274" spans="1:2" x14ac:dyDescent="0.3">
      <c r="A2274" s="19"/>
      <c r="B2274" s="36"/>
    </row>
    <row r="2275" spans="1:2" x14ac:dyDescent="0.3">
      <c r="A2275" s="19"/>
      <c r="B2275" s="36"/>
    </row>
    <row r="2276" spans="1:2" x14ac:dyDescent="0.3">
      <c r="A2276" s="19"/>
      <c r="B2276" s="36"/>
    </row>
    <row r="2277" spans="1:2" x14ac:dyDescent="0.3">
      <c r="A2277" s="19"/>
      <c r="B2277" s="36"/>
    </row>
    <row r="2278" spans="1:2" x14ac:dyDescent="0.3">
      <c r="A2278" s="19"/>
      <c r="B2278" s="36"/>
    </row>
    <row r="2279" spans="1:2" x14ac:dyDescent="0.3">
      <c r="A2279" s="19"/>
      <c r="B2279" s="36"/>
    </row>
    <row r="2280" spans="1:2" x14ac:dyDescent="0.3">
      <c r="A2280" s="19"/>
      <c r="B2280" s="36"/>
    </row>
    <row r="2281" spans="1:2" x14ac:dyDescent="0.3">
      <c r="A2281" s="19"/>
      <c r="B2281" s="36"/>
    </row>
    <row r="2282" spans="1:2" x14ac:dyDescent="0.3">
      <c r="A2282" s="19"/>
      <c r="B2282" s="36"/>
    </row>
    <row r="2283" spans="1:2" x14ac:dyDescent="0.3">
      <c r="A2283" s="19"/>
      <c r="B2283" s="36"/>
    </row>
    <row r="2284" spans="1:2" x14ac:dyDescent="0.3">
      <c r="A2284" s="19"/>
      <c r="B2284" s="36"/>
    </row>
    <row r="2285" spans="1:2" x14ac:dyDescent="0.3">
      <c r="A2285" s="19"/>
      <c r="B2285" s="36"/>
    </row>
    <row r="2286" spans="1:2" x14ac:dyDescent="0.3">
      <c r="A2286" s="19"/>
      <c r="B2286" s="36"/>
    </row>
    <row r="2287" spans="1:2" x14ac:dyDescent="0.3">
      <c r="A2287" s="19"/>
      <c r="B2287" s="36"/>
    </row>
    <row r="2288" spans="1:2" x14ac:dyDescent="0.3">
      <c r="A2288" s="19"/>
      <c r="B2288" s="36"/>
    </row>
    <row r="2289" spans="1:2" x14ac:dyDescent="0.3">
      <c r="A2289" s="19"/>
      <c r="B2289" s="36"/>
    </row>
    <row r="2290" spans="1:2" x14ac:dyDescent="0.3">
      <c r="A2290" s="19"/>
      <c r="B2290" s="36"/>
    </row>
    <row r="2291" spans="1:2" x14ac:dyDescent="0.3">
      <c r="A2291" s="19"/>
      <c r="B2291" s="36"/>
    </row>
    <row r="2292" spans="1:2" x14ac:dyDescent="0.3">
      <c r="A2292" s="19"/>
      <c r="B2292" s="36"/>
    </row>
    <row r="2293" spans="1:2" x14ac:dyDescent="0.3">
      <c r="A2293" s="19"/>
      <c r="B2293" s="36"/>
    </row>
    <row r="2294" spans="1:2" x14ac:dyDescent="0.3">
      <c r="A2294" s="19"/>
      <c r="B2294" s="36"/>
    </row>
    <row r="2295" spans="1:2" x14ac:dyDescent="0.3">
      <c r="A2295" s="19"/>
      <c r="B2295" s="36"/>
    </row>
    <row r="2296" spans="1:2" x14ac:dyDescent="0.3">
      <c r="A2296" s="19"/>
      <c r="B2296" s="36"/>
    </row>
    <row r="2297" spans="1:2" x14ac:dyDescent="0.3">
      <c r="A2297" s="19"/>
      <c r="B2297" s="36"/>
    </row>
    <row r="2298" spans="1:2" x14ac:dyDescent="0.3">
      <c r="A2298" s="19"/>
      <c r="B2298" s="36"/>
    </row>
    <row r="2299" spans="1:2" x14ac:dyDescent="0.3">
      <c r="A2299" s="19"/>
      <c r="B2299" s="36"/>
    </row>
    <row r="2300" spans="1:2" x14ac:dyDescent="0.3">
      <c r="A2300" s="19"/>
      <c r="B2300" s="36"/>
    </row>
    <row r="2301" spans="1:2" x14ac:dyDescent="0.3">
      <c r="A2301" s="19"/>
      <c r="B2301" s="36"/>
    </row>
    <row r="2302" spans="1:2" x14ac:dyDescent="0.3">
      <c r="A2302" s="19"/>
      <c r="B2302" s="36"/>
    </row>
    <row r="2303" spans="1:2" x14ac:dyDescent="0.3">
      <c r="A2303" s="19"/>
      <c r="B2303" s="36"/>
    </row>
    <row r="2304" spans="1:2" x14ac:dyDescent="0.3">
      <c r="A2304" s="19"/>
      <c r="B2304" s="36"/>
    </row>
    <row r="2305" spans="1:2" x14ac:dyDescent="0.3">
      <c r="A2305" s="19"/>
      <c r="B2305" s="36"/>
    </row>
    <row r="2306" spans="1:2" x14ac:dyDescent="0.3">
      <c r="A2306" s="19"/>
      <c r="B2306" s="36"/>
    </row>
    <row r="2307" spans="1:2" x14ac:dyDescent="0.3">
      <c r="A2307" s="19"/>
      <c r="B2307" s="36"/>
    </row>
    <row r="2308" spans="1:2" x14ac:dyDescent="0.3">
      <c r="A2308" s="19"/>
      <c r="B2308" s="36"/>
    </row>
    <row r="2309" spans="1:2" x14ac:dyDescent="0.3">
      <c r="A2309" s="19"/>
      <c r="B2309" s="36"/>
    </row>
    <row r="2310" spans="1:2" x14ac:dyDescent="0.3">
      <c r="A2310" s="19"/>
      <c r="B2310" s="36"/>
    </row>
    <row r="2311" spans="1:2" x14ac:dyDescent="0.3">
      <c r="A2311" s="19"/>
      <c r="B2311" s="36"/>
    </row>
    <row r="2312" spans="1:2" x14ac:dyDescent="0.3">
      <c r="A2312" s="19"/>
      <c r="B2312" s="36"/>
    </row>
    <row r="2313" spans="1:2" x14ac:dyDescent="0.3">
      <c r="A2313" s="19"/>
      <c r="B2313" s="36"/>
    </row>
    <row r="2314" spans="1:2" x14ac:dyDescent="0.3">
      <c r="A2314" s="19"/>
      <c r="B2314" s="36"/>
    </row>
    <row r="2315" spans="1:2" x14ac:dyDescent="0.3">
      <c r="A2315" s="19"/>
      <c r="B2315" s="36"/>
    </row>
    <row r="2316" spans="1:2" x14ac:dyDescent="0.3">
      <c r="A2316" s="19"/>
      <c r="B2316" s="36"/>
    </row>
    <row r="2317" spans="1:2" x14ac:dyDescent="0.3">
      <c r="A2317" s="19"/>
      <c r="B2317" s="36"/>
    </row>
    <row r="2318" spans="1:2" x14ac:dyDescent="0.3">
      <c r="A2318" s="19"/>
      <c r="B2318" s="36"/>
    </row>
    <row r="2319" spans="1:2" x14ac:dyDescent="0.3">
      <c r="A2319" s="19"/>
      <c r="B2319" s="36"/>
    </row>
    <row r="2320" spans="1:2" x14ac:dyDescent="0.3">
      <c r="A2320" s="19"/>
      <c r="B2320" s="36"/>
    </row>
    <row r="2321" spans="1:2" x14ac:dyDescent="0.3">
      <c r="A2321" s="19"/>
      <c r="B2321" s="36"/>
    </row>
    <row r="2322" spans="1:2" x14ac:dyDescent="0.3">
      <c r="A2322" s="19"/>
      <c r="B2322" s="36"/>
    </row>
    <row r="2323" spans="1:2" x14ac:dyDescent="0.3">
      <c r="A2323" s="19"/>
      <c r="B2323" s="36"/>
    </row>
    <row r="2324" spans="1:2" x14ac:dyDescent="0.3">
      <c r="A2324" s="19"/>
      <c r="B2324" s="36"/>
    </row>
    <row r="2325" spans="1:2" x14ac:dyDescent="0.3">
      <c r="A2325" s="19"/>
      <c r="B2325" s="36"/>
    </row>
    <row r="2326" spans="1:2" x14ac:dyDescent="0.3">
      <c r="A2326" s="19"/>
      <c r="B2326" s="36"/>
    </row>
    <row r="2327" spans="1:2" x14ac:dyDescent="0.3">
      <c r="A2327" s="19"/>
      <c r="B2327" s="36"/>
    </row>
    <row r="2328" spans="1:2" x14ac:dyDescent="0.3">
      <c r="A2328" s="19"/>
      <c r="B2328" s="36"/>
    </row>
    <row r="2329" spans="1:2" x14ac:dyDescent="0.3">
      <c r="A2329" s="19"/>
      <c r="B2329" s="36"/>
    </row>
    <row r="2330" spans="1:2" x14ac:dyDescent="0.3">
      <c r="A2330" s="19"/>
      <c r="B2330" s="36"/>
    </row>
    <row r="2331" spans="1:2" x14ac:dyDescent="0.3">
      <c r="A2331" s="19"/>
      <c r="B2331" s="36"/>
    </row>
    <row r="2332" spans="1:2" x14ac:dyDescent="0.3">
      <c r="A2332" s="19"/>
      <c r="B2332" s="36"/>
    </row>
    <row r="2333" spans="1:2" x14ac:dyDescent="0.3">
      <c r="A2333" s="19"/>
      <c r="B2333" s="36"/>
    </row>
    <row r="2334" spans="1:2" x14ac:dyDescent="0.3">
      <c r="A2334" s="19"/>
      <c r="B2334" s="36"/>
    </row>
    <row r="2335" spans="1:2" x14ac:dyDescent="0.3">
      <c r="A2335" s="19"/>
      <c r="B2335" s="36"/>
    </row>
    <row r="2336" spans="1:2" x14ac:dyDescent="0.3">
      <c r="A2336" s="19"/>
      <c r="B2336" s="36"/>
    </row>
    <row r="2337" spans="1:2" x14ac:dyDescent="0.3">
      <c r="A2337" s="19"/>
      <c r="B2337" s="36"/>
    </row>
    <row r="2338" spans="1:2" x14ac:dyDescent="0.3">
      <c r="A2338" s="19"/>
      <c r="B2338" s="36"/>
    </row>
    <row r="2339" spans="1:2" x14ac:dyDescent="0.3">
      <c r="A2339" s="19"/>
      <c r="B2339" s="36"/>
    </row>
    <row r="2340" spans="1:2" x14ac:dyDescent="0.3">
      <c r="A2340" s="19"/>
      <c r="B2340" s="36"/>
    </row>
    <row r="2341" spans="1:2" x14ac:dyDescent="0.3">
      <c r="A2341" s="19"/>
      <c r="B2341" s="36"/>
    </row>
    <row r="2342" spans="1:2" x14ac:dyDescent="0.3">
      <c r="A2342" s="19"/>
      <c r="B2342" s="36"/>
    </row>
    <row r="2343" spans="1:2" x14ac:dyDescent="0.3">
      <c r="A2343" s="19"/>
      <c r="B2343" s="36"/>
    </row>
    <row r="2344" spans="1:2" x14ac:dyDescent="0.3">
      <c r="A2344" s="19"/>
      <c r="B2344" s="36"/>
    </row>
    <row r="2345" spans="1:2" x14ac:dyDescent="0.3">
      <c r="A2345" s="19"/>
      <c r="B2345" s="36"/>
    </row>
    <row r="2346" spans="1:2" x14ac:dyDescent="0.3">
      <c r="A2346" s="19"/>
      <c r="B2346" s="36"/>
    </row>
    <row r="2347" spans="1:2" x14ac:dyDescent="0.3">
      <c r="A2347" s="19"/>
      <c r="B2347" s="36"/>
    </row>
    <row r="2348" spans="1:2" x14ac:dyDescent="0.3">
      <c r="A2348" s="19"/>
      <c r="B2348" s="36"/>
    </row>
    <row r="2349" spans="1:2" x14ac:dyDescent="0.3">
      <c r="A2349" s="19"/>
      <c r="B2349" s="36"/>
    </row>
    <row r="2350" spans="1:2" x14ac:dyDescent="0.3">
      <c r="A2350" s="19"/>
      <c r="B2350" s="36"/>
    </row>
    <row r="2351" spans="1:2" x14ac:dyDescent="0.3">
      <c r="A2351" s="19"/>
      <c r="B2351" s="36"/>
    </row>
    <row r="2352" spans="1:2" x14ac:dyDescent="0.3">
      <c r="A2352" s="19"/>
      <c r="B2352" s="36"/>
    </row>
    <row r="2353" spans="1:2" x14ac:dyDescent="0.3">
      <c r="A2353" s="19"/>
      <c r="B2353" s="36"/>
    </row>
    <row r="2354" spans="1:2" x14ac:dyDescent="0.3">
      <c r="A2354" s="19"/>
      <c r="B2354" s="36"/>
    </row>
    <row r="2355" spans="1:2" x14ac:dyDescent="0.3">
      <c r="A2355" s="19"/>
      <c r="B2355" s="36"/>
    </row>
    <row r="2356" spans="1:2" x14ac:dyDescent="0.3">
      <c r="A2356" s="19"/>
      <c r="B2356" s="36"/>
    </row>
    <row r="2357" spans="1:2" x14ac:dyDescent="0.3">
      <c r="A2357" s="19"/>
      <c r="B2357" s="36"/>
    </row>
    <row r="2358" spans="1:2" x14ac:dyDescent="0.3">
      <c r="A2358" s="19"/>
      <c r="B2358" s="36"/>
    </row>
    <row r="2359" spans="1:2" x14ac:dyDescent="0.3">
      <c r="A2359" s="19"/>
      <c r="B2359" s="36"/>
    </row>
    <row r="2360" spans="1:2" x14ac:dyDescent="0.3">
      <c r="A2360" s="19"/>
      <c r="B2360" s="36"/>
    </row>
    <row r="2361" spans="1:2" x14ac:dyDescent="0.3">
      <c r="A2361" s="19"/>
      <c r="B2361" s="36"/>
    </row>
    <row r="2362" spans="1:2" x14ac:dyDescent="0.3">
      <c r="A2362" s="19"/>
      <c r="B2362" s="36"/>
    </row>
    <row r="2363" spans="1:2" x14ac:dyDescent="0.3">
      <c r="A2363" s="19"/>
      <c r="B2363" s="36"/>
    </row>
    <row r="2364" spans="1:2" x14ac:dyDescent="0.3">
      <c r="A2364" s="19"/>
      <c r="B2364" s="36"/>
    </row>
    <row r="2365" spans="1:2" x14ac:dyDescent="0.3">
      <c r="A2365" s="19"/>
      <c r="B2365" s="36"/>
    </row>
    <row r="2366" spans="1:2" x14ac:dyDescent="0.3">
      <c r="A2366" s="19"/>
      <c r="B2366" s="36"/>
    </row>
    <row r="2367" spans="1:2" x14ac:dyDescent="0.3">
      <c r="A2367" s="19"/>
      <c r="B2367" s="36"/>
    </row>
    <row r="2368" spans="1:2" x14ac:dyDescent="0.3">
      <c r="A2368" s="19"/>
      <c r="B2368" s="36"/>
    </row>
    <row r="2369" spans="1:2" x14ac:dyDescent="0.3">
      <c r="A2369" s="19"/>
      <c r="B2369" s="36"/>
    </row>
    <row r="2370" spans="1:2" x14ac:dyDescent="0.3">
      <c r="A2370" s="19"/>
      <c r="B2370" s="36"/>
    </row>
    <row r="2371" spans="1:2" x14ac:dyDescent="0.3">
      <c r="A2371" s="19"/>
      <c r="B2371" s="36"/>
    </row>
    <row r="2372" spans="1:2" x14ac:dyDescent="0.3">
      <c r="A2372" s="19"/>
      <c r="B2372" s="36"/>
    </row>
    <row r="2373" spans="1:2" x14ac:dyDescent="0.3">
      <c r="A2373" s="19"/>
      <c r="B2373" s="36"/>
    </row>
    <row r="2374" spans="1:2" x14ac:dyDescent="0.3">
      <c r="A2374" s="19"/>
      <c r="B2374" s="36"/>
    </row>
    <row r="2375" spans="1:2" x14ac:dyDescent="0.3">
      <c r="A2375" s="19"/>
      <c r="B2375" s="36"/>
    </row>
    <row r="2376" spans="1:2" x14ac:dyDescent="0.3">
      <c r="A2376" s="19"/>
      <c r="B2376" s="36"/>
    </row>
    <row r="2377" spans="1:2" x14ac:dyDescent="0.3">
      <c r="A2377" s="19"/>
      <c r="B2377" s="36"/>
    </row>
    <row r="2378" spans="1:2" x14ac:dyDescent="0.3">
      <c r="A2378" s="19"/>
      <c r="B2378" s="36"/>
    </row>
    <row r="2379" spans="1:2" x14ac:dyDescent="0.3">
      <c r="A2379" s="19"/>
      <c r="B2379" s="36"/>
    </row>
    <row r="2380" spans="1:2" x14ac:dyDescent="0.3">
      <c r="A2380" s="19"/>
      <c r="B2380" s="36"/>
    </row>
    <row r="2381" spans="1:2" x14ac:dyDescent="0.3">
      <c r="A2381" s="19"/>
      <c r="B2381" s="36"/>
    </row>
    <row r="2382" spans="1:2" x14ac:dyDescent="0.3">
      <c r="A2382" s="19"/>
      <c r="B2382" s="36"/>
    </row>
    <row r="2383" spans="1:2" x14ac:dyDescent="0.3">
      <c r="A2383" s="19"/>
      <c r="B2383" s="36"/>
    </row>
    <row r="2384" spans="1:2" x14ac:dyDescent="0.3">
      <c r="A2384" s="19"/>
      <c r="B2384" s="36"/>
    </row>
    <row r="2385" spans="1:2" x14ac:dyDescent="0.3">
      <c r="A2385" s="19"/>
      <c r="B2385" s="36"/>
    </row>
    <row r="2386" spans="1:2" x14ac:dyDescent="0.3">
      <c r="A2386" s="19"/>
      <c r="B2386" s="36"/>
    </row>
    <row r="2387" spans="1:2" x14ac:dyDescent="0.3">
      <c r="A2387" s="19"/>
      <c r="B2387" s="36"/>
    </row>
    <row r="2388" spans="1:2" x14ac:dyDescent="0.3">
      <c r="A2388" s="19"/>
      <c r="B2388" s="36"/>
    </row>
    <row r="2389" spans="1:2" x14ac:dyDescent="0.3">
      <c r="A2389" s="19"/>
      <c r="B2389" s="36"/>
    </row>
    <row r="2390" spans="1:2" x14ac:dyDescent="0.3">
      <c r="A2390" s="19"/>
      <c r="B2390" s="36"/>
    </row>
    <row r="2391" spans="1:2" x14ac:dyDescent="0.3">
      <c r="A2391" s="19"/>
      <c r="B2391" s="36"/>
    </row>
    <row r="2392" spans="1:2" x14ac:dyDescent="0.3">
      <c r="A2392" s="19"/>
      <c r="B2392" s="36"/>
    </row>
    <row r="2393" spans="1:2" x14ac:dyDescent="0.3">
      <c r="A2393" s="19"/>
      <c r="B2393" s="36"/>
    </row>
    <row r="2394" spans="1:2" x14ac:dyDescent="0.3">
      <c r="A2394" s="19"/>
      <c r="B2394" s="36"/>
    </row>
    <row r="2395" spans="1:2" x14ac:dyDescent="0.3">
      <c r="A2395" s="19"/>
      <c r="B2395" s="36"/>
    </row>
    <row r="2396" spans="1:2" x14ac:dyDescent="0.3">
      <c r="A2396" s="19"/>
      <c r="B2396" s="36"/>
    </row>
    <row r="2397" spans="1:2" x14ac:dyDescent="0.3">
      <c r="A2397" s="19"/>
      <c r="B2397" s="36"/>
    </row>
    <row r="2398" spans="1:2" x14ac:dyDescent="0.3">
      <c r="A2398" s="19"/>
      <c r="B2398" s="36"/>
    </row>
    <row r="2399" spans="1:2" x14ac:dyDescent="0.3">
      <c r="A2399" s="19"/>
      <c r="B2399" s="36"/>
    </row>
    <row r="2400" spans="1:2" x14ac:dyDescent="0.3">
      <c r="A2400" s="19"/>
      <c r="B2400" s="36"/>
    </row>
    <row r="2401" spans="1:2" x14ac:dyDescent="0.3">
      <c r="A2401" s="19"/>
      <c r="B2401" s="36"/>
    </row>
    <row r="2402" spans="1:2" x14ac:dyDescent="0.3">
      <c r="A2402" s="19"/>
      <c r="B2402" s="36"/>
    </row>
    <row r="2403" spans="1:2" x14ac:dyDescent="0.3">
      <c r="A2403" s="19"/>
      <c r="B2403" s="36"/>
    </row>
    <row r="2404" spans="1:2" x14ac:dyDescent="0.3">
      <c r="A2404" s="19"/>
      <c r="B2404" s="36"/>
    </row>
    <row r="2405" spans="1:2" x14ac:dyDescent="0.3">
      <c r="A2405" s="19"/>
      <c r="B2405" s="36"/>
    </row>
    <row r="2406" spans="1:2" x14ac:dyDescent="0.3">
      <c r="A2406" s="19"/>
      <c r="B2406" s="36"/>
    </row>
    <row r="2407" spans="1:2" x14ac:dyDescent="0.3">
      <c r="A2407" s="19"/>
      <c r="B2407" s="36"/>
    </row>
    <row r="2408" spans="1:2" x14ac:dyDescent="0.3">
      <c r="A2408" s="19"/>
      <c r="B2408" s="36"/>
    </row>
    <row r="2409" spans="1:2" x14ac:dyDescent="0.3">
      <c r="A2409" s="19"/>
      <c r="B2409" s="36"/>
    </row>
    <row r="2410" spans="1:2" x14ac:dyDescent="0.3">
      <c r="A2410" s="19"/>
      <c r="B2410" s="36"/>
    </row>
    <row r="2411" spans="1:2" x14ac:dyDescent="0.3">
      <c r="A2411" s="19"/>
      <c r="B2411" s="36"/>
    </row>
    <row r="2412" spans="1:2" x14ac:dyDescent="0.3">
      <c r="A2412" s="19"/>
      <c r="B2412" s="36"/>
    </row>
    <row r="2413" spans="1:2" x14ac:dyDescent="0.3">
      <c r="A2413" s="19"/>
      <c r="B2413" s="36"/>
    </row>
    <row r="2414" spans="1:2" x14ac:dyDescent="0.3">
      <c r="A2414" s="19"/>
      <c r="B2414" s="36"/>
    </row>
    <row r="2415" spans="1:2" x14ac:dyDescent="0.3">
      <c r="A2415" s="19"/>
      <c r="B2415" s="36"/>
    </row>
    <row r="2416" spans="1:2" x14ac:dyDescent="0.3">
      <c r="A2416" s="19"/>
      <c r="B2416" s="36"/>
    </row>
    <row r="2417" spans="1:2" x14ac:dyDescent="0.3">
      <c r="A2417" s="19"/>
      <c r="B2417" s="36"/>
    </row>
    <row r="2418" spans="1:2" x14ac:dyDescent="0.3">
      <c r="A2418" s="19"/>
      <c r="B2418" s="36"/>
    </row>
    <row r="2419" spans="1:2" x14ac:dyDescent="0.3">
      <c r="A2419" s="19"/>
      <c r="B2419" s="36"/>
    </row>
    <row r="2420" spans="1:2" x14ac:dyDescent="0.3">
      <c r="A2420" s="19"/>
      <c r="B2420" s="36"/>
    </row>
    <row r="2421" spans="1:2" x14ac:dyDescent="0.3">
      <c r="A2421" s="19"/>
      <c r="B2421" s="36"/>
    </row>
    <row r="2422" spans="1:2" x14ac:dyDescent="0.3">
      <c r="A2422" s="19"/>
      <c r="B2422" s="36"/>
    </row>
    <row r="2423" spans="1:2" x14ac:dyDescent="0.3">
      <c r="A2423" s="19"/>
      <c r="B2423" s="36"/>
    </row>
    <row r="2424" spans="1:2" x14ac:dyDescent="0.3">
      <c r="A2424" s="19"/>
      <c r="B2424" s="36"/>
    </row>
    <row r="2425" spans="1:2" x14ac:dyDescent="0.3">
      <c r="A2425" s="19"/>
      <c r="B2425" s="36"/>
    </row>
    <row r="2426" spans="1:2" x14ac:dyDescent="0.3">
      <c r="A2426" s="19"/>
      <c r="B2426" s="36"/>
    </row>
    <row r="2427" spans="1:2" x14ac:dyDescent="0.3">
      <c r="A2427" s="19"/>
      <c r="B2427" s="36"/>
    </row>
    <row r="2428" spans="1:2" x14ac:dyDescent="0.3">
      <c r="A2428" s="19"/>
      <c r="B2428" s="36"/>
    </row>
    <row r="2429" spans="1:2" x14ac:dyDescent="0.3">
      <c r="A2429" s="19"/>
      <c r="B2429" s="36"/>
    </row>
    <row r="2430" spans="1:2" x14ac:dyDescent="0.3">
      <c r="A2430" s="19"/>
      <c r="B2430" s="36"/>
    </row>
    <row r="2431" spans="1:2" x14ac:dyDescent="0.3">
      <c r="A2431" s="19"/>
      <c r="B2431" s="36"/>
    </row>
    <row r="2432" spans="1:2" x14ac:dyDescent="0.3">
      <c r="A2432" s="19"/>
      <c r="B2432" s="36"/>
    </row>
    <row r="2433" spans="1:2" x14ac:dyDescent="0.3">
      <c r="A2433" s="19"/>
      <c r="B2433" s="36"/>
    </row>
    <row r="2434" spans="1:2" x14ac:dyDescent="0.3">
      <c r="A2434" s="19"/>
      <c r="B2434" s="36"/>
    </row>
    <row r="2435" spans="1:2" x14ac:dyDescent="0.3">
      <c r="A2435" s="19"/>
      <c r="B2435" s="36"/>
    </row>
    <row r="2436" spans="1:2" x14ac:dyDescent="0.3">
      <c r="A2436" s="19"/>
      <c r="B2436" s="36"/>
    </row>
    <row r="2437" spans="1:2" x14ac:dyDescent="0.3">
      <c r="A2437" s="19"/>
      <c r="B2437" s="36"/>
    </row>
    <row r="2438" spans="1:2" x14ac:dyDescent="0.3">
      <c r="A2438" s="19"/>
      <c r="B2438" s="36"/>
    </row>
    <row r="2439" spans="1:2" x14ac:dyDescent="0.3">
      <c r="A2439" s="19"/>
      <c r="B2439" s="36"/>
    </row>
    <row r="2440" spans="1:2" x14ac:dyDescent="0.3">
      <c r="A2440" s="19"/>
      <c r="B2440" s="36"/>
    </row>
    <row r="2441" spans="1:2" x14ac:dyDescent="0.3">
      <c r="A2441" s="19"/>
      <c r="B2441" s="36"/>
    </row>
    <row r="2442" spans="1:2" x14ac:dyDescent="0.3">
      <c r="A2442" s="19"/>
      <c r="B2442" s="36"/>
    </row>
    <row r="2443" spans="1:2" x14ac:dyDescent="0.3">
      <c r="A2443" s="19"/>
      <c r="B2443" s="36"/>
    </row>
    <row r="2444" spans="1:2" x14ac:dyDescent="0.3">
      <c r="A2444" s="19"/>
      <c r="B2444" s="36"/>
    </row>
    <row r="2445" spans="1:2" x14ac:dyDescent="0.3">
      <c r="A2445" s="19"/>
      <c r="B2445" s="36"/>
    </row>
    <row r="2446" spans="1:2" x14ac:dyDescent="0.3">
      <c r="A2446" s="19"/>
      <c r="B2446" s="36"/>
    </row>
    <row r="2447" spans="1:2" x14ac:dyDescent="0.3">
      <c r="A2447" s="19"/>
      <c r="B2447" s="36"/>
    </row>
    <row r="2448" spans="1:2" x14ac:dyDescent="0.3">
      <c r="A2448" s="19"/>
      <c r="B2448" s="36"/>
    </row>
    <row r="2449" spans="1:2" x14ac:dyDescent="0.3">
      <c r="A2449" s="19"/>
      <c r="B2449" s="36"/>
    </row>
    <row r="2450" spans="1:2" x14ac:dyDescent="0.3">
      <c r="A2450" s="19"/>
      <c r="B2450" s="36"/>
    </row>
    <row r="2451" spans="1:2" x14ac:dyDescent="0.3">
      <c r="A2451" s="19"/>
      <c r="B2451" s="36"/>
    </row>
    <row r="2452" spans="1:2" x14ac:dyDescent="0.3">
      <c r="A2452" s="19"/>
      <c r="B2452" s="36"/>
    </row>
    <row r="2453" spans="1:2" x14ac:dyDescent="0.3">
      <c r="A2453" s="19"/>
      <c r="B2453" s="36"/>
    </row>
    <row r="2454" spans="1:2" x14ac:dyDescent="0.3">
      <c r="A2454" s="19"/>
      <c r="B2454" s="36"/>
    </row>
    <row r="2455" spans="1:2" x14ac:dyDescent="0.3">
      <c r="A2455" s="19"/>
      <c r="B2455" s="36"/>
    </row>
    <row r="2456" spans="1:2" x14ac:dyDescent="0.3">
      <c r="A2456" s="19"/>
      <c r="B2456" s="36"/>
    </row>
    <row r="2457" spans="1:2" x14ac:dyDescent="0.3">
      <c r="A2457" s="19"/>
      <c r="B2457" s="36"/>
    </row>
    <row r="2458" spans="1:2" x14ac:dyDescent="0.3">
      <c r="A2458" s="19"/>
      <c r="B2458" s="36"/>
    </row>
    <row r="2459" spans="1:2" x14ac:dyDescent="0.3">
      <c r="A2459" s="19"/>
      <c r="B2459" s="36"/>
    </row>
    <row r="2460" spans="1:2" x14ac:dyDescent="0.3">
      <c r="A2460" s="19"/>
      <c r="B2460" s="36"/>
    </row>
    <row r="2461" spans="1:2" x14ac:dyDescent="0.3">
      <c r="A2461" s="19"/>
      <c r="B2461" s="36"/>
    </row>
    <row r="2462" spans="1:2" x14ac:dyDescent="0.3">
      <c r="A2462" s="19"/>
      <c r="B2462" s="36"/>
    </row>
    <row r="2463" spans="1:2" x14ac:dyDescent="0.3">
      <c r="A2463" s="19"/>
      <c r="B2463" s="36"/>
    </row>
    <row r="2464" spans="1:2" x14ac:dyDescent="0.3">
      <c r="A2464" s="19"/>
      <c r="B2464" s="36"/>
    </row>
    <row r="2465" spans="1:2" x14ac:dyDescent="0.3">
      <c r="A2465" s="19"/>
      <c r="B2465" s="36"/>
    </row>
    <row r="2466" spans="1:2" x14ac:dyDescent="0.3">
      <c r="A2466" s="19"/>
      <c r="B2466" s="36"/>
    </row>
    <row r="2467" spans="1:2" x14ac:dyDescent="0.3">
      <c r="A2467" s="19"/>
      <c r="B2467" s="36"/>
    </row>
    <row r="2468" spans="1:2" x14ac:dyDescent="0.3">
      <c r="A2468" s="19"/>
      <c r="B2468" s="36"/>
    </row>
    <row r="2469" spans="1:2" x14ac:dyDescent="0.3">
      <c r="A2469" s="19"/>
      <c r="B2469" s="36"/>
    </row>
    <row r="2470" spans="1:2" x14ac:dyDescent="0.3">
      <c r="A2470" s="19"/>
      <c r="B2470" s="36"/>
    </row>
    <row r="2471" spans="1:2" x14ac:dyDescent="0.3">
      <c r="A2471" s="19"/>
      <c r="B2471" s="36"/>
    </row>
    <row r="2472" spans="1:2" x14ac:dyDescent="0.3">
      <c r="A2472" s="19"/>
      <c r="B2472" s="36"/>
    </row>
    <row r="2473" spans="1:2" x14ac:dyDescent="0.3">
      <c r="A2473" s="19"/>
      <c r="B2473" s="36"/>
    </row>
    <row r="2474" spans="1:2" x14ac:dyDescent="0.3">
      <c r="A2474" s="19"/>
      <c r="B2474" s="36"/>
    </row>
    <row r="2475" spans="1:2" x14ac:dyDescent="0.3">
      <c r="A2475" s="19"/>
      <c r="B2475" s="36"/>
    </row>
    <row r="2476" spans="1:2" x14ac:dyDescent="0.3">
      <c r="A2476" s="19"/>
      <c r="B2476" s="36"/>
    </row>
    <row r="2477" spans="1:2" x14ac:dyDescent="0.3">
      <c r="A2477" s="19"/>
      <c r="B2477" s="36"/>
    </row>
    <row r="2478" spans="1:2" x14ac:dyDescent="0.3">
      <c r="A2478" s="19"/>
      <c r="B2478" s="36"/>
    </row>
    <row r="2479" spans="1:2" x14ac:dyDescent="0.3">
      <c r="A2479" s="19"/>
      <c r="B2479" s="36"/>
    </row>
    <row r="2480" spans="1:2" x14ac:dyDescent="0.3">
      <c r="A2480" s="19"/>
      <c r="B2480" s="36"/>
    </row>
    <row r="2481" spans="1:2" x14ac:dyDescent="0.3">
      <c r="A2481" s="19"/>
      <c r="B2481" s="36"/>
    </row>
    <row r="2482" spans="1:2" x14ac:dyDescent="0.3">
      <c r="A2482" s="19"/>
      <c r="B2482" s="36"/>
    </row>
    <row r="2483" spans="1:2" x14ac:dyDescent="0.3">
      <c r="A2483" s="19"/>
      <c r="B2483" s="36"/>
    </row>
    <row r="2484" spans="1:2" x14ac:dyDescent="0.3">
      <c r="A2484" s="19"/>
      <c r="B2484" s="36"/>
    </row>
    <row r="2485" spans="1:2" x14ac:dyDescent="0.3">
      <c r="A2485" s="19"/>
      <c r="B2485" s="36"/>
    </row>
    <row r="2486" spans="1:2" x14ac:dyDescent="0.3">
      <c r="A2486" s="19"/>
      <c r="B2486" s="36"/>
    </row>
    <row r="2487" spans="1:2" x14ac:dyDescent="0.3">
      <c r="A2487" s="19"/>
      <c r="B2487" s="36"/>
    </row>
    <row r="2488" spans="1:2" x14ac:dyDescent="0.3">
      <c r="A2488" s="19"/>
      <c r="B2488" s="36"/>
    </row>
    <row r="2489" spans="1:2" x14ac:dyDescent="0.3">
      <c r="A2489" s="19"/>
      <c r="B2489" s="36"/>
    </row>
    <row r="2490" spans="1:2" x14ac:dyDescent="0.3">
      <c r="A2490" s="19"/>
      <c r="B2490" s="36"/>
    </row>
    <row r="2491" spans="1:2" x14ac:dyDescent="0.3">
      <c r="A2491" s="19"/>
      <c r="B2491" s="36"/>
    </row>
    <row r="2492" spans="1:2" x14ac:dyDescent="0.3">
      <c r="A2492" s="19"/>
      <c r="B2492" s="36"/>
    </row>
    <row r="2493" spans="1:2" x14ac:dyDescent="0.3">
      <c r="A2493" s="19"/>
      <c r="B2493" s="36"/>
    </row>
    <row r="2494" spans="1:2" x14ac:dyDescent="0.3">
      <c r="A2494" s="19"/>
      <c r="B2494" s="36"/>
    </row>
    <row r="2495" spans="1:2" x14ac:dyDescent="0.3">
      <c r="A2495" s="19"/>
      <c r="B2495" s="36"/>
    </row>
    <row r="2496" spans="1:2" x14ac:dyDescent="0.3">
      <c r="A2496" s="19"/>
      <c r="B2496" s="36"/>
    </row>
    <row r="2497" spans="1:2" x14ac:dyDescent="0.3">
      <c r="A2497" s="19"/>
      <c r="B2497" s="36"/>
    </row>
    <row r="2498" spans="1:2" x14ac:dyDescent="0.3">
      <c r="A2498" s="19"/>
      <c r="B2498" s="36"/>
    </row>
    <row r="2499" spans="1:2" x14ac:dyDescent="0.3">
      <c r="A2499" s="19"/>
      <c r="B2499" s="36"/>
    </row>
    <row r="2500" spans="1:2" x14ac:dyDescent="0.3">
      <c r="A2500" s="19"/>
      <c r="B2500" s="36"/>
    </row>
    <row r="2501" spans="1:2" x14ac:dyDescent="0.3">
      <c r="A2501" s="19"/>
      <c r="B2501" s="36"/>
    </row>
    <row r="2502" spans="1:2" x14ac:dyDescent="0.3">
      <c r="A2502" s="19"/>
      <c r="B2502" s="36"/>
    </row>
    <row r="2503" spans="1:2" x14ac:dyDescent="0.3">
      <c r="A2503" s="19"/>
      <c r="B2503" s="36"/>
    </row>
    <row r="2504" spans="1:2" x14ac:dyDescent="0.3">
      <c r="A2504" s="19"/>
      <c r="B2504" s="36"/>
    </row>
    <row r="2505" spans="1:2" x14ac:dyDescent="0.3">
      <c r="A2505" s="19"/>
      <c r="B2505" s="36"/>
    </row>
    <row r="2506" spans="1:2" x14ac:dyDescent="0.3">
      <c r="A2506" s="19"/>
      <c r="B2506" s="36"/>
    </row>
    <row r="2507" spans="1:2" x14ac:dyDescent="0.3">
      <c r="A2507" s="19"/>
      <c r="B2507" s="36"/>
    </row>
    <row r="2508" spans="1:2" x14ac:dyDescent="0.3">
      <c r="A2508" s="19"/>
      <c r="B2508" s="36"/>
    </row>
    <row r="2509" spans="1:2" x14ac:dyDescent="0.3">
      <c r="A2509" s="19"/>
      <c r="B2509" s="36"/>
    </row>
    <row r="2510" spans="1:2" x14ac:dyDescent="0.3">
      <c r="A2510" s="19"/>
      <c r="B2510" s="36"/>
    </row>
    <row r="2511" spans="1:2" x14ac:dyDescent="0.3">
      <c r="A2511" s="19"/>
      <c r="B2511" s="36"/>
    </row>
    <row r="2512" spans="1:2" x14ac:dyDescent="0.3">
      <c r="A2512" s="19"/>
      <c r="B2512" s="36"/>
    </row>
    <row r="2513" spans="1:2" x14ac:dyDescent="0.3">
      <c r="A2513" s="19"/>
      <c r="B2513" s="36"/>
    </row>
    <row r="2514" spans="1:2" x14ac:dyDescent="0.3">
      <c r="A2514" s="19"/>
      <c r="B2514" s="36"/>
    </row>
    <row r="2515" spans="1:2" x14ac:dyDescent="0.3">
      <c r="A2515" s="19"/>
      <c r="B2515" s="36"/>
    </row>
    <row r="2516" spans="1:2" x14ac:dyDescent="0.3">
      <c r="A2516" s="19"/>
      <c r="B2516" s="36"/>
    </row>
    <row r="2517" spans="1:2" x14ac:dyDescent="0.3">
      <c r="A2517" s="19"/>
      <c r="B2517" s="36"/>
    </row>
    <row r="2518" spans="1:2" x14ac:dyDescent="0.3">
      <c r="A2518" s="19"/>
      <c r="B2518" s="36"/>
    </row>
    <row r="2519" spans="1:2" x14ac:dyDescent="0.3">
      <c r="A2519" s="19"/>
      <c r="B2519" s="36"/>
    </row>
    <row r="2520" spans="1:2" x14ac:dyDescent="0.3">
      <c r="A2520" s="19"/>
      <c r="B2520" s="36"/>
    </row>
    <row r="2521" spans="1:2" x14ac:dyDescent="0.3">
      <c r="A2521" s="19"/>
      <c r="B2521" s="36"/>
    </row>
    <row r="2522" spans="1:2" x14ac:dyDescent="0.3">
      <c r="A2522" s="19"/>
      <c r="B2522" s="36"/>
    </row>
    <row r="2523" spans="1:2" x14ac:dyDescent="0.3">
      <c r="A2523" s="19"/>
      <c r="B2523" s="36"/>
    </row>
    <row r="2524" spans="1:2" x14ac:dyDescent="0.3">
      <c r="A2524" s="19"/>
      <c r="B2524" s="36"/>
    </row>
    <row r="2525" spans="1:2" x14ac:dyDescent="0.3">
      <c r="A2525" s="19"/>
      <c r="B2525" s="36"/>
    </row>
    <row r="2526" spans="1:2" x14ac:dyDescent="0.3">
      <c r="A2526" s="19"/>
      <c r="B2526" s="36"/>
    </row>
    <row r="2527" spans="1:2" x14ac:dyDescent="0.3">
      <c r="A2527" s="19"/>
      <c r="B2527" s="36"/>
    </row>
    <row r="2528" spans="1:2" x14ac:dyDescent="0.3">
      <c r="A2528" s="19"/>
      <c r="B2528" s="36"/>
    </row>
    <row r="2529" spans="1:2" x14ac:dyDescent="0.3">
      <c r="A2529" s="19"/>
      <c r="B2529" s="36"/>
    </row>
    <row r="2530" spans="1:2" x14ac:dyDescent="0.3">
      <c r="A2530" s="19"/>
      <c r="B2530" s="36"/>
    </row>
    <row r="2531" spans="1:2" x14ac:dyDescent="0.3">
      <c r="A2531" s="19"/>
      <c r="B2531" s="36"/>
    </row>
    <row r="2532" spans="1:2" x14ac:dyDescent="0.3">
      <c r="A2532" s="19"/>
      <c r="B2532" s="36"/>
    </row>
    <row r="2533" spans="1:2" x14ac:dyDescent="0.3">
      <c r="A2533" s="19"/>
      <c r="B2533" s="36"/>
    </row>
    <row r="2534" spans="1:2" x14ac:dyDescent="0.3">
      <c r="A2534" s="19"/>
      <c r="B2534" s="36"/>
    </row>
    <row r="2535" spans="1:2" x14ac:dyDescent="0.3">
      <c r="A2535" s="19"/>
      <c r="B2535" s="36"/>
    </row>
    <row r="2536" spans="1:2" x14ac:dyDescent="0.3">
      <c r="A2536" s="19"/>
      <c r="B2536" s="36"/>
    </row>
    <row r="2537" spans="1:2" x14ac:dyDescent="0.3">
      <c r="A2537" s="19"/>
      <c r="B2537" s="36"/>
    </row>
    <row r="2538" spans="1:2" x14ac:dyDescent="0.3">
      <c r="A2538" s="19"/>
      <c r="B2538" s="36"/>
    </row>
    <row r="2539" spans="1:2" x14ac:dyDescent="0.3">
      <c r="A2539" s="19"/>
      <c r="B2539" s="36"/>
    </row>
    <row r="2540" spans="1:2" x14ac:dyDescent="0.3">
      <c r="A2540" s="19"/>
      <c r="B2540" s="36"/>
    </row>
    <row r="2541" spans="1:2" x14ac:dyDescent="0.3">
      <c r="A2541" s="19"/>
      <c r="B2541" s="36"/>
    </row>
    <row r="2542" spans="1:2" x14ac:dyDescent="0.3">
      <c r="A2542" s="19"/>
      <c r="B2542" s="36"/>
    </row>
    <row r="2543" spans="1:2" x14ac:dyDescent="0.3">
      <c r="A2543" s="19"/>
      <c r="B2543" s="36"/>
    </row>
    <row r="2544" spans="1:2" x14ac:dyDescent="0.3">
      <c r="A2544" s="19"/>
      <c r="B2544" s="36"/>
    </row>
    <row r="2545" spans="1:2" x14ac:dyDescent="0.3">
      <c r="A2545" s="19"/>
      <c r="B2545" s="36"/>
    </row>
    <row r="2546" spans="1:2" x14ac:dyDescent="0.3">
      <c r="A2546" s="19"/>
      <c r="B2546" s="36"/>
    </row>
    <row r="2547" spans="1:2" x14ac:dyDescent="0.3">
      <c r="A2547" s="19"/>
      <c r="B2547" s="36"/>
    </row>
    <row r="2548" spans="1:2" x14ac:dyDescent="0.3">
      <c r="A2548" s="19"/>
      <c r="B2548" s="36"/>
    </row>
    <row r="2549" spans="1:2" x14ac:dyDescent="0.3">
      <c r="A2549" s="19"/>
      <c r="B2549" s="36"/>
    </row>
    <row r="2550" spans="1:2" x14ac:dyDescent="0.3">
      <c r="A2550" s="19"/>
      <c r="B2550" s="36"/>
    </row>
    <row r="2551" spans="1:2" x14ac:dyDescent="0.3">
      <c r="A2551" s="19"/>
      <c r="B2551" s="36"/>
    </row>
    <row r="2552" spans="1:2" x14ac:dyDescent="0.3">
      <c r="A2552" s="19"/>
      <c r="B2552" s="36"/>
    </row>
    <row r="2553" spans="1:2" x14ac:dyDescent="0.3">
      <c r="A2553" s="19"/>
      <c r="B2553" s="36"/>
    </row>
    <row r="2554" spans="1:2" x14ac:dyDescent="0.3">
      <c r="A2554" s="19"/>
      <c r="B2554" s="36"/>
    </row>
    <row r="2555" spans="1:2" x14ac:dyDescent="0.3">
      <c r="A2555" s="19"/>
      <c r="B2555" s="36"/>
    </row>
    <row r="2556" spans="1:2" x14ac:dyDescent="0.3">
      <c r="A2556" s="19"/>
      <c r="B2556" s="36"/>
    </row>
    <row r="2557" spans="1:2" x14ac:dyDescent="0.3">
      <c r="A2557" s="19"/>
      <c r="B2557" s="36"/>
    </row>
    <row r="2558" spans="1:2" x14ac:dyDescent="0.3">
      <c r="A2558" s="19"/>
      <c r="B2558" s="36"/>
    </row>
    <row r="2559" spans="1:2" x14ac:dyDescent="0.3">
      <c r="A2559" s="19"/>
      <c r="B2559" s="36"/>
    </row>
    <row r="2560" spans="1:2" x14ac:dyDescent="0.3">
      <c r="A2560" s="19"/>
      <c r="B2560" s="36"/>
    </row>
    <row r="2561" spans="1:2" x14ac:dyDescent="0.3">
      <c r="A2561" s="19"/>
      <c r="B2561" s="36"/>
    </row>
    <row r="2562" spans="1:2" x14ac:dyDescent="0.3">
      <c r="A2562" s="19"/>
      <c r="B2562" s="36"/>
    </row>
    <row r="2563" spans="1:2" x14ac:dyDescent="0.3">
      <c r="A2563" s="19"/>
      <c r="B2563" s="36"/>
    </row>
    <row r="2564" spans="1:2" x14ac:dyDescent="0.3">
      <c r="A2564" s="19"/>
      <c r="B2564" s="36"/>
    </row>
    <row r="2565" spans="1:2" x14ac:dyDescent="0.3">
      <c r="A2565" s="19"/>
      <c r="B2565" s="36"/>
    </row>
    <row r="2566" spans="1:2" x14ac:dyDescent="0.3">
      <c r="A2566" s="19"/>
      <c r="B2566" s="36"/>
    </row>
    <row r="2567" spans="1:2" x14ac:dyDescent="0.3">
      <c r="A2567" s="19"/>
      <c r="B2567" s="36"/>
    </row>
    <row r="2568" spans="1:2" x14ac:dyDescent="0.3">
      <c r="A2568" s="19"/>
      <c r="B2568" s="36"/>
    </row>
    <row r="2569" spans="1:2" x14ac:dyDescent="0.3">
      <c r="A2569" s="19"/>
      <c r="B2569" s="36"/>
    </row>
    <row r="2570" spans="1:2" x14ac:dyDescent="0.3">
      <c r="A2570" s="19"/>
      <c r="B2570" s="36"/>
    </row>
    <row r="2571" spans="1:2" x14ac:dyDescent="0.3">
      <c r="A2571" s="19"/>
      <c r="B2571" s="36"/>
    </row>
    <row r="2572" spans="1:2" x14ac:dyDescent="0.3">
      <c r="A2572" s="19"/>
      <c r="B2572" s="36"/>
    </row>
    <row r="2573" spans="1:2" x14ac:dyDescent="0.3">
      <c r="A2573" s="19"/>
      <c r="B2573" s="36"/>
    </row>
    <row r="2574" spans="1:2" x14ac:dyDescent="0.3">
      <c r="A2574" s="19"/>
      <c r="B2574" s="36"/>
    </row>
    <row r="2575" spans="1:2" x14ac:dyDescent="0.3">
      <c r="A2575" s="19"/>
      <c r="B2575" s="36"/>
    </row>
    <row r="2576" spans="1:2" x14ac:dyDescent="0.3">
      <c r="A2576" s="19"/>
      <c r="B2576" s="36"/>
    </row>
    <row r="2577" spans="1:2" x14ac:dyDescent="0.3">
      <c r="A2577" s="19"/>
      <c r="B2577" s="36"/>
    </row>
    <row r="2578" spans="1:2" x14ac:dyDescent="0.3">
      <c r="A2578" s="19"/>
      <c r="B2578" s="36"/>
    </row>
    <row r="2579" spans="1:2" x14ac:dyDescent="0.3">
      <c r="A2579" s="19"/>
      <c r="B2579" s="36"/>
    </row>
    <row r="2580" spans="1:2" x14ac:dyDescent="0.3">
      <c r="A2580" s="19"/>
      <c r="B2580" s="36"/>
    </row>
    <row r="2581" spans="1:2" x14ac:dyDescent="0.3">
      <c r="A2581" s="19"/>
      <c r="B2581" s="36"/>
    </row>
    <row r="2582" spans="1:2" x14ac:dyDescent="0.3">
      <c r="A2582" s="19"/>
      <c r="B2582" s="36"/>
    </row>
    <row r="2583" spans="1:2" x14ac:dyDescent="0.3">
      <c r="A2583" s="19"/>
      <c r="B2583" s="36"/>
    </row>
    <row r="2584" spans="1:2" x14ac:dyDescent="0.3">
      <c r="A2584" s="19"/>
      <c r="B2584" s="36"/>
    </row>
    <row r="2585" spans="1:2" x14ac:dyDescent="0.3">
      <c r="A2585" s="19"/>
      <c r="B2585" s="36"/>
    </row>
    <row r="2586" spans="1:2" x14ac:dyDescent="0.3">
      <c r="A2586" s="19"/>
      <c r="B2586" s="36"/>
    </row>
    <row r="2587" spans="1:2" x14ac:dyDescent="0.3">
      <c r="A2587" s="19"/>
      <c r="B2587" s="36"/>
    </row>
    <row r="2588" spans="1:2" x14ac:dyDescent="0.3">
      <c r="A2588" s="19"/>
      <c r="B2588" s="36"/>
    </row>
    <row r="2589" spans="1:2" x14ac:dyDescent="0.3">
      <c r="A2589" s="19"/>
      <c r="B2589" s="36"/>
    </row>
    <row r="2590" spans="1:2" x14ac:dyDescent="0.3">
      <c r="A2590" s="19"/>
      <c r="B2590" s="36"/>
    </row>
    <row r="2591" spans="1:2" x14ac:dyDescent="0.3">
      <c r="A2591" s="19"/>
      <c r="B2591" s="36"/>
    </row>
    <row r="2592" spans="1:2" x14ac:dyDescent="0.3">
      <c r="A2592" s="19"/>
      <c r="B2592" s="36"/>
    </row>
    <row r="2593" spans="1:2" x14ac:dyDescent="0.3">
      <c r="A2593" s="19"/>
      <c r="B2593" s="36"/>
    </row>
    <row r="2594" spans="1:2" x14ac:dyDescent="0.3">
      <c r="A2594" s="19"/>
      <c r="B2594" s="36"/>
    </row>
    <row r="2595" spans="1:2" x14ac:dyDescent="0.3">
      <c r="A2595" s="19"/>
      <c r="B2595" s="36"/>
    </row>
    <row r="2596" spans="1:2" x14ac:dyDescent="0.3">
      <c r="A2596" s="19"/>
      <c r="B2596" s="36"/>
    </row>
    <row r="2597" spans="1:2" x14ac:dyDescent="0.3">
      <c r="A2597" s="19"/>
      <c r="B2597" s="36"/>
    </row>
    <row r="2598" spans="1:2" x14ac:dyDescent="0.3">
      <c r="A2598" s="19"/>
      <c r="B2598" s="36"/>
    </row>
    <row r="2599" spans="1:2" x14ac:dyDescent="0.3">
      <c r="A2599" s="19"/>
      <c r="B2599" s="36"/>
    </row>
    <row r="2600" spans="1:2" x14ac:dyDescent="0.3">
      <c r="A2600" s="19"/>
      <c r="B2600" s="36"/>
    </row>
    <row r="2601" spans="1:2" x14ac:dyDescent="0.3">
      <c r="A2601" s="19"/>
      <c r="B2601" s="36"/>
    </row>
    <row r="2602" spans="1:2" x14ac:dyDescent="0.3">
      <c r="A2602" s="19"/>
      <c r="B2602" s="36"/>
    </row>
    <row r="2603" spans="1:2" x14ac:dyDescent="0.3">
      <c r="A2603" s="19"/>
      <c r="B2603" s="36"/>
    </row>
    <row r="2604" spans="1:2" x14ac:dyDescent="0.3">
      <c r="A2604" s="19"/>
      <c r="B2604" s="36"/>
    </row>
    <row r="2605" spans="1:2" x14ac:dyDescent="0.3">
      <c r="A2605" s="19"/>
      <c r="B2605" s="36"/>
    </row>
    <row r="2606" spans="1:2" x14ac:dyDescent="0.3">
      <c r="A2606" s="19"/>
      <c r="B2606" s="36"/>
    </row>
    <row r="2607" spans="1:2" x14ac:dyDescent="0.3">
      <c r="A2607" s="19"/>
      <c r="B2607" s="36"/>
    </row>
    <row r="2608" spans="1:2" x14ac:dyDescent="0.3">
      <c r="A2608" s="19"/>
      <c r="B2608" s="36"/>
    </row>
    <row r="2609" spans="1:2" x14ac:dyDescent="0.3">
      <c r="A2609" s="19"/>
      <c r="B2609" s="36"/>
    </row>
    <row r="2610" spans="1:2" x14ac:dyDescent="0.3">
      <c r="A2610" s="19"/>
      <c r="B2610" s="36"/>
    </row>
    <row r="2611" spans="1:2" x14ac:dyDescent="0.3">
      <c r="A2611" s="19"/>
      <c r="B2611" s="36"/>
    </row>
    <row r="2612" spans="1:2" x14ac:dyDescent="0.3">
      <c r="A2612" s="19"/>
      <c r="B2612" s="36"/>
    </row>
    <row r="2613" spans="1:2" x14ac:dyDescent="0.3">
      <c r="A2613" s="19"/>
      <c r="B2613" s="36"/>
    </row>
    <row r="2614" spans="1:2" x14ac:dyDescent="0.3">
      <c r="A2614" s="19"/>
      <c r="B2614" s="36"/>
    </row>
    <row r="2615" spans="1:2" x14ac:dyDescent="0.3">
      <c r="A2615" s="19"/>
      <c r="B2615" s="36"/>
    </row>
    <row r="2616" spans="1:2" x14ac:dyDescent="0.3">
      <c r="A2616" s="19"/>
      <c r="B2616" s="36"/>
    </row>
    <row r="2617" spans="1:2" x14ac:dyDescent="0.3">
      <c r="A2617" s="19"/>
      <c r="B2617" s="36"/>
    </row>
    <row r="2618" spans="1:2" x14ac:dyDescent="0.3">
      <c r="A2618" s="19"/>
      <c r="B2618" s="36"/>
    </row>
    <row r="2619" spans="1:2" x14ac:dyDescent="0.3">
      <c r="A2619" s="19"/>
      <c r="B2619" s="36"/>
    </row>
    <row r="2620" spans="1:2" x14ac:dyDescent="0.3">
      <c r="A2620" s="19"/>
      <c r="B2620" s="36"/>
    </row>
    <row r="2621" spans="1:2" x14ac:dyDescent="0.3">
      <c r="A2621" s="19"/>
      <c r="B2621" s="36"/>
    </row>
    <row r="2622" spans="1:2" x14ac:dyDescent="0.3">
      <c r="A2622" s="19"/>
      <c r="B2622" s="36"/>
    </row>
    <row r="2623" spans="1:2" x14ac:dyDescent="0.3">
      <c r="A2623" s="19"/>
      <c r="B2623" s="36"/>
    </row>
    <row r="2624" spans="1:2" x14ac:dyDescent="0.3">
      <c r="A2624" s="19"/>
      <c r="B2624" s="36"/>
    </row>
    <row r="2625" spans="1:2" x14ac:dyDescent="0.3">
      <c r="A2625" s="19"/>
      <c r="B2625" s="36"/>
    </row>
    <row r="2626" spans="1:2" x14ac:dyDescent="0.3">
      <c r="A2626" s="19"/>
      <c r="B2626" s="36"/>
    </row>
    <row r="2627" spans="1:2" x14ac:dyDescent="0.3">
      <c r="A2627" s="19"/>
      <c r="B2627" s="36"/>
    </row>
    <row r="2628" spans="1:2" x14ac:dyDescent="0.3">
      <c r="A2628" s="19"/>
      <c r="B2628" s="36"/>
    </row>
    <row r="2629" spans="1:2" x14ac:dyDescent="0.3">
      <c r="A2629" s="19"/>
      <c r="B2629" s="36"/>
    </row>
    <row r="2630" spans="1:2" x14ac:dyDescent="0.3">
      <c r="A2630" s="19"/>
      <c r="B2630" s="36"/>
    </row>
    <row r="2631" spans="1:2" x14ac:dyDescent="0.3">
      <c r="A2631" s="19"/>
      <c r="B2631" s="36"/>
    </row>
    <row r="2632" spans="1:2" x14ac:dyDescent="0.3">
      <c r="A2632" s="19"/>
      <c r="B2632" s="36"/>
    </row>
    <row r="2633" spans="1:2" x14ac:dyDescent="0.3">
      <c r="A2633" s="19"/>
      <c r="B2633" s="36"/>
    </row>
    <row r="2634" spans="1:2" x14ac:dyDescent="0.3">
      <c r="A2634" s="19"/>
      <c r="B2634" s="36"/>
    </row>
    <row r="2635" spans="1:2" x14ac:dyDescent="0.3">
      <c r="A2635" s="19"/>
      <c r="B2635" s="36"/>
    </row>
    <row r="2636" spans="1:2" x14ac:dyDescent="0.3">
      <c r="A2636" s="19"/>
      <c r="B2636" s="36"/>
    </row>
    <row r="2637" spans="1:2" x14ac:dyDescent="0.3">
      <c r="A2637" s="19"/>
      <c r="B2637" s="36"/>
    </row>
    <row r="2638" spans="1:2" x14ac:dyDescent="0.3">
      <c r="A2638" s="19"/>
      <c r="B2638" s="36"/>
    </row>
    <row r="2639" spans="1:2" x14ac:dyDescent="0.3">
      <c r="A2639" s="19"/>
      <c r="B2639" s="36"/>
    </row>
    <row r="2640" spans="1:2" x14ac:dyDescent="0.3">
      <c r="A2640" s="19"/>
      <c r="B2640" s="36"/>
    </row>
    <row r="2641" spans="1:2" x14ac:dyDescent="0.3">
      <c r="A2641" s="19"/>
      <c r="B2641" s="36"/>
    </row>
    <row r="2642" spans="1:2" x14ac:dyDescent="0.3">
      <c r="A2642" s="19"/>
      <c r="B2642" s="36"/>
    </row>
    <row r="2643" spans="1:2" x14ac:dyDescent="0.3">
      <c r="A2643" s="19"/>
      <c r="B2643" s="36"/>
    </row>
    <row r="2644" spans="1:2" x14ac:dyDescent="0.3">
      <c r="A2644" s="19"/>
      <c r="B2644" s="36"/>
    </row>
    <row r="2645" spans="1:2" x14ac:dyDescent="0.3">
      <c r="A2645" s="19"/>
      <c r="B2645" s="36"/>
    </row>
    <row r="2646" spans="1:2" x14ac:dyDescent="0.3">
      <c r="A2646" s="19"/>
      <c r="B2646" s="36"/>
    </row>
    <row r="2647" spans="1:2" x14ac:dyDescent="0.3">
      <c r="A2647" s="19"/>
      <c r="B2647" s="36"/>
    </row>
    <row r="2648" spans="1:2" x14ac:dyDescent="0.3">
      <c r="A2648" s="19"/>
      <c r="B2648" s="36"/>
    </row>
    <row r="2649" spans="1:2" x14ac:dyDescent="0.3">
      <c r="A2649" s="19"/>
      <c r="B2649" s="36"/>
    </row>
    <row r="2650" spans="1:2" x14ac:dyDescent="0.3">
      <c r="A2650" s="19"/>
      <c r="B2650" s="36"/>
    </row>
    <row r="2651" spans="1:2" x14ac:dyDescent="0.3">
      <c r="A2651" s="19"/>
      <c r="B2651" s="36"/>
    </row>
    <row r="2652" spans="1:2" x14ac:dyDescent="0.3">
      <c r="A2652" s="19"/>
      <c r="B2652" s="36"/>
    </row>
    <row r="2653" spans="1:2" x14ac:dyDescent="0.3">
      <c r="A2653" s="19"/>
      <c r="B2653" s="36"/>
    </row>
    <row r="2654" spans="1:2" x14ac:dyDescent="0.3">
      <c r="A2654" s="19"/>
      <c r="B2654" s="36"/>
    </row>
    <row r="2655" spans="1:2" x14ac:dyDescent="0.3">
      <c r="A2655" s="19"/>
      <c r="B2655" s="36"/>
    </row>
    <row r="2656" spans="1:2" x14ac:dyDescent="0.3">
      <c r="A2656" s="19"/>
      <c r="B2656" s="36"/>
    </row>
    <row r="2657" spans="1:2" x14ac:dyDescent="0.3">
      <c r="A2657" s="19"/>
      <c r="B2657" s="36"/>
    </row>
    <row r="2658" spans="1:2" x14ac:dyDescent="0.3">
      <c r="A2658" s="19"/>
      <c r="B2658" s="36"/>
    </row>
    <row r="2659" spans="1:2" x14ac:dyDescent="0.3">
      <c r="A2659" s="19"/>
      <c r="B2659" s="36"/>
    </row>
    <row r="2660" spans="1:2" x14ac:dyDescent="0.3">
      <c r="A2660" s="19"/>
      <c r="B2660" s="36"/>
    </row>
    <row r="2661" spans="1:2" x14ac:dyDescent="0.3">
      <c r="A2661" s="19"/>
      <c r="B2661" s="36"/>
    </row>
    <row r="2662" spans="1:2" x14ac:dyDescent="0.3">
      <c r="A2662" s="19"/>
      <c r="B2662" s="36"/>
    </row>
    <row r="2663" spans="1:2" x14ac:dyDescent="0.3">
      <c r="A2663" s="19"/>
      <c r="B2663" s="36"/>
    </row>
    <row r="2664" spans="1:2" x14ac:dyDescent="0.3">
      <c r="A2664" s="19"/>
      <c r="B2664" s="36"/>
    </row>
    <row r="2665" spans="1:2" x14ac:dyDescent="0.3">
      <c r="A2665" s="19"/>
      <c r="B2665" s="36"/>
    </row>
    <row r="2666" spans="1:2" x14ac:dyDescent="0.3">
      <c r="A2666" s="19"/>
      <c r="B2666" s="36"/>
    </row>
    <row r="2667" spans="1:2" x14ac:dyDescent="0.3">
      <c r="A2667" s="19"/>
      <c r="B2667" s="36"/>
    </row>
    <row r="2668" spans="1:2" x14ac:dyDescent="0.3">
      <c r="A2668" s="19"/>
      <c r="B2668" s="36"/>
    </row>
    <row r="2669" spans="1:2" x14ac:dyDescent="0.3">
      <c r="A2669" s="19"/>
      <c r="B2669" s="36"/>
    </row>
    <row r="2670" spans="1:2" x14ac:dyDescent="0.3">
      <c r="A2670" s="19"/>
      <c r="B2670" s="36"/>
    </row>
    <row r="2671" spans="1:2" x14ac:dyDescent="0.3">
      <c r="A2671" s="19"/>
      <c r="B2671" s="36"/>
    </row>
    <row r="2672" spans="1:2" x14ac:dyDescent="0.3">
      <c r="A2672" s="19"/>
      <c r="B2672" s="36"/>
    </row>
    <row r="2673" spans="1:2" x14ac:dyDescent="0.3">
      <c r="A2673" s="19"/>
      <c r="B2673" s="36"/>
    </row>
    <row r="2674" spans="1:2" x14ac:dyDescent="0.3">
      <c r="A2674" s="19"/>
      <c r="B2674" s="36"/>
    </row>
    <row r="2675" spans="1:2" x14ac:dyDescent="0.3">
      <c r="A2675" s="19"/>
      <c r="B2675" s="36"/>
    </row>
    <row r="2676" spans="1:2" x14ac:dyDescent="0.3">
      <c r="A2676" s="19"/>
      <c r="B2676" s="36"/>
    </row>
    <row r="2677" spans="1:2" x14ac:dyDescent="0.3">
      <c r="A2677" s="19"/>
      <c r="B2677" s="36"/>
    </row>
    <row r="2678" spans="1:2" x14ac:dyDescent="0.3">
      <c r="A2678" s="19"/>
      <c r="B2678" s="36"/>
    </row>
    <row r="2679" spans="1:2" x14ac:dyDescent="0.3">
      <c r="A2679" s="19"/>
      <c r="B2679" s="36"/>
    </row>
    <row r="2680" spans="1:2" x14ac:dyDescent="0.3">
      <c r="A2680" s="19"/>
      <c r="B2680" s="36"/>
    </row>
    <row r="2681" spans="1:2" x14ac:dyDescent="0.3">
      <c r="A2681" s="19"/>
      <c r="B2681" s="36"/>
    </row>
    <row r="2682" spans="1:2" x14ac:dyDescent="0.3">
      <c r="A2682" s="19"/>
      <c r="B2682" s="36"/>
    </row>
    <row r="2683" spans="1:2" x14ac:dyDescent="0.3">
      <c r="A2683" s="19"/>
      <c r="B2683" s="36"/>
    </row>
    <row r="2684" spans="1:2" x14ac:dyDescent="0.3">
      <c r="A2684" s="19"/>
      <c r="B2684" s="36"/>
    </row>
    <row r="2685" spans="1:2" x14ac:dyDescent="0.3">
      <c r="A2685" s="19"/>
      <c r="B2685" s="36"/>
    </row>
    <row r="2686" spans="1:2" x14ac:dyDescent="0.3">
      <c r="A2686" s="19"/>
      <c r="B2686" s="36"/>
    </row>
    <row r="2687" spans="1:2" x14ac:dyDescent="0.3">
      <c r="A2687" s="19"/>
      <c r="B2687" s="36"/>
    </row>
    <row r="2688" spans="1:2" x14ac:dyDescent="0.3">
      <c r="A2688" s="19"/>
      <c r="B2688" s="36"/>
    </row>
    <row r="2689" spans="1:2" x14ac:dyDescent="0.3">
      <c r="A2689" s="19"/>
      <c r="B2689" s="36"/>
    </row>
    <row r="2690" spans="1:2" x14ac:dyDescent="0.3">
      <c r="A2690" s="19"/>
      <c r="B2690" s="36"/>
    </row>
    <row r="2691" spans="1:2" x14ac:dyDescent="0.3">
      <c r="A2691" s="19"/>
      <c r="B2691" s="36"/>
    </row>
    <row r="2692" spans="1:2" x14ac:dyDescent="0.3">
      <c r="A2692" s="19"/>
      <c r="B2692" s="36"/>
    </row>
    <row r="2693" spans="1:2" x14ac:dyDescent="0.3">
      <c r="A2693" s="19"/>
      <c r="B2693" s="36"/>
    </row>
    <row r="2694" spans="1:2" x14ac:dyDescent="0.3">
      <c r="A2694" s="19"/>
      <c r="B2694" s="36"/>
    </row>
    <row r="2695" spans="1:2" x14ac:dyDescent="0.3">
      <c r="A2695" s="19"/>
      <c r="B2695" s="36"/>
    </row>
    <row r="2696" spans="1:2" x14ac:dyDescent="0.3">
      <c r="A2696" s="19"/>
      <c r="B2696" s="36"/>
    </row>
    <row r="2697" spans="1:2" x14ac:dyDescent="0.3">
      <c r="A2697" s="19"/>
      <c r="B2697" s="36"/>
    </row>
    <row r="2698" spans="1:2" x14ac:dyDescent="0.3">
      <c r="A2698" s="19"/>
      <c r="B2698" s="36"/>
    </row>
    <row r="2699" spans="1:2" x14ac:dyDescent="0.3">
      <c r="A2699" s="19"/>
      <c r="B2699" s="36"/>
    </row>
    <row r="2700" spans="1:2" x14ac:dyDescent="0.3">
      <c r="A2700" s="19"/>
      <c r="B2700" s="36"/>
    </row>
    <row r="2701" spans="1:2" x14ac:dyDescent="0.3">
      <c r="A2701" s="19"/>
      <c r="B2701" s="36"/>
    </row>
    <row r="2702" spans="1:2" x14ac:dyDescent="0.3">
      <c r="A2702" s="19"/>
      <c r="B2702" s="36"/>
    </row>
    <row r="2703" spans="1:2" x14ac:dyDescent="0.3">
      <c r="A2703" s="19"/>
      <c r="B2703" s="36"/>
    </row>
    <row r="2704" spans="1:2" x14ac:dyDescent="0.3">
      <c r="A2704" s="19"/>
      <c r="B2704" s="36"/>
    </row>
    <row r="2705" spans="1:2" x14ac:dyDescent="0.3">
      <c r="A2705" s="19"/>
      <c r="B2705" s="36"/>
    </row>
    <row r="2706" spans="1:2" x14ac:dyDescent="0.3">
      <c r="A2706" s="19"/>
      <c r="B2706" s="36"/>
    </row>
    <row r="2707" spans="1:2" x14ac:dyDescent="0.3">
      <c r="A2707" s="19"/>
      <c r="B2707" s="36"/>
    </row>
    <row r="2708" spans="1:2" x14ac:dyDescent="0.3">
      <c r="A2708" s="19"/>
      <c r="B2708" s="36"/>
    </row>
    <row r="2709" spans="1:2" x14ac:dyDescent="0.3">
      <c r="A2709" s="19"/>
      <c r="B2709" s="36"/>
    </row>
    <row r="2710" spans="1:2" x14ac:dyDescent="0.3">
      <c r="A2710" s="19"/>
      <c r="B2710" s="36"/>
    </row>
    <row r="2711" spans="1:2" x14ac:dyDescent="0.3">
      <c r="A2711" s="19"/>
      <c r="B2711" s="36"/>
    </row>
    <row r="2712" spans="1:2" x14ac:dyDescent="0.3">
      <c r="A2712" s="19"/>
      <c r="B2712" s="36"/>
    </row>
    <row r="2713" spans="1:2" x14ac:dyDescent="0.3">
      <c r="A2713" s="19"/>
      <c r="B2713" s="36"/>
    </row>
    <row r="2714" spans="1:2" x14ac:dyDescent="0.3">
      <c r="A2714" s="19"/>
      <c r="B2714" s="36"/>
    </row>
    <row r="2715" spans="1:2" x14ac:dyDescent="0.3">
      <c r="A2715" s="19"/>
      <c r="B2715" s="36"/>
    </row>
    <row r="2716" spans="1:2" x14ac:dyDescent="0.3">
      <c r="A2716" s="19"/>
      <c r="B2716" s="36"/>
    </row>
    <row r="2717" spans="1:2" x14ac:dyDescent="0.3">
      <c r="A2717" s="19"/>
      <c r="B2717" s="36"/>
    </row>
    <row r="2718" spans="1:2" x14ac:dyDescent="0.3">
      <c r="A2718" s="19"/>
      <c r="B2718" s="36"/>
    </row>
    <row r="2719" spans="1:2" x14ac:dyDescent="0.3">
      <c r="A2719" s="19"/>
      <c r="B2719" s="36"/>
    </row>
    <row r="2720" spans="1:2" x14ac:dyDescent="0.3">
      <c r="A2720" s="19"/>
      <c r="B2720" s="36"/>
    </row>
    <row r="2721" spans="1:2" x14ac:dyDescent="0.3">
      <c r="A2721" s="19"/>
      <c r="B2721" s="36"/>
    </row>
    <row r="2722" spans="1:2" x14ac:dyDescent="0.3">
      <c r="A2722" s="19"/>
      <c r="B2722" s="36"/>
    </row>
    <row r="2723" spans="1:2" x14ac:dyDescent="0.3">
      <c r="A2723" s="19"/>
      <c r="B2723" s="36"/>
    </row>
    <row r="2724" spans="1:2" x14ac:dyDescent="0.3">
      <c r="A2724" s="19"/>
      <c r="B2724" s="36"/>
    </row>
    <row r="2725" spans="1:2" x14ac:dyDescent="0.3">
      <c r="A2725" s="19"/>
      <c r="B2725" s="36"/>
    </row>
    <row r="2726" spans="1:2" x14ac:dyDescent="0.3">
      <c r="A2726" s="19"/>
      <c r="B2726" s="36"/>
    </row>
    <row r="2727" spans="1:2" x14ac:dyDescent="0.3">
      <c r="A2727" s="19"/>
      <c r="B2727" s="36"/>
    </row>
    <row r="2728" spans="1:2" x14ac:dyDescent="0.3">
      <c r="A2728" s="19"/>
      <c r="B2728" s="36"/>
    </row>
    <row r="2729" spans="1:2" x14ac:dyDescent="0.3">
      <c r="A2729" s="19"/>
      <c r="B2729" s="36"/>
    </row>
    <row r="2730" spans="1:2" x14ac:dyDescent="0.3">
      <c r="A2730" s="19"/>
      <c r="B2730" s="36"/>
    </row>
    <row r="2731" spans="1:2" x14ac:dyDescent="0.3">
      <c r="A2731" s="19"/>
      <c r="B2731" s="36"/>
    </row>
    <row r="2732" spans="1:2" x14ac:dyDescent="0.3">
      <c r="A2732" s="19"/>
      <c r="B2732" s="36"/>
    </row>
    <row r="2733" spans="1:2" x14ac:dyDescent="0.3">
      <c r="A2733" s="19"/>
      <c r="B2733" s="36"/>
    </row>
    <row r="2734" spans="1:2" x14ac:dyDescent="0.3">
      <c r="A2734" s="19"/>
      <c r="B2734" s="36"/>
    </row>
    <row r="2735" spans="1:2" x14ac:dyDescent="0.3">
      <c r="A2735" s="19"/>
      <c r="B2735" s="36"/>
    </row>
    <row r="2736" spans="1:2" x14ac:dyDescent="0.3">
      <c r="A2736" s="19"/>
      <c r="B2736" s="36"/>
    </row>
    <row r="2737" spans="1:2" x14ac:dyDescent="0.3">
      <c r="A2737" s="19"/>
      <c r="B2737" s="36"/>
    </row>
    <row r="2738" spans="1:2" x14ac:dyDescent="0.3">
      <c r="A2738" s="19"/>
      <c r="B2738" s="36"/>
    </row>
    <row r="2739" spans="1:2" x14ac:dyDescent="0.3">
      <c r="A2739" s="19"/>
      <c r="B2739" s="36"/>
    </row>
    <row r="2740" spans="1:2" x14ac:dyDescent="0.3">
      <c r="A2740" s="19"/>
      <c r="B2740" s="36"/>
    </row>
    <row r="2741" spans="1:2" x14ac:dyDescent="0.3">
      <c r="A2741" s="19"/>
      <c r="B2741" s="36"/>
    </row>
    <row r="2742" spans="1:2" x14ac:dyDescent="0.3">
      <c r="A2742" s="19"/>
      <c r="B2742" s="36"/>
    </row>
    <row r="2743" spans="1:2" x14ac:dyDescent="0.3">
      <c r="A2743" s="19"/>
      <c r="B2743" s="36"/>
    </row>
    <row r="2744" spans="1:2" x14ac:dyDescent="0.3">
      <c r="A2744" s="19"/>
      <c r="B2744" s="36"/>
    </row>
    <row r="2745" spans="1:2" x14ac:dyDescent="0.3">
      <c r="A2745" s="19"/>
      <c r="B2745" s="36"/>
    </row>
    <row r="2746" spans="1:2" x14ac:dyDescent="0.3">
      <c r="A2746" s="19"/>
      <c r="B2746" s="36"/>
    </row>
    <row r="2747" spans="1:2" x14ac:dyDescent="0.3">
      <c r="A2747" s="19"/>
      <c r="B2747" s="36"/>
    </row>
    <row r="2748" spans="1:2" x14ac:dyDescent="0.3">
      <c r="A2748" s="19"/>
      <c r="B2748" s="36"/>
    </row>
    <row r="2749" spans="1:2" x14ac:dyDescent="0.3">
      <c r="A2749" s="19"/>
      <c r="B2749" s="36"/>
    </row>
    <row r="2750" spans="1:2" x14ac:dyDescent="0.3">
      <c r="A2750" s="19"/>
      <c r="B2750" s="36"/>
    </row>
    <row r="2751" spans="1:2" x14ac:dyDescent="0.3">
      <c r="A2751" s="19"/>
      <c r="B2751" s="36"/>
    </row>
    <row r="2752" spans="1:2" x14ac:dyDescent="0.3">
      <c r="A2752" s="19"/>
      <c r="B2752" s="36"/>
    </row>
    <row r="2753" spans="1:2" x14ac:dyDescent="0.3">
      <c r="A2753" s="19"/>
      <c r="B2753" s="36"/>
    </row>
    <row r="2754" spans="1:2" x14ac:dyDescent="0.3">
      <c r="A2754" s="19"/>
      <c r="B2754" s="36"/>
    </row>
    <row r="2755" spans="1:2" x14ac:dyDescent="0.3">
      <c r="A2755" s="19"/>
      <c r="B2755" s="36"/>
    </row>
    <row r="2756" spans="1:2" x14ac:dyDescent="0.3">
      <c r="A2756" s="19"/>
      <c r="B2756" s="36"/>
    </row>
    <row r="2757" spans="1:2" x14ac:dyDescent="0.3">
      <c r="A2757" s="19"/>
      <c r="B2757" s="36"/>
    </row>
    <row r="2758" spans="1:2" x14ac:dyDescent="0.3">
      <c r="A2758" s="19"/>
      <c r="B2758" s="36"/>
    </row>
    <row r="2759" spans="1:2" x14ac:dyDescent="0.3">
      <c r="A2759" s="19"/>
      <c r="B2759" s="36"/>
    </row>
    <row r="2760" spans="1:2" x14ac:dyDescent="0.3">
      <c r="A2760" s="19"/>
      <c r="B2760" s="36"/>
    </row>
    <row r="2761" spans="1:2" x14ac:dyDescent="0.3">
      <c r="A2761" s="19"/>
      <c r="B2761" s="36"/>
    </row>
    <row r="2762" spans="1:2" x14ac:dyDescent="0.3">
      <c r="A2762" s="19"/>
      <c r="B2762" s="36"/>
    </row>
    <row r="2763" spans="1:2" x14ac:dyDescent="0.3">
      <c r="A2763" s="19"/>
      <c r="B2763" s="36"/>
    </row>
    <row r="2764" spans="1:2" x14ac:dyDescent="0.3">
      <c r="A2764" s="19"/>
      <c r="B2764" s="36"/>
    </row>
    <row r="2765" spans="1:2" x14ac:dyDescent="0.3">
      <c r="A2765" s="19"/>
      <c r="B2765" s="36"/>
    </row>
    <row r="2766" spans="1:2" x14ac:dyDescent="0.3">
      <c r="A2766" s="19"/>
      <c r="B2766" s="36"/>
    </row>
    <row r="2767" spans="1:2" x14ac:dyDescent="0.3">
      <c r="A2767" s="19"/>
      <c r="B2767" s="36"/>
    </row>
    <row r="2768" spans="1:2" x14ac:dyDescent="0.3">
      <c r="A2768" s="19"/>
      <c r="B2768" s="36"/>
    </row>
    <row r="2769" spans="1:2" x14ac:dyDescent="0.3">
      <c r="A2769" s="19"/>
      <c r="B2769" s="36"/>
    </row>
    <row r="2770" spans="1:2" x14ac:dyDescent="0.3">
      <c r="A2770" s="19"/>
      <c r="B2770" s="36"/>
    </row>
    <row r="2771" spans="1:2" x14ac:dyDescent="0.3">
      <c r="A2771" s="19"/>
      <c r="B2771" s="36"/>
    </row>
    <row r="2772" spans="1:2" x14ac:dyDescent="0.3">
      <c r="A2772" s="19"/>
      <c r="B2772" s="36"/>
    </row>
    <row r="2773" spans="1:2" x14ac:dyDescent="0.3">
      <c r="A2773" s="19"/>
      <c r="B2773" s="36"/>
    </row>
    <row r="2774" spans="1:2" x14ac:dyDescent="0.3">
      <c r="A2774" s="19"/>
      <c r="B2774" s="36"/>
    </row>
    <row r="2775" spans="1:2" x14ac:dyDescent="0.3">
      <c r="A2775" s="19"/>
      <c r="B2775" s="36"/>
    </row>
    <row r="2776" spans="1:2" x14ac:dyDescent="0.3">
      <c r="A2776" s="19"/>
      <c r="B2776" s="36"/>
    </row>
    <row r="2777" spans="1:2" x14ac:dyDescent="0.3">
      <c r="A2777" s="19"/>
      <c r="B2777" s="36"/>
    </row>
    <row r="2778" spans="1:2" x14ac:dyDescent="0.3">
      <c r="A2778" s="19"/>
      <c r="B2778" s="36"/>
    </row>
    <row r="2779" spans="1:2" x14ac:dyDescent="0.3">
      <c r="A2779" s="19"/>
      <c r="B2779" s="36"/>
    </row>
    <row r="2780" spans="1:2" x14ac:dyDescent="0.3">
      <c r="A2780" s="19"/>
      <c r="B2780" s="36"/>
    </row>
    <row r="2781" spans="1:2" x14ac:dyDescent="0.3">
      <c r="A2781" s="19"/>
      <c r="B2781" s="36"/>
    </row>
    <row r="2782" spans="1:2" x14ac:dyDescent="0.3">
      <c r="A2782" s="19"/>
      <c r="B2782" s="36"/>
    </row>
    <row r="2783" spans="1:2" x14ac:dyDescent="0.3">
      <c r="A2783" s="19"/>
      <c r="B2783" s="36"/>
    </row>
    <row r="2784" spans="1:2" x14ac:dyDescent="0.3">
      <c r="A2784" s="19"/>
      <c r="B2784" s="36"/>
    </row>
    <row r="2785" spans="1:2" x14ac:dyDescent="0.3">
      <c r="A2785" s="19"/>
      <c r="B2785" s="36"/>
    </row>
    <row r="2786" spans="1:2" x14ac:dyDescent="0.3">
      <c r="A2786" s="19"/>
      <c r="B2786" s="36"/>
    </row>
    <row r="2787" spans="1:2" x14ac:dyDescent="0.3">
      <c r="A2787" s="19"/>
      <c r="B2787" s="36"/>
    </row>
    <row r="2788" spans="1:2" x14ac:dyDescent="0.3">
      <c r="A2788" s="19"/>
      <c r="B2788" s="36"/>
    </row>
    <row r="2789" spans="1:2" x14ac:dyDescent="0.3">
      <c r="A2789" s="19"/>
      <c r="B2789" s="36"/>
    </row>
    <row r="2790" spans="1:2" x14ac:dyDescent="0.3">
      <c r="A2790" s="19"/>
      <c r="B2790" s="36"/>
    </row>
    <row r="2791" spans="1:2" x14ac:dyDescent="0.3">
      <c r="A2791" s="19"/>
      <c r="B2791" s="36"/>
    </row>
    <row r="2792" spans="1:2" x14ac:dyDescent="0.3">
      <c r="A2792" s="19"/>
      <c r="B2792" s="36"/>
    </row>
    <row r="2793" spans="1:2" x14ac:dyDescent="0.3">
      <c r="A2793" s="19"/>
      <c r="B2793" s="36"/>
    </row>
    <row r="2794" spans="1:2" x14ac:dyDescent="0.3">
      <c r="A2794" s="19"/>
      <c r="B2794" s="36"/>
    </row>
    <row r="2795" spans="1:2" x14ac:dyDescent="0.3">
      <c r="A2795" s="19"/>
      <c r="B2795" s="36"/>
    </row>
    <row r="2796" spans="1:2" x14ac:dyDescent="0.3">
      <c r="A2796" s="19"/>
      <c r="B2796" s="36"/>
    </row>
    <row r="2797" spans="1:2" x14ac:dyDescent="0.3">
      <c r="A2797" s="19"/>
      <c r="B2797" s="36"/>
    </row>
    <row r="2798" spans="1:2" x14ac:dyDescent="0.3">
      <c r="A2798" s="19"/>
      <c r="B2798" s="36"/>
    </row>
    <row r="2799" spans="1:2" x14ac:dyDescent="0.3">
      <c r="A2799" s="19"/>
      <c r="B2799" s="36"/>
    </row>
    <row r="2800" spans="1:2" x14ac:dyDescent="0.3">
      <c r="A2800" s="19"/>
      <c r="B2800" s="36"/>
    </row>
    <row r="2801" spans="1:2" x14ac:dyDescent="0.3">
      <c r="A2801" s="19"/>
      <c r="B2801" s="36"/>
    </row>
    <row r="2802" spans="1:2" x14ac:dyDescent="0.3">
      <c r="A2802" s="19"/>
      <c r="B2802" s="36"/>
    </row>
    <row r="2803" spans="1:2" x14ac:dyDescent="0.3">
      <c r="A2803" s="19"/>
      <c r="B2803" s="36"/>
    </row>
    <row r="2804" spans="1:2" x14ac:dyDescent="0.3">
      <c r="A2804" s="19"/>
      <c r="B2804" s="36"/>
    </row>
    <row r="2805" spans="1:2" x14ac:dyDescent="0.3">
      <c r="A2805" s="19"/>
      <c r="B2805" s="36"/>
    </row>
    <row r="2806" spans="1:2" x14ac:dyDescent="0.3">
      <c r="A2806" s="19"/>
      <c r="B2806" s="36"/>
    </row>
    <row r="2807" spans="1:2" x14ac:dyDescent="0.3">
      <c r="A2807" s="19"/>
      <c r="B2807" s="36"/>
    </row>
    <row r="2808" spans="1:2" x14ac:dyDescent="0.3">
      <c r="A2808" s="19"/>
      <c r="B2808" s="36"/>
    </row>
    <row r="2809" spans="1:2" x14ac:dyDescent="0.3">
      <c r="A2809" s="19"/>
      <c r="B2809" s="36"/>
    </row>
    <row r="2810" spans="1:2" x14ac:dyDescent="0.3">
      <c r="A2810" s="19"/>
      <c r="B2810" s="36"/>
    </row>
    <row r="2811" spans="1:2" x14ac:dyDescent="0.3">
      <c r="A2811" s="19"/>
      <c r="B2811" s="36"/>
    </row>
    <row r="2812" spans="1:2" x14ac:dyDescent="0.3">
      <c r="A2812" s="19"/>
      <c r="B2812" s="36"/>
    </row>
    <row r="2813" spans="1:2" x14ac:dyDescent="0.3">
      <c r="A2813" s="19"/>
      <c r="B2813" s="36"/>
    </row>
    <row r="2814" spans="1:2" x14ac:dyDescent="0.3">
      <c r="A2814" s="19"/>
      <c r="B2814" s="36"/>
    </row>
    <row r="2815" spans="1:2" x14ac:dyDescent="0.3">
      <c r="A2815" s="19"/>
      <c r="B2815" s="36"/>
    </row>
    <row r="2816" spans="1:2" x14ac:dyDescent="0.3">
      <c r="A2816" s="19"/>
      <c r="B2816" s="36"/>
    </row>
    <row r="2817" spans="1:2" x14ac:dyDescent="0.3">
      <c r="A2817" s="19"/>
      <c r="B2817" s="36"/>
    </row>
    <row r="2818" spans="1:2" x14ac:dyDescent="0.3">
      <c r="A2818" s="19"/>
      <c r="B2818" s="36"/>
    </row>
    <row r="2819" spans="1:2" x14ac:dyDescent="0.3">
      <c r="A2819" s="19"/>
      <c r="B2819" s="36"/>
    </row>
    <row r="2820" spans="1:2" x14ac:dyDescent="0.3">
      <c r="A2820" s="19"/>
      <c r="B2820" s="36"/>
    </row>
    <row r="2821" spans="1:2" x14ac:dyDescent="0.3">
      <c r="A2821" s="19"/>
      <c r="B2821" s="36"/>
    </row>
    <row r="2822" spans="1:2" x14ac:dyDescent="0.3">
      <c r="A2822" s="19"/>
      <c r="B2822" s="36"/>
    </row>
    <row r="2823" spans="1:2" x14ac:dyDescent="0.3">
      <c r="A2823" s="19"/>
      <c r="B2823" s="36"/>
    </row>
    <row r="2824" spans="1:2" x14ac:dyDescent="0.3">
      <c r="A2824" s="19"/>
      <c r="B2824" s="36"/>
    </row>
    <row r="2825" spans="1:2" x14ac:dyDescent="0.3">
      <c r="A2825" s="19"/>
      <c r="B2825" s="36"/>
    </row>
    <row r="2826" spans="1:2" x14ac:dyDescent="0.3">
      <c r="A2826" s="19"/>
      <c r="B2826" s="36"/>
    </row>
    <row r="2827" spans="1:2" x14ac:dyDescent="0.3">
      <c r="A2827" s="19"/>
      <c r="B2827" s="36"/>
    </row>
    <row r="2828" spans="1:2" x14ac:dyDescent="0.3">
      <c r="A2828" s="19"/>
      <c r="B2828" s="36"/>
    </row>
    <row r="2829" spans="1:2" x14ac:dyDescent="0.3">
      <c r="A2829" s="19"/>
      <c r="B2829" s="36"/>
    </row>
    <row r="2830" spans="1:2" x14ac:dyDescent="0.3">
      <c r="A2830" s="19"/>
      <c r="B2830" s="36"/>
    </row>
    <row r="2831" spans="1:2" x14ac:dyDescent="0.3">
      <c r="A2831" s="19"/>
      <c r="B2831" s="36"/>
    </row>
    <row r="2832" spans="1:2" x14ac:dyDescent="0.3">
      <c r="A2832" s="19"/>
      <c r="B2832" s="36"/>
    </row>
    <row r="2833" spans="1:2" x14ac:dyDescent="0.3">
      <c r="A2833" s="19"/>
      <c r="B2833" s="36"/>
    </row>
    <row r="2834" spans="1:2" x14ac:dyDescent="0.3">
      <c r="A2834" s="19"/>
      <c r="B2834" s="36"/>
    </row>
    <row r="2835" spans="1:2" x14ac:dyDescent="0.3">
      <c r="A2835" s="19"/>
      <c r="B2835" s="36"/>
    </row>
    <row r="2836" spans="1:2" x14ac:dyDescent="0.3">
      <c r="A2836" s="19"/>
      <c r="B2836" s="36"/>
    </row>
    <row r="2837" spans="1:2" x14ac:dyDescent="0.3">
      <c r="A2837" s="19"/>
      <c r="B2837" s="36"/>
    </row>
    <row r="2838" spans="1:2" x14ac:dyDescent="0.3">
      <c r="A2838" s="19"/>
      <c r="B2838" s="36"/>
    </row>
    <row r="2839" spans="1:2" x14ac:dyDescent="0.3">
      <c r="A2839" s="19"/>
      <c r="B2839" s="36"/>
    </row>
    <row r="2840" spans="1:2" x14ac:dyDescent="0.3">
      <c r="A2840" s="19"/>
      <c r="B2840" s="36"/>
    </row>
    <row r="2841" spans="1:2" x14ac:dyDescent="0.3">
      <c r="A2841" s="19"/>
      <c r="B2841" s="36"/>
    </row>
    <row r="2842" spans="1:2" x14ac:dyDescent="0.3">
      <c r="A2842" s="19"/>
      <c r="B2842" s="36"/>
    </row>
    <row r="2843" spans="1:2" x14ac:dyDescent="0.3">
      <c r="A2843" s="19"/>
      <c r="B2843" s="36"/>
    </row>
    <row r="2844" spans="1:2" x14ac:dyDescent="0.3">
      <c r="A2844" s="19"/>
      <c r="B2844" s="36"/>
    </row>
    <row r="2845" spans="1:2" x14ac:dyDescent="0.3">
      <c r="A2845" s="19"/>
      <c r="B2845" s="36"/>
    </row>
    <row r="2846" spans="1:2" x14ac:dyDescent="0.3">
      <c r="A2846" s="19"/>
      <c r="B2846" s="36"/>
    </row>
    <row r="2847" spans="1:2" x14ac:dyDescent="0.3">
      <c r="A2847" s="19"/>
      <c r="B2847" s="36"/>
    </row>
    <row r="2848" spans="1:2" x14ac:dyDescent="0.3">
      <c r="A2848" s="19"/>
      <c r="B2848" s="36"/>
    </row>
    <row r="2849" spans="1:2" x14ac:dyDescent="0.3">
      <c r="A2849" s="19"/>
      <c r="B2849" s="36"/>
    </row>
    <row r="2850" spans="1:2" x14ac:dyDescent="0.3">
      <c r="A2850" s="19"/>
      <c r="B2850" s="36"/>
    </row>
    <row r="2851" spans="1:2" x14ac:dyDescent="0.3">
      <c r="A2851" s="19"/>
      <c r="B2851" s="36"/>
    </row>
    <row r="2852" spans="1:2" x14ac:dyDescent="0.3">
      <c r="A2852" s="19"/>
      <c r="B2852" s="36"/>
    </row>
    <row r="2853" spans="1:2" x14ac:dyDescent="0.3">
      <c r="A2853" s="19"/>
      <c r="B2853" s="36"/>
    </row>
    <row r="2854" spans="1:2" x14ac:dyDescent="0.3">
      <c r="A2854" s="19"/>
      <c r="B2854" s="36"/>
    </row>
    <row r="2855" spans="1:2" x14ac:dyDescent="0.3">
      <c r="A2855" s="19"/>
      <c r="B2855" s="36"/>
    </row>
    <row r="2856" spans="1:2" x14ac:dyDescent="0.3">
      <c r="A2856" s="19"/>
      <c r="B2856" s="36"/>
    </row>
    <row r="2857" spans="1:2" x14ac:dyDescent="0.3">
      <c r="A2857" s="19"/>
      <c r="B2857" s="36"/>
    </row>
    <row r="2858" spans="1:2" x14ac:dyDescent="0.3">
      <c r="A2858" s="19"/>
      <c r="B2858" s="36"/>
    </row>
    <row r="2859" spans="1:2" x14ac:dyDescent="0.3">
      <c r="A2859" s="19"/>
      <c r="B2859" s="36"/>
    </row>
    <row r="2860" spans="1:2" x14ac:dyDescent="0.3">
      <c r="A2860" s="19"/>
      <c r="B2860" s="36"/>
    </row>
    <row r="2861" spans="1:2" x14ac:dyDescent="0.3">
      <c r="A2861" s="19"/>
      <c r="B2861" s="36"/>
    </row>
    <row r="2862" spans="1:2" x14ac:dyDescent="0.3">
      <c r="A2862" s="19"/>
      <c r="B2862" s="36"/>
    </row>
    <row r="2863" spans="1:2" x14ac:dyDescent="0.3">
      <c r="A2863" s="19"/>
      <c r="B2863" s="36"/>
    </row>
    <row r="2864" spans="1:2" x14ac:dyDescent="0.3">
      <c r="A2864" s="19"/>
      <c r="B2864" s="36"/>
    </row>
    <row r="2865" spans="1:2" x14ac:dyDescent="0.3">
      <c r="A2865" s="19"/>
      <c r="B2865" s="36"/>
    </row>
    <row r="2866" spans="1:2" x14ac:dyDescent="0.3">
      <c r="A2866" s="19"/>
      <c r="B2866" s="36"/>
    </row>
    <row r="2867" spans="1:2" x14ac:dyDescent="0.3">
      <c r="A2867" s="19"/>
      <c r="B2867" s="36"/>
    </row>
    <row r="2868" spans="1:2" x14ac:dyDescent="0.3">
      <c r="A2868" s="19"/>
      <c r="B2868" s="36"/>
    </row>
    <row r="2869" spans="1:2" x14ac:dyDescent="0.3">
      <c r="A2869" s="19"/>
      <c r="B2869" s="36"/>
    </row>
    <row r="2870" spans="1:2" x14ac:dyDescent="0.3">
      <c r="A2870" s="19"/>
      <c r="B2870" s="36"/>
    </row>
    <row r="2871" spans="1:2" x14ac:dyDescent="0.3">
      <c r="A2871" s="19"/>
      <c r="B2871" s="36"/>
    </row>
    <row r="2872" spans="1:2" x14ac:dyDescent="0.3">
      <c r="A2872" s="19"/>
      <c r="B2872" s="36"/>
    </row>
    <row r="2873" spans="1:2" x14ac:dyDescent="0.3">
      <c r="A2873" s="19"/>
      <c r="B2873" s="36"/>
    </row>
    <row r="2874" spans="1:2" x14ac:dyDescent="0.3">
      <c r="A2874" s="19"/>
      <c r="B2874" s="36"/>
    </row>
    <row r="2875" spans="1:2" x14ac:dyDescent="0.3">
      <c r="A2875" s="19"/>
      <c r="B2875" s="36"/>
    </row>
    <row r="2876" spans="1:2" x14ac:dyDescent="0.3">
      <c r="A2876" s="19"/>
      <c r="B2876" s="36"/>
    </row>
    <row r="2877" spans="1:2" x14ac:dyDescent="0.3">
      <c r="A2877" s="19"/>
      <c r="B2877" s="36"/>
    </row>
    <row r="2878" spans="1:2" x14ac:dyDescent="0.3">
      <c r="A2878" s="19"/>
      <c r="B2878" s="36"/>
    </row>
    <row r="2879" spans="1:2" x14ac:dyDescent="0.3">
      <c r="A2879" s="19"/>
      <c r="B2879" s="36"/>
    </row>
    <row r="2880" spans="1:2" x14ac:dyDescent="0.3">
      <c r="A2880" s="19"/>
      <c r="B2880" s="36"/>
    </row>
    <row r="2881" spans="1:2" x14ac:dyDescent="0.3">
      <c r="A2881" s="19"/>
      <c r="B2881" s="36"/>
    </row>
    <row r="2882" spans="1:2" x14ac:dyDescent="0.3">
      <c r="A2882" s="19"/>
      <c r="B2882" s="36"/>
    </row>
    <row r="2883" spans="1:2" x14ac:dyDescent="0.3">
      <c r="A2883" s="19"/>
      <c r="B2883" s="36"/>
    </row>
    <row r="2884" spans="1:2" x14ac:dyDescent="0.3">
      <c r="A2884" s="19"/>
      <c r="B2884" s="36"/>
    </row>
    <row r="2885" spans="1:2" x14ac:dyDescent="0.3">
      <c r="A2885" s="19"/>
      <c r="B2885" s="36"/>
    </row>
    <row r="2886" spans="1:2" x14ac:dyDescent="0.3">
      <c r="A2886" s="19"/>
      <c r="B2886" s="36"/>
    </row>
    <row r="2887" spans="1:2" x14ac:dyDescent="0.3">
      <c r="A2887" s="19"/>
      <c r="B2887" s="36"/>
    </row>
    <row r="2888" spans="1:2" x14ac:dyDescent="0.3">
      <c r="A2888" s="19"/>
      <c r="B2888" s="36"/>
    </row>
    <row r="2889" spans="1:2" x14ac:dyDescent="0.3">
      <c r="A2889" s="19"/>
      <c r="B2889" s="36"/>
    </row>
    <row r="2890" spans="1:2" x14ac:dyDescent="0.3">
      <c r="A2890" s="19"/>
      <c r="B2890" s="36"/>
    </row>
    <row r="2891" spans="1:2" x14ac:dyDescent="0.3">
      <c r="A2891" s="19"/>
      <c r="B2891" s="36"/>
    </row>
    <row r="2892" spans="1:2" x14ac:dyDescent="0.3">
      <c r="A2892" s="19"/>
      <c r="B2892" s="36"/>
    </row>
    <row r="2893" spans="1:2" x14ac:dyDescent="0.3">
      <c r="A2893" s="19"/>
      <c r="B2893" s="36"/>
    </row>
    <row r="2894" spans="1:2" x14ac:dyDescent="0.3">
      <c r="A2894" s="19"/>
      <c r="B2894" s="36"/>
    </row>
    <row r="2895" spans="1:2" x14ac:dyDescent="0.3">
      <c r="A2895" s="19"/>
      <c r="B2895" s="36"/>
    </row>
    <row r="2896" spans="1:2" x14ac:dyDescent="0.3">
      <c r="A2896" s="19"/>
      <c r="B2896" s="36"/>
    </row>
    <row r="2897" spans="1:2" x14ac:dyDescent="0.3">
      <c r="A2897" s="19"/>
      <c r="B2897" s="36"/>
    </row>
    <row r="2898" spans="1:2" x14ac:dyDescent="0.3">
      <c r="A2898" s="19"/>
      <c r="B2898" s="36"/>
    </row>
    <row r="2899" spans="1:2" x14ac:dyDescent="0.3">
      <c r="A2899" s="19"/>
      <c r="B2899" s="36"/>
    </row>
    <row r="2900" spans="1:2" x14ac:dyDescent="0.3">
      <c r="A2900" s="19"/>
      <c r="B2900" s="36"/>
    </row>
    <row r="2901" spans="1:2" x14ac:dyDescent="0.3">
      <c r="A2901" s="19"/>
      <c r="B2901" s="36"/>
    </row>
    <row r="2902" spans="1:2" x14ac:dyDescent="0.3">
      <c r="A2902" s="19"/>
      <c r="B2902" s="36"/>
    </row>
    <row r="2903" spans="1:2" x14ac:dyDescent="0.3">
      <c r="A2903" s="19"/>
      <c r="B2903" s="36"/>
    </row>
    <row r="2904" spans="1:2" x14ac:dyDescent="0.3">
      <c r="A2904" s="19"/>
      <c r="B2904" s="36"/>
    </row>
    <row r="2905" spans="1:2" x14ac:dyDescent="0.3">
      <c r="A2905" s="19"/>
      <c r="B2905" s="36"/>
    </row>
    <row r="2906" spans="1:2" x14ac:dyDescent="0.3">
      <c r="A2906" s="19"/>
      <c r="B2906" s="36"/>
    </row>
    <row r="2907" spans="1:2" x14ac:dyDescent="0.3">
      <c r="A2907" s="19"/>
      <c r="B2907" s="36"/>
    </row>
    <row r="2908" spans="1:2" x14ac:dyDescent="0.3">
      <c r="A2908" s="19"/>
      <c r="B2908" s="36"/>
    </row>
    <row r="2909" spans="1:2" x14ac:dyDescent="0.3">
      <c r="A2909" s="19"/>
      <c r="B2909" s="36"/>
    </row>
    <row r="2910" spans="1:2" x14ac:dyDescent="0.3">
      <c r="A2910" s="19"/>
      <c r="B2910" s="36"/>
    </row>
    <row r="2911" spans="1:2" x14ac:dyDescent="0.3">
      <c r="A2911" s="19"/>
      <c r="B2911" s="36"/>
    </row>
    <row r="2912" spans="1:2" x14ac:dyDescent="0.3">
      <c r="A2912" s="19"/>
      <c r="B2912" s="36"/>
    </row>
    <row r="2913" spans="1:2" x14ac:dyDescent="0.3">
      <c r="A2913" s="19"/>
      <c r="B2913" s="36"/>
    </row>
    <row r="2914" spans="1:2" x14ac:dyDescent="0.3">
      <c r="A2914" s="19"/>
      <c r="B2914" s="36"/>
    </row>
    <row r="2915" spans="1:2" x14ac:dyDescent="0.3">
      <c r="A2915" s="19"/>
      <c r="B2915" s="36"/>
    </row>
    <row r="2916" spans="1:2" x14ac:dyDescent="0.3">
      <c r="A2916" s="19"/>
      <c r="B2916" s="36"/>
    </row>
    <row r="2917" spans="1:2" x14ac:dyDescent="0.3">
      <c r="A2917" s="19"/>
      <c r="B2917" s="36"/>
    </row>
    <row r="2918" spans="1:2" x14ac:dyDescent="0.3">
      <c r="A2918" s="19"/>
      <c r="B2918" s="36"/>
    </row>
    <row r="2919" spans="1:2" x14ac:dyDescent="0.3">
      <c r="A2919" s="19"/>
      <c r="B2919" s="36"/>
    </row>
    <row r="2920" spans="1:2" x14ac:dyDescent="0.3">
      <c r="A2920" s="19"/>
      <c r="B2920" s="36"/>
    </row>
    <row r="2921" spans="1:2" x14ac:dyDescent="0.3">
      <c r="A2921" s="19"/>
      <c r="B2921" s="36"/>
    </row>
    <row r="2922" spans="1:2" x14ac:dyDescent="0.3">
      <c r="A2922" s="19"/>
      <c r="B2922" s="36"/>
    </row>
    <row r="2923" spans="1:2" x14ac:dyDescent="0.3">
      <c r="A2923" s="19"/>
      <c r="B2923" s="36"/>
    </row>
    <row r="2924" spans="1:2" x14ac:dyDescent="0.3">
      <c r="A2924" s="19"/>
      <c r="B2924" s="36"/>
    </row>
    <row r="2925" spans="1:2" x14ac:dyDescent="0.3">
      <c r="A2925" s="19"/>
      <c r="B2925" s="36"/>
    </row>
    <row r="2926" spans="1:2" x14ac:dyDescent="0.3">
      <c r="A2926" s="19"/>
      <c r="B2926" s="36"/>
    </row>
    <row r="2927" spans="1:2" x14ac:dyDescent="0.3">
      <c r="A2927" s="19"/>
      <c r="B2927" s="36"/>
    </row>
    <row r="2928" spans="1:2" x14ac:dyDescent="0.3">
      <c r="A2928" s="19"/>
      <c r="B2928" s="36"/>
    </row>
    <row r="2929" spans="1:2" x14ac:dyDescent="0.3">
      <c r="A2929" s="19"/>
      <c r="B2929" s="36"/>
    </row>
    <row r="2930" spans="1:2" x14ac:dyDescent="0.3">
      <c r="A2930" s="19"/>
      <c r="B2930" s="36"/>
    </row>
    <row r="2931" spans="1:2" x14ac:dyDescent="0.3">
      <c r="A2931" s="19"/>
      <c r="B2931" s="36"/>
    </row>
    <row r="2932" spans="1:2" x14ac:dyDescent="0.3">
      <c r="A2932" s="19"/>
      <c r="B2932" s="36"/>
    </row>
    <row r="2933" spans="1:2" x14ac:dyDescent="0.3">
      <c r="A2933" s="19"/>
      <c r="B2933" s="36"/>
    </row>
    <row r="2934" spans="1:2" x14ac:dyDescent="0.3">
      <c r="A2934" s="19"/>
      <c r="B2934" s="36"/>
    </row>
    <row r="2935" spans="1:2" x14ac:dyDescent="0.3">
      <c r="A2935" s="19"/>
      <c r="B2935" s="36"/>
    </row>
    <row r="2936" spans="1:2" x14ac:dyDescent="0.3">
      <c r="A2936" s="19"/>
      <c r="B2936" s="36"/>
    </row>
    <row r="2937" spans="1:2" x14ac:dyDescent="0.3">
      <c r="A2937" s="19"/>
      <c r="B2937" s="36"/>
    </row>
    <row r="2938" spans="1:2" x14ac:dyDescent="0.3">
      <c r="A2938" s="19"/>
      <c r="B2938" s="36"/>
    </row>
    <row r="2939" spans="1:2" x14ac:dyDescent="0.3">
      <c r="A2939" s="19"/>
      <c r="B2939" s="36"/>
    </row>
    <row r="2940" spans="1:2" x14ac:dyDescent="0.3">
      <c r="A2940" s="19"/>
      <c r="B2940" s="36"/>
    </row>
    <row r="2941" spans="1:2" x14ac:dyDescent="0.3">
      <c r="A2941" s="19"/>
      <c r="B2941" s="36"/>
    </row>
    <row r="2942" spans="1:2" x14ac:dyDescent="0.3">
      <c r="A2942" s="19"/>
      <c r="B2942" s="36"/>
    </row>
    <row r="2943" spans="1:2" x14ac:dyDescent="0.3">
      <c r="A2943" s="19"/>
      <c r="B2943" s="36"/>
    </row>
    <row r="2944" spans="1:2" x14ac:dyDescent="0.3">
      <c r="A2944" s="19"/>
      <c r="B2944" s="36"/>
    </row>
    <row r="2945" spans="1:2" x14ac:dyDescent="0.3">
      <c r="A2945" s="19"/>
      <c r="B2945" s="36"/>
    </row>
    <row r="2946" spans="1:2" x14ac:dyDescent="0.3">
      <c r="A2946" s="19"/>
      <c r="B2946" s="36"/>
    </row>
    <row r="2947" spans="1:2" x14ac:dyDescent="0.3">
      <c r="A2947" s="19"/>
      <c r="B2947" s="36"/>
    </row>
    <row r="2948" spans="1:2" x14ac:dyDescent="0.3">
      <c r="A2948" s="19"/>
      <c r="B2948" s="36"/>
    </row>
    <row r="2949" spans="1:2" x14ac:dyDescent="0.3">
      <c r="A2949" s="19"/>
      <c r="B2949" s="36"/>
    </row>
    <row r="2950" spans="1:2" x14ac:dyDescent="0.3">
      <c r="A2950" s="19"/>
      <c r="B2950" s="36"/>
    </row>
    <row r="2951" spans="1:2" x14ac:dyDescent="0.3">
      <c r="A2951" s="19"/>
      <c r="B2951" s="36"/>
    </row>
    <row r="2952" spans="1:2" x14ac:dyDescent="0.3">
      <c r="A2952" s="19"/>
      <c r="B2952" s="36"/>
    </row>
    <row r="2953" spans="1:2" x14ac:dyDescent="0.3">
      <c r="A2953" s="19"/>
      <c r="B2953" s="36"/>
    </row>
    <row r="2954" spans="1:2" x14ac:dyDescent="0.3">
      <c r="A2954" s="19"/>
      <c r="B2954" s="36"/>
    </row>
    <row r="2955" spans="1:2" x14ac:dyDescent="0.3">
      <c r="A2955" s="19"/>
      <c r="B2955" s="36"/>
    </row>
    <row r="2956" spans="1:2" x14ac:dyDescent="0.3">
      <c r="A2956" s="19"/>
      <c r="B2956" s="36"/>
    </row>
    <row r="2957" spans="1:2" x14ac:dyDescent="0.3">
      <c r="A2957" s="19"/>
      <c r="B2957" s="36"/>
    </row>
    <row r="2958" spans="1:2" x14ac:dyDescent="0.3">
      <c r="A2958" s="19"/>
      <c r="B2958" s="36"/>
    </row>
    <row r="2959" spans="1:2" x14ac:dyDescent="0.3">
      <c r="A2959" s="19"/>
      <c r="B2959" s="36"/>
    </row>
    <row r="2960" spans="1:2" x14ac:dyDescent="0.3">
      <c r="A2960" s="19"/>
      <c r="B2960" s="36"/>
    </row>
    <row r="2961" spans="1:2" x14ac:dyDescent="0.3">
      <c r="A2961" s="19"/>
      <c r="B2961" s="36"/>
    </row>
    <row r="2962" spans="1:2" x14ac:dyDescent="0.3">
      <c r="A2962" s="19"/>
      <c r="B2962" s="36"/>
    </row>
    <row r="2963" spans="1:2" x14ac:dyDescent="0.3">
      <c r="A2963" s="19"/>
      <c r="B2963" s="36"/>
    </row>
    <row r="2964" spans="1:2" x14ac:dyDescent="0.3">
      <c r="A2964" s="19"/>
      <c r="B2964" s="36"/>
    </row>
    <row r="2965" spans="1:2" x14ac:dyDescent="0.3">
      <c r="A2965" s="19"/>
      <c r="B2965" s="36"/>
    </row>
    <row r="2966" spans="1:2" x14ac:dyDescent="0.3">
      <c r="A2966" s="19"/>
      <c r="B2966" s="36"/>
    </row>
    <row r="2967" spans="1:2" x14ac:dyDescent="0.3">
      <c r="A2967" s="19"/>
      <c r="B2967" s="36"/>
    </row>
    <row r="2968" spans="1:2" x14ac:dyDescent="0.3">
      <c r="A2968" s="19"/>
      <c r="B2968" s="36"/>
    </row>
    <row r="2969" spans="1:2" x14ac:dyDescent="0.3">
      <c r="A2969" s="19"/>
      <c r="B2969" s="36"/>
    </row>
    <row r="2970" spans="1:2" x14ac:dyDescent="0.3">
      <c r="A2970" s="19"/>
      <c r="B2970" s="36"/>
    </row>
    <row r="2971" spans="1:2" x14ac:dyDescent="0.3">
      <c r="A2971" s="19"/>
      <c r="B2971" s="36"/>
    </row>
    <row r="2972" spans="1:2" x14ac:dyDescent="0.3">
      <c r="A2972" s="19"/>
      <c r="B2972" s="36"/>
    </row>
    <row r="2973" spans="1:2" x14ac:dyDescent="0.3">
      <c r="A2973" s="19"/>
      <c r="B2973" s="36"/>
    </row>
    <row r="2974" spans="1:2" x14ac:dyDescent="0.3">
      <c r="A2974" s="19"/>
      <c r="B2974" s="36"/>
    </row>
    <row r="2975" spans="1:2" x14ac:dyDescent="0.3">
      <c r="A2975" s="19"/>
      <c r="B2975" s="36"/>
    </row>
    <row r="2976" spans="1:2" x14ac:dyDescent="0.3">
      <c r="A2976" s="19"/>
      <c r="B2976" s="36"/>
    </row>
    <row r="2977" spans="1:2" x14ac:dyDescent="0.3">
      <c r="A2977" s="19"/>
      <c r="B2977" s="36"/>
    </row>
    <row r="2978" spans="1:2" x14ac:dyDescent="0.3">
      <c r="A2978" s="19"/>
      <c r="B2978" s="36"/>
    </row>
    <row r="2979" spans="1:2" x14ac:dyDescent="0.3">
      <c r="A2979" s="19"/>
      <c r="B2979" s="36"/>
    </row>
    <row r="2980" spans="1:2" x14ac:dyDescent="0.3">
      <c r="A2980" s="19"/>
      <c r="B2980" s="36"/>
    </row>
    <row r="2981" spans="1:2" x14ac:dyDescent="0.3">
      <c r="A2981" s="19"/>
      <c r="B2981" s="36"/>
    </row>
    <row r="2982" spans="1:2" x14ac:dyDescent="0.3">
      <c r="A2982" s="19"/>
      <c r="B2982" s="36"/>
    </row>
    <row r="2983" spans="1:2" x14ac:dyDescent="0.3">
      <c r="A2983" s="19"/>
      <c r="B2983" s="36"/>
    </row>
    <row r="2984" spans="1:2" x14ac:dyDescent="0.3">
      <c r="A2984" s="19"/>
      <c r="B2984" s="36"/>
    </row>
    <row r="2985" spans="1:2" x14ac:dyDescent="0.3">
      <c r="A2985" s="19"/>
      <c r="B2985" s="36"/>
    </row>
    <row r="2986" spans="1:2" x14ac:dyDescent="0.3">
      <c r="A2986" s="19"/>
      <c r="B2986" s="36"/>
    </row>
    <row r="2987" spans="1:2" x14ac:dyDescent="0.3">
      <c r="A2987" s="19"/>
      <c r="B2987" s="36"/>
    </row>
    <row r="2988" spans="1:2" x14ac:dyDescent="0.3">
      <c r="A2988" s="19"/>
      <c r="B2988" s="36"/>
    </row>
    <row r="2989" spans="1:2" x14ac:dyDescent="0.3">
      <c r="A2989" s="19"/>
      <c r="B2989" s="36"/>
    </row>
    <row r="2990" spans="1:2" x14ac:dyDescent="0.3">
      <c r="A2990" s="19"/>
      <c r="B2990" s="36"/>
    </row>
    <row r="2991" spans="1:2" x14ac:dyDescent="0.3">
      <c r="A2991" s="19"/>
      <c r="B2991" s="36"/>
    </row>
    <row r="2992" spans="1:2" x14ac:dyDescent="0.3">
      <c r="A2992" s="19"/>
      <c r="B2992" s="36"/>
    </row>
    <row r="2993" spans="1:2" x14ac:dyDescent="0.3">
      <c r="A2993" s="19"/>
      <c r="B2993" s="36"/>
    </row>
    <row r="2994" spans="1:2" x14ac:dyDescent="0.3">
      <c r="A2994" s="19"/>
      <c r="B2994" s="36"/>
    </row>
    <row r="2995" spans="1:2" x14ac:dyDescent="0.3">
      <c r="A2995" s="19"/>
      <c r="B2995" s="36"/>
    </row>
    <row r="2996" spans="1:2" x14ac:dyDescent="0.3">
      <c r="A2996" s="19"/>
      <c r="B2996" s="36"/>
    </row>
    <row r="2997" spans="1:2" x14ac:dyDescent="0.3">
      <c r="A2997" s="19"/>
      <c r="B2997" s="36"/>
    </row>
    <row r="2998" spans="1:2" x14ac:dyDescent="0.3">
      <c r="A2998" s="19"/>
      <c r="B2998" s="36"/>
    </row>
    <row r="2999" spans="1:2" x14ac:dyDescent="0.3">
      <c r="A2999" s="19"/>
      <c r="B2999" s="36"/>
    </row>
    <row r="3000" spans="1:2" x14ac:dyDescent="0.3">
      <c r="A3000" s="19"/>
      <c r="B3000" s="36"/>
    </row>
    <row r="3001" spans="1:2" x14ac:dyDescent="0.3">
      <c r="A3001" s="19"/>
      <c r="B3001" s="36"/>
    </row>
    <row r="3002" spans="1:2" x14ac:dyDescent="0.3">
      <c r="A3002" s="19"/>
      <c r="B3002" s="36"/>
    </row>
    <row r="3003" spans="1:2" x14ac:dyDescent="0.3">
      <c r="A3003" s="19"/>
      <c r="B3003" s="36"/>
    </row>
    <row r="3004" spans="1:2" x14ac:dyDescent="0.3">
      <c r="A3004" s="19"/>
      <c r="B3004" s="36"/>
    </row>
    <row r="3005" spans="1:2" x14ac:dyDescent="0.3">
      <c r="A3005" s="19"/>
      <c r="B3005" s="36"/>
    </row>
    <row r="3006" spans="1:2" x14ac:dyDescent="0.3">
      <c r="A3006" s="19"/>
      <c r="B3006" s="36"/>
    </row>
    <row r="3007" spans="1:2" x14ac:dyDescent="0.3">
      <c r="A3007" s="19"/>
      <c r="B3007" s="36"/>
    </row>
    <row r="3008" spans="1:2" x14ac:dyDescent="0.3">
      <c r="A3008" s="19"/>
      <c r="B3008" s="36"/>
    </row>
    <row r="3009" spans="1:2" x14ac:dyDescent="0.3">
      <c r="A3009" s="19"/>
      <c r="B3009" s="36"/>
    </row>
    <row r="3010" spans="1:2" x14ac:dyDescent="0.3">
      <c r="A3010" s="19"/>
      <c r="B3010" s="36"/>
    </row>
    <row r="3011" spans="1:2" x14ac:dyDescent="0.3">
      <c r="A3011" s="19"/>
      <c r="B3011" s="36"/>
    </row>
    <row r="3012" spans="1:2" x14ac:dyDescent="0.3">
      <c r="A3012" s="19"/>
      <c r="B3012" s="36"/>
    </row>
    <row r="3013" spans="1:2" x14ac:dyDescent="0.3">
      <c r="A3013" s="19"/>
      <c r="B3013" s="36"/>
    </row>
    <row r="3014" spans="1:2" x14ac:dyDescent="0.3">
      <c r="A3014" s="19"/>
      <c r="B3014" s="36"/>
    </row>
    <row r="3015" spans="1:2" x14ac:dyDescent="0.3">
      <c r="A3015" s="19"/>
      <c r="B3015" s="36"/>
    </row>
    <row r="3016" spans="1:2" x14ac:dyDescent="0.3">
      <c r="A3016" s="19"/>
      <c r="B3016" s="36"/>
    </row>
    <row r="3017" spans="1:2" x14ac:dyDescent="0.3">
      <c r="A3017" s="19"/>
      <c r="B3017" s="36"/>
    </row>
    <row r="3018" spans="1:2" x14ac:dyDescent="0.3">
      <c r="A3018" s="19"/>
      <c r="B3018" s="36"/>
    </row>
    <row r="3019" spans="1:2" x14ac:dyDescent="0.3">
      <c r="A3019" s="19"/>
      <c r="B3019" s="36"/>
    </row>
    <row r="3020" spans="1:2" x14ac:dyDescent="0.3">
      <c r="A3020" s="19"/>
      <c r="B3020" s="36"/>
    </row>
    <row r="3021" spans="1:2" x14ac:dyDescent="0.3">
      <c r="A3021" s="19"/>
      <c r="B3021" s="36"/>
    </row>
    <row r="3022" spans="1:2" x14ac:dyDescent="0.3">
      <c r="A3022" s="19"/>
      <c r="B3022" s="36"/>
    </row>
    <row r="3023" spans="1:2" x14ac:dyDescent="0.3">
      <c r="A3023" s="19"/>
      <c r="B3023" s="36"/>
    </row>
    <row r="3024" spans="1:2" x14ac:dyDescent="0.3">
      <c r="A3024" s="19"/>
      <c r="B3024" s="36"/>
    </row>
    <row r="3025" spans="1:2" x14ac:dyDescent="0.3">
      <c r="A3025" s="19"/>
      <c r="B3025" s="36"/>
    </row>
    <row r="3026" spans="1:2" x14ac:dyDescent="0.3">
      <c r="A3026" s="19"/>
      <c r="B3026" s="36"/>
    </row>
    <row r="3027" spans="1:2" x14ac:dyDescent="0.3">
      <c r="A3027" s="19"/>
      <c r="B3027" s="36"/>
    </row>
    <row r="3028" spans="1:2" x14ac:dyDescent="0.3">
      <c r="A3028" s="19"/>
      <c r="B3028" s="36"/>
    </row>
    <row r="3029" spans="1:2" x14ac:dyDescent="0.3">
      <c r="A3029" s="19"/>
      <c r="B3029" s="36"/>
    </row>
    <row r="3030" spans="1:2" x14ac:dyDescent="0.3">
      <c r="A3030" s="19"/>
      <c r="B3030" s="36"/>
    </row>
    <row r="3031" spans="1:2" x14ac:dyDescent="0.3">
      <c r="A3031" s="19"/>
      <c r="B3031" s="36"/>
    </row>
    <row r="3032" spans="1:2" x14ac:dyDescent="0.3">
      <c r="A3032" s="19"/>
      <c r="B3032" s="36"/>
    </row>
    <row r="3033" spans="1:2" x14ac:dyDescent="0.3">
      <c r="A3033" s="19"/>
      <c r="B3033" s="36"/>
    </row>
    <row r="3034" spans="1:2" x14ac:dyDescent="0.3">
      <c r="A3034" s="19"/>
      <c r="B3034" s="36"/>
    </row>
    <row r="3035" spans="1:2" x14ac:dyDescent="0.3">
      <c r="A3035" s="19"/>
      <c r="B3035" s="36"/>
    </row>
    <row r="3036" spans="1:2" x14ac:dyDescent="0.3">
      <c r="A3036" s="19"/>
      <c r="B3036" s="36"/>
    </row>
    <row r="3037" spans="1:2" x14ac:dyDescent="0.3">
      <c r="A3037" s="19"/>
      <c r="B3037" s="36"/>
    </row>
    <row r="3038" spans="1:2" x14ac:dyDescent="0.3">
      <c r="A3038" s="19"/>
      <c r="B3038" s="36"/>
    </row>
    <row r="3039" spans="1:2" x14ac:dyDescent="0.3">
      <c r="A3039" s="19"/>
      <c r="B3039" s="36"/>
    </row>
    <row r="3040" spans="1:2" x14ac:dyDescent="0.3">
      <c r="A3040" s="19"/>
      <c r="B3040" s="36"/>
    </row>
    <row r="3041" spans="1:2" x14ac:dyDescent="0.3">
      <c r="A3041" s="19"/>
      <c r="B3041" s="36"/>
    </row>
    <row r="3042" spans="1:2" x14ac:dyDescent="0.3">
      <c r="A3042" s="19"/>
      <c r="B3042" s="36"/>
    </row>
    <row r="3043" spans="1:2" x14ac:dyDescent="0.3">
      <c r="A3043" s="19"/>
      <c r="B3043" s="36"/>
    </row>
    <row r="3044" spans="1:2" x14ac:dyDescent="0.3">
      <c r="A3044" s="19"/>
      <c r="B3044" s="36"/>
    </row>
    <row r="3045" spans="1:2" x14ac:dyDescent="0.3">
      <c r="A3045" s="19"/>
      <c r="B3045" s="36"/>
    </row>
    <row r="3046" spans="1:2" x14ac:dyDescent="0.3">
      <c r="A3046" s="19"/>
      <c r="B3046" s="36"/>
    </row>
    <row r="3047" spans="1:2" x14ac:dyDescent="0.3">
      <c r="A3047" s="19"/>
      <c r="B3047" s="36"/>
    </row>
    <row r="3048" spans="1:2" x14ac:dyDescent="0.3">
      <c r="A3048" s="19"/>
      <c r="B3048" s="36"/>
    </row>
    <row r="3049" spans="1:2" x14ac:dyDescent="0.3">
      <c r="A3049" s="19"/>
      <c r="B3049" s="36"/>
    </row>
    <row r="3050" spans="1:2" x14ac:dyDescent="0.3">
      <c r="A3050" s="19"/>
      <c r="B3050" s="36"/>
    </row>
    <row r="3051" spans="1:2" x14ac:dyDescent="0.3">
      <c r="A3051" s="19"/>
      <c r="B3051" s="36"/>
    </row>
    <row r="3052" spans="1:2" x14ac:dyDescent="0.3">
      <c r="A3052" s="19"/>
      <c r="B3052" s="36"/>
    </row>
    <row r="3053" spans="1:2" x14ac:dyDescent="0.3">
      <c r="A3053" s="19"/>
      <c r="B3053" s="36"/>
    </row>
    <row r="3054" spans="1:2" x14ac:dyDescent="0.3">
      <c r="A3054" s="19"/>
      <c r="B3054" s="36"/>
    </row>
    <row r="3055" spans="1:2" x14ac:dyDescent="0.3">
      <c r="A3055" s="19"/>
      <c r="B3055" s="36"/>
    </row>
    <row r="3056" spans="1:2" x14ac:dyDescent="0.3">
      <c r="A3056" s="19"/>
      <c r="B3056" s="36"/>
    </row>
    <row r="3057" spans="1:2" x14ac:dyDescent="0.3">
      <c r="A3057" s="19"/>
      <c r="B3057" s="36"/>
    </row>
    <row r="3058" spans="1:2" x14ac:dyDescent="0.3">
      <c r="A3058" s="19"/>
      <c r="B3058" s="36"/>
    </row>
    <row r="3059" spans="1:2" x14ac:dyDescent="0.3">
      <c r="A3059" s="19"/>
      <c r="B3059" s="36"/>
    </row>
    <row r="3060" spans="1:2" x14ac:dyDescent="0.3">
      <c r="A3060" s="19"/>
      <c r="B3060" s="36"/>
    </row>
    <row r="3061" spans="1:2" x14ac:dyDescent="0.3">
      <c r="A3061" s="19"/>
      <c r="B3061" s="36"/>
    </row>
    <row r="3062" spans="1:2" x14ac:dyDescent="0.3">
      <c r="A3062" s="19"/>
      <c r="B3062" s="36"/>
    </row>
    <row r="3063" spans="1:2" x14ac:dyDescent="0.3">
      <c r="A3063" s="19"/>
      <c r="B3063" s="36"/>
    </row>
    <row r="3064" spans="1:2" x14ac:dyDescent="0.3">
      <c r="A3064" s="19"/>
      <c r="B3064" s="36"/>
    </row>
    <row r="3065" spans="1:2" x14ac:dyDescent="0.3">
      <c r="A3065" s="19"/>
      <c r="B3065" s="36"/>
    </row>
    <row r="3066" spans="1:2" x14ac:dyDescent="0.3">
      <c r="A3066" s="19"/>
      <c r="B3066" s="36"/>
    </row>
    <row r="3067" spans="1:2" x14ac:dyDescent="0.3">
      <c r="A3067" s="19"/>
      <c r="B3067" s="36"/>
    </row>
    <row r="3068" spans="1:2" x14ac:dyDescent="0.3">
      <c r="A3068" s="19"/>
      <c r="B3068" s="36"/>
    </row>
    <row r="3069" spans="1:2" x14ac:dyDescent="0.3">
      <c r="A3069" s="19"/>
      <c r="B3069" s="36"/>
    </row>
    <row r="3070" spans="1:2" x14ac:dyDescent="0.3">
      <c r="A3070" s="19"/>
      <c r="B3070" s="36"/>
    </row>
    <row r="3071" spans="1:2" x14ac:dyDescent="0.3">
      <c r="A3071" s="19"/>
      <c r="B3071" s="36"/>
    </row>
    <row r="3072" spans="1:2" x14ac:dyDescent="0.3">
      <c r="A3072" s="19"/>
      <c r="B3072" s="36"/>
    </row>
    <row r="3073" spans="1:2" x14ac:dyDescent="0.3">
      <c r="A3073" s="19"/>
      <c r="B3073" s="36"/>
    </row>
    <row r="3074" spans="1:2" x14ac:dyDescent="0.3">
      <c r="A3074" s="19"/>
      <c r="B3074" s="36"/>
    </row>
    <row r="3075" spans="1:2" x14ac:dyDescent="0.3">
      <c r="A3075" s="19"/>
      <c r="B3075" s="36"/>
    </row>
    <row r="3076" spans="1:2" x14ac:dyDescent="0.3">
      <c r="A3076" s="19"/>
      <c r="B3076" s="36"/>
    </row>
    <row r="3077" spans="1:2" x14ac:dyDescent="0.3">
      <c r="A3077" s="19"/>
      <c r="B3077" s="36"/>
    </row>
    <row r="3078" spans="1:2" x14ac:dyDescent="0.3">
      <c r="A3078" s="19"/>
      <c r="B3078" s="36"/>
    </row>
    <row r="3079" spans="1:2" x14ac:dyDescent="0.3">
      <c r="A3079" s="19"/>
      <c r="B3079" s="36"/>
    </row>
    <row r="3080" spans="1:2" x14ac:dyDescent="0.3">
      <c r="A3080" s="19"/>
      <c r="B3080" s="36"/>
    </row>
    <row r="3081" spans="1:2" x14ac:dyDescent="0.3">
      <c r="A3081" s="19"/>
      <c r="B3081" s="36"/>
    </row>
    <row r="3082" spans="1:2" x14ac:dyDescent="0.3">
      <c r="A3082" s="19"/>
      <c r="B3082" s="36"/>
    </row>
    <row r="3083" spans="1:2" x14ac:dyDescent="0.3">
      <c r="A3083" s="19"/>
      <c r="B3083" s="36"/>
    </row>
    <row r="3084" spans="1:2" x14ac:dyDescent="0.3">
      <c r="A3084" s="19"/>
      <c r="B3084" s="36"/>
    </row>
    <row r="3085" spans="1:2" x14ac:dyDescent="0.3">
      <c r="A3085" s="19"/>
      <c r="B3085" s="36"/>
    </row>
    <row r="3086" spans="1:2" x14ac:dyDescent="0.3">
      <c r="A3086" s="19"/>
      <c r="B3086" s="36"/>
    </row>
    <row r="3087" spans="1:2" x14ac:dyDescent="0.3">
      <c r="A3087" s="19"/>
      <c r="B3087" s="36"/>
    </row>
    <row r="3088" spans="1:2" x14ac:dyDescent="0.3">
      <c r="A3088" s="19"/>
      <c r="B3088" s="36"/>
    </row>
    <row r="3089" spans="1:2" x14ac:dyDescent="0.3">
      <c r="A3089" s="19"/>
      <c r="B3089" s="36"/>
    </row>
    <row r="3090" spans="1:2" x14ac:dyDescent="0.3">
      <c r="A3090" s="19"/>
      <c r="B3090" s="36"/>
    </row>
    <row r="3091" spans="1:2" x14ac:dyDescent="0.3">
      <c r="A3091" s="19"/>
      <c r="B3091" s="36"/>
    </row>
    <row r="3092" spans="1:2" x14ac:dyDescent="0.3">
      <c r="A3092" s="19"/>
      <c r="B3092" s="36"/>
    </row>
    <row r="3093" spans="1:2" x14ac:dyDescent="0.3">
      <c r="A3093" s="19"/>
      <c r="B3093" s="36"/>
    </row>
    <row r="3094" spans="1:2" x14ac:dyDescent="0.3">
      <c r="A3094" s="19"/>
      <c r="B3094" s="36"/>
    </row>
    <row r="3095" spans="1:2" x14ac:dyDescent="0.3">
      <c r="A3095" s="19"/>
      <c r="B3095" s="36"/>
    </row>
    <row r="3096" spans="1:2" x14ac:dyDescent="0.3">
      <c r="A3096" s="19"/>
      <c r="B3096" s="36"/>
    </row>
    <row r="3097" spans="1:2" x14ac:dyDescent="0.3">
      <c r="A3097" s="19"/>
      <c r="B3097" s="36"/>
    </row>
    <row r="3098" spans="1:2" x14ac:dyDescent="0.3">
      <c r="A3098" s="19"/>
      <c r="B3098" s="36"/>
    </row>
    <row r="3099" spans="1:2" x14ac:dyDescent="0.3">
      <c r="A3099" s="19"/>
      <c r="B3099" s="36"/>
    </row>
    <row r="3100" spans="1:2" x14ac:dyDescent="0.3">
      <c r="A3100" s="19"/>
      <c r="B3100" s="36"/>
    </row>
    <row r="3101" spans="1:2" x14ac:dyDescent="0.3">
      <c r="A3101" s="19"/>
      <c r="B3101" s="36"/>
    </row>
    <row r="3102" spans="1:2" x14ac:dyDescent="0.3">
      <c r="A3102" s="19"/>
      <c r="B3102" s="36"/>
    </row>
    <row r="3103" spans="1:2" x14ac:dyDescent="0.3">
      <c r="A3103" s="19"/>
      <c r="B3103" s="36"/>
    </row>
    <row r="3104" spans="1:2" x14ac:dyDescent="0.3">
      <c r="A3104" s="19"/>
      <c r="B3104" s="36"/>
    </row>
    <row r="3105" spans="1:2" x14ac:dyDescent="0.3">
      <c r="A3105" s="19"/>
      <c r="B3105" s="36"/>
    </row>
    <row r="3106" spans="1:2" x14ac:dyDescent="0.3">
      <c r="A3106" s="19"/>
      <c r="B3106" s="36"/>
    </row>
    <row r="3107" spans="1:2" x14ac:dyDescent="0.3">
      <c r="A3107" s="19"/>
      <c r="B3107" s="36"/>
    </row>
    <row r="3108" spans="1:2" x14ac:dyDescent="0.3">
      <c r="A3108" s="19"/>
      <c r="B3108" s="36"/>
    </row>
    <row r="3109" spans="1:2" x14ac:dyDescent="0.3">
      <c r="A3109" s="19"/>
      <c r="B3109" s="36"/>
    </row>
    <row r="3110" spans="1:2" x14ac:dyDescent="0.3">
      <c r="A3110" s="19"/>
      <c r="B3110" s="36"/>
    </row>
    <row r="3111" spans="1:2" x14ac:dyDescent="0.3">
      <c r="A3111" s="19"/>
      <c r="B3111" s="36"/>
    </row>
    <row r="3112" spans="1:2" x14ac:dyDescent="0.3">
      <c r="A3112" s="19"/>
      <c r="B3112" s="36"/>
    </row>
    <row r="3113" spans="1:2" x14ac:dyDescent="0.3">
      <c r="A3113" s="19"/>
      <c r="B3113" s="36"/>
    </row>
    <row r="3114" spans="1:2" x14ac:dyDescent="0.3">
      <c r="A3114" s="19"/>
      <c r="B3114" s="36"/>
    </row>
    <row r="3115" spans="1:2" x14ac:dyDescent="0.3">
      <c r="A3115" s="19"/>
      <c r="B3115" s="36"/>
    </row>
    <row r="3116" spans="1:2" x14ac:dyDescent="0.3">
      <c r="A3116" s="19"/>
      <c r="B3116" s="36"/>
    </row>
    <row r="3117" spans="1:2" x14ac:dyDescent="0.3">
      <c r="A3117" s="19"/>
      <c r="B3117" s="36"/>
    </row>
    <row r="3118" spans="1:2" x14ac:dyDescent="0.3">
      <c r="A3118" s="19"/>
      <c r="B3118" s="36"/>
    </row>
    <row r="3119" spans="1:2" x14ac:dyDescent="0.3">
      <c r="A3119" s="19"/>
      <c r="B3119" s="36"/>
    </row>
    <row r="3120" spans="1:2" x14ac:dyDescent="0.3">
      <c r="A3120" s="19"/>
      <c r="B3120" s="36"/>
    </row>
    <row r="3121" spans="1:2" x14ac:dyDescent="0.3">
      <c r="A3121" s="19"/>
      <c r="B3121" s="36"/>
    </row>
    <row r="3122" spans="1:2" x14ac:dyDescent="0.3">
      <c r="A3122" s="19"/>
      <c r="B3122" s="36"/>
    </row>
    <row r="3123" spans="1:2" x14ac:dyDescent="0.3">
      <c r="A3123" s="19"/>
      <c r="B3123" s="36"/>
    </row>
    <row r="3124" spans="1:2" x14ac:dyDescent="0.3">
      <c r="A3124" s="19"/>
      <c r="B3124" s="36"/>
    </row>
    <row r="3125" spans="1:2" x14ac:dyDescent="0.3">
      <c r="A3125" s="19"/>
      <c r="B3125" s="36"/>
    </row>
    <row r="3126" spans="1:2" x14ac:dyDescent="0.3">
      <c r="A3126" s="19"/>
      <c r="B3126" s="36"/>
    </row>
    <row r="3127" spans="1:2" x14ac:dyDescent="0.3">
      <c r="A3127" s="19"/>
      <c r="B3127" s="36"/>
    </row>
    <row r="3128" spans="1:2" x14ac:dyDescent="0.3">
      <c r="A3128" s="19"/>
      <c r="B3128" s="36"/>
    </row>
    <row r="3129" spans="1:2" x14ac:dyDescent="0.3">
      <c r="A3129" s="19"/>
      <c r="B3129" s="36"/>
    </row>
    <row r="3130" spans="1:2" x14ac:dyDescent="0.3">
      <c r="A3130" s="19"/>
      <c r="B3130" s="36"/>
    </row>
    <row r="3131" spans="1:2" x14ac:dyDescent="0.3">
      <c r="A3131" s="19"/>
      <c r="B3131" s="36"/>
    </row>
    <row r="3132" spans="1:2" x14ac:dyDescent="0.3">
      <c r="A3132" s="19"/>
      <c r="B3132" s="36"/>
    </row>
    <row r="3133" spans="1:2" x14ac:dyDescent="0.3">
      <c r="A3133" s="19"/>
      <c r="B3133" s="36"/>
    </row>
    <row r="3134" spans="1:2" x14ac:dyDescent="0.3">
      <c r="A3134" s="19"/>
      <c r="B3134" s="36"/>
    </row>
    <row r="3135" spans="1:2" x14ac:dyDescent="0.3">
      <c r="A3135" s="19"/>
      <c r="B3135" s="36"/>
    </row>
    <row r="3136" spans="1:2" x14ac:dyDescent="0.3">
      <c r="A3136" s="19"/>
      <c r="B3136" s="36"/>
    </row>
    <row r="3137" spans="1:2" x14ac:dyDescent="0.3">
      <c r="A3137" s="19"/>
      <c r="B3137" s="36"/>
    </row>
    <row r="3138" spans="1:2" x14ac:dyDescent="0.3">
      <c r="A3138" s="19"/>
      <c r="B3138" s="36"/>
    </row>
    <row r="3139" spans="1:2" x14ac:dyDescent="0.3">
      <c r="A3139" s="19"/>
      <c r="B3139" s="36"/>
    </row>
    <row r="3140" spans="1:2" x14ac:dyDescent="0.3">
      <c r="A3140" s="19"/>
      <c r="B3140" s="36"/>
    </row>
    <row r="3141" spans="1:2" x14ac:dyDescent="0.3">
      <c r="A3141" s="19"/>
      <c r="B3141" s="36"/>
    </row>
    <row r="3142" spans="1:2" x14ac:dyDescent="0.3">
      <c r="A3142" s="19"/>
      <c r="B3142" s="36"/>
    </row>
    <row r="3143" spans="1:2" x14ac:dyDescent="0.3">
      <c r="A3143" s="19"/>
      <c r="B3143" s="36"/>
    </row>
    <row r="3144" spans="1:2" x14ac:dyDescent="0.3">
      <c r="A3144" s="19"/>
      <c r="B3144" s="36"/>
    </row>
    <row r="3145" spans="1:2" x14ac:dyDescent="0.3">
      <c r="A3145" s="19"/>
      <c r="B3145" s="36"/>
    </row>
    <row r="3146" spans="1:2" x14ac:dyDescent="0.3">
      <c r="A3146" s="19"/>
      <c r="B3146" s="36"/>
    </row>
    <row r="3147" spans="1:2" x14ac:dyDescent="0.3">
      <c r="A3147" s="19"/>
      <c r="B3147" s="36"/>
    </row>
    <row r="3148" spans="1:2" x14ac:dyDescent="0.3">
      <c r="A3148" s="19"/>
      <c r="B3148" s="36"/>
    </row>
    <row r="3149" spans="1:2" x14ac:dyDescent="0.3">
      <c r="A3149" s="19"/>
      <c r="B3149" s="36"/>
    </row>
    <row r="3150" spans="1:2" x14ac:dyDescent="0.3">
      <c r="A3150" s="19"/>
      <c r="B3150" s="36"/>
    </row>
    <row r="3151" spans="1:2" x14ac:dyDescent="0.3">
      <c r="A3151" s="19"/>
      <c r="B3151" s="36"/>
    </row>
    <row r="3152" spans="1:2" x14ac:dyDescent="0.3">
      <c r="A3152" s="19"/>
      <c r="B3152" s="36"/>
    </row>
    <row r="3153" spans="1:2" x14ac:dyDescent="0.3">
      <c r="A3153" s="19"/>
      <c r="B3153" s="36"/>
    </row>
    <row r="3154" spans="1:2" x14ac:dyDescent="0.3">
      <c r="A3154" s="19"/>
      <c r="B3154" s="36"/>
    </row>
    <row r="3155" spans="1:2" x14ac:dyDescent="0.3">
      <c r="A3155" s="19"/>
      <c r="B3155" s="36"/>
    </row>
    <row r="3156" spans="1:2" x14ac:dyDescent="0.3">
      <c r="A3156" s="19"/>
      <c r="B3156" s="36"/>
    </row>
    <row r="3157" spans="1:2" x14ac:dyDescent="0.3">
      <c r="A3157" s="19"/>
      <c r="B3157" s="36"/>
    </row>
    <row r="3158" spans="1:2" x14ac:dyDescent="0.3">
      <c r="A3158" s="19"/>
      <c r="B3158" s="36"/>
    </row>
    <row r="3159" spans="1:2" x14ac:dyDescent="0.3">
      <c r="A3159" s="19"/>
      <c r="B3159" s="36"/>
    </row>
    <row r="3160" spans="1:2" x14ac:dyDescent="0.3">
      <c r="A3160" s="19"/>
      <c r="B3160" s="36"/>
    </row>
    <row r="3161" spans="1:2" x14ac:dyDescent="0.3">
      <c r="A3161" s="19"/>
      <c r="B3161" s="36"/>
    </row>
    <row r="3162" spans="1:2" x14ac:dyDescent="0.3">
      <c r="A3162" s="19"/>
      <c r="B3162" s="36"/>
    </row>
    <row r="3163" spans="1:2" x14ac:dyDescent="0.3">
      <c r="A3163" s="19"/>
      <c r="B3163" s="36"/>
    </row>
    <row r="3164" spans="1:2" x14ac:dyDescent="0.3">
      <c r="A3164" s="19"/>
      <c r="B3164" s="36"/>
    </row>
    <row r="3165" spans="1:2" x14ac:dyDescent="0.3">
      <c r="A3165" s="19"/>
      <c r="B3165" s="36"/>
    </row>
    <row r="3166" spans="1:2" x14ac:dyDescent="0.3">
      <c r="A3166" s="19"/>
      <c r="B3166" s="36"/>
    </row>
    <row r="3167" spans="1:2" x14ac:dyDescent="0.3">
      <c r="A3167" s="19"/>
      <c r="B3167" s="36"/>
    </row>
    <row r="3168" spans="1:2" x14ac:dyDescent="0.3">
      <c r="A3168" s="19"/>
      <c r="B3168" s="36"/>
    </row>
    <row r="3169" spans="1:2" x14ac:dyDescent="0.3">
      <c r="A3169" s="19"/>
      <c r="B3169" s="36"/>
    </row>
    <row r="3170" spans="1:2" x14ac:dyDescent="0.3">
      <c r="A3170" s="19"/>
      <c r="B3170" s="36"/>
    </row>
    <row r="3171" spans="1:2" x14ac:dyDescent="0.3">
      <c r="A3171" s="19"/>
      <c r="B3171" s="36"/>
    </row>
    <row r="3172" spans="1:2" x14ac:dyDescent="0.3">
      <c r="A3172" s="19"/>
      <c r="B3172" s="36"/>
    </row>
    <row r="3173" spans="1:2" x14ac:dyDescent="0.3">
      <c r="A3173" s="19"/>
      <c r="B3173" s="36"/>
    </row>
    <row r="3174" spans="1:2" x14ac:dyDescent="0.3">
      <c r="A3174" s="19"/>
      <c r="B3174" s="36"/>
    </row>
    <row r="3175" spans="1:2" x14ac:dyDescent="0.3">
      <c r="A3175" s="19"/>
      <c r="B3175" s="36"/>
    </row>
    <row r="3176" spans="1:2" x14ac:dyDescent="0.3">
      <c r="A3176" s="19"/>
      <c r="B3176" s="36"/>
    </row>
    <row r="3177" spans="1:2" x14ac:dyDescent="0.3">
      <c r="A3177" s="19"/>
      <c r="B3177" s="36"/>
    </row>
    <row r="3178" spans="1:2" x14ac:dyDescent="0.3">
      <c r="A3178" s="19"/>
      <c r="B3178" s="36"/>
    </row>
    <row r="3179" spans="1:2" x14ac:dyDescent="0.3">
      <c r="A3179" s="19"/>
      <c r="B3179" s="36"/>
    </row>
    <row r="3180" spans="1:2" x14ac:dyDescent="0.3">
      <c r="A3180" s="19"/>
      <c r="B3180" s="36"/>
    </row>
    <row r="3181" spans="1:2" x14ac:dyDescent="0.3">
      <c r="A3181" s="19"/>
      <c r="B3181" s="36"/>
    </row>
    <row r="3182" spans="1:2" x14ac:dyDescent="0.3">
      <c r="A3182" s="19"/>
      <c r="B3182" s="36"/>
    </row>
    <row r="3183" spans="1:2" x14ac:dyDescent="0.3">
      <c r="A3183" s="19"/>
      <c r="B3183" s="36"/>
    </row>
    <row r="3184" spans="1:2" x14ac:dyDescent="0.3">
      <c r="A3184" s="19"/>
      <c r="B3184" s="36"/>
    </row>
    <row r="3185" spans="1:2" x14ac:dyDescent="0.3">
      <c r="A3185" s="19"/>
      <c r="B3185" s="36"/>
    </row>
    <row r="3186" spans="1:2" x14ac:dyDescent="0.3">
      <c r="A3186" s="19"/>
      <c r="B3186" s="36"/>
    </row>
    <row r="3187" spans="1:2" x14ac:dyDescent="0.3">
      <c r="A3187" s="19"/>
      <c r="B3187" s="36"/>
    </row>
    <row r="3188" spans="1:2" x14ac:dyDescent="0.3">
      <c r="A3188" s="19"/>
      <c r="B3188" s="36"/>
    </row>
    <row r="3189" spans="1:2" x14ac:dyDescent="0.3">
      <c r="A3189" s="19"/>
      <c r="B3189" s="36"/>
    </row>
    <row r="3190" spans="1:2" x14ac:dyDescent="0.3">
      <c r="A3190" s="19"/>
      <c r="B3190" s="36"/>
    </row>
    <row r="3191" spans="1:2" x14ac:dyDescent="0.3">
      <c r="A3191" s="19"/>
      <c r="B3191" s="36"/>
    </row>
    <row r="3192" spans="1:2" x14ac:dyDescent="0.3">
      <c r="A3192" s="19"/>
      <c r="B3192" s="36"/>
    </row>
    <row r="3193" spans="1:2" x14ac:dyDescent="0.3">
      <c r="A3193" s="19"/>
      <c r="B3193" s="36"/>
    </row>
    <row r="3194" spans="1:2" x14ac:dyDescent="0.3">
      <c r="A3194" s="19"/>
      <c r="B3194" s="36"/>
    </row>
    <row r="3195" spans="1:2" x14ac:dyDescent="0.3">
      <c r="A3195" s="19"/>
      <c r="B3195" s="36"/>
    </row>
    <row r="3196" spans="1:2" x14ac:dyDescent="0.3">
      <c r="A3196" s="19"/>
      <c r="B3196" s="36"/>
    </row>
    <row r="3197" spans="1:2" x14ac:dyDescent="0.3">
      <c r="A3197" s="19"/>
      <c r="B3197" s="36"/>
    </row>
    <row r="3198" spans="1:2" x14ac:dyDescent="0.3">
      <c r="A3198" s="19"/>
      <c r="B3198" s="36"/>
    </row>
    <row r="3199" spans="1:2" x14ac:dyDescent="0.3">
      <c r="A3199" s="19"/>
      <c r="B3199" s="36"/>
    </row>
    <row r="3200" spans="1:2" x14ac:dyDescent="0.3">
      <c r="A3200" s="19"/>
      <c r="B3200" s="36"/>
    </row>
    <row r="3201" spans="1:2" x14ac:dyDescent="0.3">
      <c r="A3201" s="19"/>
      <c r="B3201" s="36"/>
    </row>
    <row r="3202" spans="1:2" x14ac:dyDescent="0.3">
      <c r="A3202" s="19"/>
      <c r="B3202" s="36"/>
    </row>
    <row r="3203" spans="1:2" x14ac:dyDescent="0.3">
      <c r="A3203" s="19"/>
      <c r="B3203" s="36"/>
    </row>
    <row r="3204" spans="1:2" x14ac:dyDescent="0.3">
      <c r="A3204" s="19"/>
      <c r="B3204" s="36"/>
    </row>
    <row r="3205" spans="1:2" x14ac:dyDescent="0.3">
      <c r="A3205" s="19"/>
      <c r="B3205" s="36"/>
    </row>
    <row r="3206" spans="1:2" x14ac:dyDescent="0.3">
      <c r="A3206" s="19"/>
      <c r="B3206" s="36"/>
    </row>
    <row r="3207" spans="1:2" x14ac:dyDescent="0.3">
      <c r="A3207" s="19"/>
      <c r="B3207" s="36"/>
    </row>
    <row r="3208" spans="1:2" x14ac:dyDescent="0.3">
      <c r="A3208" s="19"/>
      <c r="B3208" s="36"/>
    </row>
    <row r="3209" spans="1:2" x14ac:dyDescent="0.3">
      <c r="A3209" s="19"/>
      <c r="B3209" s="36"/>
    </row>
    <row r="3210" spans="1:2" x14ac:dyDescent="0.3">
      <c r="A3210" s="19"/>
      <c r="B3210" s="36"/>
    </row>
    <row r="3211" spans="1:2" x14ac:dyDescent="0.3">
      <c r="A3211" s="19"/>
      <c r="B3211" s="36"/>
    </row>
    <row r="3212" spans="1:2" x14ac:dyDescent="0.3">
      <c r="A3212" s="19"/>
      <c r="B3212" s="36"/>
    </row>
    <row r="3213" spans="1:2" x14ac:dyDescent="0.3">
      <c r="A3213" s="19"/>
      <c r="B3213" s="36"/>
    </row>
    <row r="3214" spans="1:2" x14ac:dyDescent="0.3">
      <c r="A3214" s="19"/>
      <c r="B3214" s="36"/>
    </row>
    <row r="3215" spans="1:2" x14ac:dyDescent="0.3">
      <c r="A3215" s="19"/>
      <c r="B3215" s="36"/>
    </row>
    <row r="3216" spans="1:2" x14ac:dyDescent="0.3">
      <c r="A3216" s="19"/>
      <c r="B3216" s="36"/>
    </row>
    <row r="3217" spans="1:2" x14ac:dyDescent="0.3">
      <c r="A3217" s="19"/>
      <c r="B3217" s="36"/>
    </row>
    <row r="3218" spans="1:2" x14ac:dyDescent="0.3">
      <c r="A3218" s="19"/>
      <c r="B3218" s="36"/>
    </row>
    <row r="3219" spans="1:2" x14ac:dyDescent="0.3">
      <c r="A3219" s="19"/>
      <c r="B3219" s="36"/>
    </row>
    <row r="3220" spans="1:2" x14ac:dyDescent="0.3">
      <c r="A3220" s="19"/>
      <c r="B3220" s="36"/>
    </row>
    <row r="3221" spans="1:2" x14ac:dyDescent="0.3">
      <c r="A3221" s="19"/>
      <c r="B3221" s="36"/>
    </row>
    <row r="3222" spans="1:2" x14ac:dyDescent="0.3">
      <c r="A3222" s="19"/>
      <c r="B3222" s="36"/>
    </row>
    <row r="3223" spans="1:2" x14ac:dyDescent="0.3">
      <c r="A3223" s="19"/>
      <c r="B3223" s="36"/>
    </row>
    <row r="3224" spans="1:2" x14ac:dyDescent="0.3">
      <c r="A3224" s="19"/>
      <c r="B3224" s="36"/>
    </row>
    <row r="3225" spans="1:2" x14ac:dyDescent="0.3">
      <c r="A3225" s="19"/>
      <c r="B3225" s="36"/>
    </row>
    <row r="3226" spans="1:2" x14ac:dyDescent="0.3">
      <c r="A3226" s="19"/>
      <c r="B3226" s="36"/>
    </row>
    <row r="3227" spans="1:2" x14ac:dyDescent="0.3">
      <c r="A3227" s="19"/>
      <c r="B3227" s="36"/>
    </row>
    <row r="3228" spans="1:2" x14ac:dyDescent="0.3">
      <c r="A3228" s="19"/>
      <c r="B3228" s="36"/>
    </row>
    <row r="3229" spans="1:2" x14ac:dyDescent="0.3">
      <c r="A3229" s="19"/>
      <c r="B3229" s="36"/>
    </row>
    <row r="3230" spans="1:2" x14ac:dyDescent="0.3">
      <c r="A3230" s="19"/>
      <c r="B3230" s="36"/>
    </row>
    <row r="3231" spans="1:2" x14ac:dyDescent="0.3">
      <c r="A3231" s="19"/>
      <c r="B3231" s="36"/>
    </row>
    <row r="3232" spans="1:2" x14ac:dyDescent="0.3">
      <c r="A3232" s="19"/>
      <c r="B3232" s="36"/>
    </row>
    <row r="3233" spans="1:2" x14ac:dyDescent="0.3">
      <c r="A3233" s="19"/>
      <c r="B3233" s="36"/>
    </row>
    <row r="3234" spans="1:2" x14ac:dyDescent="0.3">
      <c r="A3234" s="19"/>
      <c r="B3234" s="36"/>
    </row>
    <row r="3235" spans="1:2" x14ac:dyDescent="0.3">
      <c r="A3235" s="19"/>
      <c r="B3235" s="36"/>
    </row>
    <row r="3236" spans="1:2" x14ac:dyDescent="0.3">
      <c r="A3236" s="19"/>
      <c r="B3236" s="36"/>
    </row>
    <row r="3237" spans="1:2" x14ac:dyDescent="0.3">
      <c r="A3237" s="19"/>
      <c r="B3237" s="36"/>
    </row>
    <row r="3238" spans="1:2" x14ac:dyDescent="0.3">
      <c r="A3238" s="19"/>
      <c r="B3238" s="36"/>
    </row>
    <row r="3239" spans="1:2" x14ac:dyDescent="0.3">
      <c r="A3239" s="19"/>
      <c r="B3239" s="36"/>
    </row>
    <row r="3240" spans="1:2" x14ac:dyDescent="0.3">
      <c r="A3240" s="19"/>
      <c r="B3240" s="36"/>
    </row>
    <row r="3241" spans="1:2" x14ac:dyDescent="0.3">
      <c r="A3241" s="19"/>
      <c r="B3241" s="36"/>
    </row>
    <row r="3242" spans="1:2" x14ac:dyDescent="0.3">
      <c r="A3242" s="19"/>
      <c r="B3242" s="36"/>
    </row>
    <row r="3243" spans="1:2" x14ac:dyDescent="0.3">
      <c r="A3243" s="19"/>
      <c r="B3243" s="36"/>
    </row>
    <row r="3244" spans="1:2" x14ac:dyDescent="0.3">
      <c r="A3244" s="19"/>
      <c r="B3244" s="36"/>
    </row>
    <row r="3245" spans="1:2" x14ac:dyDescent="0.3">
      <c r="A3245" s="19"/>
      <c r="B3245" s="36"/>
    </row>
    <row r="3246" spans="1:2" x14ac:dyDescent="0.3">
      <c r="A3246" s="19"/>
      <c r="B3246" s="36"/>
    </row>
    <row r="3247" spans="1:2" x14ac:dyDescent="0.3">
      <c r="A3247" s="19"/>
      <c r="B3247" s="36"/>
    </row>
    <row r="3248" spans="1:2" x14ac:dyDescent="0.3">
      <c r="A3248" s="19"/>
      <c r="B3248" s="36"/>
    </row>
    <row r="3249" spans="1:2" x14ac:dyDescent="0.3">
      <c r="A3249" s="19"/>
      <c r="B3249" s="36"/>
    </row>
    <row r="3250" spans="1:2" x14ac:dyDescent="0.3">
      <c r="A3250" s="19"/>
      <c r="B3250" s="36"/>
    </row>
    <row r="3251" spans="1:2" x14ac:dyDescent="0.3">
      <c r="A3251" s="19"/>
      <c r="B3251" s="36"/>
    </row>
    <row r="3252" spans="1:2" x14ac:dyDescent="0.3">
      <c r="A3252" s="19"/>
      <c r="B3252" s="36"/>
    </row>
    <row r="3253" spans="1:2" x14ac:dyDescent="0.3">
      <c r="A3253" s="19"/>
      <c r="B3253" s="36"/>
    </row>
    <row r="3254" spans="1:2" x14ac:dyDescent="0.3">
      <c r="A3254" s="19"/>
      <c r="B3254" s="36"/>
    </row>
    <row r="3255" spans="1:2" x14ac:dyDescent="0.3">
      <c r="A3255" s="19"/>
      <c r="B3255" s="36"/>
    </row>
    <row r="3256" spans="1:2" x14ac:dyDescent="0.3">
      <c r="A3256" s="19"/>
      <c r="B3256" s="36"/>
    </row>
    <row r="3257" spans="1:2" x14ac:dyDescent="0.3">
      <c r="A3257" s="19"/>
      <c r="B3257" s="36"/>
    </row>
    <row r="3258" spans="1:2" x14ac:dyDescent="0.3">
      <c r="A3258" s="19"/>
      <c r="B3258" s="36"/>
    </row>
    <row r="3259" spans="1:2" x14ac:dyDescent="0.3">
      <c r="A3259" s="19"/>
      <c r="B3259" s="36"/>
    </row>
    <row r="3260" spans="1:2" x14ac:dyDescent="0.3">
      <c r="A3260" s="19"/>
      <c r="B3260" s="36"/>
    </row>
    <row r="3261" spans="1:2" x14ac:dyDescent="0.3">
      <c r="A3261" s="19"/>
      <c r="B3261" s="36"/>
    </row>
    <row r="3262" spans="1:2" x14ac:dyDescent="0.3">
      <c r="A3262" s="19"/>
      <c r="B3262" s="36"/>
    </row>
    <row r="3263" spans="1:2" x14ac:dyDescent="0.3">
      <c r="A3263" s="19"/>
      <c r="B3263" s="36"/>
    </row>
    <row r="3264" spans="1:2" x14ac:dyDescent="0.3">
      <c r="A3264" s="19"/>
      <c r="B3264" s="36"/>
    </row>
    <row r="3265" spans="1:2" x14ac:dyDescent="0.3">
      <c r="A3265" s="19"/>
      <c r="B3265" s="36"/>
    </row>
    <row r="3266" spans="1:2" x14ac:dyDescent="0.3">
      <c r="A3266" s="19"/>
      <c r="B3266" s="36"/>
    </row>
    <row r="3267" spans="1:2" x14ac:dyDescent="0.3">
      <c r="A3267" s="19"/>
      <c r="B3267" s="36"/>
    </row>
    <row r="3268" spans="1:2" x14ac:dyDescent="0.3">
      <c r="A3268" s="19"/>
      <c r="B3268" s="36"/>
    </row>
    <row r="3269" spans="1:2" x14ac:dyDescent="0.3">
      <c r="A3269" s="19"/>
      <c r="B3269" s="36"/>
    </row>
    <row r="3270" spans="1:2" x14ac:dyDescent="0.3">
      <c r="A3270" s="19"/>
      <c r="B3270" s="36"/>
    </row>
    <row r="3271" spans="1:2" x14ac:dyDescent="0.3">
      <c r="A3271" s="19"/>
      <c r="B3271" s="36"/>
    </row>
    <row r="3272" spans="1:2" x14ac:dyDescent="0.3">
      <c r="A3272" s="19"/>
      <c r="B3272" s="36"/>
    </row>
    <row r="3273" spans="1:2" x14ac:dyDescent="0.3">
      <c r="A3273" s="19"/>
      <c r="B3273" s="36"/>
    </row>
    <row r="3274" spans="1:2" x14ac:dyDescent="0.3">
      <c r="A3274" s="19"/>
      <c r="B3274" s="36"/>
    </row>
    <row r="3275" spans="1:2" x14ac:dyDescent="0.3">
      <c r="A3275" s="19"/>
      <c r="B3275" s="36"/>
    </row>
    <row r="3276" spans="1:2" x14ac:dyDescent="0.3">
      <c r="A3276" s="19"/>
      <c r="B3276" s="36"/>
    </row>
    <row r="3277" spans="1:2" x14ac:dyDescent="0.3">
      <c r="A3277" s="19"/>
      <c r="B3277" s="36"/>
    </row>
    <row r="3278" spans="1:2" x14ac:dyDescent="0.3">
      <c r="A3278" s="19"/>
      <c r="B3278" s="36"/>
    </row>
    <row r="3279" spans="1:2" x14ac:dyDescent="0.3">
      <c r="A3279" s="19"/>
      <c r="B3279" s="36"/>
    </row>
    <row r="3280" spans="1:2" x14ac:dyDescent="0.3">
      <c r="A3280" s="19"/>
      <c r="B3280" s="36"/>
    </row>
    <row r="3281" spans="1:2" x14ac:dyDescent="0.3">
      <c r="A3281" s="19"/>
      <c r="B3281" s="36"/>
    </row>
    <row r="3282" spans="1:2" x14ac:dyDescent="0.3">
      <c r="A3282" s="19"/>
      <c r="B3282" s="36"/>
    </row>
    <row r="3283" spans="1:2" x14ac:dyDescent="0.3">
      <c r="A3283" s="19"/>
      <c r="B3283" s="36"/>
    </row>
    <row r="3284" spans="1:2" x14ac:dyDescent="0.3">
      <c r="A3284" s="19"/>
      <c r="B3284" s="36"/>
    </row>
    <row r="3285" spans="1:2" x14ac:dyDescent="0.3">
      <c r="A3285" s="19"/>
      <c r="B3285" s="36"/>
    </row>
    <row r="3286" spans="1:2" x14ac:dyDescent="0.3">
      <c r="A3286" s="19"/>
      <c r="B3286" s="36"/>
    </row>
    <row r="3287" spans="1:2" x14ac:dyDescent="0.3">
      <c r="A3287" s="19"/>
      <c r="B3287" s="36"/>
    </row>
    <row r="3288" spans="1:2" x14ac:dyDescent="0.3">
      <c r="A3288" s="19"/>
      <c r="B3288" s="36"/>
    </row>
    <row r="3289" spans="1:2" x14ac:dyDescent="0.3">
      <c r="A3289" s="19"/>
      <c r="B3289" s="36"/>
    </row>
    <row r="3290" spans="1:2" x14ac:dyDescent="0.3">
      <c r="A3290" s="19"/>
      <c r="B3290" s="36"/>
    </row>
    <row r="3291" spans="1:2" x14ac:dyDescent="0.3">
      <c r="A3291" s="19"/>
      <c r="B3291" s="36"/>
    </row>
    <row r="3292" spans="1:2" x14ac:dyDescent="0.3">
      <c r="A3292" s="19"/>
      <c r="B3292" s="36"/>
    </row>
    <row r="3293" spans="1:2" x14ac:dyDescent="0.3">
      <c r="A3293" s="19"/>
      <c r="B3293" s="36"/>
    </row>
    <row r="3294" spans="1:2" x14ac:dyDescent="0.3">
      <c r="A3294" s="19"/>
      <c r="B3294" s="36"/>
    </row>
    <row r="3295" spans="1:2" x14ac:dyDescent="0.3">
      <c r="A3295" s="19"/>
      <c r="B3295" s="36"/>
    </row>
    <row r="3296" spans="1:2" x14ac:dyDescent="0.3">
      <c r="A3296" s="19"/>
      <c r="B3296" s="36"/>
    </row>
    <row r="3297" spans="1:2" x14ac:dyDescent="0.3">
      <c r="A3297" s="19"/>
      <c r="B3297" s="36"/>
    </row>
    <row r="3298" spans="1:2" x14ac:dyDescent="0.3">
      <c r="A3298" s="19"/>
      <c r="B3298" s="36"/>
    </row>
    <row r="3299" spans="1:2" x14ac:dyDescent="0.3">
      <c r="A3299" s="19"/>
      <c r="B3299" s="36"/>
    </row>
    <row r="3300" spans="1:2" x14ac:dyDescent="0.3">
      <c r="A3300" s="19"/>
      <c r="B3300" s="36"/>
    </row>
    <row r="3301" spans="1:2" x14ac:dyDescent="0.3">
      <c r="A3301" s="19"/>
      <c r="B3301" s="36"/>
    </row>
    <row r="3302" spans="1:2" x14ac:dyDescent="0.3">
      <c r="A3302" s="19"/>
      <c r="B3302" s="36"/>
    </row>
    <row r="3303" spans="1:2" x14ac:dyDescent="0.3">
      <c r="A3303" s="19"/>
      <c r="B3303" s="36"/>
    </row>
    <row r="3304" spans="1:2" x14ac:dyDescent="0.3">
      <c r="A3304" s="19"/>
      <c r="B3304" s="36"/>
    </row>
    <row r="3305" spans="1:2" x14ac:dyDescent="0.3">
      <c r="A3305" s="19"/>
      <c r="B3305" s="36"/>
    </row>
    <row r="3306" spans="1:2" x14ac:dyDescent="0.3">
      <c r="A3306" s="19"/>
      <c r="B3306" s="36"/>
    </row>
    <row r="3307" spans="1:2" x14ac:dyDescent="0.3">
      <c r="A3307" s="19"/>
      <c r="B3307" s="36"/>
    </row>
    <row r="3308" spans="1:2" x14ac:dyDescent="0.3">
      <c r="A3308" s="19"/>
      <c r="B3308" s="36"/>
    </row>
    <row r="3309" spans="1:2" x14ac:dyDescent="0.3">
      <c r="A3309" s="19"/>
      <c r="B3309" s="36"/>
    </row>
    <row r="3310" spans="1:2" x14ac:dyDescent="0.3">
      <c r="A3310" s="19"/>
      <c r="B3310" s="36"/>
    </row>
    <row r="3311" spans="1:2" x14ac:dyDescent="0.3">
      <c r="A3311" s="19"/>
      <c r="B3311" s="36"/>
    </row>
    <row r="3312" spans="1:2" x14ac:dyDescent="0.3">
      <c r="A3312" s="19"/>
      <c r="B3312" s="36"/>
    </row>
    <row r="3313" spans="1:2" x14ac:dyDescent="0.3">
      <c r="A3313" s="19"/>
      <c r="B3313" s="36"/>
    </row>
    <row r="3314" spans="1:2" x14ac:dyDescent="0.3">
      <c r="A3314" s="19"/>
      <c r="B3314" s="36"/>
    </row>
    <row r="3315" spans="1:2" x14ac:dyDescent="0.3">
      <c r="A3315" s="19"/>
      <c r="B3315" s="36"/>
    </row>
    <row r="3316" spans="1:2" x14ac:dyDescent="0.3">
      <c r="A3316" s="19"/>
      <c r="B3316" s="36"/>
    </row>
    <row r="3317" spans="1:2" x14ac:dyDescent="0.3">
      <c r="A3317" s="19"/>
      <c r="B3317" s="36"/>
    </row>
    <row r="3318" spans="1:2" x14ac:dyDescent="0.3">
      <c r="A3318" s="19"/>
      <c r="B3318" s="36"/>
    </row>
    <row r="3319" spans="1:2" x14ac:dyDescent="0.3">
      <c r="A3319" s="19"/>
      <c r="B3319" s="36"/>
    </row>
    <row r="3320" spans="1:2" x14ac:dyDescent="0.3">
      <c r="A3320" s="19"/>
      <c r="B3320" s="36"/>
    </row>
    <row r="3321" spans="1:2" x14ac:dyDescent="0.3">
      <c r="A3321" s="19"/>
      <c r="B3321" s="36"/>
    </row>
    <row r="3322" spans="1:2" x14ac:dyDescent="0.3">
      <c r="A3322" s="19"/>
      <c r="B3322" s="36"/>
    </row>
    <row r="3323" spans="1:2" x14ac:dyDescent="0.3">
      <c r="A3323" s="19"/>
      <c r="B3323" s="36"/>
    </row>
    <row r="3324" spans="1:2" x14ac:dyDescent="0.3">
      <c r="A3324" s="19"/>
      <c r="B3324" s="36"/>
    </row>
    <row r="3325" spans="1:2" x14ac:dyDescent="0.3">
      <c r="A3325" s="19"/>
      <c r="B3325" s="36"/>
    </row>
    <row r="3326" spans="1:2" x14ac:dyDescent="0.3">
      <c r="A3326" s="19"/>
      <c r="B3326" s="36"/>
    </row>
    <row r="3327" spans="1:2" x14ac:dyDescent="0.3">
      <c r="A3327" s="19"/>
      <c r="B3327" s="36"/>
    </row>
    <row r="3328" spans="1:2" x14ac:dyDescent="0.3">
      <c r="A3328" s="19"/>
      <c r="B3328" s="36"/>
    </row>
    <row r="3329" spans="1:2" x14ac:dyDescent="0.3">
      <c r="A3329" s="19"/>
      <c r="B3329" s="36"/>
    </row>
    <row r="3330" spans="1:2" x14ac:dyDescent="0.3">
      <c r="A3330" s="19"/>
      <c r="B3330" s="36"/>
    </row>
    <row r="3331" spans="1:2" x14ac:dyDescent="0.3">
      <c r="A3331" s="19"/>
      <c r="B3331" s="36"/>
    </row>
    <row r="3332" spans="1:2" x14ac:dyDescent="0.3">
      <c r="A3332" s="19"/>
      <c r="B3332" s="36"/>
    </row>
    <row r="3333" spans="1:2" x14ac:dyDescent="0.3">
      <c r="A3333" s="19"/>
      <c r="B3333" s="36"/>
    </row>
    <row r="3334" spans="1:2" x14ac:dyDescent="0.3">
      <c r="A3334" s="19"/>
      <c r="B3334" s="36"/>
    </row>
    <row r="3335" spans="1:2" x14ac:dyDescent="0.3">
      <c r="A3335" s="19"/>
      <c r="B3335" s="36"/>
    </row>
    <row r="3336" spans="1:2" x14ac:dyDescent="0.3">
      <c r="A3336" s="19"/>
      <c r="B3336" s="36"/>
    </row>
    <row r="3337" spans="1:2" x14ac:dyDescent="0.3">
      <c r="A3337" s="19"/>
      <c r="B3337" s="36"/>
    </row>
    <row r="3338" spans="1:2" x14ac:dyDescent="0.3">
      <c r="A3338" s="19"/>
      <c r="B3338" s="36"/>
    </row>
    <row r="3339" spans="1:2" x14ac:dyDescent="0.3">
      <c r="A3339" s="19"/>
      <c r="B3339" s="36"/>
    </row>
    <row r="3340" spans="1:2" x14ac:dyDescent="0.3">
      <c r="A3340" s="19"/>
      <c r="B3340" s="36"/>
    </row>
    <row r="3341" spans="1:2" x14ac:dyDescent="0.3">
      <c r="A3341" s="19"/>
      <c r="B3341" s="36"/>
    </row>
    <row r="3342" spans="1:2" x14ac:dyDescent="0.3">
      <c r="A3342" s="19"/>
      <c r="B3342" s="36"/>
    </row>
    <row r="3343" spans="1:2" x14ac:dyDescent="0.3">
      <c r="A3343" s="19"/>
      <c r="B3343" s="36"/>
    </row>
    <row r="3344" spans="1:2" x14ac:dyDescent="0.3">
      <c r="A3344" s="19"/>
      <c r="B3344" s="36"/>
    </row>
    <row r="3345" spans="1:2" x14ac:dyDescent="0.3">
      <c r="A3345" s="19"/>
      <c r="B3345" s="36"/>
    </row>
    <row r="3346" spans="1:2" x14ac:dyDescent="0.3">
      <c r="A3346" s="19"/>
      <c r="B3346" s="36"/>
    </row>
    <row r="3347" spans="1:2" x14ac:dyDescent="0.3">
      <c r="A3347" s="19"/>
      <c r="B3347" s="36"/>
    </row>
    <row r="3348" spans="1:2" x14ac:dyDescent="0.3">
      <c r="A3348" s="19"/>
      <c r="B3348" s="36"/>
    </row>
    <row r="3349" spans="1:2" x14ac:dyDescent="0.3">
      <c r="A3349" s="19"/>
      <c r="B3349" s="36"/>
    </row>
    <row r="3350" spans="1:2" x14ac:dyDescent="0.3">
      <c r="A3350" s="19"/>
      <c r="B3350" s="36"/>
    </row>
    <row r="3351" spans="1:2" x14ac:dyDescent="0.3">
      <c r="A3351" s="19"/>
      <c r="B3351" s="36"/>
    </row>
    <row r="3352" spans="1:2" x14ac:dyDescent="0.3">
      <c r="A3352" s="19"/>
      <c r="B3352" s="36"/>
    </row>
    <row r="3353" spans="1:2" x14ac:dyDescent="0.3">
      <c r="A3353" s="19"/>
      <c r="B3353" s="36"/>
    </row>
    <row r="3354" spans="1:2" x14ac:dyDescent="0.3">
      <c r="A3354" s="19"/>
      <c r="B3354" s="36"/>
    </row>
    <row r="3355" spans="1:2" x14ac:dyDescent="0.3">
      <c r="A3355" s="19"/>
      <c r="B3355" s="36"/>
    </row>
    <row r="3356" spans="1:2" x14ac:dyDescent="0.3">
      <c r="A3356" s="19"/>
      <c r="B3356" s="36"/>
    </row>
    <row r="3357" spans="1:2" x14ac:dyDescent="0.3">
      <c r="A3357" s="19"/>
      <c r="B3357" s="36"/>
    </row>
    <row r="3358" spans="1:2" x14ac:dyDescent="0.3">
      <c r="A3358" s="19"/>
      <c r="B3358" s="36"/>
    </row>
    <row r="3359" spans="1:2" x14ac:dyDescent="0.3">
      <c r="A3359" s="19"/>
      <c r="B3359" s="36"/>
    </row>
    <row r="3360" spans="1:2" x14ac:dyDescent="0.3">
      <c r="A3360" s="19"/>
      <c r="B3360" s="36"/>
    </row>
    <row r="3361" spans="1:2" x14ac:dyDescent="0.3">
      <c r="A3361" s="19"/>
      <c r="B3361" s="36"/>
    </row>
    <row r="3362" spans="1:2" x14ac:dyDescent="0.3">
      <c r="A3362" s="19"/>
      <c r="B3362" s="36"/>
    </row>
    <row r="3363" spans="1:2" x14ac:dyDescent="0.3">
      <c r="A3363" s="19"/>
      <c r="B3363" s="36"/>
    </row>
    <row r="3364" spans="1:2" x14ac:dyDescent="0.3">
      <c r="A3364" s="19"/>
      <c r="B3364" s="36"/>
    </row>
    <row r="3365" spans="1:2" x14ac:dyDescent="0.3">
      <c r="A3365" s="19"/>
      <c r="B3365" s="36"/>
    </row>
    <row r="3366" spans="1:2" x14ac:dyDescent="0.3">
      <c r="A3366" s="19"/>
      <c r="B3366" s="36"/>
    </row>
    <row r="3367" spans="1:2" x14ac:dyDescent="0.3">
      <c r="A3367" s="19"/>
      <c r="B3367" s="36"/>
    </row>
    <row r="3368" spans="1:2" x14ac:dyDescent="0.3">
      <c r="A3368" s="19"/>
      <c r="B3368" s="36"/>
    </row>
    <row r="3369" spans="1:2" x14ac:dyDescent="0.3">
      <c r="A3369" s="19"/>
      <c r="B3369" s="36"/>
    </row>
    <row r="3370" spans="1:2" x14ac:dyDescent="0.3">
      <c r="A3370" s="19"/>
      <c r="B3370" s="36"/>
    </row>
    <row r="3371" spans="1:2" x14ac:dyDescent="0.3">
      <c r="A3371" s="19"/>
      <c r="B3371" s="36"/>
    </row>
    <row r="3372" spans="1:2" x14ac:dyDescent="0.3">
      <c r="A3372" s="19"/>
      <c r="B3372" s="36"/>
    </row>
    <row r="3373" spans="1:2" x14ac:dyDescent="0.3">
      <c r="A3373" s="19"/>
      <c r="B3373" s="36"/>
    </row>
    <row r="3374" spans="1:2" x14ac:dyDescent="0.3">
      <c r="A3374" s="19"/>
      <c r="B3374" s="36"/>
    </row>
    <row r="3375" spans="1:2" x14ac:dyDescent="0.3">
      <c r="A3375" s="19"/>
      <c r="B3375" s="36"/>
    </row>
    <row r="3376" spans="1:2" x14ac:dyDescent="0.3">
      <c r="A3376" s="19"/>
      <c r="B3376" s="36"/>
    </row>
    <row r="3377" spans="1:2" x14ac:dyDescent="0.3">
      <c r="A3377" s="19"/>
      <c r="B3377" s="36"/>
    </row>
    <row r="3378" spans="1:2" x14ac:dyDescent="0.3">
      <c r="A3378" s="19"/>
      <c r="B3378" s="36"/>
    </row>
    <row r="3379" spans="1:2" x14ac:dyDescent="0.3">
      <c r="A3379" s="19"/>
      <c r="B3379" s="36"/>
    </row>
    <row r="3380" spans="1:2" x14ac:dyDescent="0.3">
      <c r="A3380" s="19"/>
      <c r="B3380" s="36"/>
    </row>
    <row r="3381" spans="1:2" x14ac:dyDescent="0.3">
      <c r="A3381" s="19"/>
      <c r="B3381" s="36"/>
    </row>
    <row r="3382" spans="1:2" x14ac:dyDescent="0.3">
      <c r="A3382" s="19"/>
      <c r="B3382" s="36"/>
    </row>
    <row r="3383" spans="1:2" x14ac:dyDescent="0.3">
      <c r="A3383" s="19"/>
      <c r="B3383" s="36"/>
    </row>
    <row r="3384" spans="1:2" x14ac:dyDescent="0.3">
      <c r="A3384" s="19"/>
      <c r="B3384" s="36"/>
    </row>
    <row r="3385" spans="1:2" x14ac:dyDescent="0.3">
      <c r="A3385" s="19"/>
      <c r="B3385" s="36"/>
    </row>
    <row r="3386" spans="1:2" x14ac:dyDescent="0.3">
      <c r="A3386" s="19"/>
      <c r="B3386" s="36"/>
    </row>
    <row r="3387" spans="1:2" x14ac:dyDescent="0.3">
      <c r="A3387" s="19"/>
      <c r="B3387" s="36"/>
    </row>
    <row r="3388" spans="1:2" x14ac:dyDescent="0.3">
      <c r="A3388" s="19"/>
      <c r="B3388" s="36"/>
    </row>
    <row r="3389" spans="1:2" x14ac:dyDescent="0.3">
      <c r="A3389" s="19"/>
      <c r="B3389" s="36"/>
    </row>
    <row r="3390" spans="1:2" x14ac:dyDescent="0.3">
      <c r="A3390" s="19"/>
      <c r="B3390" s="36"/>
    </row>
    <row r="3391" spans="1:2" x14ac:dyDescent="0.3">
      <c r="A3391" s="19"/>
      <c r="B3391" s="36"/>
    </row>
    <row r="3392" spans="1:2" x14ac:dyDescent="0.3">
      <c r="A3392" s="19"/>
      <c r="B3392" s="36"/>
    </row>
    <row r="3393" spans="1:2" x14ac:dyDescent="0.3">
      <c r="A3393" s="19"/>
      <c r="B3393" s="36"/>
    </row>
    <row r="3394" spans="1:2" x14ac:dyDescent="0.3">
      <c r="A3394" s="19"/>
      <c r="B3394" s="36"/>
    </row>
    <row r="3395" spans="1:2" x14ac:dyDescent="0.3">
      <c r="A3395" s="19"/>
      <c r="B3395" s="36"/>
    </row>
    <row r="3396" spans="1:2" x14ac:dyDescent="0.3">
      <c r="A3396" s="19"/>
      <c r="B3396" s="36"/>
    </row>
    <row r="3397" spans="1:2" x14ac:dyDescent="0.3">
      <c r="A3397" s="19"/>
      <c r="B3397" s="36"/>
    </row>
    <row r="3398" spans="1:2" x14ac:dyDescent="0.3">
      <c r="A3398" s="19"/>
      <c r="B3398" s="36"/>
    </row>
    <row r="3399" spans="1:2" x14ac:dyDescent="0.3">
      <c r="A3399" s="19"/>
      <c r="B3399" s="36"/>
    </row>
    <row r="3400" spans="1:2" x14ac:dyDescent="0.3">
      <c r="A3400" s="19"/>
      <c r="B3400" s="36"/>
    </row>
    <row r="3401" spans="1:2" x14ac:dyDescent="0.3">
      <c r="A3401" s="19"/>
      <c r="B3401" s="36"/>
    </row>
    <row r="3402" spans="1:2" x14ac:dyDescent="0.3">
      <c r="A3402" s="19"/>
      <c r="B3402" s="36"/>
    </row>
    <row r="3403" spans="1:2" x14ac:dyDescent="0.3">
      <c r="A3403" s="19"/>
      <c r="B3403" s="36"/>
    </row>
    <row r="3404" spans="1:2" x14ac:dyDescent="0.3">
      <c r="A3404" s="19"/>
      <c r="B3404" s="36"/>
    </row>
    <row r="3405" spans="1:2" x14ac:dyDescent="0.3">
      <c r="A3405" s="19"/>
      <c r="B3405" s="36"/>
    </row>
    <row r="3406" spans="1:2" x14ac:dyDescent="0.3">
      <c r="A3406" s="19"/>
      <c r="B3406" s="36"/>
    </row>
    <row r="3407" spans="1:2" x14ac:dyDescent="0.3">
      <c r="A3407" s="19"/>
      <c r="B3407" s="36"/>
    </row>
    <row r="3408" spans="1:2" x14ac:dyDescent="0.3">
      <c r="A3408" s="19"/>
      <c r="B3408" s="36"/>
    </row>
    <row r="3409" spans="1:2" x14ac:dyDescent="0.3">
      <c r="A3409" s="19"/>
      <c r="B3409" s="36"/>
    </row>
    <row r="3410" spans="1:2" x14ac:dyDescent="0.3">
      <c r="A3410" s="19"/>
      <c r="B3410" s="36"/>
    </row>
    <row r="3411" spans="1:2" x14ac:dyDescent="0.3">
      <c r="A3411" s="19"/>
      <c r="B3411" s="36"/>
    </row>
    <row r="3412" spans="1:2" x14ac:dyDescent="0.3">
      <c r="A3412" s="19"/>
      <c r="B3412" s="36"/>
    </row>
    <row r="3413" spans="1:2" x14ac:dyDescent="0.3">
      <c r="A3413" s="19"/>
      <c r="B3413" s="36"/>
    </row>
    <row r="3414" spans="1:2" x14ac:dyDescent="0.3">
      <c r="A3414" s="19"/>
      <c r="B3414" s="36"/>
    </row>
    <row r="3415" spans="1:2" x14ac:dyDescent="0.3">
      <c r="A3415" s="19"/>
      <c r="B3415" s="36"/>
    </row>
    <row r="3416" spans="1:2" x14ac:dyDescent="0.3">
      <c r="A3416" s="19"/>
      <c r="B3416" s="36"/>
    </row>
    <row r="3417" spans="1:2" x14ac:dyDescent="0.3">
      <c r="A3417" s="19"/>
      <c r="B3417" s="36"/>
    </row>
    <row r="3418" spans="1:2" x14ac:dyDescent="0.3">
      <c r="A3418" s="19"/>
      <c r="B3418" s="36"/>
    </row>
    <row r="3419" spans="1:2" x14ac:dyDescent="0.3">
      <c r="A3419" s="19"/>
      <c r="B3419" s="36"/>
    </row>
    <row r="3420" spans="1:2" x14ac:dyDescent="0.3">
      <c r="A3420" s="19"/>
      <c r="B3420" s="36"/>
    </row>
    <row r="3421" spans="1:2" x14ac:dyDescent="0.3">
      <c r="A3421" s="19"/>
      <c r="B3421" s="36"/>
    </row>
    <row r="3422" spans="1:2" x14ac:dyDescent="0.3">
      <c r="A3422" s="19"/>
      <c r="B3422" s="36"/>
    </row>
    <row r="3423" spans="1:2" x14ac:dyDescent="0.3">
      <c r="A3423" s="19"/>
      <c r="B3423" s="36"/>
    </row>
    <row r="3424" spans="1:2" x14ac:dyDescent="0.3">
      <c r="A3424" s="19"/>
      <c r="B3424" s="36"/>
    </row>
    <row r="3425" spans="1:2" x14ac:dyDescent="0.3">
      <c r="A3425" s="19"/>
      <c r="B3425" s="36"/>
    </row>
    <row r="3426" spans="1:2" x14ac:dyDescent="0.3">
      <c r="A3426" s="19"/>
      <c r="B3426" s="36"/>
    </row>
    <row r="3427" spans="1:2" x14ac:dyDescent="0.3">
      <c r="A3427" s="19"/>
      <c r="B3427" s="36"/>
    </row>
    <row r="3428" spans="1:2" x14ac:dyDescent="0.3">
      <c r="A3428" s="19"/>
      <c r="B3428" s="36"/>
    </row>
    <row r="3429" spans="1:2" x14ac:dyDescent="0.3">
      <c r="A3429" s="19"/>
      <c r="B3429" s="36"/>
    </row>
    <row r="3430" spans="1:2" x14ac:dyDescent="0.3">
      <c r="A3430" s="19"/>
      <c r="B3430" s="36"/>
    </row>
    <row r="3431" spans="1:2" x14ac:dyDescent="0.3">
      <c r="A3431" s="19"/>
      <c r="B3431" s="36"/>
    </row>
    <row r="3432" spans="1:2" x14ac:dyDescent="0.3">
      <c r="A3432" s="19"/>
      <c r="B3432" s="36"/>
    </row>
    <row r="3433" spans="1:2" x14ac:dyDescent="0.3">
      <c r="A3433" s="19"/>
      <c r="B3433" s="36"/>
    </row>
    <row r="3434" spans="1:2" x14ac:dyDescent="0.3">
      <c r="A3434" s="19"/>
      <c r="B3434" s="36"/>
    </row>
    <row r="3435" spans="1:2" x14ac:dyDescent="0.3">
      <c r="A3435" s="19"/>
      <c r="B3435" s="36"/>
    </row>
    <row r="3436" spans="1:2" x14ac:dyDescent="0.3">
      <c r="A3436" s="19"/>
      <c r="B3436" s="36"/>
    </row>
    <row r="3437" spans="1:2" x14ac:dyDescent="0.3">
      <c r="A3437" s="19"/>
      <c r="B3437" s="36"/>
    </row>
    <row r="3438" spans="1:2" x14ac:dyDescent="0.3">
      <c r="A3438" s="19"/>
      <c r="B3438" s="36"/>
    </row>
    <row r="3439" spans="1:2" x14ac:dyDescent="0.3">
      <c r="A3439" s="19"/>
      <c r="B3439" s="36"/>
    </row>
    <row r="3440" spans="1:2" x14ac:dyDescent="0.3">
      <c r="A3440" s="19"/>
      <c r="B3440" s="36"/>
    </row>
    <row r="3441" spans="1:2" x14ac:dyDescent="0.3">
      <c r="A3441" s="19"/>
      <c r="B3441" s="36"/>
    </row>
    <row r="3442" spans="1:2" x14ac:dyDescent="0.3">
      <c r="A3442" s="19"/>
      <c r="B3442" s="36"/>
    </row>
    <row r="3443" spans="1:2" x14ac:dyDescent="0.3">
      <c r="A3443" s="19"/>
      <c r="B3443" s="36"/>
    </row>
    <row r="3444" spans="1:2" x14ac:dyDescent="0.3">
      <c r="A3444" s="19"/>
      <c r="B3444" s="36"/>
    </row>
    <row r="3445" spans="1:2" x14ac:dyDescent="0.3">
      <c r="A3445" s="19"/>
      <c r="B3445" s="36"/>
    </row>
    <row r="3446" spans="1:2" x14ac:dyDescent="0.3">
      <c r="A3446" s="19"/>
      <c r="B3446" s="36"/>
    </row>
    <row r="3447" spans="1:2" x14ac:dyDescent="0.3">
      <c r="A3447" s="19"/>
      <c r="B3447" s="36"/>
    </row>
    <row r="3448" spans="1:2" x14ac:dyDescent="0.3">
      <c r="A3448" s="19"/>
      <c r="B3448" s="36"/>
    </row>
    <row r="3449" spans="1:2" x14ac:dyDescent="0.3">
      <c r="A3449" s="19"/>
      <c r="B3449" s="36"/>
    </row>
    <row r="3450" spans="1:2" x14ac:dyDescent="0.3">
      <c r="A3450" s="19"/>
      <c r="B3450" s="36"/>
    </row>
    <row r="3451" spans="1:2" x14ac:dyDescent="0.3">
      <c r="A3451" s="19"/>
      <c r="B3451" s="36"/>
    </row>
    <row r="3452" spans="1:2" x14ac:dyDescent="0.3">
      <c r="A3452" s="19"/>
      <c r="B3452" s="36"/>
    </row>
    <row r="3453" spans="1:2" x14ac:dyDescent="0.3">
      <c r="A3453" s="19"/>
      <c r="B3453" s="36"/>
    </row>
    <row r="3454" spans="1:2" x14ac:dyDescent="0.3">
      <c r="A3454" s="19"/>
      <c r="B3454" s="36"/>
    </row>
    <row r="3455" spans="1:2" x14ac:dyDescent="0.3">
      <c r="A3455" s="19"/>
      <c r="B3455" s="36"/>
    </row>
    <row r="3456" spans="1:2" x14ac:dyDescent="0.3">
      <c r="A3456" s="19"/>
      <c r="B3456" s="36"/>
    </row>
    <row r="3457" spans="1:2" x14ac:dyDescent="0.3">
      <c r="A3457" s="19"/>
      <c r="B3457" s="36"/>
    </row>
    <row r="3458" spans="1:2" x14ac:dyDescent="0.3">
      <c r="A3458" s="19"/>
      <c r="B3458" s="36"/>
    </row>
    <row r="3459" spans="1:2" x14ac:dyDescent="0.3">
      <c r="A3459" s="19"/>
      <c r="B3459" s="36"/>
    </row>
    <row r="3460" spans="1:2" x14ac:dyDescent="0.3">
      <c r="A3460" s="19"/>
      <c r="B3460" s="36"/>
    </row>
    <row r="3461" spans="1:2" x14ac:dyDescent="0.3">
      <c r="A3461" s="19"/>
      <c r="B3461" s="36"/>
    </row>
    <row r="3462" spans="1:2" x14ac:dyDescent="0.3">
      <c r="A3462" s="19"/>
      <c r="B3462" s="36"/>
    </row>
    <row r="3463" spans="1:2" x14ac:dyDescent="0.3">
      <c r="A3463" s="19"/>
      <c r="B3463" s="36"/>
    </row>
    <row r="3464" spans="1:2" x14ac:dyDescent="0.3">
      <c r="A3464" s="19"/>
      <c r="B3464" s="36"/>
    </row>
    <row r="3465" spans="1:2" x14ac:dyDescent="0.3">
      <c r="A3465" s="19"/>
      <c r="B3465" s="36"/>
    </row>
    <row r="3466" spans="1:2" x14ac:dyDescent="0.3">
      <c r="A3466" s="19"/>
      <c r="B3466" s="36"/>
    </row>
    <row r="3467" spans="1:2" x14ac:dyDescent="0.3">
      <c r="A3467" s="19"/>
      <c r="B3467" s="36"/>
    </row>
    <row r="3468" spans="1:2" x14ac:dyDescent="0.3">
      <c r="A3468" s="19"/>
      <c r="B3468" s="36"/>
    </row>
    <row r="3469" spans="1:2" x14ac:dyDescent="0.3">
      <c r="A3469" s="19"/>
      <c r="B3469" s="36"/>
    </row>
    <row r="3470" spans="1:2" x14ac:dyDescent="0.3">
      <c r="A3470" s="19"/>
      <c r="B3470" s="36"/>
    </row>
    <row r="3471" spans="1:2" x14ac:dyDescent="0.3">
      <c r="A3471" s="19"/>
      <c r="B3471" s="36"/>
    </row>
    <row r="3472" spans="1:2" x14ac:dyDescent="0.3">
      <c r="A3472" s="19"/>
      <c r="B3472" s="36"/>
    </row>
    <row r="3473" spans="1:2" x14ac:dyDescent="0.3">
      <c r="A3473" s="19"/>
      <c r="B3473" s="36"/>
    </row>
    <row r="3474" spans="1:2" x14ac:dyDescent="0.3">
      <c r="A3474" s="19"/>
      <c r="B3474" s="36"/>
    </row>
    <row r="3475" spans="1:2" x14ac:dyDescent="0.3">
      <c r="A3475" s="19"/>
      <c r="B3475" s="36"/>
    </row>
    <row r="3476" spans="1:2" x14ac:dyDescent="0.3">
      <c r="A3476" s="19"/>
      <c r="B3476" s="36"/>
    </row>
    <row r="3477" spans="1:2" x14ac:dyDescent="0.3">
      <c r="A3477" s="19"/>
      <c r="B3477" s="36"/>
    </row>
    <row r="3478" spans="1:2" x14ac:dyDescent="0.3">
      <c r="A3478" s="19"/>
      <c r="B3478" s="36"/>
    </row>
    <row r="3479" spans="1:2" x14ac:dyDescent="0.3">
      <c r="A3479" s="19"/>
      <c r="B3479" s="36"/>
    </row>
    <row r="3480" spans="1:2" x14ac:dyDescent="0.3">
      <c r="A3480" s="19"/>
      <c r="B3480" s="36"/>
    </row>
    <row r="3481" spans="1:2" x14ac:dyDescent="0.3">
      <c r="A3481" s="19"/>
      <c r="B3481" s="36"/>
    </row>
    <row r="3482" spans="1:2" x14ac:dyDescent="0.3">
      <c r="A3482" s="19"/>
      <c r="B3482" s="36"/>
    </row>
    <row r="3483" spans="1:2" x14ac:dyDescent="0.3">
      <c r="A3483" s="19"/>
      <c r="B3483" s="36"/>
    </row>
    <row r="3484" spans="1:2" x14ac:dyDescent="0.3">
      <c r="A3484" s="19"/>
      <c r="B3484" s="36"/>
    </row>
    <row r="3485" spans="1:2" x14ac:dyDescent="0.3">
      <c r="A3485" s="19"/>
      <c r="B3485" s="36"/>
    </row>
    <row r="3486" spans="1:2" x14ac:dyDescent="0.3">
      <c r="A3486" s="19"/>
      <c r="B3486" s="36"/>
    </row>
    <row r="3487" spans="1:2" x14ac:dyDescent="0.3">
      <c r="A3487" s="19"/>
      <c r="B3487" s="36"/>
    </row>
    <row r="3488" spans="1:2" x14ac:dyDescent="0.3">
      <c r="A3488" s="19"/>
      <c r="B3488" s="36"/>
    </row>
    <row r="3489" spans="1:2" x14ac:dyDescent="0.3">
      <c r="A3489" s="19"/>
      <c r="B3489" s="36"/>
    </row>
    <row r="3490" spans="1:2" x14ac:dyDescent="0.3">
      <c r="A3490" s="19"/>
      <c r="B3490" s="36"/>
    </row>
    <row r="3491" spans="1:2" x14ac:dyDescent="0.3">
      <c r="A3491" s="19"/>
      <c r="B3491" s="36"/>
    </row>
    <row r="3492" spans="1:2" x14ac:dyDescent="0.3">
      <c r="A3492" s="19"/>
      <c r="B3492" s="36"/>
    </row>
    <row r="3493" spans="1:2" x14ac:dyDescent="0.3">
      <c r="A3493" s="19"/>
      <c r="B3493" s="36"/>
    </row>
    <row r="3494" spans="1:2" x14ac:dyDescent="0.3">
      <c r="A3494" s="19"/>
      <c r="B3494" s="36"/>
    </row>
    <row r="3495" spans="1:2" x14ac:dyDescent="0.3">
      <c r="A3495" s="19"/>
      <c r="B3495" s="36"/>
    </row>
    <row r="3496" spans="1:2" x14ac:dyDescent="0.3">
      <c r="A3496" s="19"/>
      <c r="B3496" s="36"/>
    </row>
    <row r="3497" spans="1:2" x14ac:dyDescent="0.3">
      <c r="A3497" s="19"/>
      <c r="B3497" s="36"/>
    </row>
    <row r="3498" spans="1:2" x14ac:dyDescent="0.3">
      <c r="A3498" s="19"/>
      <c r="B3498" s="36"/>
    </row>
    <row r="3499" spans="1:2" x14ac:dyDescent="0.3">
      <c r="A3499" s="19"/>
      <c r="B3499" s="36"/>
    </row>
    <row r="3500" spans="1:2" x14ac:dyDescent="0.3">
      <c r="A3500" s="19"/>
      <c r="B3500" s="36"/>
    </row>
    <row r="3501" spans="1:2" x14ac:dyDescent="0.3">
      <c r="A3501" s="19"/>
      <c r="B3501" s="36"/>
    </row>
    <row r="3502" spans="1:2" x14ac:dyDescent="0.3">
      <c r="A3502" s="19"/>
      <c r="B3502" s="36"/>
    </row>
    <row r="3503" spans="1:2" x14ac:dyDescent="0.3">
      <c r="A3503" s="19"/>
      <c r="B3503" s="36"/>
    </row>
    <row r="3504" spans="1:2" x14ac:dyDescent="0.3">
      <c r="A3504" s="19"/>
      <c r="B3504" s="36"/>
    </row>
    <row r="3505" spans="1:2" x14ac:dyDescent="0.3">
      <c r="A3505" s="19"/>
      <c r="B3505" s="36"/>
    </row>
    <row r="3506" spans="1:2" x14ac:dyDescent="0.3">
      <c r="A3506" s="19"/>
      <c r="B3506" s="36"/>
    </row>
    <row r="3507" spans="1:2" x14ac:dyDescent="0.3">
      <c r="A3507" s="19"/>
      <c r="B3507" s="36"/>
    </row>
    <row r="3508" spans="1:2" x14ac:dyDescent="0.3">
      <c r="A3508" s="19"/>
      <c r="B3508" s="36"/>
    </row>
    <row r="3509" spans="1:2" x14ac:dyDescent="0.3">
      <c r="A3509" s="19"/>
      <c r="B3509" s="36"/>
    </row>
    <row r="3510" spans="1:2" x14ac:dyDescent="0.3">
      <c r="A3510" s="19"/>
      <c r="B3510" s="36"/>
    </row>
    <row r="3511" spans="1:2" x14ac:dyDescent="0.3">
      <c r="A3511" s="19"/>
      <c r="B3511" s="36"/>
    </row>
    <row r="3512" spans="1:2" x14ac:dyDescent="0.3">
      <c r="A3512" s="19"/>
      <c r="B3512" s="36"/>
    </row>
    <row r="3513" spans="1:2" x14ac:dyDescent="0.3">
      <c r="A3513" s="19"/>
      <c r="B3513" s="36"/>
    </row>
    <row r="3514" spans="1:2" x14ac:dyDescent="0.3">
      <c r="A3514" s="19"/>
      <c r="B3514" s="36"/>
    </row>
    <row r="3515" spans="1:2" x14ac:dyDescent="0.3">
      <c r="A3515" s="19"/>
      <c r="B3515" s="36"/>
    </row>
    <row r="3516" spans="1:2" x14ac:dyDescent="0.3">
      <c r="A3516" s="19"/>
      <c r="B3516" s="36"/>
    </row>
    <row r="3517" spans="1:2" x14ac:dyDescent="0.3">
      <c r="A3517" s="19"/>
      <c r="B3517" s="36"/>
    </row>
    <row r="3518" spans="1:2" x14ac:dyDescent="0.3">
      <c r="A3518" s="19"/>
      <c r="B3518" s="36"/>
    </row>
    <row r="3519" spans="1:2" x14ac:dyDescent="0.3">
      <c r="A3519" s="19"/>
      <c r="B3519" s="36"/>
    </row>
    <row r="3520" spans="1:2" x14ac:dyDescent="0.3">
      <c r="A3520" s="19"/>
      <c r="B3520" s="36"/>
    </row>
    <row r="3521" spans="1:2" x14ac:dyDescent="0.3">
      <c r="A3521" s="19"/>
      <c r="B3521" s="36"/>
    </row>
    <row r="3522" spans="1:2" x14ac:dyDescent="0.3">
      <c r="A3522" s="19"/>
      <c r="B3522" s="36"/>
    </row>
    <row r="3523" spans="1:2" x14ac:dyDescent="0.3">
      <c r="A3523" s="19"/>
      <c r="B3523" s="36"/>
    </row>
    <row r="3524" spans="1:2" x14ac:dyDescent="0.3">
      <c r="A3524" s="19"/>
      <c r="B3524" s="36"/>
    </row>
    <row r="3525" spans="1:2" x14ac:dyDescent="0.3">
      <c r="A3525" s="19"/>
      <c r="B3525" s="36"/>
    </row>
    <row r="3526" spans="1:2" x14ac:dyDescent="0.3">
      <c r="A3526" s="19"/>
      <c r="B3526" s="36"/>
    </row>
    <row r="3527" spans="1:2" x14ac:dyDescent="0.3">
      <c r="A3527" s="19"/>
      <c r="B3527" s="36"/>
    </row>
    <row r="3528" spans="1:2" x14ac:dyDescent="0.3">
      <c r="A3528" s="19"/>
      <c r="B3528" s="36"/>
    </row>
    <row r="3529" spans="1:2" x14ac:dyDescent="0.3">
      <c r="A3529" s="19"/>
      <c r="B3529" s="36"/>
    </row>
    <row r="3530" spans="1:2" x14ac:dyDescent="0.3">
      <c r="A3530" s="19"/>
      <c r="B3530" s="36"/>
    </row>
    <row r="3531" spans="1:2" x14ac:dyDescent="0.3">
      <c r="A3531" s="19"/>
      <c r="B3531" s="36"/>
    </row>
    <row r="3532" spans="1:2" x14ac:dyDescent="0.3">
      <c r="A3532" s="19"/>
      <c r="B3532" s="36"/>
    </row>
    <row r="3533" spans="1:2" x14ac:dyDescent="0.3">
      <c r="A3533" s="19"/>
      <c r="B3533" s="36"/>
    </row>
    <row r="3534" spans="1:2" x14ac:dyDescent="0.3">
      <c r="A3534" s="19"/>
      <c r="B3534" s="36"/>
    </row>
    <row r="3535" spans="1:2" x14ac:dyDescent="0.3">
      <c r="A3535" s="19"/>
      <c r="B3535" s="36"/>
    </row>
    <row r="3536" spans="1:2" x14ac:dyDescent="0.3">
      <c r="A3536" s="19"/>
      <c r="B3536" s="36"/>
    </row>
    <row r="3537" spans="1:2" x14ac:dyDescent="0.3">
      <c r="A3537" s="19"/>
      <c r="B3537" s="36"/>
    </row>
    <row r="3538" spans="1:2" x14ac:dyDescent="0.3">
      <c r="A3538" s="19"/>
      <c r="B3538" s="36"/>
    </row>
    <row r="3539" spans="1:2" x14ac:dyDescent="0.3">
      <c r="A3539" s="19"/>
      <c r="B3539" s="36"/>
    </row>
    <row r="3540" spans="1:2" x14ac:dyDescent="0.3">
      <c r="A3540" s="19"/>
      <c r="B3540" s="36"/>
    </row>
    <row r="3541" spans="1:2" x14ac:dyDescent="0.3">
      <c r="A3541" s="19"/>
      <c r="B3541" s="36"/>
    </row>
    <row r="3542" spans="1:2" x14ac:dyDescent="0.3">
      <c r="A3542" s="19"/>
      <c r="B3542" s="36"/>
    </row>
    <row r="3543" spans="1:2" x14ac:dyDescent="0.3">
      <c r="A3543" s="19"/>
      <c r="B3543" s="36"/>
    </row>
    <row r="3544" spans="1:2" x14ac:dyDescent="0.3">
      <c r="A3544" s="19"/>
      <c r="B3544" s="36"/>
    </row>
    <row r="3545" spans="1:2" x14ac:dyDescent="0.3">
      <c r="A3545" s="19"/>
      <c r="B3545" s="36"/>
    </row>
    <row r="3546" spans="1:2" x14ac:dyDescent="0.3">
      <c r="A3546" s="19"/>
      <c r="B3546" s="36"/>
    </row>
    <row r="3547" spans="1:2" x14ac:dyDescent="0.3">
      <c r="A3547" s="19"/>
      <c r="B3547" s="36"/>
    </row>
    <row r="3548" spans="1:2" x14ac:dyDescent="0.3">
      <c r="A3548" s="19"/>
      <c r="B3548" s="36"/>
    </row>
    <row r="3549" spans="1:2" x14ac:dyDescent="0.3">
      <c r="A3549" s="19"/>
      <c r="B3549" s="36"/>
    </row>
    <row r="3550" spans="1:2" x14ac:dyDescent="0.3">
      <c r="A3550" s="19"/>
      <c r="B3550" s="36"/>
    </row>
    <row r="3551" spans="1:2" x14ac:dyDescent="0.3">
      <c r="A3551" s="19"/>
      <c r="B3551" s="36"/>
    </row>
    <row r="3552" spans="1:2" x14ac:dyDescent="0.3">
      <c r="A3552" s="19"/>
      <c r="B3552" s="36"/>
    </row>
    <row r="3553" spans="1:2" x14ac:dyDescent="0.3">
      <c r="A3553" s="19"/>
      <c r="B3553" s="36"/>
    </row>
    <row r="3554" spans="1:2" x14ac:dyDescent="0.3">
      <c r="A3554" s="19"/>
      <c r="B3554" s="36"/>
    </row>
    <row r="3555" spans="1:2" x14ac:dyDescent="0.3">
      <c r="A3555" s="19"/>
      <c r="B3555" s="36"/>
    </row>
    <row r="3556" spans="1:2" x14ac:dyDescent="0.3">
      <c r="A3556" s="19"/>
      <c r="B3556" s="36"/>
    </row>
    <row r="3557" spans="1:2" x14ac:dyDescent="0.3">
      <c r="A3557" s="19"/>
      <c r="B3557" s="36"/>
    </row>
    <row r="3558" spans="1:2" x14ac:dyDescent="0.3">
      <c r="A3558" s="19"/>
      <c r="B3558" s="36"/>
    </row>
    <row r="3559" spans="1:2" x14ac:dyDescent="0.3">
      <c r="A3559" s="19"/>
      <c r="B3559" s="36"/>
    </row>
    <row r="3560" spans="1:2" x14ac:dyDescent="0.3">
      <c r="A3560" s="19"/>
      <c r="B3560" s="36"/>
    </row>
    <row r="3561" spans="1:2" x14ac:dyDescent="0.3">
      <c r="A3561" s="19"/>
      <c r="B3561" s="36"/>
    </row>
    <row r="3562" spans="1:2" x14ac:dyDescent="0.3">
      <c r="A3562" s="19"/>
      <c r="B3562" s="36"/>
    </row>
    <row r="3563" spans="1:2" x14ac:dyDescent="0.3">
      <c r="A3563" s="19"/>
      <c r="B3563" s="36"/>
    </row>
    <row r="3564" spans="1:2" x14ac:dyDescent="0.3">
      <c r="A3564" s="19"/>
      <c r="B3564" s="36"/>
    </row>
    <row r="3565" spans="1:2" x14ac:dyDescent="0.3">
      <c r="A3565" s="19"/>
      <c r="B3565" s="36"/>
    </row>
    <row r="3566" spans="1:2" x14ac:dyDescent="0.3">
      <c r="A3566" s="19"/>
      <c r="B3566" s="36"/>
    </row>
    <row r="3567" spans="1:2" x14ac:dyDescent="0.3">
      <c r="A3567" s="19"/>
      <c r="B3567" s="36"/>
    </row>
    <row r="3568" spans="1:2" x14ac:dyDescent="0.3">
      <c r="A3568" s="19"/>
      <c r="B3568" s="36"/>
    </row>
    <row r="3569" spans="1:2" x14ac:dyDescent="0.3">
      <c r="A3569" s="19"/>
      <c r="B3569" s="36"/>
    </row>
    <row r="3570" spans="1:2" x14ac:dyDescent="0.3">
      <c r="A3570" s="19"/>
      <c r="B3570" s="36"/>
    </row>
    <row r="3571" spans="1:2" x14ac:dyDescent="0.3">
      <c r="A3571" s="19"/>
      <c r="B3571" s="36"/>
    </row>
    <row r="3572" spans="1:2" x14ac:dyDescent="0.3">
      <c r="A3572" s="19"/>
      <c r="B3572" s="36"/>
    </row>
    <row r="3573" spans="1:2" x14ac:dyDescent="0.3">
      <c r="A3573" s="19"/>
      <c r="B3573" s="36"/>
    </row>
    <row r="3574" spans="1:2" x14ac:dyDescent="0.3">
      <c r="A3574" s="19"/>
      <c r="B3574" s="36"/>
    </row>
    <row r="3575" spans="1:2" x14ac:dyDescent="0.3">
      <c r="A3575" s="19"/>
      <c r="B3575" s="36"/>
    </row>
    <row r="3576" spans="1:2" x14ac:dyDescent="0.3">
      <c r="A3576" s="19"/>
      <c r="B3576" s="36"/>
    </row>
    <row r="3577" spans="1:2" x14ac:dyDescent="0.3">
      <c r="A3577" s="19"/>
      <c r="B3577" s="36"/>
    </row>
    <row r="3578" spans="1:2" x14ac:dyDescent="0.3">
      <c r="A3578" s="19"/>
      <c r="B3578" s="36"/>
    </row>
    <row r="3579" spans="1:2" x14ac:dyDescent="0.3">
      <c r="A3579" s="19"/>
      <c r="B3579" s="36"/>
    </row>
    <row r="3580" spans="1:2" x14ac:dyDescent="0.3">
      <c r="A3580" s="19"/>
      <c r="B3580" s="36"/>
    </row>
    <row r="3581" spans="1:2" x14ac:dyDescent="0.3">
      <c r="A3581" s="19"/>
      <c r="B3581" s="36"/>
    </row>
    <row r="3582" spans="1:2" x14ac:dyDescent="0.3">
      <c r="A3582" s="19"/>
      <c r="B3582" s="36"/>
    </row>
    <row r="3583" spans="1:2" x14ac:dyDescent="0.3">
      <c r="A3583" s="19"/>
      <c r="B3583" s="36"/>
    </row>
    <row r="3584" spans="1:2" x14ac:dyDescent="0.3">
      <c r="A3584" s="19"/>
      <c r="B3584" s="36"/>
    </row>
    <row r="3585" spans="1:2" x14ac:dyDescent="0.3">
      <c r="A3585" s="19"/>
      <c r="B3585" s="36"/>
    </row>
    <row r="3586" spans="1:2" x14ac:dyDescent="0.3">
      <c r="A3586" s="19"/>
      <c r="B3586" s="36"/>
    </row>
    <row r="3587" spans="1:2" x14ac:dyDescent="0.3">
      <c r="A3587" s="19"/>
      <c r="B3587" s="36"/>
    </row>
    <row r="3588" spans="1:2" x14ac:dyDescent="0.3">
      <c r="A3588" s="19"/>
      <c r="B3588" s="36"/>
    </row>
    <row r="3589" spans="1:2" x14ac:dyDescent="0.3">
      <c r="A3589" s="19"/>
      <c r="B3589" s="36"/>
    </row>
    <row r="3590" spans="1:2" x14ac:dyDescent="0.3">
      <c r="A3590" s="19"/>
      <c r="B3590" s="36"/>
    </row>
    <row r="3591" spans="1:2" x14ac:dyDescent="0.3">
      <c r="A3591" s="19"/>
      <c r="B3591" s="36"/>
    </row>
    <row r="3592" spans="1:2" x14ac:dyDescent="0.3">
      <c r="A3592" s="19"/>
      <c r="B3592" s="36"/>
    </row>
    <row r="3593" spans="1:2" x14ac:dyDescent="0.3">
      <c r="A3593" s="19"/>
      <c r="B3593" s="36"/>
    </row>
    <row r="3594" spans="1:2" x14ac:dyDescent="0.3">
      <c r="A3594" s="19"/>
      <c r="B3594" s="36"/>
    </row>
    <row r="3595" spans="1:2" x14ac:dyDescent="0.3">
      <c r="A3595" s="19"/>
      <c r="B3595" s="36"/>
    </row>
    <row r="3596" spans="1:2" x14ac:dyDescent="0.3">
      <c r="A3596" s="19"/>
      <c r="B3596" s="36"/>
    </row>
    <row r="3597" spans="1:2" x14ac:dyDescent="0.3">
      <c r="A3597" s="19"/>
      <c r="B3597" s="36"/>
    </row>
    <row r="3598" spans="1:2" x14ac:dyDescent="0.3">
      <c r="A3598" s="19"/>
      <c r="B3598" s="36"/>
    </row>
    <row r="3599" spans="1:2" x14ac:dyDescent="0.3">
      <c r="A3599" s="19"/>
      <c r="B3599" s="36"/>
    </row>
    <row r="3600" spans="1:2" x14ac:dyDescent="0.3">
      <c r="A3600" s="19"/>
      <c r="B3600" s="36"/>
    </row>
    <row r="3601" spans="1:2" x14ac:dyDescent="0.3">
      <c r="A3601" s="19"/>
      <c r="B3601" s="36"/>
    </row>
    <row r="3602" spans="1:2" x14ac:dyDescent="0.3">
      <c r="A3602" s="19"/>
      <c r="B3602" s="36"/>
    </row>
    <row r="3603" spans="1:2" x14ac:dyDescent="0.3">
      <c r="A3603" s="19"/>
      <c r="B3603" s="36"/>
    </row>
    <row r="3604" spans="1:2" x14ac:dyDescent="0.3">
      <c r="A3604" s="19"/>
      <c r="B3604" s="36"/>
    </row>
    <row r="3605" spans="1:2" x14ac:dyDescent="0.3">
      <c r="A3605" s="19"/>
      <c r="B3605" s="36"/>
    </row>
    <row r="3606" spans="1:2" x14ac:dyDescent="0.3">
      <c r="A3606" s="19"/>
      <c r="B3606" s="36"/>
    </row>
    <row r="3607" spans="1:2" x14ac:dyDescent="0.3">
      <c r="A3607" s="19"/>
      <c r="B3607" s="36"/>
    </row>
    <row r="3608" spans="1:2" x14ac:dyDescent="0.3">
      <c r="A3608" s="19"/>
      <c r="B3608" s="36"/>
    </row>
    <row r="3609" spans="1:2" x14ac:dyDescent="0.3">
      <c r="A3609" s="19"/>
      <c r="B3609" s="36"/>
    </row>
    <row r="3610" spans="1:2" x14ac:dyDescent="0.3">
      <c r="A3610" s="19"/>
      <c r="B3610" s="36"/>
    </row>
    <row r="3611" spans="1:2" x14ac:dyDescent="0.3">
      <c r="A3611" s="19"/>
      <c r="B3611" s="36"/>
    </row>
    <row r="3612" spans="1:2" x14ac:dyDescent="0.3">
      <c r="A3612" s="19"/>
      <c r="B3612" s="36"/>
    </row>
    <row r="3613" spans="1:2" x14ac:dyDescent="0.3">
      <c r="A3613" s="19"/>
      <c r="B3613" s="36"/>
    </row>
    <row r="3614" spans="1:2" x14ac:dyDescent="0.3">
      <c r="A3614" s="19"/>
      <c r="B3614" s="36"/>
    </row>
    <row r="3615" spans="1:2" x14ac:dyDescent="0.3">
      <c r="A3615" s="19"/>
      <c r="B3615" s="36"/>
    </row>
    <row r="3616" spans="1:2" x14ac:dyDescent="0.3">
      <c r="A3616" s="19"/>
      <c r="B3616" s="36"/>
    </row>
    <row r="3617" spans="1:2" x14ac:dyDescent="0.3">
      <c r="A3617" s="19"/>
      <c r="B3617" s="36"/>
    </row>
    <row r="3618" spans="1:2" x14ac:dyDescent="0.3">
      <c r="A3618" s="19"/>
      <c r="B3618" s="36"/>
    </row>
    <row r="3619" spans="1:2" x14ac:dyDescent="0.3">
      <c r="A3619" s="19"/>
      <c r="B3619" s="36"/>
    </row>
    <row r="3620" spans="1:2" x14ac:dyDescent="0.3">
      <c r="A3620" s="19"/>
      <c r="B3620" s="36"/>
    </row>
    <row r="3621" spans="1:2" x14ac:dyDescent="0.3">
      <c r="A3621" s="19"/>
      <c r="B3621" s="36"/>
    </row>
    <row r="3622" spans="1:2" x14ac:dyDescent="0.3">
      <c r="A3622" s="19"/>
      <c r="B3622" s="36"/>
    </row>
    <row r="3623" spans="1:2" x14ac:dyDescent="0.3">
      <c r="A3623" s="19"/>
      <c r="B3623" s="36"/>
    </row>
    <row r="3624" spans="1:2" x14ac:dyDescent="0.3">
      <c r="A3624" s="19"/>
      <c r="B3624" s="36"/>
    </row>
    <row r="3625" spans="1:2" x14ac:dyDescent="0.3">
      <c r="A3625" s="19"/>
      <c r="B3625" s="36"/>
    </row>
    <row r="3626" spans="1:2" x14ac:dyDescent="0.3">
      <c r="A3626" s="19"/>
      <c r="B3626" s="36"/>
    </row>
    <row r="3627" spans="1:2" x14ac:dyDescent="0.3">
      <c r="A3627" s="19"/>
      <c r="B3627" s="36"/>
    </row>
    <row r="3628" spans="1:2" x14ac:dyDescent="0.3">
      <c r="A3628" s="19"/>
      <c r="B3628" s="36"/>
    </row>
    <row r="3629" spans="1:2" x14ac:dyDescent="0.3">
      <c r="A3629" s="19"/>
      <c r="B3629" s="36"/>
    </row>
    <row r="3630" spans="1:2" x14ac:dyDescent="0.3">
      <c r="A3630" s="19"/>
      <c r="B3630" s="36"/>
    </row>
    <row r="3631" spans="1:2" x14ac:dyDescent="0.3">
      <c r="A3631" s="19"/>
      <c r="B3631" s="36"/>
    </row>
    <row r="3632" spans="1:2" x14ac:dyDescent="0.3">
      <c r="A3632" s="19"/>
      <c r="B3632" s="36"/>
    </row>
    <row r="3633" spans="1:2" x14ac:dyDescent="0.3">
      <c r="A3633" s="19"/>
      <c r="B3633" s="36"/>
    </row>
    <row r="3634" spans="1:2" x14ac:dyDescent="0.3">
      <c r="A3634" s="19"/>
      <c r="B3634" s="36"/>
    </row>
    <row r="3635" spans="1:2" x14ac:dyDescent="0.3">
      <c r="A3635" s="19"/>
      <c r="B3635" s="36"/>
    </row>
    <row r="3636" spans="1:2" x14ac:dyDescent="0.3">
      <c r="A3636" s="19"/>
      <c r="B3636" s="36"/>
    </row>
    <row r="3637" spans="1:2" x14ac:dyDescent="0.3">
      <c r="A3637" s="19"/>
      <c r="B3637" s="36"/>
    </row>
    <row r="3638" spans="1:2" x14ac:dyDescent="0.3">
      <c r="A3638" s="19"/>
      <c r="B3638" s="36"/>
    </row>
    <row r="3639" spans="1:2" x14ac:dyDescent="0.3">
      <c r="A3639" s="19"/>
      <c r="B3639" s="36"/>
    </row>
    <row r="3640" spans="1:2" x14ac:dyDescent="0.3">
      <c r="A3640" s="19"/>
      <c r="B3640" s="36"/>
    </row>
    <row r="3641" spans="1:2" x14ac:dyDescent="0.3">
      <c r="A3641" s="19"/>
      <c r="B3641" s="36"/>
    </row>
    <row r="3642" spans="1:2" x14ac:dyDescent="0.3">
      <c r="A3642" s="19"/>
      <c r="B3642" s="36"/>
    </row>
    <row r="3643" spans="1:2" x14ac:dyDescent="0.3">
      <c r="A3643" s="19"/>
      <c r="B3643" s="36"/>
    </row>
    <row r="3644" spans="1:2" x14ac:dyDescent="0.3">
      <c r="A3644" s="19"/>
      <c r="B3644" s="36"/>
    </row>
    <row r="3645" spans="1:2" x14ac:dyDescent="0.3">
      <c r="A3645" s="19"/>
      <c r="B3645" s="36"/>
    </row>
    <row r="3646" spans="1:2" x14ac:dyDescent="0.3">
      <c r="A3646" s="19"/>
      <c r="B3646" s="36"/>
    </row>
    <row r="3647" spans="1:2" x14ac:dyDescent="0.3">
      <c r="A3647" s="19"/>
      <c r="B3647" s="36"/>
    </row>
    <row r="3648" spans="1:2" x14ac:dyDescent="0.3">
      <c r="A3648" s="19"/>
      <c r="B3648" s="36"/>
    </row>
    <row r="3649" spans="1:2" x14ac:dyDescent="0.3">
      <c r="A3649" s="19"/>
      <c r="B3649" s="36"/>
    </row>
    <row r="3650" spans="1:2" x14ac:dyDescent="0.3">
      <c r="A3650" s="19"/>
      <c r="B3650" s="36"/>
    </row>
    <row r="3651" spans="1:2" x14ac:dyDescent="0.3">
      <c r="A3651" s="19"/>
      <c r="B3651" s="36"/>
    </row>
    <row r="3652" spans="1:2" x14ac:dyDescent="0.3">
      <c r="A3652" s="19"/>
      <c r="B3652" s="36"/>
    </row>
    <row r="3653" spans="1:2" x14ac:dyDescent="0.3">
      <c r="A3653" s="19"/>
      <c r="B3653" s="36"/>
    </row>
    <row r="3654" spans="1:2" x14ac:dyDescent="0.3">
      <c r="A3654" s="19"/>
      <c r="B3654" s="36"/>
    </row>
    <row r="3655" spans="1:2" x14ac:dyDescent="0.3">
      <c r="A3655" s="19"/>
      <c r="B3655" s="36"/>
    </row>
    <row r="3656" spans="1:2" x14ac:dyDescent="0.3">
      <c r="A3656" s="19"/>
      <c r="B3656" s="36"/>
    </row>
    <row r="3657" spans="1:2" x14ac:dyDescent="0.3">
      <c r="A3657" s="19"/>
      <c r="B3657" s="36"/>
    </row>
    <row r="3658" spans="1:2" x14ac:dyDescent="0.3">
      <c r="A3658" s="19"/>
      <c r="B3658" s="36"/>
    </row>
    <row r="3659" spans="1:2" x14ac:dyDescent="0.3">
      <c r="A3659" s="19"/>
      <c r="B3659" s="36"/>
    </row>
    <row r="3660" spans="1:2" x14ac:dyDescent="0.3">
      <c r="A3660" s="19"/>
      <c r="B3660" s="36"/>
    </row>
    <row r="3661" spans="1:2" x14ac:dyDescent="0.3">
      <c r="A3661" s="19"/>
      <c r="B3661" s="36"/>
    </row>
    <row r="3662" spans="1:2" x14ac:dyDescent="0.3">
      <c r="A3662" s="19"/>
      <c r="B3662" s="36"/>
    </row>
    <row r="3663" spans="1:2" x14ac:dyDescent="0.3">
      <c r="A3663" s="19"/>
      <c r="B3663" s="36"/>
    </row>
    <row r="3664" spans="1:2" x14ac:dyDescent="0.3">
      <c r="A3664" s="19"/>
      <c r="B3664" s="36"/>
    </row>
    <row r="3665" spans="1:2" x14ac:dyDescent="0.3">
      <c r="A3665" s="19"/>
      <c r="B3665" s="36"/>
    </row>
    <row r="3666" spans="1:2" x14ac:dyDescent="0.3">
      <c r="A3666" s="19"/>
      <c r="B3666" s="36"/>
    </row>
    <row r="3667" spans="1:2" x14ac:dyDescent="0.3">
      <c r="A3667" s="19"/>
      <c r="B3667" s="36"/>
    </row>
    <row r="3668" spans="1:2" x14ac:dyDescent="0.3">
      <c r="A3668" s="19"/>
      <c r="B3668" s="36"/>
    </row>
    <row r="3669" spans="1:2" x14ac:dyDescent="0.3">
      <c r="A3669" s="19"/>
      <c r="B3669" s="36"/>
    </row>
    <row r="3670" spans="1:2" x14ac:dyDescent="0.3">
      <c r="A3670" s="19"/>
      <c r="B3670" s="36"/>
    </row>
    <row r="3671" spans="1:2" x14ac:dyDescent="0.3">
      <c r="A3671" s="19"/>
      <c r="B3671" s="36"/>
    </row>
    <row r="3672" spans="1:2" x14ac:dyDescent="0.3">
      <c r="A3672" s="19"/>
      <c r="B3672" s="36"/>
    </row>
    <row r="3673" spans="1:2" x14ac:dyDescent="0.3">
      <c r="A3673" s="19"/>
      <c r="B3673" s="36"/>
    </row>
    <row r="3674" spans="1:2" x14ac:dyDescent="0.3">
      <c r="A3674" s="19"/>
      <c r="B3674" s="36"/>
    </row>
    <row r="3675" spans="1:2" x14ac:dyDescent="0.3">
      <c r="A3675" s="19"/>
      <c r="B3675" s="36"/>
    </row>
    <row r="3676" spans="1:2" x14ac:dyDescent="0.3">
      <c r="A3676" s="19"/>
      <c r="B3676" s="36"/>
    </row>
    <row r="3677" spans="1:2" x14ac:dyDescent="0.3">
      <c r="A3677" s="19"/>
      <c r="B3677" s="36"/>
    </row>
    <row r="3678" spans="1:2" x14ac:dyDescent="0.3">
      <c r="A3678" s="19"/>
      <c r="B3678" s="36"/>
    </row>
    <row r="3679" spans="1:2" x14ac:dyDescent="0.3">
      <c r="A3679" s="19"/>
      <c r="B3679" s="36"/>
    </row>
    <row r="3680" spans="1:2" x14ac:dyDescent="0.3">
      <c r="A3680" s="19"/>
      <c r="B3680" s="36"/>
    </row>
    <row r="3681" spans="1:2" x14ac:dyDescent="0.3">
      <c r="A3681" s="19"/>
      <c r="B3681" s="36"/>
    </row>
    <row r="3682" spans="1:2" x14ac:dyDescent="0.3">
      <c r="A3682" s="19"/>
      <c r="B3682" s="36"/>
    </row>
    <row r="3683" spans="1:2" x14ac:dyDescent="0.3">
      <c r="A3683" s="19"/>
      <c r="B3683" s="36"/>
    </row>
    <row r="3684" spans="1:2" x14ac:dyDescent="0.3">
      <c r="A3684" s="19"/>
      <c r="B3684" s="36"/>
    </row>
    <row r="3685" spans="1:2" x14ac:dyDescent="0.3">
      <c r="A3685" s="19"/>
      <c r="B3685" s="36"/>
    </row>
    <row r="3686" spans="1:2" x14ac:dyDescent="0.3">
      <c r="A3686" s="19"/>
      <c r="B3686" s="36"/>
    </row>
    <row r="3687" spans="1:2" x14ac:dyDescent="0.3">
      <c r="A3687" s="19"/>
      <c r="B3687" s="36"/>
    </row>
    <row r="3688" spans="1:2" x14ac:dyDescent="0.3">
      <c r="A3688" s="19"/>
      <c r="B3688" s="36"/>
    </row>
    <row r="3689" spans="1:2" x14ac:dyDescent="0.3">
      <c r="A3689" s="19"/>
      <c r="B3689" s="36"/>
    </row>
    <row r="3690" spans="1:2" x14ac:dyDescent="0.3">
      <c r="A3690" s="19"/>
      <c r="B3690" s="36"/>
    </row>
    <row r="3691" spans="1:2" x14ac:dyDescent="0.3">
      <c r="A3691" s="19"/>
      <c r="B3691" s="36"/>
    </row>
    <row r="3692" spans="1:2" x14ac:dyDescent="0.3">
      <c r="A3692" s="19"/>
      <c r="B3692" s="36"/>
    </row>
    <row r="3693" spans="1:2" x14ac:dyDescent="0.3">
      <c r="A3693" s="19"/>
      <c r="B3693" s="36"/>
    </row>
    <row r="3694" spans="1:2" x14ac:dyDescent="0.3">
      <c r="A3694" s="19"/>
      <c r="B3694" s="36"/>
    </row>
    <row r="3695" spans="1:2" x14ac:dyDescent="0.3">
      <c r="A3695" s="19"/>
      <c r="B3695" s="36"/>
    </row>
    <row r="3696" spans="1:2" x14ac:dyDescent="0.3">
      <c r="A3696" s="19"/>
      <c r="B3696" s="36"/>
    </row>
    <row r="3697" spans="1:2" x14ac:dyDescent="0.3">
      <c r="A3697" s="19"/>
      <c r="B3697" s="36"/>
    </row>
    <row r="3698" spans="1:2" x14ac:dyDescent="0.3">
      <c r="A3698" s="19"/>
      <c r="B3698" s="36"/>
    </row>
    <row r="3699" spans="1:2" x14ac:dyDescent="0.3">
      <c r="A3699" s="19"/>
      <c r="B3699" s="36"/>
    </row>
    <row r="3700" spans="1:2" x14ac:dyDescent="0.3">
      <c r="A3700" s="19"/>
      <c r="B3700" s="36"/>
    </row>
    <row r="3701" spans="1:2" x14ac:dyDescent="0.3">
      <c r="A3701" s="19"/>
      <c r="B3701" s="36"/>
    </row>
    <row r="3702" spans="1:2" x14ac:dyDescent="0.3">
      <c r="A3702" s="19"/>
      <c r="B3702" s="36"/>
    </row>
    <row r="3703" spans="1:2" x14ac:dyDescent="0.3">
      <c r="A3703" s="19"/>
      <c r="B3703" s="36"/>
    </row>
    <row r="3704" spans="1:2" x14ac:dyDescent="0.3">
      <c r="A3704" s="19"/>
      <c r="B3704" s="36"/>
    </row>
    <row r="3705" spans="1:2" x14ac:dyDescent="0.3">
      <c r="A3705" s="19"/>
      <c r="B3705" s="36"/>
    </row>
    <row r="3706" spans="1:2" x14ac:dyDescent="0.3">
      <c r="A3706" s="19"/>
      <c r="B3706" s="36"/>
    </row>
    <row r="3707" spans="1:2" x14ac:dyDescent="0.3">
      <c r="A3707" s="19"/>
      <c r="B3707" s="36"/>
    </row>
    <row r="3708" spans="1:2" x14ac:dyDescent="0.3">
      <c r="A3708" s="19"/>
      <c r="B3708" s="36"/>
    </row>
    <row r="3709" spans="1:2" x14ac:dyDescent="0.3">
      <c r="A3709" s="19"/>
      <c r="B3709" s="36"/>
    </row>
    <row r="3710" spans="1:2" x14ac:dyDescent="0.3">
      <c r="A3710" s="19"/>
      <c r="B3710" s="36"/>
    </row>
    <row r="3711" spans="1:2" x14ac:dyDescent="0.3">
      <c r="A3711" s="19"/>
      <c r="B3711" s="36"/>
    </row>
    <row r="3712" spans="1:2" x14ac:dyDescent="0.3">
      <c r="A3712" s="19"/>
      <c r="B3712" s="36"/>
    </row>
    <row r="3713" spans="1:2" x14ac:dyDescent="0.3">
      <c r="A3713" s="19"/>
      <c r="B3713" s="36"/>
    </row>
    <row r="3714" spans="1:2" x14ac:dyDescent="0.3">
      <c r="A3714" s="19"/>
      <c r="B3714" s="36"/>
    </row>
    <row r="3715" spans="1:2" x14ac:dyDescent="0.3">
      <c r="A3715" s="19"/>
      <c r="B3715" s="36"/>
    </row>
    <row r="3716" spans="1:2" x14ac:dyDescent="0.3">
      <c r="A3716" s="19"/>
      <c r="B3716" s="36"/>
    </row>
    <row r="3717" spans="1:2" x14ac:dyDescent="0.3">
      <c r="A3717" s="19"/>
      <c r="B3717" s="36"/>
    </row>
    <row r="3718" spans="1:2" x14ac:dyDescent="0.3">
      <c r="A3718" s="19"/>
      <c r="B3718" s="36"/>
    </row>
    <row r="3719" spans="1:2" x14ac:dyDescent="0.3">
      <c r="A3719" s="19"/>
      <c r="B3719" s="36"/>
    </row>
    <row r="3720" spans="1:2" x14ac:dyDescent="0.3">
      <c r="A3720" s="19"/>
      <c r="B3720" s="36"/>
    </row>
    <row r="3721" spans="1:2" x14ac:dyDescent="0.3">
      <c r="A3721" s="19"/>
      <c r="B3721" s="36"/>
    </row>
    <row r="3722" spans="1:2" x14ac:dyDescent="0.3">
      <c r="A3722" s="19"/>
      <c r="B3722" s="36"/>
    </row>
    <row r="3723" spans="1:2" x14ac:dyDescent="0.3">
      <c r="A3723" s="19"/>
      <c r="B3723" s="36"/>
    </row>
    <row r="3724" spans="1:2" x14ac:dyDescent="0.3">
      <c r="A3724" s="19"/>
      <c r="B3724" s="36"/>
    </row>
    <row r="3725" spans="1:2" x14ac:dyDescent="0.3">
      <c r="A3725" s="19"/>
      <c r="B3725" s="36"/>
    </row>
    <row r="3726" spans="1:2" x14ac:dyDescent="0.3">
      <c r="A3726" s="19"/>
      <c r="B3726" s="36"/>
    </row>
    <row r="3727" spans="1:2" x14ac:dyDescent="0.3">
      <c r="A3727" s="19"/>
      <c r="B3727" s="36"/>
    </row>
    <row r="3728" spans="1:2" x14ac:dyDescent="0.3">
      <c r="A3728" s="19"/>
      <c r="B3728" s="36"/>
    </row>
    <row r="3729" spans="1:2" x14ac:dyDescent="0.3">
      <c r="A3729" s="19"/>
      <c r="B3729" s="36"/>
    </row>
    <row r="3730" spans="1:2" x14ac:dyDescent="0.3">
      <c r="A3730" s="19"/>
      <c r="B3730" s="36"/>
    </row>
    <row r="3731" spans="1:2" x14ac:dyDescent="0.3">
      <c r="A3731" s="19"/>
      <c r="B3731" s="36"/>
    </row>
    <row r="3732" spans="1:2" x14ac:dyDescent="0.3">
      <c r="A3732" s="19"/>
      <c r="B3732" s="36"/>
    </row>
    <row r="3733" spans="1:2" x14ac:dyDescent="0.3">
      <c r="A3733" s="19"/>
      <c r="B3733" s="36"/>
    </row>
    <row r="3734" spans="1:2" x14ac:dyDescent="0.3">
      <c r="A3734" s="19"/>
      <c r="B3734" s="36"/>
    </row>
    <row r="3735" spans="1:2" x14ac:dyDescent="0.3">
      <c r="A3735" s="19"/>
      <c r="B3735" s="36"/>
    </row>
    <row r="3736" spans="1:2" x14ac:dyDescent="0.3">
      <c r="A3736" s="19"/>
      <c r="B3736" s="36"/>
    </row>
    <row r="3737" spans="1:2" x14ac:dyDescent="0.3">
      <c r="A3737" s="19"/>
      <c r="B3737" s="36"/>
    </row>
    <row r="3738" spans="1:2" x14ac:dyDescent="0.3">
      <c r="A3738" s="19"/>
      <c r="B3738" s="36"/>
    </row>
    <row r="3739" spans="1:2" x14ac:dyDescent="0.3">
      <c r="A3739" s="19"/>
      <c r="B3739" s="36"/>
    </row>
    <row r="3740" spans="1:2" x14ac:dyDescent="0.3">
      <c r="A3740" s="19"/>
      <c r="B3740" s="36"/>
    </row>
    <row r="3741" spans="1:2" x14ac:dyDescent="0.3">
      <c r="A3741" s="19"/>
      <c r="B3741" s="36"/>
    </row>
    <row r="3742" spans="1:2" x14ac:dyDescent="0.3">
      <c r="A3742" s="19"/>
      <c r="B3742" s="36"/>
    </row>
    <row r="3743" spans="1:2" x14ac:dyDescent="0.3">
      <c r="A3743" s="19"/>
      <c r="B3743" s="36"/>
    </row>
    <row r="3744" spans="1:2" x14ac:dyDescent="0.3">
      <c r="A3744" s="19"/>
      <c r="B3744" s="36"/>
    </row>
    <row r="3745" spans="1:2" x14ac:dyDescent="0.3">
      <c r="A3745" s="19"/>
      <c r="B3745" s="36"/>
    </row>
    <row r="3746" spans="1:2" x14ac:dyDescent="0.3">
      <c r="A3746" s="19"/>
      <c r="B3746" s="36"/>
    </row>
    <row r="3747" spans="1:2" x14ac:dyDescent="0.3">
      <c r="A3747" s="19"/>
      <c r="B3747" s="36"/>
    </row>
    <row r="3748" spans="1:2" x14ac:dyDescent="0.3">
      <c r="A3748" s="19"/>
      <c r="B3748" s="36"/>
    </row>
    <row r="3749" spans="1:2" x14ac:dyDescent="0.3">
      <c r="A3749" s="19"/>
      <c r="B3749" s="36"/>
    </row>
    <row r="3750" spans="1:2" x14ac:dyDescent="0.3">
      <c r="A3750" s="19"/>
      <c r="B3750" s="36"/>
    </row>
    <row r="3751" spans="1:2" x14ac:dyDescent="0.3">
      <c r="A3751" s="19"/>
      <c r="B3751" s="36"/>
    </row>
    <row r="3752" spans="1:2" x14ac:dyDescent="0.3">
      <c r="A3752" s="19"/>
      <c r="B3752" s="36"/>
    </row>
    <row r="3753" spans="1:2" x14ac:dyDescent="0.3">
      <c r="A3753" s="19"/>
      <c r="B3753" s="36"/>
    </row>
    <row r="3754" spans="1:2" x14ac:dyDescent="0.3">
      <c r="A3754" s="19"/>
      <c r="B3754" s="36"/>
    </row>
    <row r="3755" spans="1:2" x14ac:dyDescent="0.3">
      <c r="A3755" s="19"/>
      <c r="B3755" s="36"/>
    </row>
    <row r="3756" spans="1:2" x14ac:dyDescent="0.3">
      <c r="A3756" s="19"/>
      <c r="B3756" s="36"/>
    </row>
    <row r="3757" spans="1:2" x14ac:dyDescent="0.3">
      <c r="A3757" s="19"/>
      <c r="B3757" s="36"/>
    </row>
    <row r="3758" spans="1:2" x14ac:dyDescent="0.3">
      <c r="A3758" s="19"/>
      <c r="B3758" s="36"/>
    </row>
    <row r="3759" spans="1:2" x14ac:dyDescent="0.3">
      <c r="A3759" s="19"/>
      <c r="B3759" s="36"/>
    </row>
    <row r="3760" spans="1:2" x14ac:dyDescent="0.3">
      <c r="A3760" s="19"/>
      <c r="B3760" s="36"/>
    </row>
    <row r="3761" spans="1:2" x14ac:dyDescent="0.3">
      <c r="A3761" s="19"/>
      <c r="B3761" s="36"/>
    </row>
    <row r="3762" spans="1:2" x14ac:dyDescent="0.3">
      <c r="A3762" s="19"/>
      <c r="B3762" s="36"/>
    </row>
    <row r="3763" spans="1:2" x14ac:dyDescent="0.3">
      <c r="A3763" s="19"/>
      <c r="B3763" s="36"/>
    </row>
    <row r="3764" spans="1:2" x14ac:dyDescent="0.3">
      <c r="A3764" s="19"/>
      <c r="B3764" s="36"/>
    </row>
    <row r="3765" spans="1:2" x14ac:dyDescent="0.3">
      <c r="A3765" s="19"/>
      <c r="B3765" s="36"/>
    </row>
    <row r="3766" spans="1:2" x14ac:dyDescent="0.3">
      <c r="A3766" s="19"/>
      <c r="B3766" s="36"/>
    </row>
    <row r="3767" spans="1:2" x14ac:dyDescent="0.3">
      <c r="A3767" s="19"/>
      <c r="B3767" s="36"/>
    </row>
    <row r="3768" spans="1:2" x14ac:dyDescent="0.3">
      <c r="A3768" s="19"/>
      <c r="B3768" s="36"/>
    </row>
    <row r="3769" spans="1:2" x14ac:dyDescent="0.3">
      <c r="A3769" s="19"/>
      <c r="B3769" s="36"/>
    </row>
    <row r="3770" spans="1:2" x14ac:dyDescent="0.3">
      <c r="A3770" s="19"/>
      <c r="B3770" s="36"/>
    </row>
    <row r="3771" spans="1:2" x14ac:dyDescent="0.3">
      <c r="A3771" s="19"/>
      <c r="B3771" s="36"/>
    </row>
    <row r="3772" spans="1:2" x14ac:dyDescent="0.3">
      <c r="A3772" s="19"/>
      <c r="B3772" s="36"/>
    </row>
    <row r="3773" spans="1:2" x14ac:dyDescent="0.3">
      <c r="A3773" s="19"/>
      <c r="B3773" s="36"/>
    </row>
    <row r="3774" spans="1:2" x14ac:dyDescent="0.3">
      <c r="A3774" s="19"/>
      <c r="B3774" s="36"/>
    </row>
    <row r="3775" spans="1:2" x14ac:dyDescent="0.3">
      <c r="A3775" s="19"/>
      <c r="B3775" s="36"/>
    </row>
    <row r="3776" spans="1:2" x14ac:dyDescent="0.3">
      <c r="A3776" s="19"/>
      <c r="B3776" s="36"/>
    </row>
    <row r="3777" spans="1:2" x14ac:dyDescent="0.3">
      <c r="A3777" s="19"/>
      <c r="B3777" s="36"/>
    </row>
    <row r="3778" spans="1:2" x14ac:dyDescent="0.3">
      <c r="A3778" s="19"/>
      <c r="B3778" s="36"/>
    </row>
    <row r="3779" spans="1:2" x14ac:dyDescent="0.3">
      <c r="A3779" s="19"/>
      <c r="B3779" s="36"/>
    </row>
    <row r="3780" spans="1:2" x14ac:dyDescent="0.3">
      <c r="A3780" s="19"/>
      <c r="B3780" s="36"/>
    </row>
    <row r="3781" spans="1:2" x14ac:dyDescent="0.3">
      <c r="A3781" s="19"/>
      <c r="B3781" s="36"/>
    </row>
    <row r="3782" spans="1:2" x14ac:dyDescent="0.3">
      <c r="A3782" s="19"/>
      <c r="B3782" s="36"/>
    </row>
    <row r="3783" spans="1:2" x14ac:dyDescent="0.3">
      <c r="A3783" s="19"/>
      <c r="B3783" s="36"/>
    </row>
    <row r="3784" spans="1:2" x14ac:dyDescent="0.3">
      <c r="A3784" s="19"/>
      <c r="B3784" s="36"/>
    </row>
    <row r="3785" spans="1:2" x14ac:dyDescent="0.3">
      <c r="A3785" s="19"/>
      <c r="B3785" s="36"/>
    </row>
    <row r="3786" spans="1:2" x14ac:dyDescent="0.3">
      <c r="A3786" s="19"/>
      <c r="B3786" s="36"/>
    </row>
    <row r="3787" spans="1:2" x14ac:dyDescent="0.3">
      <c r="A3787" s="19"/>
      <c r="B3787" s="36"/>
    </row>
    <row r="3788" spans="1:2" x14ac:dyDescent="0.3">
      <c r="A3788" s="19"/>
      <c r="B3788" s="36"/>
    </row>
    <row r="3789" spans="1:2" x14ac:dyDescent="0.3">
      <c r="A3789" s="19"/>
      <c r="B3789" s="36"/>
    </row>
    <row r="3790" spans="1:2" x14ac:dyDescent="0.3">
      <c r="A3790" s="19"/>
      <c r="B3790" s="36"/>
    </row>
    <row r="3791" spans="1:2" x14ac:dyDescent="0.3">
      <c r="A3791" s="19"/>
      <c r="B3791" s="36"/>
    </row>
    <row r="3792" spans="1:2" x14ac:dyDescent="0.3">
      <c r="A3792" s="19"/>
      <c r="B3792" s="36"/>
    </row>
    <row r="3793" spans="1:2" x14ac:dyDescent="0.3">
      <c r="A3793" s="19"/>
      <c r="B3793" s="36"/>
    </row>
    <row r="3794" spans="1:2" x14ac:dyDescent="0.3">
      <c r="A3794" s="19"/>
      <c r="B3794" s="36"/>
    </row>
    <row r="3795" spans="1:2" x14ac:dyDescent="0.3">
      <c r="A3795" s="19"/>
      <c r="B3795" s="36"/>
    </row>
    <row r="3796" spans="1:2" x14ac:dyDescent="0.3">
      <c r="A3796" s="19"/>
      <c r="B3796" s="36"/>
    </row>
    <row r="3797" spans="1:2" x14ac:dyDescent="0.3">
      <c r="A3797" s="19"/>
      <c r="B3797" s="36"/>
    </row>
    <row r="3798" spans="1:2" x14ac:dyDescent="0.3">
      <c r="A3798" s="19"/>
      <c r="B3798" s="36"/>
    </row>
    <row r="3799" spans="1:2" x14ac:dyDescent="0.3">
      <c r="A3799" s="19"/>
      <c r="B3799" s="36"/>
    </row>
    <row r="3800" spans="1:2" x14ac:dyDescent="0.3">
      <c r="A3800" s="19"/>
      <c r="B3800" s="36"/>
    </row>
    <row r="3801" spans="1:2" x14ac:dyDescent="0.3">
      <c r="A3801" s="19"/>
      <c r="B3801" s="36"/>
    </row>
    <row r="3802" spans="1:2" x14ac:dyDescent="0.3">
      <c r="A3802" s="19"/>
      <c r="B3802" s="36"/>
    </row>
    <row r="3803" spans="1:2" x14ac:dyDescent="0.3">
      <c r="A3803" s="19"/>
      <c r="B3803" s="36"/>
    </row>
    <row r="3804" spans="1:2" x14ac:dyDescent="0.3">
      <c r="A3804" s="19"/>
      <c r="B3804" s="36"/>
    </row>
    <row r="3805" spans="1:2" x14ac:dyDescent="0.3">
      <c r="A3805" s="19"/>
      <c r="B3805" s="36"/>
    </row>
    <row r="3806" spans="1:2" x14ac:dyDescent="0.3">
      <c r="A3806" s="19"/>
      <c r="B3806" s="36"/>
    </row>
    <row r="3807" spans="1:2" x14ac:dyDescent="0.3">
      <c r="A3807" s="19"/>
      <c r="B3807" s="36"/>
    </row>
    <row r="3808" spans="1:2" x14ac:dyDescent="0.3">
      <c r="A3808" s="19"/>
      <c r="B3808" s="36"/>
    </row>
    <row r="3809" spans="1:2" x14ac:dyDescent="0.3">
      <c r="A3809" s="19"/>
      <c r="B3809" s="36"/>
    </row>
    <row r="3810" spans="1:2" x14ac:dyDescent="0.3">
      <c r="A3810" s="19"/>
      <c r="B3810" s="36"/>
    </row>
    <row r="3811" spans="1:2" x14ac:dyDescent="0.3">
      <c r="A3811" s="19"/>
      <c r="B3811" s="36"/>
    </row>
    <row r="3812" spans="1:2" x14ac:dyDescent="0.3">
      <c r="A3812" s="19"/>
      <c r="B3812" s="36"/>
    </row>
    <row r="3813" spans="1:2" x14ac:dyDescent="0.3">
      <c r="A3813" s="19"/>
      <c r="B3813" s="36"/>
    </row>
    <row r="3814" spans="1:2" x14ac:dyDescent="0.3">
      <c r="A3814" s="19"/>
      <c r="B3814" s="36"/>
    </row>
    <row r="3815" spans="1:2" x14ac:dyDescent="0.3">
      <c r="A3815" s="19"/>
      <c r="B3815" s="36"/>
    </row>
    <row r="3816" spans="1:2" x14ac:dyDescent="0.3">
      <c r="A3816" s="19"/>
      <c r="B3816" s="36"/>
    </row>
    <row r="3817" spans="1:2" x14ac:dyDescent="0.3">
      <c r="A3817" s="19"/>
      <c r="B3817" s="36"/>
    </row>
    <row r="3818" spans="1:2" x14ac:dyDescent="0.3">
      <c r="A3818" s="19"/>
      <c r="B3818" s="36"/>
    </row>
    <row r="3819" spans="1:2" x14ac:dyDescent="0.3">
      <c r="A3819" s="19"/>
      <c r="B3819" s="36"/>
    </row>
    <row r="3820" spans="1:2" x14ac:dyDescent="0.3">
      <c r="A3820" s="19"/>
      <c r="B3820" s="36"/>
    </row>
    <row r="3821" spans="1:2" x14ac:dyDescent="0.3">
      <c r="A3821" s="19"/>
      <c r="B3821" s="36"/>
    </row>
    <row r="3822" spans="1:2" x14ac:dyDescent="0.3">
      <c r="A3822" s="19"/>
      <c r="B3822" s="36"/>
    </row>
    <row r="3823" spans="1:2" x14ac:dyDescent="0.3">
      <c r="A3823" s="19"/>
      <c r="B3823" s="36"/>
    </row>
    <row r="3824" spans="1:2" x14ac:dyDescent="0.3">
      <c r="A3824" s="19"/>
      <c r="B3824" s="36"/>
    </row>
    <row r="3825" spans="1:2" x14ac:dyDescent="0.3">
      <c r="A3825" s="19"/>
      <c r="B3825" s="36"/>
    </row>
    <row r="3826" spans="1:2" x14ac:dyDescent="0.3">
      <c r="A3826" s="19"/>
      <c r="B3826" s="36"/>
    </row>
    <row r="3827" spans="1:2" x14ac:dyDescent="0.3">
      <c r="A3827" s="19"/>
      <c r="B3827" s="36"/>
    </row>
    <row r="3828" spans="1:2" x14ac:dyDescent="0.3">
      <c r="A3828" s="19"/>
      <c r="B3828" s="36"/>
    </row>
    <row r="3829" spans="1:2" x14ac:dyDescent="0.3">
      <c r="A3829" s="19"/>
      <c r="B3829" s="36"/>
    </row>
    <row r="3830" spans="1:2" x14ac:dyDescent="0.3">
      <c r="A3830" s="19"/>
      <c r="B3830" s="36"/>
    </row>
    <row r="3831" spans="1:2" x14ac:dyDescent="0.3">
      <c r="A3831" s="19"/>
      <c r="B3831" s="36"/>
    </row>
    <row r="3832" spans="1:2" x14ac:dyDescent="0.3">
      <c r="A3832" s="19"/>
      <c r="B3832" s="36"/>
    </row>
    <row r="3833" spans="1:2" x14ac:dyDescent="0.3">
      <c r="A3833" s="19"/>
      <c r="B3833" s="36"/>
    </row>
    <row r="3834" spans="1:2" x14ac:dyDescent="0.3">
      <c r="A3834" s="19"/>
      <c r="B3834" s="36"/>
    </row>
    <row r="3835" spans="1:2" x14ac:dyDescent="0.3">
      <c r="A3835" s="19"/>
      <c r="B3835" s="36"/>
    </row>
    <row r="3836" spans="1:2" x14ac:dyDescent="0.3">
      <c r="A3836" s="19"/>
      <c r="B3836" s="36"/>
    </row>
    <row r="3837" spans="1:2" x14ac:dyDescent="0.3">
      <c r="A3837" s="19"/>
      <c r="B3837" s="36"/>
    </row>
    <row r="3838" spans="1:2" x14ac:dyDescent="0.3">
      <c r="A3838" s="19"/>
      <c r="B3838" s="36"/>
    </row>
    <row r="3839" spans="1:2" x14ac:dyDescent="0.3">
      <c r="A3839" s="19"/>
      <c r="B3839" s="36"/>
    </row>
    <row r="3840" spans="1:2" x14ac:dyDescent="0.3">
      <c r="A3840" s="19"/>
      <c r="B3840" s="36"/>
    </row>
    <row r="3841" spans="1:2" x14ac:dyDescent="0.3">
      <c r="A3841" s="19"/>
      <c r="B3841" s="36"/>
    </row>
    <row r="3842" spans="1:2" x14ac:dyDescent="0.3">
      <c r="A3842" s="19"/>
      <c r="B3842" s="36"/>
    </row>
    <row r="3843" spans="1:2" x14ac:dyDescent="0.3">
      <c r="A3843" s="19"/>
      <c r="B3843" s="36"/>
    </row>
    <row r="3844" spans="1:2" x14ac:dyDescent="0.3">
      <c r="A3844" s="19"/>
      <c r="B3844" s="36"/>
    </row>
    <row r="3845" spans="1:2" x14ac:dyDescent="0.3">
      <c r="A3845" s="19"/>
      <c r="B3845" s="36"/>
    </row>
    <row r="3846" spans="1:2" x14ac:dyDescent="0.3">
      <c r="A3846" s="19"/>
      <c r="B3846" s="36"/>
    </row>
    <row r="3847" spans="1:2" x14ac:dyDescent="0.3">
      <c r="A3847" s="19"/>
      <c r="B3847" s="36"/>
    </row>
    <row r="3848" spans="1:2" x14ac:dyDescent="0.3">
      <c r="A3848" s="19"/>
      <c r="B3848" s="36"/>
    </row>
    <row r="3849" spans="1:2" x14ac:dyDescent="0.3">
      <c r="A3849" s="19"/>
      <c r="B3849" s="36"/>
    </row>
    <row r="3850" spans="1:2" x14ac:dyDescent="0.3">
      <c r="A3850" s="19"/>
      <c r="B3850" s="36"/>
    </row>
    <row r="3851" spans="1:2" x14ac:dyDescent="0.3">
      <c r="A3851" s="19"/>
      <c r="B3851" s="36"/>
    </row>
    <row r="3852" spans="1:2" x14ac:dyDescent="0.3">
      <c r="A3852" s="19"/>
      <c r="B3852" s="36"/>
    </row>
    <row r="3853" spans="1:2" x14ac:dyDescent="0.3">
      <c r="A3853" s="19"/>
      <c r="B3853" s="36"/>
    </row>
    <row r="3854" spans="1:2" x14ac:dyDescent="0.3">
      <c r="A3854" s="19"/>
      <c r="B3854" s="36"/>
    </row>
    <row r="3855" spans="1:2" x14ac:dyDescent="0.3">
      <c r="A3855" s="19"/>
      <c r="B3855" s="36"/>
    </row>
    <row r="3856" spans="1:2" x14ac:dyDescent="0.3">
      <c r="A3856" s="19"/>
      <c r="B3856" s="36"/>
    </row>
    <row r="3857" spans="1:2" x14ac:dyDescent="0.3">
      <c r="A3857" s="19"/>
      <c r="B3857" s="36"/>
    </row>
    <row r="3858" spans="1:2" x14ac:dyDescent="0.3">
      <c r="A3858" s="19"/>
      <c r="B3858" s="36"/>
    </row>
    <row r="3859" spans="1:2" x14ac:dyDescent="0.3">
      <c r="A3859" s="19"/>
      <c r="B3859" s="36"/>
    </row>
    <row r="3860" spans="1:2" x14ac:dyDescent="0.3">
      <c r="A3860" s="19"/>
      <c r="B3860" s="36"/>
    </row>
    <row r="3861" spans="1:2" x14ac:dyDescent="0.3">
      <c r="A3861" s="19"/>
      <c r="B3861" s="36"/>
    </row>
    <row r="3862" spans="1:2" x14ac:dyDescent="0.3">
      <c r="A3862" s="19"/>
      <c r="B3862" s="36"/>
    </row>
    <row r="3863" spans="1:2" x14ac:dyDescent="0.3">
      <c r="A3863" s="19"/>
      <c r="B3863" s="36"/>
    </row>
    <row r="3864" spans="1:2" x14ac:dyDescent="0.3">
      <c r="A3864" s="19"/>
      <c r="B3864" s="36"/>
    </row>
    <row r="3865" spans="1:2" x14ac:dyDescent="0.3">
      <c r="A3865" s="19"/>
      <c r="B3865" s="36"/>
    </row>
    <row r="3866" spans="1:2" x14ac:dyDescent="0.3">
      <c r="A3866" s="19"/>
      <c r="B3866" s="36"/>
    </row>
    <row r="3867" spans="1:2" x14ac:dyDescent="0.3">
      <c r="A3867" s="19"/>
      <c r="B3867" s="36"/>
    </row>
    <row r="3868" spans="1:2" x14ac:dyDescent="0.3">
      <c r="A3868" s="19"/>
      <c r="B3868" s="36"/>
    </row>
    <row r="3869" spans="1:2" x14ac:dyDescent="0.3">
      <c r="A3869" s="19"/>
      <c r="B3869" s="36"/>
    </row>
    <row r="3870" spans="1:2" x14ac:dyDescent="0.3">
      <c r="A3870" s="19"/>
      <c r="B3870" s="36"/>
    </row>
    <row r="3871" spans="1:2" x14ac:dyDescent="0.3">
      <c r="A3871" s="19"/>
      <c r="B3871" s="36"/>
    </row>
    <row r="3872" spans="1:2" x14ac:dyDescent="0.3">
      <c r="A3872" s="19"/>
      <c r="B3872" s="36"/>
    </row>
    <row r="3873" spans="1:2" x14ac:dyDescent="0.3">
      <c r="A3873" s="19"/>
      <c r="B3873" s="36"/>
    </row>
    <row r="3874" spans="1:2" x14ac:dyDescent="0.3">
      <c r="A3874" s="19"/>
      <c r="B3874" s="36"/>
    </row>
    <row r="3875" spans="1:2" x14ac:dyDescent="0.3">
      <c r="A3875" s="19"/>
      <c r="B3875" s="36"/>
    </row>
    <row r="3876" spans="1:2" x14ac:dyDescent="0.3">
      <c r="A3876" s="19"/>
      <c r="B3876" s="36"/>
    </row>
    <row r="3877" spans="1:2" x14ac:dyDescent="0.3">
      <c r="A3877" s="19"/>
      <c r="B3877" s="36"/>
    </row>
    <row r="3878" spans="1:2" x14ac:dyDescent="0.3">
      <c r="A3878" s="19"/>
      <c r="B3878" s="36"/>
    </row>
    <row r="3879" spans="1:2" x14ac:dyDescent="0.3">
      <c r="A3879" s="19"/>
      <c r="B3879" s="36"/>
    </row>
    <row r="3880" spans="1:2" x14ac:dyDescent="0.3">
      <c r="A3880" s="19"/>
      <c r="B3880" s="36"/>
    </row>
    <row r="3881" spans="1:2" x14ac:dyDescent="0.3">
      <c r="A3881" s="19"/>
      <c r="B3881" s="36"/>
    </row>
    <row r="3882" spans="1:2" x14ac:dyDescent="0.3">
      <c r="A3882" s="19"/>
      <c r="B3882" s="36"/>
    </row>
    <row r="3883" spans="1:2" x14ac:dyDescent="0.3">
      <c r="A3883" s="19"/>
      <c r="B3883" s="36"/>
    </row>
    <row r="3884" spans="1:2" x14ac:dyDescent="0.3">
      <c r="A3884" s="19"/>
      <c r="B3884" s="36"/>
    </row>
    <row r="3885" spans="1:2" x14ac:dyDescent="0.3">
      <c r="A3885" s="19"/>
      <c r="B3885" s="36"/>
    </row>
    <row r="3886" spans="1:2" x14ac:dyDescent="0.3">
      <c r="A3886" s="19"/>
      <c r="B3886" s="36"/>
    </row>
    <row r="3887" spans="1:2" x14ac:dyDescent="0.3">
      <c r="A3887" s="19"/>
      <c r="B3887" s="36"/>
    </row>
    <row r="3888" spans="1:2" x14ac:dyDescent="0.3">
      <c r="A3888" s="19"/>
      <c r="B3888" s="36"/>
    </row>
    <row r="3889" spans="1:2" x14ac:dyDescent="0.3">
      <c r="A3889" s="19"/>
      <c r="B3889" s="36"/>
    </row>
    <row r="3890" spans="1:2" x14ac:dyDescent="0.3">
      <c r="A3890" s="19"/>
      <c r="B3890" s="36"/>
    </row>
    <row r="3891" spans="1:2" x14ac:dyDescent="0.3">
      <c r="A3891" s="19"/>
      <c r="B3891" s="36"/>
    </row>
    <row r="3892" spans="1:2" x14ac:dyDescent="0.3">
      <c r="A3892" s="19"/>
      <c r="B3892" s="36"/>
    </row>
    <row r="3893" spans="1:2" x14ac:dyDescent="0.3">
      <c r="A3893" s="19"/>
      <c r="B3893" s="36"/>
    </row>
    <row r="3894" spans="1:2" x14ac:dyDescent="0.3">
      <c r="A3894" s="19"/>
      <c r="B3894" s="36"/>
    </row>
    <row r="3895" spans="1:2" x14ac:dyDescent="0.3">
      <c r="A3895" s="19"/>
      <c r="B3895" s="36"/>
    </row>
    <row r="3896" spans="1:2" x14ac:dyDescent="0.3">
      <c r="A3896" s="19"/>
      <c r="B3896" s="36"/>
    </row>
    <row r="3897" spans="1:2" x14ac:dyDescent="0.3">
      <c r="A3897" s="19"/>
      <c r="B3897" s="36"/>
    </row>
    <row r="3898" spans="1:2" x14ac:dyDescent="0.3">
      <c r="A3898" s="19"/>
      <c r="B3898" s="36"/>
    </row>
    <row r="3899" spans="1:2" x14ac:dyDescent="0.3">
      <c r="A3899" s="19"/>
      <c r="B3899" s="36"/>
    </row>
    <row r="3900" spans="1:2" x14ac:dyDescent="0.3">
      <c r="A3900" s="19"/>
      <c r="B3900" s="36"/>
    </row>
    <row r="3901" spans="1:2" x14ac:dyDescent="0.3">
      <c r="A3901" s="19"/>
      <c r="B3901" s="36"/>
    </row>
    <row r="3902" spans="1:2" x14ac:dyDescent="0.3">
      <c r="A3902" s="19"/>
      <c r="B3902" s="36"/>
    </row>
    <row r="3903" spans="1:2" x14ac:dyDescent="0.3">
      <c r="A3903" s="19"/>
      <c r="B3903" s="36"/>
    </row>
    <row r="3904" spans="1:2" x14ac:dyDescent="0.3">
      <c r="A3904" s="19"/>
      <c r="B3904" s="36"/>
    </row>
    <row r="3905" spans="1:2" x14ac:dyDescent="0.3">
      <c r="A3905" s="19"/>
      <c r="B3905" s="36"/>
    </row>
    <row r="3906" spans="1:2" x14ac:dyDescent="0.3">
      <c r="A3906" s="19"/>
      <c r="B3906" s="36"/>
    </row>
    <row r="3907" spans="1:2" x14ac:dyDescent="0.3">
      <c r="A3907" s="19"/>
      <c r="B3907" s="36"/>
    </row>
    <row r="3908" spans="1:2" x14ac:dyDescent="0.3">
      <c r="A3908" s="19"/>
      <c r="B3908" s="36"/>
    </row>
    <row r="3909" spans="1:2" x14ac:dyDescent="0.3">
      <c r="A3909" s="19"/>
      <c r="B3909" s="36"/>
    </row>
    <row r="3910" spans="1:2" x14ac:dyDescent="0.3">
      <c r="A3910" s="19"/>
      <c r="B3910" s="36"/>
    </row>
    <row r="3911" spans="1:2" x14ac:dyDescent="0.3">
      <c r="A3911" s="19"/>
      <c r="B3911" s="36"/>
    </row>
    <row r="3912" spans="1:2" x14ac:dyDescent="0.3">
      <c r="A3912" s="19"/>
      <c r="B3912" s="36"/>
    </row>
    <row r="3913" spans="1:2" x14ac:dyDescent="0.3">
      <c r="A3913" s="19"/>
      <c r="B3913" s="36"/>
    </row>
    <row r="3914" spans="1:2" x14ac:dyDescent="0.3">
      <c r="A3914" s="19"/>
      <c r="B3914" s="36"/>
    </row>
    <row r="3915" spans="1:2" x14ac:dyDescent="0.3">
      <c r="A3915" s="19"/>
      <c r="B3915" s="36"/>
    </row>
    <row r="3916" spans="1:2" x14ac:dyDescent="0.3">
      <c r="A3916" s="19"/>
      <c r="B3916" s="36"/>
    </row>
    <row r="3917" spans="1:2" x14ac:dyDescent="0.3">
      <c r="A3917" s="19"/>
      <c r="B3917" s="36"/>
    </row>
    <row r="3918" spans="1:2" x14ac:dyDescent="0.3">
      <c r="A3918" s="19"/>
      <c r="B3918" s="36"/>
    </row>
    <row r="3919" spans="1:2" x14ac:dyDescent="0.3">
      <c r="A3919" s="19"/>
      <c r="B3919" s="36"/>
    </row>
    <row r="3920" spans="1:2" x14ac:dyDescent="0.3">
      <c r="A3920" s="19"/>
      <c r="B3920" s="36"/>
    </row>
    <row r="3921" spans="1:2" x14ac:dyDescent="0.3">
      <c r="A3921" s="19"/>
      <c r="B3921" s="36"/>
    </row>
    <row r="3922" spans="1:2" x14ac:dyDescent="0.3">
      <c r="A3922" s="19"/>
      <c r="B3922" s="36"/>
    </row>
    <row r="3923" spans="1:2" x14ac:dyDescent="0.3">
      <c r="A3923" s="19"/>
      <c r="B3923" s="36"/>
    </row>
    <row r="3924" spans="1:2" x14ac:dyDescent="0.3">
      <c r="A3924" s="19"/>
      <c r="B3924" s="36"/>
    </row>
    <row r="3925" spans="1:2" x14ac:dyDescent="0.3">
      <c r="A3925" s="19"/>
      <c r="B3925" s="36"/>
    </row>
    <row r="3926" spans="1:2" x14ac:dyDescent="0.3">
      <c r="A3926" s="19"/>
      <c r="B3926" s="36"/>
    </row>
    <row r="3927" spans="1:2" x14ac:dyDescent="0.3">
      <c r="A3927" s="19"/>
      <c r="B3927" s="36"/>
    </row>
    <row r="3928" spans="1:2" x14ac:dyDescent="0.3">
      <c r="A3928" s="19"/>
      <c r="B3928" s="36"/>
    </row>
    <row r="3929" spans="1:2" x14ac:dyDescent="0.3">
      <c r="A3929" s="19"/>
      <c r="B3929" s="36"/>
    </row>
    <row r="3930" spans="1:2" x14ac:dyDescent="0.3">
      <c r="A3930" s="19"/>
      <c r="B3930" s="36"/>
    </row>
    <row r="3931" spans="1:2" x14ac:dyDescent="0.3">
      <c r="A3931" s="19"/>
      <c r="B3931" s="36"/>
    </row>
    <row r="3932" spans="1:2" x14ac:dyDescent="0.3">
      <c r="A3932" s="19"/>
      <c r="B3932" s="36"/>
    </row>
    <row r="3933" spans="1:2" x14ac:dyDescent="0.3">
      <c r="A3933" s="19"/>
      <c r="B3933" s="36"/>
    </row>
    <row r="3934" spans="1:2" x14ac:dyDescent="0.3">
      <c r="A3934" s="19"/>
      <c r="B3934" s="36"/>
    </row>
    <row r="3935" spans="1:2" x14ac:dyDescent="0.3">
      <c r="A3935" s="19"/>
      <c r="B3935" s="36"/>
    </row>
    <row r="3936" spans="1:2" x14ac:dyDescent="0.3">
      <c r="A3936" s="19"/>
      <c r="B3936" s="36"/>
    </row>
    <row r="3937" spans="1:2" x14ac:dyDescent="0.3">
      <c r="A3937" s="19"/>
      <c r="B3937" s="36"/>
    </row>
    <row r="3938" spans="1:2" x14ac:dyDescent="0.3">
      <c r="A3938" s="19"/>
      <c r="B3938" s="36"/>
    </row>
    <row r="3939" spans="1:2" x14ac:dyDescent="0.3">
      <c r="A3939" s="19"/>
      <c r="B3939" s="36"/>
    </row>
    <row r="3940" spans="1:2" x14ac:dyDescent="0.3">
      <c r="A3940" s="19"/>
      <c r="B3940" s="36"/>
    </row>
    <row r="3941" spans="1:2" x14ac:dyDescent="0.3">
      <c r="A3941" s="19"/>
      <c r="B3941" s="36"/>
    </row>
    <row r="3942" spans="1:2" x14ac:dyDescent="0.3">
      <c r="A3942" s="19"/>
      <c r="B3942" s="36"/>
    </row>
    <row r="3943" spans="1:2" x14ac:dyDescent="0.3">
      <c r="A3943" s="19"/>
      <c r="B3943" s="36"/>
    </row>
    <row r="3944" spans="1:2" x14ac:dyDescent="0.3">
      <c r="A3944" s="19"/>
      <c r="B3944" s="36"/>
    </row>
    <row r="3945" spans="1:2" x14ac:dyDescent="0.3">
      <c r="A3945" s="19"/>
      <c r="B3945" s="36"/>
    </row>
    <row r="3946" spans="1:2" x14ac:dyDescent="0.3">
      <c r="A3946" s="19"/>
      <c r="B3946" s="36"/>
    </row>
    <row r="3947" spans="1:2" x14ac:dyDescent="0.3">
      <c r="A3947" s="19"/>
      <c r="B3947" s="36"/>
    </row>
    <row r="3948" spans="1:2" x14ac:dyDescent="0.3">
      <c r="A3948" s="19"/>
      <c r="B3948" s="36"/>
    </row>
    <row r="3949" spans="1:2" x14ac:dyDescent="0.3">
      <c r="A3949" s="19"/>
      <c r="B3949" s="36"/>
    </row>
    <row r="3950" spans="1:2" x14ac:dyDescent="0.3">
      <c r="A3950" s="19"/>
      <c r="B3950" s="36"/>
    </row>
    <row r="3951" spans="1:2" x14ac:dyDescent="0.3">
      <c r="A3951" s="19"/>
      <c r="B3951" s="36"/>
    </row>
    <row r="3952" spans="1:2" x14ac:dyDescent="0.3">
      <c r="A3952" s="19"/>
      <c r="B3952" s="36"/>
    </row>
    <row r="3953" spans="1:2" x14ac:dyDescent="0.3">
      <c r="A3953" s="19"/>
      <c r="B3953" s="36"/>
    </row>
    <row r="3954" spans="1:2" x14ac:dyDescent="0.3">
      <c r="A3954" s="19"/>
      <c r="B3954" s="36"/>
    </row>
    <row r="3955" spans="1:2" x14ac:dyDescent="0.3">
      <c r="A3955" s="19"/>
      <c r="B3955" s="36"/>
    </row>
    <row r="3956" spans="1:2" x14ac:dyDescent="0.3">
      <c r="A3956" s="19"/>
      <c r="B3956" s="36"/>
    </row>
    <row r="3957" spans="1:2" x14ac:dyDescent="0.3">
      <c r="A3957" s="19"/>
      <c r="B3957" s="36"/>
    </row>
    <row r="3958" spans="1:2" x14ac:dyDescent="0.3">
      <c r="A3958" s="19"/>
      <c r="B3958" s="36"/>
    </row>
    <row r="3959" spans="1:2" x14ac:dyDescent="0.3">
      <c r="A3959" s="19"/>
      <c r="B3959" s="36"/>
    </row>
    <row r="3960" spans="1:2" x14ac:dyDescent="0.3">
      <c r="A3960" s="19"/>
      <c r="B3960" s="36"/>
    </row>
    <row r="3961" spans="1:2" x14ac:dyDescent="0.3">
      <c r="A3961" s="19"/>
      <c r="B3961" s="36"/>
    </row>
    <row r="3962" spans="1:2" x14ac:dyDescent="0.3">
      <c r="A3962" s="19"/>
      <c r="B3962" s="36"/>
    </row>
    <row r="3963" spans="1:2" x14ac:dyDescent="0.3">
      <c r="A3963" s="19"/>
      <c r="B3963" s="36"/>
    </row>
    <row r="3964" spans="1:2" x14ac:dyDescent="0.3">
      <c r="A3964" s="19"/>
      <c r="B3964" s="36"/>
    </row>
    <row r="3965" spans="1:2" x14ac:dyDescent="0.3">
      <c r="A3965" s="19"/>
      <c r="B3965" s="36"/>
    </row>
    <row r="3966" spans="1:2" x14ac:dyDescent="0.3">
      <c r="A3966" s="19"/>
      <c r="B3966" s="36"/>
    </row>
    <row r="3967" spans="1:2" x14ac:dyDescent="0.3">
      <c r="A3967" s="19"/>
      <c r="B3967" s="36"/>
    </row>
    <row r="3968" spans="1:2" x14ac:dyDescent="0.3">
      <c r="A3968" s="19"/>
      <c r="B3968" s="36"/>
    </row>
    <row r="3969" spans="1:2" x14ac:dyDescent="0.3">
      <c r="A3969" s="19"/>
      <c r="B3969" s="36"/>
    </row>
    <row r="3970" spans="1:2" x14ac:dyDescent="0.3">
      <c r="A3970" s="19"/>
      <c r="B3970" s="36"/>
    </row>
    <row r="3971" spans="1:2" x14ac:dyDescent="0.3">
      <c r="A3971" s="19"/>
      <c r="B3971" s="36"/>
    </row>
    <row r="3972" spans="1:2" x14ac:dyDescent="0.3">
      <c r="A3972" s="19"/>
      <c r="B3972" s="36"/>
    </row>
    <row r="3973" spans="1:2" x14ac:dyDescent="0.3">
      <c r="A3973" s="19"/>
      <c r="B3973" s="36"/>
    </row>
    <row r="3974" spans="1:2" x14ac:dyDescent="0.3">
      <c r="A3974" s="19"/>
      <c r="B3974" s="36"/>
    </row>
    <row r="3975" spans="1:2" x14ac:dyDescent="0.3">
      <c r="A3975" s="19"/>
      <c r="B3975" s="36"/>
    </row>
    <row r="3976" spans="1:2" x14ac:dyDescent="0.3">
      <c r="A3976" s="19"/>
      <c r="B3976" s="36"/>
    </row>
    <row r="3977" spans="1:2" x14ac:dyDescent="0.3">
      <c r="A3977" s="19"/>
      <c r="B3977" s="36"/>
    </row>
    <row r="3978" spans="1:2" x14ac:dyDescent="0.3">
      <c r="A3978" s="19"/>
      <c r="B3978" s="36"/>
    </row>
    <row r="3979" spans="1:2" x14ac:dyDescent="0.3">
      <c r="A3979" s="19"/>
      <c r="B3979" s="36"/>
    </row>
    <row r="3980" spans="1:2" x14ac:dyDescent="0.3">
      <c r="A3980" s="19"/>
      <c r="B3980" s="36"/>
    </row>
    <row r="3981" spans="1:2" x14ac:dyDescent="0.3">
      <c r="A3981" s="19"/>
      <c r="B3981" s="36"/>
    </row>
    <row r="3982" spans="1:2" x14ac:dyDescent="0.3">
      <c r="A3982" s="19"/>
      <c r="B3982" s="36"/>
    </row>
    <row r="3983" spans="1:2" x14ac:dyDescent="0.3">
      <c r="A3983" s="19"/>
      <c r="B3983" s="36"/>
    </row>
    <row r="3984" spans="1:2" x14ac:dyDescent="0.3">
      <c r="A3984" s="19"/>
      <c r="B3984" s="36"/>
    </row>
    <row r="3985" spans="1:2" x14ac:dyDescent="0.3">
      <c r="A3985" s="19"/>
      <c r="B3985" s="36"/>
    </row>
    <row r="3986" spans="1:2" x14ac:dyDescent="0.3">
      <c r="A3986" s="19"/>
      <c r="B3986" s="36"/>
    </row>
    <row r="3987" spans="1:2" x14ac:dyDescent="0.3">
      <c r="A3987" s="19"/>
      <c r="B3987" s="36"/>
    </row>
    <row r="3988" spans="1:2" x14ac:dyDescent="0.3">
      <c r="A3988" s="19"/>
      <c r="B3988" s="36"/>
    </row>
    <row r="3989" spans="1:2" x14ac:dyDescent="0.3">
      <c r="A3989" s="19"/>
      <c r="B3989" s="36"/>
    </row>
    <row r="3990" spans="1:2" x14ac:dyDescent="0.3">
      <c r="A3990" s="19"/>
      <c r="B3990" s="36"/>
    </row>
    <row r="3991" spans="1:2" x14ac:dyDescent="0.3">
      <c r="A3991" s="19"/>
      <c r="B3991" s="36"/>
    </row>
    <row r="3992" spans="1:2" x14ac:dyDescent="0.3">
      <c r="A3992" s="19"/>
      <c r="B3992" s="36"/>
    </row>
    <row r="3993" spans="1:2" x14ac:dyDescent="0.3">
      <c r="A3993" s="19"/>
      <c r="B3993" s="36"/>
    </row>
    <row r="3994" spans="1:2" x14ac:dyDescent="0.3">
      <c r="A3994" s="19"/>
      <c r="B3994" s="36"/>
    </row>
    <row r="3995" spans="1:2" x14ac:dyDescent="0.3">
      <c r="A3995" s="19"/>
      <c r="B3995" s="36"/>
    </row>
    <row r="3996" spans="1:2" x14ac:dyDescent="0.3">
      <c r="A3996" s="19"/>
      <c r="B3996" s="36"/>
    </row>
    <row r="3997" spans="1:2" x14ac:dyDescent="0.3">
      <c r="A3997" s="19"/>
      <c r="B3997" s="36"/>
    </row>
    <row r="3998" spans="1:2" x14ac:dyDescent="0.3">
      <c r="A3998" s="19"/>
      <c r="B3998" s="36"/>
    </row>
    <row r="3999" spans="1:2" x14ac:dyDescent="0.3">
      <c r="A3999" s="19"/>
      <c r="B3999" s="36"/>
    </row>
    <row r="4000" spans="1:2" x14ac:dyDescent="0.3">
      <c r="A4000" s="19"/>
      <c r="B4000" s="36"/>
    </row>
    <row r="4001" spans="1:2" x14ac:dyDescent="0.3">
      <c r="A4001" s="19"/>
      <c r="B4001" s="36"/>
    </row>
    <row r="4002" spans="1:2" x14ac:dyDescent="0.3">
      <c r="A4002" s="19"/>
      <c r="B4002" s="36"/>
    </row>
    <row r="4003" spans="1:2" x14ac:dyDescent="0.3">
      <c r="A4003" s="19"/>
      <c r="B4003" s="36"/>
    </row>
    <row r="4004" spans="1:2" x14ac:dyDescent="0.3">
      <c r="A4004" s="19"/>
      <c r="B4004" s="36"/>
    </row>
    <row r="4005" spans="1:2" x14ac:dyDescent="0.3">
      <c r="A4005" s="19"/>
      <c r="B4005" s="36"/>
    </row>
    <row r="4006" spans="1:2" x14ac:dyDescent="0.3">
      <c r="A4006" s="19"/>
      <c r="B4006" s="36"/>
    </row>
    <row r="4007" spans="1:2" x14ac:dyDescent="0.3">
      <c r="A4007" s="19"/>
      <c r="B4007" s="36"/>
    </row>
    <row r="4008" spans="1:2" x14ac:dyDescent="0.3">
      <c r="A4008" s="19"/>
      <c r="B4008" s="36"/>
    </row>
    <row r="4009" spans="1:2" x14ac:dyDescent="0.3">
      <c r="A4009" s="19"/>
      <c r="B4009" s="36"/>
    </row>
    <row r="4010" spans="1:2" x14ac:dyDescent="0.3">
      <c r="A4010" s="19"/>
      <c r="B4010" s="36"/>
    </row>
    <row r="4011" spans="1:2" x14ac:dyDescent="0.3">
      <c r="A4011" s="19"/>
      <c r="B4011" s="36"/>
    </row>
    <row r="4012" spans="1:2" x14ac:dyDescent="0.3">
      <c r="A4012" s="19"/>
      <c r="B4012" s="36"/>
    </row>
    <row r="4013" spans="1:2" x14ac:dyDescent="0.3">
      <c r="A4013" s="19"/>
      <c r="B4013" s="36"/>
    </row>
    <row r="4014" spans="1:2" x14ac:dyDescent="0.3">
      <c r="A4014" s="19"/>
      <c r="B4014" s="36"/>
    </row>
    <row r="4015" spans="1:2" x14ac:dyDescent="0.3">
      <c r="A4015" s="19"/>
      <c r="B4015" s="36"/>
    </row>
    <row r="4016" spans="1:2" x14ac:dyDescent="0.3">
      <c r="A4016" s="19"/>
      <c r="B4016" s="36"/>
    </row>
    <row r="4017" spans="1:2" x14ac:dyDescent="0.3">
      <c r="A4017" s="19"/>
      <c r="B4017" s="36"/>
    </row>
    <row r="4018" spans="1:2" x14ac:dyDescent="0.3">
      <c r="A4018" s="19"/>
      <c r="B4018" s="36"/>
    </row>
    <row r="4019" spans="1:2" x14ac:dyDescent="0.3">
      <c r="A4019" s="19"/>
      <c r="B4019" s="36"/>
    </row>
    <row r="4020" spans="1:2" x14ac:dyDescent="0.3">
      <c r="A4020" s="19"/>
      <c r="B4020" s="36"/>
    </row>
    <row r="4021" spans="1:2" x14ac:dyDescent="0.3">
      <c r="A4021" s="19"/>
      <c r="B4021" s="36"/>
    </row>
    <row r="4022" spans="1:2" x14ac:dyDescent="0.3">
      <c r="A4022" s="19"/>
      <c r="B4022" s="36"/>
    </row>
    <row r="4023" spans="1:2" x14ac:dyDescent="0.3">
      <c r="A4023" s="19"/>
      <c r="B4023" s="36"/>
    </row>
    <row r="4024" spans="1:2" x14ac:dyDescent="0.3">
      <c r="A4024" s="19"/>
      <c r="B4024" s="36"/>
    </row>
    <row r="4025" spans="1:2" x14ac:dyDescent="0.3">
      <c r="A4025" s="19"/>
      <c r="B4025" s="36"/>
    </row>
    <row r="4026" spans="1:2" x14ac:dyDescent="0.3">
      <c r="A4026" s="19"/>
      <c r="B4026" s="36"/>
    </row>
    <row r="4027" spans="1:2" x14ac:dyDescent="0.3">
      <c r="A4027" s="19"/>
      <c r="B4027" s="36"/>
    </row>
    <row r="4028" spans="1:2" x14ac:dyDescent="0.3">
      <c r="A4028" s="19"/>
      <c r="B4028" s="36"/>
    </row>
    <row r="4029" spans="1:2" x14ac:dyDescent="0.3">
      <c r="A4029" s="19"/>
      <c r="B4029" s="36"/>
    </row>
    <row r="4030" spans="1:2" x14ac:dyDescent="0.3">
      <c r="A4030" s="19"/>
      <c r="B4030" s="36"/>
    </row>
    <row r="4031" spans="1:2" x14ac:dyDescent="0.3">
      <c r="A4031" s="19"/>
      <c r="B4031" s="36"/>
    </row>
    <row r="4032" spans="1:2" x14ac:dyDescent="0.3">
      <c r="A4032" s="19"/>
      <c r="B4032" s="36"/>
    </row>
    <row r="4033" spans="1:2" x14ac:dyDescent="0.3">
      <c r="A4033" s="19"/>
      <c r="B4033" s="36"/>
    </row>
    <row r="4034" spans="1:2" x14ac:dyDescent="0.3">
      <c r="A4034" s="19"/>
      <c r="B4034" s="36"/>
    </row>
    <row r="4035" spans="1:2" x14ac:dyDescent="0.3">
      <c r="A4035" s="19"/>
      <c r="B4035" s="36"/>
    </row>
    <row r="4036" spans="1:2" x14ac:dyDescent="0.3">
      <c r="A4036" s="19"/>
      <c r="B4036" s="36"/>
    </row>
    <row r="4037" spans="1:2" x14ac:dyDescent="0.3">
      <c r="A4037" s="19"/>
      <c r="B4037" s="36"/>
    </row>
    <row r="4038" spans="1:2" x14ac:dyDescent="0.3">
      <c r="A4038" s="19"/>
      <c r="B4038" s="36"/>
    </row>
    <row r="4039" spans="1:2" x14ac:dyDescent="0.3">
      <c r="A4039" s="19"/>
      <c r="B4039" s="36"/>
    </row>
    <row r="4040" spans="1:2" x14ac:dyDescent="0.3">
      <c r="A4040" s="19"/>
      <c r="B4040" s="36"/>
    </row>
    <row r="4041" spans="1:2" x14ac:dyDescent="0.3">
      <c r="A4041" s="19"/>
      <c r="B4041" s="36"/>
    </row>
    <row r="4042" spans="1:2" x14ac:dyDescent="0.3">
      <c r="A4042" s="19"/>
      <c r="B4042" s="36"/>
    </row>
    <row r="4043" spans="1:2" x14ac:dyDescent="0.3">
      <c r="A4043" s="19"/>
      <c r="B4043" s="36"/>
    </row>
    <row r="4044" spans="1:2" x14ac:dyDescent="0.3">
      <c r="A4044" s="19"/>
      <c r="B4044" s="36"/>
    </row>
    <row r="4045" spans="1:2" x14ac:dyDescent="0.3">
      <c r="A4045" s="19"/>
      <c r="B4045" s="36"/>
    </row>
    <row r="4046" spans="1:2" x14ac:dyDescent="0.3">
      <c r="A4046" s="19"/>
      <c r="B4046" s="36"/>
    </row>
    <row r="4047" spans="1:2" x14ac:dyDescent="0.3">
      <c r="A4047" s="19"/>
      <c r="B4047" s="36"/>
    </row>
    <row r="4048" spans="1:2" x14ac:dyDescent="0.3">
      <c r="A4048" s="19"/>
      <c r="B4048" s="36"/>
    </row>
    <row r="4049" spans="1:2" x14ac:dyDescent="0.3">
      <c r="A4049" s="19"/>
      <c r="B4049" s="36"/>
    </row>
    <row r="4050" spans="1:2" x14ac:dyDescent="0.3">
      <c r="A4050" s="19"/>
      <c r="B4050" s="36"/>
    </row>
    <row r="4051" spans="1:2" x14ac:dyDescent="0.3">
      <c r="A4051" s="19"/>
      <c r="B4051" s="36"/>
    </row>
    <row r="4052" spans="1:2" x14ac:dyDescent="0.3">
      <c r="A4052" s="19"/>
      <c r="B4052" s="36"/>
    </row>
    <row r="4053" spans="1:2" x14ac:dyDescent="0.3">
      <c r="A4053" s="19"/>
      <c r="B4053" s="36"/>
    </row>
    <row r="4054" spans="1:2" x14ac:dyDescent="0.3">
      <c r="A4054" s="19"/>
      <c r="B4054" s="36"/>
    </row>
    <row r="4055" spans="1:2" x14ac:dyDescent="0.3">
      <c r="A4055" s="19"/>
      <c r="B4055" s="36"/>
    </row>
    <row r="4056" spans="1:2" x14ac:dyDescent="0.3">
      <c r="A4056" s="19"/>
      <c r="B4056" s="36"/>
    </row>
    <row r="4057" spans="1:2" x14ac:dyDescent="0.3">
      <c r="A4057" s="19"/>
      <c r="B4057" s="36"/>
    </row>
    <row r="4058" spans="1:2" x14ac:dyDescent="0.3">
      <c r="A4058" s="19"/>
      <c r="B4058" s="36"/>
    </row>
    <row r="4059" spans="1:2" x14ac:dyDescent="0.3">
      <c r="A4059" s="19"/>
      <c r="B4059" s="36"/>
    </row>
    <row r="4060" spans="1:2" x14ac:dyDescent="0.3">
      <c r="A4060" s="19"/>
      <c r="B4060" s="36"/>
    </row>
    <row r="4061" spans="1:2" x14ac:dyDescent="0.3">
      <c r="A4061" s="19"/>
      <c r="B4061" s="36"/>
    </row>
    <row r="4062" spans="1:2" x14ac:dyDescent="0.3">
      <c r="A4062" s="19"/>
      <c r="B4062" s="36"/>
    </row>
    <row r="4063" spans="1:2" x14ac:dyDescent="0.3">
      <c r="A4063" s="19"/>
      <c r="B4063" s="36"/>
    </row>
    <row r="4064" spans="1:2" x14ac:dyDescent="0.3">
      <c r="A4064" s="19"/>
      <c r="B4064" s="36"/>
    </row>
    <row r="4065" spans="1:2" x14ac:dyDescent="0.3">
      <c r="A4065" s="19"/>
      <c r="B4065" s="36"/>
    </row>
    <row r="4066" spans="1:2" x14ac:dyDescent="0.3">
      <c r="A4066" s="19"/>
      <c r="B4066" s="36"/>
    </row>
    <row r="4067" spans="1:2" x14ac:dyDescent="0.3">
      <c r="A4067" s="19"/>
      <c r="B4067" s="36"/>
    </row>
    <row r="4068" spans="1:2" x14ac:dyDescent="0.3">
      <c r="A4068" s="19"/>
      <c r="B4068" s="36"/>
    </row>
    <row r="4069" spans="1:2" x14ac:dyDescent="0.3">
      <c r="A4069" s="19"/>
      <c r="B4069" s="36"/>
    </row>
    <row r="4070" spans="1:2" x14ac:dyDescent="0.3">
      <c r="A4070" s="19"/>
      <c r="B4070" s="36"/>
    </row>
    <row r="4071" spans="1:2" x14ac:dyDescent="0.3">
      <c r="A4071" s="19"/>
      <c r="B4071" s="36"/>
    </row>
    <row r="4072" spans="1:2" x14ac:dyDescent="0.3">
      <c r="A4072" s="19"/>
      <c r="B4072" s="36"/>
    </row>
    <row r="4073" spans="1:2" x14ac:dyDescent="0.3">
      <c r="A4073" s="19"/>
      <c r="B4073" s="36"/>
    </row>
    <row r="4074" spans="1:2" x14ac:dyDescent="0.3">
      <c r="A4074" s="19"/>
      <c r="B4074" s="36"/>
    </row>
    <row r="4075" spans="1:2" x14ac:dyDescent="0.3">
      <c r="A4075" s="19"/>
      <c r="B4075" s="36"/>
    </row>
    <row r="4076" spans="1:2" x14ac:dyDescent="0.3">
      <c r="A4076" s="19"/>
      <c r="B4076" s="36"/>
    </row>
    <row r="4077" spans="1:2" x14ac:dyDescent="0.3">
      <c r="A4077" s="19"/>
      <c r="B4077" s="36"/>
    </row>
    <row r="4078" spans="1:2" x14ac:dyDescent="0.3">
      <c r="A4078" s="19"/>
      <c r="B4078" s="36"/>
    </row>
    <row r="4079" spans="1:2" x14ac:dyDescent="0.3">
      <c r="A4079" s="19"/>
      <c r="B4079" s="36"/>
    </row>
    <row r="4080" spans="1:2" x14ac:dyDescent="0.3">
      <c r="A4080" s="19"/>
      <c r="B4080" s="36"/>
    </row>
    <row r="4081" spans="1:2" x14ac:dyDescent="0.3">
      <c r="A4081" s="19"/>
      <c r="B4081" s="36"/>
    </row>
    <row r="4082" spans="1:2" x14ac:dyDescent="0.3">
      <c r="A4082" s="19"/>
      <c r="B4082" s="36"/>
    </row>
    <row r="4083" spans="1:2" x14ac:dyDescent="0.3">
      <c r="A4083" s="19"/>
      <c r="B4083" s="36"/>
    </row>
    <row r="4084" spans="1:2" x14ac:dyDescent="0.3">
      <c r="A4084" s="19"/>
      <c r="B4084" s="36"/>
    </row>
    <row r="4085" spans="1:2" x14ac:dyDescent="0.3">
      <c r="A4085" s="19"/>
      <c r="B4085" s="36"/>
    </row>
    <row r="4086" spans="1:2" x14ac:dyDescent="0.3">
      <c r="A4086" s="19"/>
      <c r="B4086" s="36"/>
    </row>
    <row r="4087" spans="1:2" x14ac:dyDescent="0.3">
      <c r="A4087" s="19"/>
      <c r="B4087" s="36"/>
    </row>
    <row r="4088" spans="1:2" x14ac:dyDescent="0.3">
      <c r="A4088" s="19"/>
      <c r="B4088" s="36"/>
    </row>
    <row r="4089" spans="1:2" x14ac:dyDescent="0.3">
      <c r="A4089" s="19"/>
      <c r="B4089" s="36"/>
    </row>
    <row r="4090" spans="1:2" x14ac:dyDescent="0.3">
      <c r="A4090" s="19"/>
      <c r="B4090" s="36"/>
    </row>
    <row r="4091" spans="1:2" x14ac:dyDescent="0.3">
      <c r="A4091" s="19"/>
      <c r="B4091" s="36"/>
    </row>
    <row r="4092" spans="1:2" x14ac:dyDescent="0.3">
      <c r="A4092" s="19"/>
      <c r="B4092" s="36"/>
    </row>
    <row r="4093" spans="1:2" x14ac:dyDescent="0.3">
      <c r="A4093" s="19"/>
      <c r="B4093" s="36"/>
    </row>
    <row r="4094" spans="1:2" x14ac:dyDescent="0.3">
      <c r="A4094" s="19"/>
      <c r="B4094" s="36"/>
    </row>
    <row r="4095" spans="1:2" x14ac:dyDescent="0.3">
      <c r="A4095" s="19"/>
      <c r="B4095" s="36"/>
    </row>
    <row r="4096" spans="1:2" x14ac:dyDescent="0.3">
      <c r="A4096" s="19"/>
      <c r="B4096" s="36"/>
    </row>
    <row r="4097" spans="1:2" x14ac:dyDescent="0.3">
      <c r="A4097" s="19"/>
      <c r="B4097" s="36"/>
    </row>
    <row r="4098" spans="1:2" x14ac:dyDescent="0.3">
      <c r="A4098" s="19"/>
      <c r="B4098" s="36"/>
    </row>
    <row r="4099" spans="1:2" x14ac:dyDescent="0.3">
      <c r="A4099" s="19"/>
      <c r="B4099" s="36"/>
    </row>
    <row r="4100" spans="1:2" x14ac:dyDescent="0.3">
      <c r="A4100" s="19"/>
      <c r="B4100" s="36"/>
    </row>
    <row r="4101" spans="1:2" x14ac:dyDescent="0.3">
      <c r="A4101" s="19"/>
      <c r="B4101" s="36"/>
    </row>
    <row r="4102" spans="1:2" x14ac:dyDescent="0.3">
      <c r="A4102" s="19"/>
      <c r="B4102" s="36"/>
    </row>
    <row r="4103" spans="1:2" x14ac:dyDescent="0.3">
      <c r="A4103" s="19"/>
      <c r="B4103" s="36"/>
    </row>
    <row r="4104" spans="1:2" x14ac:dyDescent="0.3">
      <c r="A4104" s="19"/>
      <c r="B4104" s="36"/>
    </row>
    <row r="4105" spans="1:2" x14ac:dyDescent="0.3">
      <c r="A4105" s="19"/>
      <c r="B4105" s="36"/>
    </row>
    <row r="4106" spans="1:2" x14ac:dyDescent="0.3">
      <c r="A4106" s="19"/>
      <c r="B4106" s="36"/>
    </row>
    <row r="4107" spans="1:2" x14ac:dyDescent="0.3">
      <c r="A4107" s="19"/>
      <c r="B4107" s="36"/>
    </row>
    <row r="4108" spans="1:2" x14ac:dyDescent="0.3">
      <c r="A4108" s="19"/>
      <c r="B4108" s="36"/>
    </row>
    <row r="4109" spans="1:2" x14ac:dyDescent="0.3">
      <c r="A4109" s="19"/>
      <c r="B4109" s="36"/>
    </row>
    <row r="4110" spans="1:2" x14ac:dyDescent="0.3">
      <c r="A4110" s="19"/>
      <c r="B4110" s="36"/>
    </row>
    <row r="4111" spans="1:2" x14ac:dyDescent="0.3">
      <c r="A4111" s="19"/>
      <c r="B4111" s="36"/>
    </row>
    <row r="4112" spans="1:2" x14ac:dyDescent="0.3">
      <c r="A4112" s="19"/>
      <c r="B4112" s="36"/>
    </row>
    <row r="4113" spans="1:2" x14ac:dyDescent="0.3">
      <c r="A4113" s="19"/>
      <c r="B4113" s="36"/>
    </row>
    <row r="4114" spans="1:2" x14ac:dyDescent="0.3">
      <c r="A4114" s="19"/>
      <c r="B4114" s="36"/>
    </row>
    <row r="4115" spans="1:2" x14ac:dyDescent="0.3">
      <c r="A4115" s="19"/>
      <c r="B4115" s="36"/>
    </row>
    <row r="4116" spans="1:2" x14ac:dyDescent="0.3">
      <c r="A4116" s="19"/>
      <c r="B4116" s="36"/>
    </row>
    <row r="4117" spans="1:2" x14ac:dyDescent="0.3">
      <c r="A4117" s="19"/>
      <c r="B4117" s="36"/>
    </row>
    <row r="4118" spans="1:2" x14ac:dyDescent="0.3">
      <c r="A4118" s="19"/>
      <c r="B4118" s="36"/>
    </row>
    <row r="4119" spans="1:2" x14ac:dyDescent="0.3">
      <c r="A4119" s="19"/>
      <c r="B4119" s="36"/>
    </row>
    <row r="4120" spans="1:2" x14ac:dyDescent="0.3">
      <c r="A4120" s="19"/>
      <c r="B4120" s="36"/>
    </row>
    <row r="4121" spans="1:2" x14ac:dyDescent="0.3">
      <c r="A4121" s="19"/>
      <c r="B4121" s="36"/>
    </row>
    <row r="4122" spans="1:2" x14ac:dyDescent="0.3">
      <c r="A4122" s="19"/>
      <c r="B4122" s="36"/>
    </row>
    <row r="4123" spans="1:2" x14ac:dyDescent="0.3">
      <c r="A4123" s="19"/>
      <c r="B4123" s="36"/>
    </row>
    <row r="4124" spans="1:2" x14ac:dyDescent="0.3">
      <c r="A4124" s="19"/>
      <c r="B4124" s="36"/>
    </row>
    <row r="4125" spans="1:2" x14ac:dyDescent="0.3">
      <c r="A4125" s="19"/>
      <c r="B4125" s="36"/>
    </row>
    <row r="4126" spans="1:2" x14ac:dyDescent="0.3">
      <c r="A4126" s="19"/>
      <c r="B4126" s="36"/>
    </row>
    <row r="4127" spans="1:2" x14ac:dyDescent="0.3">
      <c r="A4127" s="19"/>
      <c r="B4127" s="36"/>
    </row>
    <row r="4128" spans="1:2" x14ac:dyDescent="0.3">
      <c r="A4128" s="19"/>
      <c r="B4128" s="36"/>
    </row>
    <row r="4129" spans="1:2" x14ac:dyDescent="0.3">
      <c r="A4129" s="19"/>
      <c r="B4129" s="36"/>
    </row>
    <row r="4130" spans="1:2" x14ac:dyDescent="0.3">
      <c r="A4130" s="19"/>
      <c r="B4130" s="36"/>
    </row>
    <row r="4131" spans="1:2" x14ac:dyDescent="0.3">
      <c r="A4131" s="19"/>
      <c r="B4131" s="36"/>
    </row>
    <row r="4132" spans="1:2" x14ac:dyDescent="0.3">
      <c r="A4132" s="19"/>
      <c r="B4132" s="36"/>
    </row>
    <row r="4133" spans="1:2" x14ac:dyDescent="0.3">
      <c r="A4133" s="19"/>
      <c r="B4133" s="36"/>
    </row>
    <row r="4134" spans="1:2" x14ac:dyDescent="0.3">
      <c r="A4134" s="19"/>
      <c r="B4134" s="36"/>
    </row>
    <row r="4135" spans="1:2" x14ac:dyDescent="0.3">
      <c r="A4135" s="19"/>
      <c r="B4135" s="36"/>
    </row>
    <row r="4136" spans="1:2" x14ac:dyDescent="0.3">
      <c r="A4136" s="19"/>
      <c r="B4136" s="36"/>
    </row>
    <row r="4137" spans="1:2" x14ac:dyDescent="0.3">
      <c r="A4137" s="19"/>
      <c r="B4137" s="36"/>
    </row>
    <row r="4138" spans="1:2" x14ac:dyDescent="0.3">
      <c r="A4138" s="19"/>
      <c r="B4138" s="36"/>
    </row>
    <row r="4139" spans="1:2" x14ac:dyDescent="0.3">
      <c r="A4139" s="19"/>
      <c r="B4139" s="36"/>
    </row>
    <row r="4140" spans="1:2" x14ac:dyDescent="0.3">
      <c r="A4140" s="19"/>
      <c r="B4140" s="36"/>
    </row>
    <row r="4141" spans="1:2" x14ac:dyDescent="0.3">
      <c r="A4141" s="19"/>
      <c r="B4141" s="36"/>
    </row>
    <row r="4142" spans="1:2" x14ac:dyDescent="0.3">
      <c r="A4142" s="19"/>
      <c r="B4142" s="36"/>
    </row>
    <row r="4143" spans="1:2" x14ac:dyDescent="0.3">
      <c r="A4143" s="19"/>
      <c r="B4143" s="36"/>
    </row>
    <row r="4144" spans="1:2" x14ac:dyDescent="0.3">
      <c r="A4144" s="19"/>
      <c r="B4144" s="36"/>
    </row>
    <row r="4145" spans="1:2" x14ac:dyDescent="0.3">
      <c r="A4145" s="19"/>
      <c r="B4145" s="36"/>
    </row>
    <row r="4146" spans="1:2" x14ac:dyDescent="0.3">
      <c r="A4146" s="19"/>
      <c r="B4146" s="36"/>
    </row>
    <row r="4147" spans="1:2" x14ac:dyDescent="0.3">
      <c r="A4147" s="19"/>
      <c r="B4147" s="36"/>
    </row>
    <row r="4148" spans="1:2" x14ac:dyDescent="0.3">
      <c r="A4148" s="19"/>
      <c r="B4148" s="36"/>
    </row>
    <row r="4149" spans="1:2" x14ac:dyDescent="0.3">
      <c r="A4149" s="19"/>
      <c r="B4149" s="36"/>
    </row>
    <row r="4150" spans="1:2" x14ac:dyDescent="0.3">
      <c r="A4150" s="19"/>
      <c r="B4150" s="36"/>
    </row>
    <row r="4151" spans="1:2" x14ac:dyDescent="0.3">
      <c r="A4151" s="19"/>
      <c r="B4151" s="36"/>
    </row>
    <row r="4152" spans="1:2" x14ac:dyDescent="0.3">
      <c r="A4152" s="19"/>
      <c r="B4152" s="36"/>
    </row>
    <row r="4153" spans="1:2" x14ac:dyDescent="0.3">
      <c r="A4153" s="19"/>
      <c r="B4153" s="36"/>
    </row>
    <row r="4154" spans="1:2" x14ac:dyDescent="0.3">
      <c r="A4154" s="19"/>
      <c r="B4154" s="36"/>
    </row>
    <row r="4155" spans="1:2" x14ac:dyDescent="0.3">
      <c r="A4155" s="19"/>
      <c r="B4155" s="36"/>
    </row>
    <row r="4156" spans="1:2" x14ac:dyDescent="0.3">
      <c r="A4156" s="19"/>
      <c r="B4156" s="36"/>
    </row>
    <row r="4157" spans="1:2" x14ac:dyDescent="0.3">
      <c r="A4157" s="19"/>
      <c r="B4157" s="36"/>
    </row>
    <row r="4158" spans="1:2" x14ac:dyDescent="0.3">
      <c r="A4158" s="19"/>
      <c r="B4158" s="36"/>
    </row>
    <row r="4159" spans="1:2" x14ac:dyDescent="0.3">
      <c r="A4159" s="19"/>
      <c r="B4159" s="36"/>
    </row>
    <row r="4160" spans="1:2" x14ac:dyDescent="0.3">
      <c r="A4160" s="19"/>
      <c r="B4160" s="36"/>
    </row>
    <row r="4161" spans="1:2" x14ac:dyDescent="0.3">
      <c r="A4161" s="19"/>
      <c r="B4161" s="36"/>
    </row>
    <row r="4162" spans="1:2" x14ac:dyDescent="0.3">
      <c r="A4162" s="19"/>
      <c r="B4162" s="36"/>
    </row>
    <row r="4163" spans="1:2" x14ac:dyDescent="0.3">
      <c r="A4163" s="19"/>
      <c r="B4163" s="36"/>
    </row>
    <row r="4164" spans="1:2" x14ac:dyDescent="0.3">
      <c r="A4164" s="19"/>
      <c r="B4164" s="36"/>
    </row>
    <row r="4165" spans="1:2" x14ac:dyDescent="0.3">
      <c r="A4165" s="19"/>
      <c r="B4165" s="36"/>
    </row>
    <row r="4166" spans="1:2" x14ac:dyDescent="0.3">
      <c r="A4166" s="19"/>
      <c r="B4166" s="36"/>
    </row>
    <row r="4167" spans="1:2" x14ac:dyDescent="0.3">
      <c r="A4167" s="19"/>
      <c r="B4167" s="36"/>
    </row>
    <row r="4168" spans="1:2" x14ac:dyDescent="0.3">
      <c r="A4168" s="19"/>
      <c r="B4168" s="36"/>
    </row>
    <row r="4169" spans="1:2" x14ac:dyDescent="0.3">
      <c r="A4169" s="19"/>
      <c r="B4169" s="36"/>
    </row>
    <row r="4170" spans="1:2" x14ac:dyDescent="0.3">
      <c r="A4170" s="19"/>
      <c r="B4170" s="36"/>
    </row>
    <row r="4171" spans="1:2" x14ac:dyDescent="0.3">
      <c r="A4171" s="19"/>
      <c r="B4171" s="36"/>
    </row>
    <row r="4172" spans="1:2" x14ac:dyDescent="0.3">
      <c r="A4172" s="19"/>
      <c r="B4172" s="36"/>
    </row>
    <row r="4173" spans="1:2" x14ac:dyDescent="0.3">
      <c r="A4173" s="19"/>
      <c r="B4173" s="36"/>
    </row>
    <row r="4174" spans="1:2" x14ac:dyDescent="0.3">
      <c r="A4174" s="19"/>
      <c r="B4174" s="36"/>
    </row>
    <row r="4175" spans="1:2" x14ac:dyDescent="0.3">
      <c r="A4175" s="19"/>
      <c r="B4175" s="36"/>
    </row>
    <row r="4176" spans="1:2" x14ac:dyDescent="0.3">
      <c r="A4176" s="19"/>
      <c r="B4176" s="36"/>
    </row>
    <row r="4177" spans="1:2" x14ac:dyDescent="0.3">
      <c r="A4177" s="19"/>
      <c r="B4177" s="36"/>
    </row>
    <row r="4178" spans="1:2" x14ac:dyDescent="0.3">
      <c r="A4178" s="19"/>
      <c r="B4178" s="36"/>
    </row>
    <row r="4179" spans="1:2" x14ac:dyDescent="0.3">
      <c r="A4179" s="19"/>
      <c r="B4179" s="36"/>
    </row>
    <row r="4180" spans="1:2" x14ac:dyDescent="0.3">
      <c r="A4180" s="19"/>
      <c r="B4180" s="36"/>
    </row>
    <row r="4181" spans="1:2" x14ac:dyDescent="0.3">
      <c r="A4181" s="19"/>
      <c r="B4181" s="36"/>
    </row>
    <row r="4182" spans="1:2" x14ac:dyDescent="0.3">
      <c r="A4182" s="19"/>
      <c r="B4182" s="36"/>
    </row>
    <row r="4183" spans="1:2" x14ac:dyDescent="0.3">
      <c r="A4183" s="19"/>
      <c r="B4183" s="36"/>
    </row>
    <row r="4184" spans="1:2" x14ac:dyDescent="0.3">
      <c r="A4184" s="19"/>
      <c r="B4184" s="36"/>
    </row>
    <row r="4185" spans="1:2" x14ac:dyDescent="0.3">
      <c r="A4185" s="19"/>
      <c r="B4185" s="36"/>
    </row>
    <row r="4186" spans="1:2" x14ac:dyDescent="0.3">
      <c r="A4186" s="19"/>
      <c r="B4186" s="36"/>
    </row>
    <row r="4187" spans="1:2" x14ac:dyDescent="0.3">
      <c r="A4187" s="19"/>
      <c r="B4187" s="36"/>
    </row>
    <row r="4188" spans="1:2" x14ac:dyDescent="0.3">
      <c r="A4188" s="19"/>
      <c r="B4188" s="36"/>
    </row>
    <row r="4189" spans="1:2" x14ac:dyDescent="0.3">
      <c r="A4189" s="19"/>
      <c r="B4189" s="36"/>
    </row>
    <row r="4190" spans="1:2" x14ac:dyDescent="0.3">
      <c r="A4190" s="19"/>
      <c r="B4190" s="36"/>
    </row>
    <row r="4191" spans="1:2" x14ac:dyDescent="0.3">
      <c r="A4191" s="19"/>
      <c r="B4191" s="36"/>
    </row>
    <row r="4192" spans="1:2" x14ac:dyDescent="0.3">
      <c r="A4192" s="19"/>
      <c r="B4192" s="36"/>
    </row>
    <row r="4193" spans="1:2" x14ac:dyDescent="0.3">
      <c r="A4193" s="19"/>
      <c r="B4193" s="36"/>
    </row>
    <row r="4194" spans="1:2" x14ac:dyDescent="0.3">
      <c r="A4194" s="19"/>
      <c r="B4194" s="36"/>
    </row>
    <row r="4195" spans="1:2" x14ac:dyDescent="0.3">
      <c r="A4195" s="19"/>
      <c r="B4195" s="36"/>
    </row>
    <row r="4196" spans="1:2" x14ac:dyDescent="0.3">
      <c r="A4196" s="19"/>
      <c r="B4196" s="36"/>
    </row>
    <row r="4197" spans="1:2" x14ac:dyDescent="0.3">
      <c r="A4197" s="19"/>
      <c r="B4197" s="36"/>
    </row>
    <row r="4198" spans="1:2" x14ac:dyDescent="0.3">
      <c r="A4198" s="19"/>
      <c r="B4198" s="36"/>
    </row>
    <row r="4199" spans="1:2" x14ac:dyDescent="0.3">
      <c r="A4199" s="19"/>
      <c r="B4199" s="36"/>
    </row>
    <row r="4200" spans="1:2" x14ac:dyDescent="0.3">
      <c r="A4200" s="19"/>
      <c r="B4200" s="36"/>
    </row>
    <row r="4201" spans="1:2" x14ac:dyDescent="0.3">
      <c r="A4201" s="19"/>
      <c r="B4201" s="36"/>
    </row>
    <row r="4202" spans="1:2" x14ac:dyDescent="0.3">
      <c r="A4202" s="19"/>
      <c r="B4202" s="36"/>
    </row>
    <row r="4203" spans="1:2" x14ac:dyDescent="0.3">
      <c r="A4203" s="19"/>
      <c r="B4203" s="36"/>
    </row>
    <row r="4204" spans="1:2" x14ac:dyDescent="0.3">
      <c r="A4204" s="19"/>
      <c r="B4204" s="36"/>
    </row>
    <row r="4205" spans="1:2" x14ac:dyDescent="0.3">
      <c r="A4205" s="19"/>
      <c r="B4205" s="36"/>
    </row>
    <row r="4206" spans="1:2" x14ac:dyDescent="0.3">
      <c r="A4206" s="19"/>
      <c r="B4206" s="36"/>
    </row>
    <row r="4207" spans="1:2" x14ac:dyDescent="0.3">
      <c r="A4207" s="19"/>
      <c r="B4207" s="36"/>
    </row>
    <row r="4208" spans="1:2" x14ac:dyDescent="0.3">
      <c r="A4208" s="19"/>
      <c r="B4208" s="36"/>
    </row>
    <row r="4209" spans="1:2" x14ac:dyDescent="0.3">
      <c r="A4209" s="19"/>
      <c r="B4209" s="36"/>
    </row>
    <row r="4210" spans="1:2" x14ac:dyDescent="0.3">
      <c r="A4210" s="19"/>
      <c r="B4210" s="36"/>
    </row>
    <row r="4211" spans="1:2" x14ac:dyDescent="0.3">
      <c r="A4211" s="19"/>
      <c r="B4211" s="36"/>
    </row>
    <row r="4212" spans="1:2" x14ac:dyDescent="0.3">
      <c r="A4212" s="19"/>
      <c r="B4212" s="36"/>
    </row>
    <row r="4213" spans="1:2" x14ac:dyDescent="0.3">
      <c r="A4213" s="19"/>
      <c r="B4213" s="36"/>
    </row>
    <row r="4214" spans="1:2" x14ac:dyDescent="0.3">
      <c r="A4214" s="19"/>
      <c r="B4214" s="36"/>
    </row>
    <row r="4215" spans="1:2" x14ac:dyDescent="0.3">
      <c r="A4215" s="19"/>
      <c r="B4215" s="36"/>
    </row>
    <row r="4216" spans="1:2" x14ac:dyDescent="0.3">
      <c r="A4216" s="19"/>
      <c r="B4216" s="36"/>
    </row>
    <row r="4217" spans="1:2" x14ac:dyDescent="0.3">
      <c r="A4217" s="19"/>
      <c r="B4217" s="36"/>
    </row>
    <row r="4218" spans="1:2" x14ac:dyDescent="0.3">
      <c r="A4218" s="19"/>
      <c r="B4218" s="36"/>
    </row>
    <row r="4219" spans="1:2" x14ac:dyDescent="0.3">
      <c r="A4219" s="19"/>
      <c r="B4219" s="36"/>
    </row>
    <row r="4220" spans="1:2" x14ac:dyDescent="0.3">
      <c r="A4220" s="19"/>
      <c r="B4220" s="36"/>
    </row>
    <row r="4221" spans="1:2" x14ac:dyDescent="0.3">
      <c r="A4221" s="19"/>
      <c r="B4221" s="36"/>
    </row>
    <row r="4222" spans="1:2" x14ac:dyDescent="0.3">
      <c r="A4222" s="19"/>
      <c r="B4222" s="36"/>
    </row>
    <row r="4223" spans="1:2" x14ac:dyDescent="0.3">
      <c r="A4223" s="19"/>
      <c r="B4223" s="36"/>
    </row>
    <row r="4224" spans="1:2" x14ac:dyDescent="0.3">
      <c r="A4224" s="19"/>
      <c r="B4224" s="36"/>
    </row>
    <row r="4225" spans="1:2" x14ac:dyDescent="0.3">
      <c r="A4225" s="19"/>
      <c r="B4225" s="36"/>
    </row>
    <row r="4226" spans="1:2" x14ac:dyDescent="0.3">
      <c r="A4226" s="19"/>
      <c r="B4226" s="36"/>
    </row>
    <row r="4227" spans="1:2" x14ac:dyDescent="0.3">
      <c r="A4227" s="19"/>
      <c r="B4227" s="36"/>
    </row>
    <row r="4228" spans="1:2" x14ac:dyDescent="0.3">
      <c r="A4228" s="19"/>
      <c r="B4228" s="36"/>
    </row>
    <row r="4229" spans="1:2" x14ac:dyDescent="0.3">
      <c r="A4229" s="19"/>
      <c r="B4229" s="36"/>
    </row>
    <row r="4230" spans="1:2" x14ac:dyDescent="0.3">
      <c r="A4230" s="19"/>
      <c r="B4230" s="36"/>
    </row>
    <row r="4231" spans="1:2" x14ac:dyDescent="0.3">
      <c r="A4231" s="19"/>
      <c r="B4231" s="36"/>
    </row>
    <row r="4232" spans="1:2" x14ac:dyDescent="0.3">
      <c r="A4232" s="19"/>
      <c r="B4232" s="36"/>
    </row>
    <row r="4233" spans="1:2" x14ac:dyDescent="0.3">
      <c r="A4233" s="19"/>
      <c r="B4233" s="36"/>
    </row>
    <row r="4234" spans="1:2" x14ac:dyDescent="0.3">
      <c r="A4234" s="19"/>
      <c r="B4234" s="36"/>
    </row>
    <row r="4235" spans="1:2" x14ac:dyDescent="0.3">
      <c r="A4235" s="19"/>
      <c r="B4235" s="36"/>
    </row>
    <row r="4236" spans="1:2" x14ac:dyDescent="0.3">
      <c r="A4236" s="19"/>
      <c r="B4236" s="36"/>
    </row>
    <row r="4237" spans="1:2" x14ac:dyDescent="0.3">
      <c r="A4237" s="19"/>
      <c r="B4237" s="36"/>
    </row>
    <row r="4238" spans="1:2" x14ac:dyDescent="0.3">
      <c r="A4238" s="19"/>
      <c r="B4238" s="36"/>
    </row>
    <row r="4239" spans="1:2" x14ac:dyDescent="0.3">
      <c r="A4239" s="19"/>
      <c r="B4239" s="36"/>
    </row>
    <row r="4240" spans="1:2" x14ac:dyDescent="0.3">
      <c r="A4240" s="19"/>
      <c r="B4240" s="36"/>
    </row>
    <row r="4241" spans="1:2" x14ac:dyDescent="0.3">
      <c r="A4241" s="19"/>
      <c r="B4241" s="36"/>
    </row>
    <row r="4242" spans="1:2" x14ac:dyDescent="0.3">
      <c r="A4242" s="19"/>
      <c r="B4242" s="36"/>
    </row>
    <row r="4243" spans="1:2" x14ac:dyDescent="0.3">
      <c r="A4243" s="19"/>
      <c r="B4243" s="36"/>
    </row>
    <row r="4244" spans="1:2" x14ac:dyDescent="0.3">
      <c r="A4244" s="19"/>
      <c r="B4244" s="36"/>
    </row>
    <row r="4245" spans="1:2" x14ac:dyDescent="0.3">
      <c r="A4245" s="19"/>
      <c r="B4245" s="36"/>
    </row>
    <row r="4246" spans="1:2" x14ac:dyDescent="0.3">
      <c r="A4246" s="19"/>
      <c r="B4246" s="36"/>
    </row>
    <row r="4247" spans="1:2" x14ac:dyDescent="0.3">
      <c r="A4247" s="19"/>
      <c r="B4247" s="36"/>
    </row>
    <row r="4248" spans="1:2" x14ac:dyDescent="0.3">
      <c r="A4248" s="19"/>
      <c r="B4248" s="36"/>
    </row>
    <row r="4249" spans="1:2" x14ac:dyDescent="0.3">
      <c r="A4249" s="19"/>
      <c r="B4249" s="36"/>
    </row>
    <row r="4250" spans="1:2" x14ac:dyDescent="0.3">
      <c r="A4250" s="19"/>
      <c r="B4250" s="36"/>
    </row>
    <row r="4251" spans="1:2" x14ac:dyDescent="0.3">
      <c r="A4251" s="19"/>
      <c r="B4251" s="36"/>
    </row>
    <row r="4252" spans="1:2" x14ac:dyDescent="0.3">
      <c r="A4252" s="19"/>
      <c r="B4252" s="36"/>
    </row>
    <row r="4253" spans="1:2" x14ac:dyDescent="0.3">
      <c r="A4253" s="19"/>
      <c r="B4253" s="36"/>
    </row>
    <row r="4254" spans="1:2" x14ac:dyDescent="0.3">
      <c r="A4254" s="19"/>
      <c r="B4254" s="36"/>
    </row>
    <row r="4255" spans="1:2" x14ac:dyDescent="0.3">
      <c r="A4255" s="19"/>
      <c r="B4255" s="36"/>
    </row>
    <row r="4256" spans="1:2" x14ac:dyDescent="0.3">
      <c r="A4256" s="19"/>
      <c r="B4256" s="36"/>
    </row>
    <row r="4257" spans="1:2" x14ac:dyDescent="0.3">
      <c r="A4257" s="19"/>
      <c r="B4257" s="36"/>
    </row>
    <row r="4258" spans="1:2" x14ac:dyDescent="0.3">
      <c r="A4258" s="19"/>
      <c r="B4258" s="36"/>
    </row>
    <row r="4259" spans="1:2" x14ac:dyDescent="0.3">
      <c r="A4259" s="19"/>
      <c r="B4259" s="36"/>
    </row>
    <row r="4260" spans="1:2" x14ac:dyDescent="0.3">
      <c r="A4260" s="19"/>
      <c r="B4260" s="36"/>
    </row>
    <row r="4261" spans="1:2" x14ac:dyDescent="0.3">
      <c r="A4261" s="19"/>
      <c r="B4261" s="36"/>
    </row>
    <row r="4262" spans="1:2" x14ac:dyDescent="0.3">
      <c r="A4262" s="19"/>
      <c r="B4262" s="36"/>
    </row>
    <row r="4263" spans="1:2" x14ac:dyDescent="0.3">
      <c r="A4263" s="19"/>
      <c r="B4263" s="36"/>
    </row>
    <row r="4264" spans="1:2" x14ac:dyDescent="0.3">
      <c r="A4264" s="19"/>
      <c r="B4264" s="36"/>
    </row>
    <row r="4265" spans="1:2" x14ac:dyDescent="0.3">
      <c r="A4265" s="19"/>
      <c r="B4265" s="36"/>
    </row>
    <row r="4266" spans="1:2" x14ac:dyDescent="0.3">
      <c r="A4266" s="19"/>
      <c r="B4266" s="36"/>
    </row>
    <row r="4267" spans="1:2" x14ac:dyDescent="0.3">
      <c r="A4267" s="19"/>
      <c r="B4267" s="36"/>
    </row>
    <row r="4268" spans="1:2" x14ac:dyDescent="0.3">
      <c r="A4268" s="19"/>
      <c r="B4268" s="36"/>
    </row>
    <row r="4269" spans="1:2" x14ac:dyDescent="0.3">
      <c r="A4269" s="19"/>
      <c r="B4269" s="36"/>
    </row>
    <row r="4270" spans="1:2" x14ac:dyDescent="0.3">
      <c r="A4270" s="19"/>
      <c r="B4270" s="36"/>
    </row>
    <row r="4271" spans="1:2" x14ac:dyDescent="0.3">
      <c r="A4271" s="19"/>
      <c r="B4271" s="36"/>
    </row>
    <row r="4272" spans="1:2" x14ac:dyDescent="0.3">
      <c r="A4272" s="19"/>
      <c r="B4272" s="36"/>
    </row>
    <row r="4273" spans="1:2" x14ac:dyDescent="0.3">
      <c r="A4273" s="19"/>
      <c r="B4273" s="36"/>
    </row>
    <row r="4274" spans="1:2" x14ac:dyDescent="0.3">
      <c r="A4274" s="19"/>
      <c r="B4274" s="36"/>
    </row>
    <row r="4275" spans="1:2" x14ac:dyDescent="0.3">
      <c r="A4275" s="19"/>
      <c r="B4275" s="36"/>
    </row>
    <row r="4276" spans="1:2" x14ac:dyDescent="0.3">
      <c r="A4276" s="19"/>
      <c r="B4276" s="36"/>
    </row>
    <row r="4277" spans="1:2" x14ac:dyDescent="0.3">
      <c r="A4277" s="19"/>
      <c r="B4277" s="36"/>
    </row>
    <row r="4278" spans="1:2" x14ac:dyDescent="0.3">
      <c r="A4278" s="19"/>
      <c r="B4278" s="36"/>
    </row>
    <row r="4279" spans="1:2" x14ac:dyDescent="0.3">
      <c r="A4279" s="19"/>
      <c r="B4279" s="36"/>
    </row>
    <row r="4280" spans="1:2" x14ac:dyDescent="0.3">
      <c r="A4280" s="19"/>
      <c r="B4280" s="36"/>
    </row>
    <row r="4281" spans="1:2" x14ac:dyDescent="0.3">
      <c r="A4281" s="19"/>
      <c r="B4281" s="36"/>
    </row>
    <row r="4282" spans="1:2" x14ac:dyDescent="0.3">
      <c r="A4282" s="19"/>
      <c r="B4282" s="36"/>
    </row>
    <row r="4283" spans="1:2" x14ac:dyDescent="0.3">
      <c r="A4283" s="19"/>
      <c r="B4283" s="36"/>
    </row>
    <row r="4284" spans="1:2" x14ac:dyDescent="0.3">
      <c r="A4284" s="19"/>
      <c r="B4284" s="36"/>
    </row>
    <row r="4285" spans="1:2" x14ac:dyDescent="0.3">
      <c r="A4285" s="19"/>
      <c r="B4285" s="36"/>
    </row>
    <row r="4286" spans="1:2" x14ac:dyDescent="0.3">
      <c r="A4286" s="19"/>
      <c r="B4286" s="36"/>
    </row>
    <row r="4287" spans="1:2" x14ac:dyDescent="0.3">
      <c r="A4287" s="19"/>
      <c r="B4287" s="36"/>
    </row>
    <row r="4288" spans="1:2" x14ac:dyDescent="0.3">
      <c r="A4288" s="19"/>
      <c r="B4288" s="36"/>
    </row>
    <row r="4289" spans="1:2" x14ac:dyDescent="0.3">
      <c r="A4289" s="19"/>
      <c r="B4289" s="36"/>
    </row>
    <row r="4290" spans="1:2" x14ac:dyDescent="0.3">
      <c r="A4290" s="19"/>
      <c r="B4290" s="36"/>
    </row>
    <row r="4291" spans="1:2" x14ac:dyDescent="0.3">
      <c r="A4291" s="19"/>
      <c r="B4291" s="36"/>
    </row>
    <row r="4292" spans="1:2" x14ac:dyDescent="0.3">
      <c r="A4292" s="19"/>
      <c r="B4292" s="36"/>
    </row>
    <row r="4293" spans="1:2" x14ac:dyDescent="0.3">
      <c r="A4293" s="19"/>
      <c r="B4293" s="36"/>
    </row>
    <row r="4294" spans="1:2" x14ac:dyDescent="0.3">
      <c r="A4294" s="19"/>
      <c r="B4294" s="36"/>
    </row>
    <row r="4295" spans="1:2" x14ac:dyDescent="0.3">
      <c r="A4295" s="19"/>
      <c r="B4295" s="36"/>
    </row>
    <row r="4296" spans="1:2" x14ac:dyDescent="0.3">
      <c r="A4296" s="19"/>
      <c r="B4296" s="36"/>
    </row>
    <row r="4297" spans="1:2" x14ac:dyDescent="0.3">
      <c r="A4297" s="19"/>
      <c r="B4297" s="36"/>
    </row>
    <row r="4298" spans="1:2" x14ac:dyDescent="0.3">
      <c r="A4298" s="19"/>
      <c r="B4298" s="36"/>
    </row>
    <row r="4299" spans="1:2" x14ac:dyDescent="0.3">
      <c r="A4299" s="19"/>
      <c r="B4299" s="36"/>
    </row>
    <row r="4300" spans="1:2" x14ac:dyDescent="0.3">
      <c r="A4300" s="19"/>
      <c r="B4300" s="36"/>
    </row>
    <row r="4301" spans="1:2" x14ac:dyDescent="0.3">
      <c r="A4301" s="19"/>
      <c r="B4301" s="36"/>
    </row>
    <row r="4302" spans="1:2" x14ac:dyDescent="0.3">
      <c r="A4302" s="19"/>
      <c r="B4302" s="36"/>
    </row>
    <row r="4303" spans="1:2" x14ac:dyDescent="0.3">
      <c r="A4303" s="19"/>
      <c r="B4303" s="36"/>
    </row>
    <row r="4304" spans="1:2" x14ac:dyDescent="0.3">
      <c r="A4304" s="19"/>
      <c r="B4304" s="36"/>
    </row>
    <row r="4305" spans="1:2" x14ac:dyDescent="0.3">
      <c r="A4305" s="19"/>
      <c r="B4305" s="36"/>
    </row>
    <row r="4306" spans="1:2" x14ac:dyDescent="0.3">
      <c r="A4306" s="19"/>
      <c r="B4306" s="36"/>
    </row>
    <row r="4307" spans="1:2" x14ac:dyDescent="0.3">
      <c r="A4307" s="19"/>
      <c r="B4307" s="36"/>
    </row>
    <row r="4308" spans="1:2" x14ac:dyDescent="0.3">
      <c r="A4308" s="19"/>
      <c r="B4308" s="36"/>
    </row>
    <row r="4309" spans="1:2" x14ac:dyDescent="0.3">
      <c r="A4309" s="19"/>
      <c r="B4309" s="36"/>
    </row>
    <row r="4310" spans="1:2" x14ac:dyDescent="0.3">
      <c r="A4310" s="19"/>
      <c r="B4310" s="36"/>
    </row>
    <row r="4311" spans="1:2" x14ac:dyDescent="0.3">
      <c r="A4311" s="19"/>
      <c r="B4311" s="36"/>
    </row>
    <row r="4312" spans="1:2" x14ac:dyDescent="0.3">
      <c r="A4312" s="19"/>
      <c r="B4312" s="36"/>
    </row>
    <row r="4313" spans="1:2" x14ac:dyDescent="0.3">
      <c r="A4313" s="19"/>
      <c r="B4313" s="36"/>
    </row>
    <row r="4314" spans="1:2" x14ac:dyDescent="0.3">
      <c r="A4314" s="19"/>
      <c r="B4314" s="36"/>
    </row>
    <row r="4315" spans="1:2" x14ac:dyDescent="0.3">
      <c r="A4315" s="19"/>
      <c r="B4315" s="36"/>
    </row>
    <row r="4316" spans="1:2" x14ac:dyDescent="0.3">
      <c r="A4316" s="19"/>
      <c r="B4316" s="36"/>
    </row>
    <row r="4317" spans="1:2" x14ac:dyDescent="0.3">
      <c r="A4317" s="19"/>
      <c r="B4317" s="36"/>
    </row>
    <row r="4318" spans="1:2" x14ac:dyDescent="0.3">
      <c r="A4318" s="19"/>
      <c r="B4318" s="36"/>
    </row>
    <row r="4319" spans="1:2" x14ac:dyDescent="0.3">
      <c r="A4319" s="19"/>
      <c r="B4319" s="36"/>
    </row>
    <row r="4320" spans="1:2" x14ac:dyDescent="0.3">
      <c r="A4320" s="19"/>
      <c r="B4320" s="36"/>
    </row>
    <row r="4321" spans="1:2" x14ac:dyDescent="0.3">
      <c r="A4321" s="19"/>
      <c r="B4321" s="36"/>
    </row>
    <row r="4322" spans="1:2" x14ac:dyDescent="0.3">
      <c r="A4322" s="19"/>
      <c r="B4322" s="36"/>
    </row>
    <row r="4323" spans="1:2" x14ac:dyDescent="0.3">
      <c r="A4323" s="19"/>
      <c r="B4323" s="36"/>
    </row>
    <row r="4324" spans="1:2" x14ac:dyDescent="0.3">
      <c r="A4324" s="19"/>
      <c r="B4324" s="36"/>
    </row>
    <row r="4325" spans="1:2" x14ac:dyDescent="0.3">
      <c r="A4325" s="19"/>
      <c r="B4325" s="36"/>
    </row>
    <row r="4326" spans="1:2" x14ac:dyDescent="0.3">
      <c r="A4326" s="19"/>
      <c r="B4326" s="36"/>
    </row>
    <row r="4327" spans="1:2" x14ac:dyDescent="0.3">
      <c r="A4327" s="19"/>
      <c r="B4327" s="36"/>
    </row>
    <row r="4328" spans="1:2" x14ac:dyDescent="0.3">
      <c r="A4328" s="19"/>
      <c r="B4328" s="36"/>
    </row>
    <row r="4329" spans="1:2" x14ac:dyDescent="0.3">
      <c r="A4329" s="19"/>
      <c r="B4329" s="36"/>
    </row>
    <row r="4330" spans="1:2" x14ac:dyDescent="0.3">
      <c r="A4330" s="19"/>
      <c r="B4330" s="36"/>
    </row>
    <row r="4331" spans="1:2" x14ac:dyDescent="0.3">
      <c r="A4331" s="19"/>
      <c r="B4331" s="36"/>
    </row>
    <row r="4332" spans="1:2" x14ac:dyDescent="0.3">
      <c r="A4332" s="19"/>
      <c r="B4332" s="36"/>
    </row>
    <row r="4333" spans="1:2" x14ac:dyDescent="0.3">
      <c r="A4333" s="19"/>
      <c r="B4333" s="36"/>
    </row>
    <row r="4334" spans="1:2" x14ac:dyDescent="0.3">
      <c r="A4334" s="19"/>
      <c r="B4334" s="36"/>
    </row>
    <row r="4335" spans="1:2" x14ac:dyDescent="0.3">
      <c r="A4335" s="19"/>
      <c r="B4335" s="36"/>
    </row>
    <row r="4336" spans="1:2" x14ac:dyDescent="0.3">
      <c r="A4336" s="19"/>
      <c r="B4336" s="36"/>
    </row>
    <row r="4337" spans="1:2" x14ac:dyDescent="0.3">
      <c r="A4337" s="19"/>
      <c r="B4337" s="36"/>
    </row>
    <row r="4338" spans="1:2" x14ac:dyDescent="0.3">
      <c r="A4338" s="19"/>
      <c r="B4338" s="36"/>
    </row>
    <row r="4339" spans="1:2" x14ac:dyDescent="0.3">
      <c r="A4339" s="19"/>
      <c r="B4339" s="36"/>
    </row>
    <row r="4340" spans="1:2" x14ac:dyDescent="0.3">
      <c r="A4340" s="19"/>
      <c r="B4340" s="36"/>
    </row>
    <row r="4341" spans="1:2" x14ac:dyDescent="0.3">
      <c r="A4341" s="19"/>
      <c r="B4341" s="36"/>
    </row>
    <row r="4342" spans="1:2" x14ac:dyDescent="0.3">
      <c r="A4342" s="19"/>
      <c r="B4342" s="36"/>
    </row>
    <row r="4343" spans="1:2" x14ac:dyDescent="0.3">
      <c r="A4343" s="19"/>
      <c r="B4343" s="36"/>
    </row>
    <row r="4344" spans="1:2" x14ac:dyDescent="0.3">
      <c r="A4344" s="19"/>
      <c r="B4344" s="36"/>
    </row>
    <row r="4345" spans="1:2" x14ac:dyDescent="0.3">
      <c r="A4345" s="19"/>
      <c r="B4345" s="36"/>
    </row>
    <row r="4346" spans="1:2" x14ac:dyDescent="0.3">
      <c r="A4346" s="19"/>
      <c r="B4346" s="36"/>
    </row>
    <row r="4347" spans="1:2" x14ac:dyDescent="0.3">
      <c r="A4347" s="19"/>
      <c r="B4347" s="36"/>
    </row>
    <row r="4348" spans="1:2" x14ac:dyDescent="0.3">
      <c r="A4348" s="19"/>
      <c r="B4348" s="36"/>
    </row>
    <row r="4349" spans="1:2" x14ac:dyDescent="0.3">
      <c r="A4349" s="19"/>
      <c r="B4349" s="36"/>
    </row>
    <row r="4350" spans="1:2" x14ac:dyDescent="0.3">
      <c r="A4350" s="19"/>
      <c r="B4350" s="36"/>
    </row>
    <row r="4351" spans="1:2" x14ac:dyDescent="0.3">
      <c r="A4351" s="19"/>
      <c r="B4351" s="36"/>
    </row>
    <row r="4352" spans="1:2" x14ac:dyDescent="0.3">
      <c r="A4352" s="19"/>
      <c r="B4352" s="36"/>
    </row>
    <row r="4353" spans="1:2" x14ac:dyDescent="0.3">
      <c r="A4353" s="19"/>
      <c r="B4353" s="36"/>
    </row>
    <row r="4354" spans="1:2" x14ac:dyDescent="0.3">
      <c r="A4354" s="19"/>
      <c r="B4354" s="36"/>
    </row>
    <row r="4355" spans="1:2" x14ac:dyDescent="0.3">
      <c r="A4355" s="19"/>
      <c r="B4355" s="36"/>
    </row>
    <row r="4356" spans="1:2" x14ac:dyDescent="0.3">
      <c r="A4356" s="19"/>
      <c r="B4356" s="36"/>
    </row>
    <row r="4357" spans="1:2" x14ac:dyDescent="0.3">
      <c r="A4357" s="19"/>
      <c r="B4357" s="36"/>
    </row>
    <row r="4358" spans="1:2" x14ac:dyDescent="0.3">
      <c r="A4358" s="19"/>
      <c r="B4358" s="36"/>
    </row>
    <row r="4359" spans="1:2" x14ac:dyDescent="0.3">
      <c r="A4359" s="19"/>
      <c r="B4359" s="36"/>
    </row>
    <row r="4360" spans="1:2" x14ac:dyDescent="0.3">
      <c r="A4360" s="19"/>
      <c r="B4360" s="36"/>
    </row>
    <row r="4361" spans="1:2" x14ac:dyDescent="0.3">
      <c r="A4361" s="19"/>
      <c r="B4361" s="36"/>
    </row>
    <row r="4362" spans="1:2" x14ac:dyDescent="0.3">
      <c r="A4362" s="19"/>
      <c r="B4362" s="36"/>
    </row>
    <row r="4363" spans="1:2" x14ac:dyDescent="0.3">
      <c r="A4363" s="19"/>
      <c r="B4363" s="36"/>
    </row>
    <row r="4364" spans="1:2" x14ac:dyDescent="0.3">
      <c r="A4364" s="19"/>
      <c r="B4364" s="36"/>
    </row>
    <row r="4365" spans="1:2" x14ac:dyDescent="0.3">
      <c r="A4365" s="19"/>
      <c r="B4365" s="36"/>
    </row>
    <row r="4366" spans="1:2" x14ac:dyDescent="0.3">
      <c r="A4366" s="19"/>
      <c r="B4366" s="36"/>
    </row>
    <row r="4367" spans="1:2" x14ac:dyDescent="0.3">
      <c r="A4367" s="19"/>
      <c r="B4367" s="36"/>
    </row>
    <row r="4368" spans="1:2" x14ac:dyDescent="0.3">
      <c r="A4368" s="19"/>
      <c r="B4368" s="36"/>
    </row>
    <row r="4369" spans="1:2" x14ac:dyDescent="0.3">
      <c r="A4369" s="19"/>
      <c r="B4369" s="36"/>
    </row>
    <row r="4370" spans="1:2" x14ac:dyDescent="0.3">
      <c r="A4370" s="19"/>
      <c r="B4370" s="36"/>
    </row>
    <row r="4371" spans="1:2" x14ac:dyDescent="0.3">
      <c r="A4371" s="19"/>
      <c r="B4371" s="36"/>
    </row>
    <row r="4372" spans="1:2" x14ac:dyDescent="0.3">
      <c r="A4372" s="19"/>
      <c r="B4372" s="36"/>
    </row>
    <row r="4373" spans="1:2" x14ac:dyDescent="0.3">
      <c r="A4373" s="19"/>
      <c r="B4373" s="36"/>
    </row>
    <row r="4374" spans="1:2" x14ac:dyDescent="0.3">
      <c r="A4374" s="19"/>
      <c r="B4374" s="36"/>
    </row>
    <row r="4375" spans="1:2" x14ac:dyDescent="0.3">
      <c r="A4375" s="19"/>
      <c r="B4375" s="36"/>
    </row>
    <row r="4376" spans="1:2" x14ac:dyDescent="0.3">
      <c r="A4376" s="19"/>
      <c r="B4376" s="36"/>
    </row>
    <row r="4377" spans="1:2" x14ac:dyDescent="0.3">
      <c r="A4377" s="19"/>
      <c r="B4377" s="36"/>
    </row>
    <row r="4378" spans="1:2" x14ac:dyDescent="0.3">
      <c r="A4378" s="19"/>
      <c r="B4378" s="36"/>
    </row>
    <row r="4379" spans="1:2" x14ac:dyDescent="0.3">
      <c r="A4379" s="19"/>
      <c r="B4379" s="36"/>
    </row>
    <row r="4380" spans="1:2" x14ac:dyDescent="0.3">
      <c r="A4380" s="19"/>
      <c r="B4380" s="36"/>
    </row>
    <row r="4381" spans="1:2" x14ac:dyDescent="0.3">
      <c r="A4381" s="19"/>
      <c r="B4381" s="36"/>
    </row>
    <row r="4382" spans="1:2" x14ac:dyDescent="0.3">
      <c r="A4382" s="19"/>
      <c r="B4382" s="36"/>
    </row>
    <row r="4383" spans="1:2" x14ac:dyDescent="0.3">
      <c r="A4383" s="19"/>
      <c r="B4383" s="36"/>
    </row>
    <row r="4384" spans="1:2" x14ac:dyDescent="0.3">
      <c r="A4384" s="19"/>
      <c r="B4384" s="36"/>
    </row>
    <row r="4385" spans="1:2" x14ac:dyDescent="0.3">
      <c r="A4385" s="19"/>
      <c r="B4385" s="36"/>
    </row>
    <row r="4386" spans="1:2" x14ac:dyDescent="0.3">
      <c r="A4386" s="19"/>
      <c r="B4386" s="36"/>
    </row>
    <row r="4387" spans="1:2" x14ac:dyDescent="0.3">
      <c r="A4387" s="19"/>
      <c r="B4387" s="36"/>
    </row>
    <row r="4388" spans="1:2" x14ac:dyDescent="0.3">
      <c r="A4388" s="19"/>
      <c r="B4388" s="36"/>
    </row>
    <row r="4389" spans="1:2" x14ac:dyDescent="0.3">
      <c r="A4389" s="19"/>
      <c r="B4389" s="36"/>
    </row>
    <row r="4390" spans="1:2" x14ac:dyDescent="0.3">
      <c r="A4390" s="19"/>
      <c r="B4390" s="36"/>
    </row>
    <row r="4391" spans="1:2" x14ac:dyDescent="0.3">
      <c r="A4391" s="19"/>
      <c r="B4391" s="36"/>
    </row>
    <row r="4392" spans="1:2" x14ac:dyDescent="0.3">
      <c r="A4392" s="19"/>
      <c r="B4392" s="36"/>
    </row>
    <row r="4393" spans="1:2" x14ac:dyDescent="0.3">
      <c r="A4393" s="19"/>
      <c r="B4393" s="36"/>
    </row>
    <row r="4394" spans="1:2" x14ac:dyDescent="0.3">
      <c r="A4394" s="19"/>
      <c r="B4394" s="36"/>
    </row>
    <row r="4395" spans="1:2" x14ac:dyDescent="0.3">
      <c r="A4395" s="19"/>
      <c r="B4395" s="36"/>
    </row>
    <row r="4396" spans="1:2" x14ac:dyDescent="0.3">
      <c r="A4396" s="19"/>
      <c r="B4396" s="36"/>
    </row>
    <row r="4397" spans="1:2" x14ac:dyDescent="0.3">
      <c r="A4397" s="19"/>
      <c r="B4397" s="36"/>
    </row>
    <row r="4398" spans="1:2" x14ac:dyDescent="0.3">
      <c r="A4398" s="19"/>
      <c r="B4398" s="36"/>
    </row>
    <row r="4399" spans="1:2" x14ac:dyDescent="0.3">
      <c r="A4399" s="19"/>
      <c r="B4399" s="36"/>
    </row>
    <row r="4400" spans="1:2" x14ac:dyDescent="0.3">
      <c r="A4400" s="19"/>
      <c r="B4400" s="36"/>
    </row>
    <row r="4401" spans="1:2" x14ac:dyDescent="0.3">
      <c r="A4401" s="19"/>
      <c r="B4401" s="36"/>
    </row>
    <row r="4402" spans="1:2" x14ac:dyDescent="0.3">
      <c r="A4402" s="19"/>
      <c r="B4402" s="36"/>
    </row>
    <row r="4403" spans="1:2" x14ac:dyDescent="0.3">
      <c r="A4403" s="19"/>
      <c r="B4403" s="36"/>
    </row>
    <row r="4404" spans="1:2" x14ac:dyDescent="0.3">
      <c r="A4404" s="19"/>
      <c r="B4404" s="36"/>
    </row>
    <row r="4405" spans="1:2" x14ac:dyDescent="0.3">
      <c r="A4405" s="19"/>
      <c r="B4405" s="36"/>
    </row>
    <row r="4406" spans="1:2" x14ac:dyDescent="0.3">
      <c r="A4406" s="19"/>
      <c r="B4406" s="36"/>
    </row>
    <row r="4407" spans="1:2" x14ac:dyDescent="0.3">
      <c r="A4407" s="19"/>
      <c r="B4407" s="36"/>
    </row>
    <row r="4408" spans="1:2" x14ac:dyDescent="0.3">
      <c r="A4408" s="19"/>
      <c r="B4408" s="36"/>
    </row>
    <row r="4409" spans="1:2" x14ac:dyDescent="0.3">
      <c r="A4409" s="19"/>
      <c r="B4409" s="36"/>
    </row>
    <row r="4410" spans="1:2" x14ac:dyDescent="0.3">
      <c r="A4410" s="19"/>
      <c r="B4410" s="36"/>
    </row>
    <row r="4411" spans="1:2" x14ac:dyDescent="0.3">
      <c r="A4411" s="19"/>
      <c r="B4411" s="36"/>
    </row>
    <row r="4412" spans="1:2" x14ac:dyDescent="0.3">
      <c r="A4412" s="19"/>
      <c r="B4412" s="36"/>
    </row>
    <row r="4413" spans="1:2" x14ac:dyDescent="0.3">
      <c r="A4413" s="19"/>
      <c r="B4413" s="36"/>
    </row>
    <row r="4414" spans="1:2" x14ac:dyDescent="0.3">
      <c r="A4414" s="19"/>
      <c r="B4414" s="36"/>
    </row>
    <row r="4415" spans="1:2" x14ac:dyDescent="0.3">
      <c r="A4415" s="19"/>
      <c r="B4415" s="36"/>
    </row>
    <row r="4416" spans="1:2" x14ac:dyDescent="0.3">
      <c r="A4416" s="19"/>
      <c r="B4416" s="36"/>
    </row>
    <row r="4417" spans="1:2" x14ac:dyDescent="0.3">
      <c r="A4417" s="19"/>
      <c r="B4417" s="36"/>
    </row>
    <row r="4418" spans="1:2" x14ac:dyDescent="0.3">
      <c r="A4418" s="19"/>
      <c r="B4418" s="36"/>
    </row>
    <row r="4419" spans="1:2" x14ac:dyDescent="0.3">
      <c r="A4419" s="19"/>
      <c r="B4419" s="36"/>
    </row>
    <row r="4420" spans="1:2" x14ac:dyDescent="0.3">
      <c r="A4420" s="19"/>
      <c r="B4420" s="36"/>
    </row>
    <row r="4421" spans="1:2" x14ac:dyDescent="0.3">
      <c r="A4421" s="19"/>
      <c r="B4421" s="36"/>
    </row>
    <row r="4422" spans="1:2" x14ac:dyDescent="0.3">
      <c r="A4422" s="19"/>
      <c r="B4422" s="36"/>
    </row>
    <row r="4423" spans="1:2" x14ac:dyDescent="0.3">
      <c r="A4423" s="19"/>
      <c r="B4423" s="36"/>
    </row>
    <row r="4424" spans="1:2" x14ac:dyDescent="0.3">
      <c r="A4424" s="19"/>
      <c r="B4424" s="36"/>
    </row>
    <row r="4425" spans="1:2" x14ac:dyDescent="0.3">
      <c r="A4425" s="19"/>
      <c r="B4425" s="36"/>
    </row>
    <row r="4426" spans="1:2" x14ac:dyDescent="0.3">
      <c r="A4426" s="19"/>
      <c r="B4426" s="36"/>
    </row>
    <row r="4427" spans="1:2" x14ac:dyDescent="0.3">
      <c r="A4427" s="19"/>
      <c r="B4427" s="36"/>
    </row>
    <row r="4428" spans="1:2" x14ac:dyDescent="0.3">
      <c r="A4428" s="19"/>
      <c r="B4428" s="36"/>
    </row>
    <row r="4429" spans="1:2" x14ac:dyDescent="0.3">
      <c r="A4429" s="19"/>
      <c r="B4429" s="36"/>
    </row>
    <row r="4430" spans="1:2" x14ac:dyDescent="0.3">
      <c r="A4430" s="19"/>
      <c r="B4430" s="36"/>
    </row>
    <row r="4431" spans="1:2" x14ac:dyDescent="0.3">
      <c r="A4431" s="19"/>
      <c r="B4431" s="36"/>
    </row>
    <row r="4432" spans="1:2" x14ac:dyDescent="0.3">
      <c r="A4432" s="19"/>
      <c r="B4432" s="36"/>
    </row>
    <row r="4433" spans="1:2" x14ac:dyDescent="0.3">
      <c r="A4433" s="19"/>
      <c r="B4433" s="36"/>
    </row>
    <row r="4434" spans="1:2" x14ac:dyDescent="0.3">
      <c r="A4434" s="19"/>
      <c r="B4434" s="36"/>
    </row>
    <row r="4435" spans="1:2" x14ac:dyDescent="0.3">
      <c r="A4435" s="19"/>
      <c r="B4435" s="36"/>
    </row>
    <row r="4436" spans="1:2" x14ac:dyDescent="0.3">
      <c r="A4436" s="19"/>
      <c r="B4436" s="36"/>
    </row>
    <row r="4437" spans="1:2" x14ac:dyDescent="0.3">
      <c r="A4437" s="19"/>
      <c r="B4437" s="36"/>
    </row>
    <row r="4438" spans="1:2" x14ac:dyDescent="0.3">
      <c r="A4438" s="19"/>
      <c r="B4438" s="36"/>
    </row>
    <row r="4439" spans="1:2" x14ac:dyDescent="0.3">
      <c r="A4439" s="19"/>
      <c r="B4439" s="36"/>
    </row>
    <row r="4440" spans="1:2" x14ac:dyDescent="0.3">
      <c r="A4440" s="19"/>
      <c r="B4440" s="36"/>
    </row>
    <row r="4441" spans="1:2" x14ac:dyDescent="0.3">
      <c r="A4441" s="19"/>
      <c r="B4441" s="36"/>
    </row>
    <row r="4442" spans="1:2" x14ac:dyDescent="0.3">
      <c r="A4442" s="19"/>
      <c r="B4442" s="36"/>
    </row>
    <row r="4443" spans="1:2" x14ac:dyDescent="0.3">
      <c r="A4443" s="19"/>
      <c r="B4443" s="36"/>
    </row>
    <row r="4444" spans="1:2" x14ac:dyDescent="0.3">
      <c r="A4444" s="19"/>
      <c r="B4444" s="36"/>
    </row>
    <row r="4445" spans="1:2" x14ac:dyDescent="0.3">
      <c r="A4445" s="19"/>
      <c r="B4445" s="36"/>
    </row>
    <row r="4446" spans="1:2" x14ac:dyDescent="0.3">
      <c r="A4446" s="19"/>
      <c r="B4446" s="36"/>
    </row>
    <row r="4447" spans="1:2" x14ac:dyDescent="0.3">
      <c r="A4447" s="19"/>
      <c r="B4447" s="36"/>
    </row>
    <row r="4448" spans="1:2" x14ac:dyDescent="0.3">
      <c r="A4448" s="19"/>
      <c r="B4448" s="36"/>
    </row>
    <row r="4449" spans="1:2" x14ac:dyDescent="0.3">
      <c r="A4449" s="19"/>
      <c r="B4449" s="36"/>
    </row>
    <row r="4450" spans="1:2" x14ac:dyDescent="0.3">
      <c r="A4450" s="19"/>
      <c r="B4450" s="36"/>
    </row>
    <row r="4451" spans="1:2" x14ac:dyDescent="0.3">
      <c r="A4451" s="19"/>
      <c r="B4451" s="36"/>
    </row>
    <row r="4452" spans="1:2" x14ac:dyDescent="0.3">
      <c r="A4452" s="19"/>
      <c r="B4452" s="36"/>
    </row>
    <row r="4453" spans="1:2" x14ac:dyDescent="0.3">
      <c r="A4453" s="19"/>
      <c r="B4453" s="36"/>
    </row>
    <row r="4454" spans="1:2" x14ac:dyDescent="0.3">
      <c r="A4454" s="19"/>
      <c r="B4454" s="36"/>
    </row>
    <row r="4455" spans="1:2" x14ac:dyDescent="0.3">
      <c r="A4455" s="19"/>
      <c r="B4455" s="36"/>
    </row>
    <row r="4456" spans="1:2" x14ac:dyDescent="0.3">
      <c r="A4456" s="19"/>
      <c r="B4456" s="36"/>
    </row>
    <row r="4457" spans="1:2" x14ac:dyDescent="0.3">
      <c r="A4457" s="19"/>
      <c r="B4457" s="36"/>
    </row>
    <row r="4458" spans="1:2" x14ac:dyDescent="0.3">
      <c r="A4458" s="19"/>
      <c r="B4458" s="36"/>
    </row>
    <row r="4459" spans="1:2" x14ac:dyDescent="0.3">
      <c r="A4459" s="19"/>
      <c r="B4459" s="36"/>
    </row>
    <row r="4460" spans="1:2" x14ac:dyDescent="0.3">
      <c r="A4460" s="19"/>
      <c r="B4460" s="36"/>
    </row>
    <row r="4461" spans="1:2" x14ac:dyDescent="0.3">
      <c r="A4461" s="19"/>
      <c r="B4461" s="36"/>
    </row>
    <row r="4462" spans="1:2" x14ac:dyDescent="0.3">
      <c r="A4462" s="19"/>
      <c r="B4462" s="36"/>
    </row>
    <row r="4463" spans="1:2" x14ac:dyDescent="0.3">
      <c r="A4463" s="19"/>
      <c r="B4463" s="36"/>
    </row>
    <row r="4464" spans="1:2" x14ac:dyDescent="0.3">
      <c r="A4464" s="19"/>
      <c r="B4464" s="36"/>
    </row>
    <row r="4465" spans="1:2" x14ac:dyDescent="0.3">
      <c r="A4465" s="19"/>
      <c r="B4465" s="36"/>
    </row>
    <row r="4466" spans="1:2" x14ac:dyDescent="0.3">
      <c r="A4466" s="19"/>
      <c r="B4466" s="36"/>
    </row>
    <row r="4467" spans="1:2" x14ac:dyDescent="0.3">
      <c r="A4467" s="19"/>
      <c r="B4467" s="36"/>
    </row>
    <row r="4468" spans="1:2" x14ac:dyDescent="0.3">
      <c r="A4468" s="19"/>
      <c r="B4468" s="36"/>
    </row>
    <row r="4469" spans="1:2" x14ac:dyDescent="0.3">
      <c r="A4469" s="19"/>
      <c r="B4469" s="36"/>
    </row>
    <row r="4470" spans="1:2" x14ac:dyDescent="0.3">
      <c r="A4470" s="19"/>
      <c r="B4470" s="36"/>
    </row>
    <row r="4471" spans="1:2" x14ac:dyDescent="0.3">
      <c r="A4471" s="19"/>
      <c r="B4471" s="36"/>
    </row>
    <row r="4472" spans="1:2" x14ac:dyDescent="0.3">
      <c r="A4472" s="19"/>
      <c r="B4472" s="36"/>
    </row>
    <row r="4473" spans="1:2" x14ac:dyDescent="0.3">
      <c r="A4473" s="19"/>
      <c r="B4473" s="36"/>
    </row>
    <row r="4474" spans="1:2" x14ac:dyDescent="0.3">
      <c r="A4474" s="19"/>
      <c r="B4474" s="36"/>
    </row>
    <row r="4475" spans="1:2" x14ac:dyDescent="0.3">
      <c r="A4475" s="19"/>
      <c r="B4475" s="36"/>
    </row>
    <row r="4476" spans="1:2" x14ac:dyDescent="0.3">
      <c r="A4476" s="19"/>
      <c r="B4476" s="36"/>
    </row>
    <row r="4477" spans="1:2" x14ac:dyDescent="0.3">
      <c r="A4477" s="19"/>
      <c r="B4477" s="36"/>
    </row>
    <row r="4478" spans="1:2" x14ac:dyDescent="0.3">
      <c r="A4478" s="19"/>
      <c r="B4478" s="36"/>
    </row>
    <row r="4479" spans="1:2" x14ac:dyDescent="0.3">
      <c r="A4479" s="19"/>
      <c r="B4479" s="36"/>
    </row>
    <row r="4480" spans="1:2" x14ac:dyDescent="0.3">
      <c r="A4480" s="19"/>
      <c r="B4480" s="36"/>
    </row>
    <row r="4481" spans="1:2" x14ac:dyDescent="0.3">
      <c r="A4481" s="19"/>
      <c r="B4481" s="36"/>
    </row>
    <row r="4482" spans="1:2" x14ac:dyDescent="0.3">
      <c r="A4482" s="19"/>
      <c r="B4482" s="36"/>
    </row>
    <row r="4483" spans="1:2" x14ac:dyDescent="0.3">
      <c r="A4483" s="19"/>
      <c r="B4483" s="36"/>
    </row>
    <row r="4484" spans="1:2" x14ac:dyDescent="0.3">
      <c r="A4484" s="19"/>
      <c r="B4484" s="36"/>
    </row>
    <row r="4485" spans="1:2" x14ac:dyDescent="0.3">
      <c r="A4485" s="19"/>
      <c r="B4485" s="36"/>
    </row>
    <row r="4486" spans="1:2" x14ac:dyDescent="0.3">
      <c r="A4486" s="19"/>
      <c r="B4486" s="36"/>
    </row>
    <row r="4487" spans="1:2" x14ac:dyDescent="0.3">
      <c r="A4487" s="19"/>
      <c r="B4487" s="36"/>
    </row>
    <row r="4488" spans="1:2" x14ac:dyDescent="0.3">
      <c r="A4488" s="19"/>
      <c r="B4488" s="36"/>
    </row>
    <row r="4489" spans="1:2" x14ac:dyDescent="0.3">
      <c r="A4489" s="19"/>
      <c r="B4489" s="36"/>
    </row>
    <row r="4490" spans="1:2" x14ac:dyDescent="0.3">
      <c r="A4490" s="19"/>
      <c r="B4490" s="36"/>
    </row>
    <row r="4491" spans="1:2" x14ac:dyDescent="0.3">
      <c r="A4491" s="19"/>
      <c r="B4491" s="36"/>
    </row>
    <row r="4492" spans="1:2" x14ac:dyDescent="0.3">
      <c r="A4492" s="19"/>
      <c r="B4492" s="36"/>
    </row>
    <row r="4493" spans="1:2" x14ac:dyDescent="0.3">
      <c r="A4493" s="19"/>
      <c r="B4493" s="36"/>
    </row>
    <row r="4494" spans="1:2" x14ac:dyDescent="0.3">
      <c r="A4494" s="19"/>
      <c r="B4494" s="36"/>
    </row>
    <row r="4495" spans="1:2" x14ac:dyDescent="0.3">
      <c r="A4495" s="19"/>
      <c r="B4495" s="36"/>
    </row>
    <row r="4496" spans="1:2" x14ac:dyDescent="0.3">
      <c r="A4496" s="19"/>
      <c r="B4496" s="36"/>
    </row>
    <row r="4497" spans="1:2" x14ac:dyDescent="0.3">
      <c r="A4497" s="19"/>
      <c r="B4497" s="36"/>
    </row>
    <row r="4498" spans="1:2" x14ac:dyDescent="0.3">
      <c r="A4498" s="19"/>
      <c r="B4498" s="36"/>
    </row>
    <row r="4499" spans="1:2" x14ac:dyDescent="0.3">
      <c r="A4499" s="19"/>
      <c r="B4499" s="36"/>
    </row>
    <row r="4500" spans="1:2" x14ac:dyDescent="0.3">
      <c r="A4500" s="19"/>
      <c r="B4500" s="36"/>
    </row>
    <row r="4501" spans="1:2" x14ac:dyDescent="0.3">
      <c r="A4501" s="19"/>
      <c r="B4501" s="36"/>
    </row>
    <row r="4502" spans="1:2" x14ac:dyDescent="0.3">
      <c r="A4502" s="19"/>
      <c r="B4502" s="36"/>
    </row>
    <row r="4503" spans="1:2" x14ac:dyDescent="0.3">
      <c r="A4503" s="19"/>
      <c r="B4503" s="36"/>
    </row>
    <row r="4504" spans="1:2" x14ac:dyDescent="0.3">
      <c r="A4504" s="19"/>
      <c r="B4504" s="36"/>
    </row>
    <row r="4505" spans="1:2" x14ac:dyDescent="0.3">
      <c r="A4505" s="19"/>
      <c r="B4505" s="36"/>
    </row>
    <row r="4506" spans="1:2" x14ac:dyDescent="0.3">
      <c r="A4506" s="19"/>
      <c r="B4506" s="36"/>
    </row>
    <row r="4507" spans="1:2" x14ac:dyDescent="0.3">
      <c r="A4507" s="19"/>
      <c r="B4507" s="36"/>
    </row>
    <row r="4508" spans="1:2" x14ac:dyDescent="0.3">
      <c r="A4508" s="19"/>
      <c r="B4508" s="36"/>
    </row>
    <row r="4509" spans="1:2" x14ac:dyDescent="0.3">
      <c r="A4509" s="19"/>
      <c r="B4509" s="36"/>
    </row>
    <row r="4510" spans="1:2" x14ac:dyDescent="0.3">
      <c r="A4510" s="19"/>
      <c r="B4510" s="36"/>
    </row>
    <row r="4511" spans="1:2" x14ac:dyDescent="0.3">
      <c r="A4511" s="19"/>
      <c r="B4511" s="36"/>
    </row>
    <row r="4512" spans="1:2" x14ac:dyDescent="0.3">
      <c r="A4512" s="19"/>
      <c r="B4512" s="36"/>
    </row>
    <row r="4513" spans="1:2" x14ac:dyDescent="0.3">
      <c r="A4513" s="19"/>
      <c r="B4513" s="36"/>
    </row>
    <row r="4514" spans="1:2" x14ac:dyDescent="0.3">
      <c r="A4514" s="19"/>
      <c r="B4514" s="36"/>
    </row>
    <row r="4515" spans="1:2" x14ac:dyDescent="0.3">
      <c r="A4515" s="19"/>
      <c r="B4515" s="36"/>
    </row>
    <row r="4516" spans="1:2" x14ac:dyDescent="0.3">
      <c r="A4516" s="19"/>
      <c r="B4516" s="36"/>
    </row>
    <row r="4517" spans="1:2" x14ac:dyDescent="0.3">
      <c r="A4517" s="19"/>
      <c r="B4517" s="36"/>
    </row>
    <row r="4518" spans="1:2" x14ac:dyDescent="0.3">
      <c r="A4518" s="19"/>
      <c r="B4518" s="36"/>
    </row>
    <row r="4519" spans="1:2" x14ac:dyDescent="0.3">
      <c r="A4519" s="19"/>
      <c r="B4519" s="36"/>
    </row>
    <row r="4520" spans="1:2" x14ac:dyDescent="0.3">
      <c r="A4520" s="19"/>
      <c r="B4520" s="36"/>
    </row>
    <row r="4521" spans="1:2" x14ac:dyDescent="0.3">
      <c r="A4521" s="19"/>
      <c r="B4521" s="36"/>
    </row>
    <row r="4522" spans="1:2" x14ac:dyDescent="0.3">
      <c r="A4522" s="19"/>
      <c r="B4522" s="36"/>
    </row>
    <row r="4523" spans="1:2" x14ac:dyDescent="0.3">
      <c r="A4523" s="19"/>
      <c r="B4523" s="36"/>
    </row>
    <row r="4524" spans="1:2" x14ac:dyDescent="0.3">
      <c r="A4524" s="19"/>
      <c r="B4524" s="36"/>
    </row>
    <row r="4525" spans="1:2" x14ac:dyDescent="0.3">
      <c r="A4525" s="19"/>
      <c r="B4525" s="36"/>
    </row>
    <row r="4526" spans="1:2" x14ac:dyDescent="0.3">
      <c r="A4526" s="19"/>
      <c r="B4526" s="36"/>
    </row>
    <row r="4527" spans="1:2" x14ac:dyDescent="0.3">
      <c r="A4527" s="19"/>
      <c r="B4527" s="36"/>
    </row>
    <row r="4528" spans="1:2" x14ac:dyDescent="0.3">
      <c r="A4528" s="19"/>
      <c r="B4528" s="36"/>
    </row>
    <row r="4529" spans="1:2" x14ac:dyDescent="0.3">
      <c r="A4529" s="19"/>
      <c r="B4529" s="36"/>
    </row>
    <row r="4530" spans="1:2" x14ac:dyDescent="0.3">
      <c r="A4530" s="19"/>
      <c r="B4530" s="36"/>
    </row>
    <row r="4531" spans="1:2" x14ac:dyDescent="0.3">
      <c r="A4531" s="19"/>
      <c r="B4531" s="36"/>
    </row>
    <row r="4532" spans="1:2" x14ac:dyDescent="0.3">
      <c r="A4532" s="19"/>
      <c r="B4532" s="36"/>
    </row>
    <row r="4533" spans="1:2" x14ac:dyDescent="0.3">
      <c r="A4533" s="19"/>
      <c r="B4533" s="36"/>
    </row>
    <row r="4534" spans="1:2" x14ac:dyDescent="0.3">
      <c r="A4534" s="19"/>
      <c r="B4534" s="36"/>
    </row>
    <row r="4535" spans="1:2" x14ac:dyDescent="0.3">
      <c r="A4535" s="19"/>
      <c r="B4535" s="36"/>
    </row>
    <row r="4536" spans="1:2" x14ac:dyDescent="0.3">
      <c r="A4536" s="19"/>
      <c r="B4536" s="36"/>
    </row>
    <row r="4537" spans="1:2" x14ac:dyDescent="0.3">
      <c r="A4537" s="19"/>
      <c r="B4537" s="36"/>
    </row>
    <row r="4538" spans="1:2" x14ac:dyDescent="0.3">
      <c r="A4538" s="19"/>
      <c r="B4538" s="36"/>
    </row>
    <row r="4539" spans="1:2" x14ac:dyDescent="0.3">
      <c r="A4539" s="19"/>
      <c r="B4539" s="36"/>
    </row>
    <row r="4540" spans="1:2" x14ac:dyDescent="0.3">
      <c r="A4540" s="19"/>
      <c r="B4540" s="36"/>
    </row>
    <row r="4541" spans="1:2" x14ac:dyDescent="0.3">
      <c r="A4541" s="19"/>
      <c r="B4541" s="36"/>
    </row>
    <row r="4542" spans="1:2" x14ac:dyDescent="0.3">
      <c r="A4542" s="19"/>
      <c r="B4542" s="36"/>
    </row>
    <row r="4543" spans="1:2" x14ac:dyDescent="0.3">
      <c r="A4543" s="19"/>
      <c r="B4543" s="36"/>
    </row>
    <row r="4544" spans="1:2" x14ac:dyDescent="0.3">
      <c r="A4544" s="19"/>
      <c r="B4544" s="36"/>
    </row>
    <row r="4545" spans="1:2" x14ac:dyDescent="0.3">
      <c r="A4545" s="19"/>
      <c r="B4545" s="36"/>
    </row>
    <row r="4546" spans="1:2" x14ac:dyDescent="0.3">
      <c r="A4546" s="19"/>
      <c r="B4546" s="36"/>
    </row>
    <row r="4547" spans="1:2" x14ac:dyDescent="0.3">
      <c r="A4547" s="19"/>
      <c r="B4547" s="36"/>
    </row>
    <row r="4548" spans="1:2" x14ac:dyDescent="0.3">
      <c r="A4548" s="19"/>
      <c r="B4548" s="36"/>
    </row>
    <row r="4549" spans="1:2" x14ac:dyDescent="0.3">
      <c r="A4549" s="19"/>
      <c r="B4549" s="36"/>
    </row>
    <row r="4550" spans="1:2" x14ac:dyDescent="0.3">
      <c r="A4550" s="19"/>
      <c r="B4550" s="36"/>
    </row>
    <row r="4551" spans="1:2" x14ac:dyDescent="0.3">
      <c r="A4551" s="19"/>
      <c r="B4551" s="36"/>
    </row>
    <row r="4552" spans="1:2" x14ac:dyDescent="0.3">
      <c r="A4552" s="19"/>
      <c r="B4552" s="36"/>
    </row>
    <row r="4553" spans="1:2" x14ac:dyDescent="0.3">
      <c r="A4553" s="19"/>
      <c r="B4553" s="36"/>
    </row>
    <row r="4554" spans="1:2" x14ac:dyDescent="0.3">
      <c r="A4554" s="19"/>
      <c r="B4554" s="36"/>
    </row>
    <row r="4555" spans="1:2" x14ac:dyDescent="0.3">
      <c r="A4555" s="19"/>
      <c r="B4555" s="36"/>
    </row>
    <row r="4556" spans="1:2" x14ac:dyDescent="0.3">
      <c r="A4556" s="19"/>
      <c r="B4556" s="36"/>
    </row>
    <row r="4557" spans="1:2" x14ac:dyDescent="0.3">
      <c r="A4557" s="19"/>
      <c r="B4557" s="36"/>
    </row>
    <row r="4558" spans="1:2" x14ac:dyDescent="0.3">
      <c r="A4558" s="19"/>
      <c r="B4558" s="36"/>
    </row>
    <row r="4559" spans="1:2" x14ac:dyDescent="0.3">
      <c r="A4559" s="19"/>
      <c r="B4559" s="36"/>
    </row>
    <row r="4560" spans="1:2" x14ac:dyDescent="0.3">
      <c r="A4560" s="19"/>
      <c r="B4560" s="36"/>
    </row>
    <row r="4561" spans="1:2" x14ac:dyDescent="0.3">
      <c r="A4561" s="19"/>
      <c r="B4561" s="36"/>
    </row>
    <row r="4562" spans="1:2" x14ac:dyDescent="0.3">
      <c r="A4562" s="19"/>
      <c r="B4562" s="36"/>
    </row>
    <row r="4563" spans="1:2" x14ac:dyDescent="0.3">
      <c r="A4563" s="19"/>
      <c r="B4563" s="36"/>
    </row>
    <row r="4564" spans="1:2" x14ac:dyDescent="0.3">
      <c r="A4564" s="19"/>
      <c r="B4564" s="36"/>
    </row>
    <row r="4565" spans="1:2" x14ac:dyDescent="0.3">
      <c r="A4565" s="19"/>
      <c r="B4565" s="36"/>
    </row>
    <row r="4566" spans="1:2" x14ac:dyDescent="0.3">
      <c r="A4566" s="19"/>
      <c r="B4566" s="36"/>
    </row>
    <row r="4567" spans="1:2" x14ac:dyDescent="0.3">
      <c r="A4567" s="19"/>
      <c r="B4567" s="36"/>
    </row>
    <row r="4568" spans="1:2" x14ac:dyDescent="0.3">
      <c r="A4568" s="19"/>
      <c r="B4568" s="36"/>
    </row>
    <row r="4569" spans="1:2" x14ac:dyDescent="0.3">
      <c r="A4569" s="19"/>
      <c r="B4569" s="36"/>
    </row>
    <row r="4570" spans="1:2" x14ac:dyDescent="0.3">
      <c r="A4570" s="19"/>
      <c r="B4570" s="36"/>
    </row>
    <row r="4571" spans="1:2" x14ac:dyDescent="0.3">
      <c r="A4571" s="19"/>
      <c r="B4571" s="36"/>
    </row>
    <row r="4572" spans="1:2" x14ac:dyDescent="0.3">
      <c r="A4572" s="19"/>
      <c r="B4572" s="36"/>
    </row>
    <row r="4573" spans="1:2" x14ac:dyDescent="0.3">
      <c r="A4573" s="19"/>
      <c r="B4573" s="36"/>
    </row>
    <row r="4574" spans="1:2" x14ac:dyDescent="0.3">
      <c r="A4574" s="19"/>
      <c r="B4574" s="36"/>
    </row>
    <row r="4575" spans="1:2" x14ac:dyDescent="0.3">
      <c r="A4575" s="19"/>
      <c r="B4575" s="36"/>
    </row>
    <row r="4576" spans="1:2" x14ac:dyDescent="0.3">
      <c r="A4576" s="19"/>
      <c r="B4576" s="36"/>
    </row>
    <row r="4577" spans="1:2" x14ac:dyDescent="0.3">
      <c r="A4577" s="19"/>
      <c r="B4577" s="36"/>
    </row>
    <row r="4578" spans="1:2" x14ac:dyDescent="0.3">
      <c r="A4578" s="19"/>
      <c r="B4578" s="36"/>
    </row>
    <row r="4579" spans="1:2" x14ac:dyDescent="0.3">
      <c r="A4579" s="19"/>
      <c r="B4579" s="36"/>
    </row>
    <row r="4580" spans="1:2" x14ac:dyDescent="0.3">
      <c r="A4580" s="19"/>
      <c r="B4580" s="36"/>
    </row>
    <row r="4581" spans="1:2" x14ac:dyDescent="0.3">
      <c r="A4581" s="19"/>
      <c r="B4581" s="36"/>
    </row>
    <row r="4582" spans="1:2" x14ac:dyDescent="0.3">
      <c r="A4582" s="19"/>
      <c r="B4582" s="36"/>
    </row>
    <row r="4583" spans="1:2" x14ac:dyDescent="0.3">
      <c r="A4583" s="19"/>
      <c r="B4583" s="36"/>
    </row>
    <row r="4584" spans="1:2" x14ac:dyDescent="0.3">
      <c r="A4584" s="19"/>
      <c r="B4584" s="36"/>
    </row>
    <row r="4585" spans="1:2" x14ac:dyDescent="0.3">
      <c r="A4585" s="19"/>
      <c r="B4585" s="36"/>
    </row>
    <row r="4586" spans="1:2" x14ac:dyDescent="0.3">
      <c r="A4586" s="19"/>
      <c r="B4586" s="36"/>
    </row>
    <row r="4587" spans="1:2" x14ac:dyDescent="0.3">
      <c r="A4587" s="19"/>
      <c r="B4587" s="36"/>
    </row>
    <row r="4588" spans="1:2" x14ac:dyDescent="0.3">
      <c r="A4588" s="19"/>
      <c r="B4588" s="36"/>
    </row>
    <row r="4589" spans="1:2" x14ac:dyDescent="0.3">
      <c r="A4589" s="19"/>
      <c r="B4589" s="36"/>
    </row>
    <row r="4590" spans="1:2" x14ac:dyDescent="0.3">
      <c r="A4590" s="19"/>
      <c r="B4590" s="36"/>
    </row>
    <row r="4591" spans="1:2" x14ac:dyDescent="0.3">
      <c r="A4591" s="19"/>
      <c r="B4591" s="36"/>
    </row>
    <row r="4592" spans="1:2" x14ac:dyDescent="0.3">
      <c r="A4592" s="19"/>
      <c r="B4592" s="36"/>
    </row>
    <row r="4593" spans="1:2" x14ac:dyDescent="0.3">
      <c r="A4593" s="19"/>
      <c r="B4593" s="36"/>
    </row>
    <row r="4594" spans="1:2" x14ac:dyDescent="0.3">
      <c r="A4594" s="19"/>
      <c r="B4594" s="36"/>
    </row>
    <row r="4595" spans="1:2" x14ac:dyDescent="0.3">
      <c r="A4595" s="19"/>
      <c r="B4595" s="36"/>
    </row>
    <row r="4596" spans="1:2" x14ac:dyDescent="0.3">
      <c r="A4596" s="19"/>
      <c r="B4596" s="36"/>
    </row>
    <row r="4597" spans="1:2" x14ac:dyDescent="0.3">
      <c r="A4597" s="19"/>
      <c r="B4597" s="36"/>
    </row>
    <row r="4598" spans="1:2" x14ac:dyDescent="0.3">
      <c r="A4598" s="19"/>
      <c r="B4598" s="36"/>
    </row>
    <row r="4599" spans="1:2" x14ac:dyDescent="0.3">
      <c r="A4599" s="19"/>
      <c r="B4599" s="36"/>
    </row>
    <row r="4600" spans="1:2" x14ac:dyDescent="0.3">
      <c r="A4600" s="19"/>
      <c r="B4600" s="36"/>
    </row>
    <row r="4601" spans="1:2" x14ac:dyDescent="0.3">
      <c r="A4601" s="19"/>
      <c r="B4601" s="36"/>
    </row>
    <row r="4602" spans="1:2" x14ac:dyDescent="0.3">
      <c r="A4602" s="19"/>
      <c r="B4602" s="36"/>
    </row>
    <row r="4603" spans="1:2" x14ac:dyDescent="0.3">
      <c r="A4603" s="19"/>
      <c r="B4603" s="36"/>
    </row>
    <row r="4604" spans="1:2" x14ac:dyDescent="0.3">
      <c r="A4604" s="19"/>
      <c r="B4604" s="36"/>
    </row>
    <row r="4605" spans="1:2" x14ac:dyDescent="0.3">
      <c r="A4605" s="19"/>
      <c r="B4605" s="36"/>
    </row>
    <row r="4606" spans="1:2" x14ac:dyDescent="0.3">
      <c r="A4606" s="19"/>
      <c r="B4606" s="36"/>
    </row>
    <row r="4607" spans="1:2" x14ac:dyDescent="0.3">
      <c r="A4607" s="19"/>
      <c r="B4607" s="36"/>
    </row>
    <row r="4608" spans="1:2" x14ac:dyDescent="0.3">
      <c r="A4608" s="19"/>
      <c r="B4608" s="36"/>
    </row>
    <row r="4609" spans="1:2" x14ac:dyDescent="0.3">
      <c r="A4609" s="19"/>
      <c r="B4609" s="36"/>
    </row>
    <row r="4610" spans="1:2" x14ac:dyDescent="0.3">
      <c r="A4610" s="19"/>
      <c r="B4610" s="36"/>
    </row>
    <row r="4611" spans="1:2" x14ac:dyDescent="0.3">
      <c r="A4611" s="19"/>
      <c r="B4611" s="36"/>
    </row>
    <row r="4612" spans="1:2" x14ac:dyDescent="0.3">
      <c r="A4612" s="19"/>
      <c r="B4612" s="36"/>
    </row>
    <row r="4613" spans="1:2" x14ac:dyDescent="0.3">
      <c r="A4613" s="19"/>
      <c r="B4613" s="36"/>
    </row>
    <row r="4614" spans="1:2" x14ac:dyDescent="0.3">
      <c r="A4614" s="19"/>
      <c r="B4614" s="36"/>
    </row>
    <row r="4615" spans="1:2" x14ac:dyDescent="0.3">
      <c r="A4615" s="19"/>
      <c r="B4615" s="36"/>
    </row>
    <row r="4616" spans="1:2" x14ac:dyDescent="0.3">
      <c r="A4616" s="19"/>
      <c r="B4616" s="36"/>
    </row>
    <row r="4617" spans="1:2" x14ac:dyDescent="0.3">
      <c r="A4617" s="19"/>
      <c r="B4617" s="36"/>
    </row>
    <row r="4618" spans="1:2" x14ac:dyDescent="0.3">
      <c r="A4618" s="19"/>
      <c r="B4618" s="36"/>
    </row>
    <row r="4619" spans="1:2" x14ac:dyDescent="0.3">
      <c r="A4619" s="19"/>
      <c r="B4619" s="36"/>
    </row>
    <row r="4620" spans="1:2" x14ac:dyDescent="0.3">
      <c r="A4620" s="19"/>
      <c r="B4620" s="36"/>
    </row>
    <row r="4621" spans="1:2" x14ac:dyDescent="0.3">
      <c r="A4621" s="19"/>
      <c r="B4621" s="36"/>
    </row>
    <row r="4622" spans="1:2" x14ac:dyDescent="0.3">
      <c r="A4622" s="19"/>
      <c r="B4622" s="36"/>
    </row>
    <row r="4623" spans="1:2" x14ac:dyDescent="0.3">
      <c r="A4623" s="19"/>
      <c r="B4623" s="36"/>
    </row>
    <row r="4624" spans="1:2" x14ac:dyDescent="0.3">
      <c r="A4624" s="19"/>
      <c r="B4624" s="36"/>
    </row>
    <row r="4625" spans="1:2" x14ac:dyDescent="0.3">
      <c r="A4625" s="19"/>
      <c r="B4625" s="36"/>
    </row>
    <row r="4626" spans="1:2" x14ac:dyDescent="0.3">
      <c r="A4626" s="19"/>
      <c r="B4626" s="36"/>
    </row>
    <row r="4627" spans="1:2" x14ac:dyDescent="0.3">
      <c r="A4627" s="19"/>
      <c r="B4627" s="36"/>
    </row>
    <row r="4628" spans="1:2" x14ac:dyDescent="0.3">
      <c r="A4628" s="19"/>
      <c r="B4628" s="36"/>
    </row>
    <row r="4629" spans="1:2" x14ac:dyDescent="0.3">
      <c r="A4629" s="19"/>
      <c r="B4629" s="36"/>
    </row>
    <row r="4630" spans="1:2" x14ac:dyDescent="0.3">
      <c r="A4630" s="19"/>
      <c r="B4630" s="36"/>
    </row>
    <row r="4631" spans="1:2" x14ac:dyDescent="0.3">
      <c r="A4631" s="19"/>
      <c r="B4631" s="36"/>
    </row>
    <row r="4632" spans="1:2" x14ac:dyDescent="0.3">
      <c r="A4632" s="19"/>
      <c r="B4632" s="36"/>
    </row>
    <row r="4633" spans="1:2" x14ac:dyDescent="0.3">
      <c r="A4633" s="19"/>
      <c r="B4633" s="36"/>
    </row>
    <row r="4634" spans="1:2" x14ac:dyDescent="0.3">
      <c r="A4634" s="19"/>
      <c r="B4634" s="36"/>
    </row>
    <row r="4635" spans="1:2" x14ac:dyDescent="0.3">
      <c r="A4635" s="19"/>
      <c r="B4635" s="36"/>
    </row>
    <row r="4636" spans="1:2" x14ac:dyDescent="0.3">
      <c r="A4636" s="19"/>
      <c r="B4636" s="36"/>
    </row>
    <row r="4637" spans="1:2" x14ac:dyDescent="0.3">
      <c r="A4637" s="19"/>
      <c r="B4637" s="36"/>
    </row>
    <row r="4638" spans="1:2" x14ac:dyDescent="0.3">
      <c r="A4638" s="19"/>
      <c r="B4638" s="36"/>
    </row>
    <row r="4639" spans="1:2" x14ac:dyDescent="0.3">
      <c r="A4639" s="19"/>
      <c r="B4639" s="36"/>
    </row>
    <row r="4640" spans="1:2" x14ac:dyDescent="0.3">
      <c r="A4640" s="19"/>
      <c r="B4640" s="36"/>
    </row>
    <row r="4641" spans="1:2" x14ac:dyDescent="0.3">
      <c r="A4641" s="19"/>
      <c r="B4641" s="36"/>
    </row>
    <row r="4642" spans="1:2" x14ac:dyDescent="0.3">
      <c r="A4642" s="19"/>
      <c r="B4642" s="36"/>
    </row>
    <row r="4643" spans="1:2" x14ac:dyDescent="0.3">
      <c r="A4643" s="19"/>
      <c r="B4643" s="36"/>
    </row>
    <row r="4644" spans="1:2" x14ac:dyDescent="0.3">
      <c r="A4644" s="19"/>
      <c r="B4644" s="36"/>
    </row>
    <row r="4645" spans="1:2" x14ac:dyDescent="0.3">
      <c r="A4645" s="19"/>
      <c r="B4645" s="36"/>
    </row>
    <row r="4646" spans="1:2" x14ac:dyDescent="0.3">
      <c r="A4646" s="19"/>
      <c r="B4646" s="36"/>
    </row>
    <row r="4647" spans="1:2" x14ac:dyDescent="0.3">
      <c r="A4647" s="19"/>
      <c r="B4647" s="36"/>
    </row>
    <row r="4648" spans="1:2" x14ac:dyDescent="0.3">
      <c r="A4648" s="19"/>
      <c r="B4648" s="36"/>
    </row>
    <row r="4649" spans="1:2" x14ac:dyDescent="0.3">
      <c r="A4649" s="19"/>
      <c r="B4649" s="36"/>
    </row>
    <row r="4650" spans="1:2" x14ac:dyDescent="0.3">
      <c r="A4650" s="19"/>
      <c r="B4650" s="36"/>
    </row>
    <row r="4651" spans="1:2" x14ac:dyDescent="0.3">
      <c r="A4651" s="19"/>
      <c r="B4651" s="36"/>
    </row>
    <row r="4652" spans="1:2" x14ac:dyDescent="0.3">
      <c r="A4652" s="19"/>
      <c r="B4652" s="36"/>
    </row>
    <row r="4653" spans="1:2" x14ac:dyDescent="0.3">
      <c r="A4653" s="19"/>
      <c r="B4653" s="36"/>
    </row>
    <row r="4654" spans="1:2" x14ac:dyDescent="0.3">
      <c r="A4654" s="19"/>
      <c r="B4654" s="36"/>
    </row>
    <row r="4655" spans="1:2" x14ac:dyDescent="0.3">
      <c r="A4655" s="19"/>
      <c r="B4655" s="36"/>
    </row>
    <row r="4656" spans="1:2" x14ac:dyDescent="0.3">
      <c r="A4656" s="19"/>
      <c r="B4656" s="36"/>
    </row>
    <row r="4657" spans="1:2" x14ac:dyDescent="0.3">
      <c r="A4657" s="19"/>
      <c r="B4657" s="36"/>
    </row>
    <row r="4658" spans="1:2" x14ac:dyDescent="0.3">
      <c r="A4658" s="19"/>
      <c r="B4658" s="36"/>
    </row>
    <row r="4659" spans="1:2" x14ac:dyDescent="0.3">
      <c r="A4659" s="19"/>
      <c r="B4659" s="36"/>
    </row>
    <row r="4660" spans="1:2" x14ac:dyDescent="0.3">
      <c r="A4660" s="19"/>
      <c r="B4660" s="36"/>
    </row>
    <row r="4661" spans="1:2" x14ac:dyDescent="0.3">
      <c r="A4661" s="19"/>
      <c r="B4661" s="36"/>
    </row>
    <row r="4662" spans="1:2" x14ac:dyDescent="0.3">
      <c r="A4662" s="19"/>
      <c r="B4662" s="36"/>
    </row>
    <row r="4663" spans="1:2" x14ac:dyDescent="0.3">
      <c r="A4663" s="19"/>
      <c r="B4663" s="36"/>
    </row>
    <row r="4664" spans="1:2" x14ac:dyDescent="0.3">
      <c r="A4664" s="19"/>
      <c r="B4664" s="36"/>
    </row>
    <row r="4665" spans="1:2" x14ac:dyDescent="0.3">
      <c r="A4665" s="19"/>
      <c r="B4665" s="36"/>
    </row>
    <row r="4666" spans="1:2" x14ac:dyDescent="0.3">
      <c r="A4666" s="19"/>
      <c r="B4666" s="36"/>
    </row>
    <row r="4667" spans="1:2" x14ac:dyDescent="0.3">
      <c r="A4667" s="19"/>
      <c r="B4667" s="36"/>
    </row>
    <row r="4668" spans="1:2" x14ac:dyDescent="0.3">
      <c r="A4668" s="19"/>
      <c r="B4668" s="36"/>
    </row>
    <row r="4669" spans="1:2" x14ac:dyDescent="0.3">
      <c r="A4669" s="19"/>
      <c r="B4669" s="36"/>
    </row>
    <row r="4670" spans="1:2" x14ac:dyDescent="0.3">
      <c r="A4670" s="19"/>
      <c r="B4670" s="36"/>
    </row>
    <row r="4671" spans="1:2" x14ac:dyDescent="0.3">
      <c r="A4671" s="19"/>
      <c r="B4671" s="36"/>
    </row>
    <row r="4672" spans="1:2" x14ac:dyDescent="0.3">
      <c r="A4672" s="19"/>
      <c r="B4672" s="36"/>
    </row>
    <row r="4673" spans="1:2" x14ac:dyDescent="0.3">
      <c r="A4673" s="19"/>
      <c r="B4673" s="36"/>
    </row>
    <row r="4674" spans="1:2" x14ac:dyDescent="0.3">
      <c r="A4674" s="19"/>
      <c r="B4674" s="36"/>
    </row>
    <row r="4675" spans="1:2" x14ac:dyDescent="0.3">
      <c r="A4675" s="19"/>
      <c r="B4675" s="36"/>
    </row>
    <row r="4676" spans="1:2" x14ac:dyDescent="0.3">
      <c r="A4676" s="19"/>
      <c r="B4676" s="36"/>
    </row>
    <row r="4677" spans="1:2" x14ac:dyDescent="0.3">
      <c r="A4677" s="19"/>
      <c r="B4677" s="36"/>
    </row>
    <row r="4678" spans="1:2" x14ac:dyDescent="0.3">
      <c r="A4678" s="19"/>
      <c r="B4678" s="36"/>
    </row>
    <row r="4679" spans="1:2" x14ac:dyDescent="0.3">
      <c r="A4679" s="19"/>
      <c r="B4679" s="36"/>
    </row>
    <row r="4680" spans="1:2" x14ac:dyDescent="0.3">
      <c r="A4680" s="19"/>
      <c r="B4680" s="36"/>
    </row>
    <row r="4681" spans="1:2" x14ac:dyDescent="0.3">
      <c r="A4681" s="19"/>
      <c r="B4681" s="36"/>
    </row>
    <row r="4682" spans="1:2" x14ac:dyDescent="0.3">
      <c r="A4682" s="19"/>
      <c r="B4682" s="36"/>
    </row>
    <row r="4683" spans="1:2" x14ac:dyDescent="0.3">
      <c r="A4683" s="19"/>
      <c r="B4683" s="36"/>
    </row>
    <row r="4684" spans="1:2" x14ac:dyDescent="0.3">
      <c r="A4684" s="19"/>
      <c r="B4684" s="36"/>
    </row>
    <row r="4685" spans="1:2" x14ac:dyDescent="0.3">
      <c r="A4685" s="19"/>
      <c r="B4685" s="36"/>
    </row>
    <row r="4686" spans="1:2" x14ac:dyDescent="0.3">
      <c r="A4686" s="19"/>
      <c r="B4686" s="36"/>
    </row>
    <row r="4687" spans="1:2" x14ac:dyDescent="0.3">
      <c r="A4687" s="19"/>
      <c r="B4687" s="36"/>
    </row>
    <row r="4688" spans="1:2" x14ac:dyDescent="0.3">
      <c r="A4688" s="19"/>
      <c r="B4688" s="36"/>
    </row>
    <row r="4689" spans="1:2" x14ac:dyDescent="0.3">
      <c r="A4689" s="19"/>
      <c r="B4689" s="36"/>
    </row>
    <row r="4690" spans="1:2" x14ac:dyDescent="0.3">
      <c r="A4690" s="19"/>
      <c r="B4690" s="36"/>
    </row>
    <row r="4691" spans="1:2" x14ac:dyDescent="0.3">
      <c r="A4691" s="19"/>
      <c r="B4691" s="36"/>
    </row>
    <row r="4692" spans="1:2" x14ac:dyDescent="0.3">
      <c r="A4692" s="19"/>
      <c r="B4692" s="36"/>
    </row>
    <row r="4693" spans="1:2" x14ac:dyDescent="0.3">
      <c r="A4693" s="19"/>
      <c r="B4693" s="36"/>
    </row>
    <row r="4694" spans="1:2" x14ac:dyDescent="0.3">
      <c r="A4694" s="19"/>
      <c r="B4694" s="36"/>
    </row>
    <row r="4695" spans="1:2" x14ac:dyDescent="0.3">
      <c r="A4695" s="19"/>
      <c r="B4695" s="36"/>
    </row>
    <row r="4696" spans="1:2" x14ac:dyDescent="0.3">
      <c r="A4696" s="19"/>
      <c r="B4696" s="36"/>
    </row>
    <row r="4697" spans="1:2" x14ac:dyDescent="0.3">
      <c r="A4697" s="19"/>
      <c r="B4697" s="36"/>
    </row>
    <row r="4698" spans="1:2" x14ac:dyDescent="0.3">
      <c r="A4698" s="19"/>
      <c r="B4698" s="36"/>
    </row>
    <row r="4699" spans="1:2" x14ac:dyDescent="0.3">
      <c r="A4699" s="19"/>
      <c r="B4699" s="36"/>
    </row>
    <row r="4700" spans="1:2" x14ac:dyDescent="0.3">
      <c r="A4700" s="19"/>
      <c r="B4700" s="36"/>
    </row>
    <row r="4701" spans="1:2" x14ac:dyDescent="0.3">
      <c r="A4701" s="19"/>
      <c r="B4701" s="36"/>
    </row>
    <row r="4702" spans="1:2" x14ac:dyDescent="0.3">
      <c r="A4702" s="19"/>
      <c r="B4702" s="36"/>
    </row>
    <row r="4703" spans="1:2" x14ac:dyDescent="0.3">
      <c r="A4703" s="19"/>
      <c r="B4703" s="36"/>
    </row>
    <row r="4704" spans="1:2" x14ac:dyDescent="0.3">
      <c r="A4704" s="19"/>
      <c r="B4704" s="36"/>
    </row>
    <row r="4705" spans="1:2" x14ac:dyDescent="0.3">
      <c r="A4705" s="19"/>
      <c r="B4705" s="36"/>
    </row>
    <row r="4706" spans="1:2" x14ac:dyDescent="0.3">
      <c r="A4706" s="19"/>
      <c r="B4706" s="36"/>
    </row>
    <row r="4707" spans="1:2" x14ac:dyDescent="0.3">
      <c r="A4707" s="19"/>
      <c r="B4707" s="36"/>
    </row>
    <row r="4708" spans="1:2" x14ac:dyDescent="0.3">
      <c r="A4708" s="19"/>
      <c r="B4708" s="36"/>
    </row>
    <row r="4709" spans="1:2" x14ac:dyDescent="0.3">
      <c r="A4709" s="19"/>
      <c r="B4709" s="36"/>
    </row>
    <row r="4710" spans="1:2" x14ac:dyDescent="0.3">
      <c r="A4710" s="19"/>
      <c r="B4710" s="36"/>
    </row>
    <row r="4711" spans="1:2" x14ac:dyDescent="0.3">
      <c r="A4711" s="19"/>
      <c r="B4711" s="36"/>
    </row>
    <row r="4712" spans="1:2" x14ac:dyDescent="0.3">
      <c r="A4712" s="19"/>
      <c r="B4712" s="36"/>
    </row>
    <row r="4713" spans="1:2" x14ac:dyDescent="0.3">
      <c r="A4713" s="19"/>
      <c r="B4713" s="36"/>
    </row>
    <row r="4714" spans="1:2" x14ac:dyDescent="0.3">
      <c r="A4714" s="19"/>
      <c r="B4714" s="36"/>
    </row>
    <row r="4715" spans="1:2" x14ac:dyDescent="0.3">
      <c r="A4715" s="19"/>
      <c r="B4715" s="36"/>
    </row>
    <row r="4716" spans="1:2" x14ac:dyDescent="0.3">
      <c r="A4716" s="19"/>
      <c r="B4716" s="36"/>
    </row>
    <row r="4717" spans="1:2" x14ac:dyDescent="0.3">
      <c r="A4717" s="19"/>
      <c r="B4717" s="36"/>
    </row>
    <row r="4718" spans="1:2" x14ac:dyDescent="0.3">
      <c r="A4718" s="19"/>
      <c r="B4718" s="36"/>
    </row>
    <row r="4719" spans="1:2" x14ac:dyDescent="0.3">
      <c r="A4719" s="19"/>
      <c r="B4719" s="36"/>
    </row>
    <row r="4720" spans="1:2" x14ac:dyDescent="0.3">
      <c r="A4720" s="19"/>
      <c r="B4720" s="36"/>
    </row>
    <row r="4721" spans="1:2" x14ac:dyDescent="0.3">
      <c r="A4721" s="19"/>
      <c r="B4721" s="36"/>
    </row>
    <row r="4722" spans="1:2" x14ac:dyDescent="0.3">
      <c r="A4722" s="19"/>
      <c r="B4722" s="36"/>
    </row>
    <row r="4723" spans="1:2" x14ac:dyDescent="0.3">
      <c r="A4723" s="19"/>
      <c r="B4723" s="36"/>
    </row>
    <row r="4724" spans="1:2" x14ac:dyDescent="0.3">
      <c r="A4724" s="19"/>
      <c r="B4724" s="36"/>
    </row>
    <row r="4725" spans="1:2" x14ac:dyDescent="0.3">
      <c r="A4725" s="19"/>
      <c r="B4725" s="36"/>
    </row>
    <row r="4726" spans="1:2" x14ac:dyDescent="0.3">
      <c r="A4726" s="19"/>
      <c r="B4726" s="36"/>
    </row>
    <row r="4727" spans="1:2" x14ac:dyDescent="0.3">
      <c r="A4727" s="19"/>
      <c r="B4727" s="36"/>
    </row>
    <row r="4728" spans="1:2" x14ac:dyDescent="0.3">
      <c r="A4728" s="19"/>
      <c r="B4728" s="36"/>
    </row>
    <row r="4729" spans="1:2" x14ac:dyDescent="0.3">
      <c r="A4729" s="19"/>
      <c r="B4729" s="36"/>
    </row>
    <row r="4730" spans="1:2" x14ac:dyDescent="0.3">
      <c r="A4730" s="19"/>
      <c r="B4730" s="36"/>
    </row>
    <row r="4731" spans="1:2" x14ac:dyDescent="0.3">
      <c r="A4731" s="19"/>
      <c r="B4731" s="36"/>
    </row>
    <row r="4732" spans="1:2" x14ac:dyDescent="0.3">
      <c r="A4732" s="19"/>
      <c r="B4732" s="36"/>
    </row>
    <row r="4733" spans="1:2" x14ac:dyDescent="0.3">
      <c r="A4733" s="19"/>
      <c r="B4733" s="36"/>
    </row>
    <row r="4734" spans="1:2" x14ac:dyDescent="0.3">
      <c r="A4734" s="19"/>
      <c r="B4734" s="36"/>
    </row>
    <row r="4735" spans="1:2" x14ac:dyDescent="0.3">
      <c r="A4735" s="19"/>
      <c r="B4735" s="36"/>
    </row>
    <row r="4736" spans="1:2" x14ac:dyDescent="0.3">
      <c r="A4736" s="19"/>
      <c r="B4736" s="36"/>
    </row>
    <row r="4737" spans="1:2" x14ac:dyDescent="0.3">
      <c r="A4737" s="19"/>
      <c r="B4737" s="36"/>
    </row>
    <row r="4738" spans="1:2" x14ac:dyDescent="0.3">
      <c r="A4738" s="19"/>
      <c r="B4738" s="36"/>
    </row>
    <row r="4739" spans="1:2" x14ac:dyDescent="0.3">
      <c r="A4739" s="19"/>
      <c r="B4739" s="36"/>
    </row>
    <row r="4740" spans="1:2" x14ac:dyDescent="0.3">
      <c r="A4740" s="19"/>
      <c r="B4740" s="36"/>
    </row>
    <row r="4741" spans="1:2" x14ac:dyDescent="0.3">
      <c r="A4741" s="19"/>
      <c r="B4741" s="36"/>
    </row>
    <row r="4742" spans="1:2" x14ac:dyDescent="0.3">
      <c r="A4742" s="19"/>
      <c r="B4742" s="36"/>
    </row>
    <row r="4743" spans="1:2" x14ac:dyDescent="0.3">
      <c r="A4743" s="19"/>
      <c r="B4743" s="36"/>
    </row>
    <row r="4744" spans="1:2" x14ac:dyDescent="0.3">
      <c r="A4744" s="19"/>
      <c r="B4744" s="36"/>
    </row>
    <row r="4745" spans="1:2" x14ac:dyDescent="0.3">
      <c r="A4745" s="19"/>
      <c r="B4745" s="36"/>
    </row>
    <row r="4746" spans="1:2" x14ac:dyDescent="0.3">
      <c r="A4746" s="19"/>
      <c r="B4746" s="36"/>
    </row>
    <row r="4747" spans="1:2" x14ac:dyDescent="0.3">
      <c r="A4747" s="19"/>
      <c r="B4747" s="36"/>
    </row>
    <row r="4748" spans="1:2" x14ac:dyDescent="0.3">
      <c r="A4748" s="19"/>
      <c r="B4748" s="36"/>
    </row>
    <row r="4749" spans="1:2" x14ac:dyDescent="0.3">
      <c r="A4749" s="19"/>
      <c r="B4749" s="36"/>
    </row>
    <row r="4750" spans="1:2" x14ac:dyDescent="0.3">
      <c r="A4750" s="19"/>
      <c r="B4750" s="36"/>
    </row>
    <row r="4751" spans="1:2" x14ac:dyDescent="0.3">
      <c r="A4751" s="19"/>
      <c r="B4751" s="36"/>
    </row>
    <row r="4752" spans="1:2" x14ac:dyDescent="0.3">
      <c r="A4752" s="19"/>
      <c r="B4752" s="36"/>
    </row>
    <row r="4753" spans="1:2" x14ac:dyDescent="0.3">
      <c r="A4753" s="19"/>
      <c r="B4753" s="36"/>
    </row>
    <row r="4754" spans="1:2" x14ac:dyDescent="0.3">
      <c r="A4754" s="19"/>
      <c r="B4754" s="36"/>
    </row>
    <row r="4755" spans="1:2" x14ac:dyDescent="0.3">
      <c r="A4755" s="19"/>
      <c r="B4755" s="36"/>
    </row>
    <row r="4756" spans="1:2" x14ac:dyDescent="0.3">
      <c r="A4756" s="19"/>
      <c r="B4756" s="36"/>
    </row>
    <row r="4757" spans="1:2" x14ac:dyDescent="0.3">
      <c r="A4757" s="19"/>
      <c r="B4757" s="36"/>
    </row>
    <row r="4758" spans="1:2" x14ac:dyDescent="0.3">
      <c r="A4758" s="19"/>
      <c r="B4758" s="36"/>
    </row>
    <row r="4759" spans="1:2" x14ac:dyDescent="0.3">
      <c r="A4759" s="19"/>
      <c r="B4759" s="36"/>
    </row>
    <row r="4760" spans="1:2" x14ac:dyDescent="0.3">
      <c r="A4760" s="19"/>
      <c r="B4760" s="36"/>
    </row>
    <row r="4761" spans="1:2" x14ac:dyDescent="0.3">
      <c r="A4761" s="19"/>
      <c r="B4761" s="36"/>
    </row>
    <row r="4762" spans="1:2" x14ac:dyDescent="0.3">
      <c r="A4762" s="19"/>
      <c r="B4762" s="36"/>
    </row>
    <row r="4763" spans="1:2" x14ac:dyDescent="0.3">
      <c r="A4763" s="19"/>
      <c r="B4763" s="36"/>
    </row>
    <row r="4764" spans="1:2" x14ac:dyDescent="0.3">
      <c r="A4764" s="19"/>
      <c r="B4764" s="36"/>
    </row>
    <row r="4765" spans="1:2" x14ac:dyDescent="0.3">
      <c r="A4765" s="19"/>
      <c r="B4765" s="36"/>
    </row>
    <row r="4766" spans="1:2" x14ac:dyDescent="0.3">
      <c r="A4766" s="19"/>
      <c r="B4766" s="36"/>
    </row>
    <row r="4767" spans="1:2" x14ac:dyDescent="0.3">
      <c r="A4767" s="19"/>
      <c r="B4767" s="36"/>
    </row>
    <row r="4768" spans="1:2" x14ac:dyDescent="0.3">
      <c r="A4768" s="19"/>
      <c r="B4768" s="36"/>
    </row>
    <row r="4769" spans="1:2" x14ac:dyDescent="0.3">
      <c r="A4769" s="19"/>
      <c r="B4769" s="36"/>
    </row>
    <row r="4770" spans="1:2" x14ac:dyDescent="0.3">
      <c r="A4770" s="19"/>
      <c r="B4770" s="36"/>
    </row>
    <row r="4771" spans="1:2" x14ac:dyDescent="0.3">
      <c r="A4771" s="19"/>
      <c r="B4771" s="36"/>
    </row>
    <row r="4772" spans="1:2" x14ac:dyDescent="0.3">
      <c r="A4772" s="19"/>
      <c r="B4772" s="36"/>
    </row>
    <row r="4773" spans="1:2" x14ac:dyDescent="0.3">
      <c r="A4773" s="19"/>
      <c r="B4773" s="36"/>
    </row>
    <row r="4774" spans="1:2" x14ac:dyDescent="0.3">
      <c r="A4774" s="19"/>
      <c r="B4774" s="36"/>
    </row>
    <row r="4775" spans="1:2" x14ac:dyDescent="0.3">
      <c r="A4775" s="19"/>
      <c r="B4775" s="36"/>
    </row>
    <row r="4776" spans="1:2" x14ac:dyDescent="0.3">
      <c r="A4776" s="19"/>
      <c r="B4776" s="36"/>
    </row>
    <row r="4777" spans="1:2" x14ac:dyDescent="0.3">
      <c r="A4777" s="19"/>
      <c r="B4777" s="36"/>
    </row>
    <row r="4778" spans="1:2" x14ac:dyDescent="0.3">
      <c r="A4778" s="19"/>
      <c r="B4778" s="36"/>
    </row>
    <row r="4779" spans="1:2" x14ac:dyDescent="0.3">
      <c r="A4779" s="19"/>
      <c r="B4779" s="36"/>
    </row>
    <row r="4780" spans="1:2" x14ac:dyDescent="0.3">
      <c r="A4780" s="19"/>
      <c r="B4780" s="36"/>
    </row>
    <row r="4781" spans="1:2" x14ac:dyDescent="0.3">
      <c r="A4781" s="19"/>
      <c r="B4781" s="36"/>
    </row>
    <row r="4782" spans="1:2" x14ac:dyDescent="0.3">
      <c r="A4782" s="19"/>
      <c r="B4782" s="36"/>
    </row>
    <row r="4783" spans="1:2" x14ac:dyDescent="0.3">
      <c r="A4783" s="19"/>
      <c r="B4783" s="36"/>
    </row>
    <row r="4784" spans="1:2" x14ac:dyDescent="0.3">
      <c r="A4784" s="19"/>
      <c r="B4784" s="36"/>
    </row>
    <row r="4785" spans="1:2" x14ac:dyDescent="0.3">
      <c r="A4785" s="19"/>
      <c r="B4785" s="36"/>
    </row>
    <row r="4786" spans="1:2" x14ac:dyDescent="0.3">
      <c r="A4786" s="19"/>
      <c r="B4786" s="36"/>
    </row>
    <row r="4787" spans="1:2" x14ac:dyDescent="0.3">
      <c r="A4787" s="19"/>
      <c r="B4787" s="36"/>
    </row>
    <row r="4788" spans="1:2" x14ac:dyDescent="0.3">
      <c r="A4788" s="19"/>
      <c r="B4788" s="36"/>
    </row>
    <row r="4789" spans="1:2" x14ac:dyDescent="0.3">
      <c r="A4789" s="19"/>
      <c r="B4789" s="36"/>
    </row>
    <row r="4790" spans="1:2" x14ac:dyDescent="0.3">
      <c r="A4790" s="19"/>
      <c r="B4790" s="36"/>
    </row>
    <row r="4791" spans="1:2" x14ac:dyDescent="0.3">
      <c r="A4791" s="19"/>
      <c r="B4791" s="36"/>
    </row>
    <row r="4792" spans="1:2" x14ac:dyDescent="0.3">
      <c r="A4792" s="19"/>
      <c r="B4792" s="36"/>
    </row>
    <row r="4793" spans="1:2" x14ac:dyDescent="0.3">
      <c r="A4793" s="19"/>
      <c r="B4793" s="36"/>
    </row>
    <row r="4794" spans="1:2" x14ac:dyDescent="0.3">
      <c r="A4794" s="19"/>
      <c r="B4794" s="36"/>
    </row>
    <row r="4795" spans="1:2" x14ac:dyDescent="0.3">
      <c r="A4795" s="19"/>
      <c r="B4795" s="36"/>
    </row>
    <row r="4796" spans="1:2" x14ac:dyDescent="0.3">
      <c r="A4796" s="19"/>
      <c r="B4796" s="36"/>
    </row>
    <row r="4797" spans="1:2" x14ac:dyDescent="0.3">
      <c r="A4797" s="19"/>
      <c r="B4797" s="36"/>
    </row>
    <row r="4798" spans="1:2" x14ac:dyDescent="0.3">
      <c r="A4798" s="19"/>
      <c r="B4798" s="36"/>
    </row>
    <row r="4799" spans="1:2" x14ac:dyDescent="0.3">
      <c r="A4799" s="19"/>
      <c r="B4799" s="36"/>
    </row>
    <row r="4800" spans="1:2" x14ac:dyDescent="0.3">
      <c r="A4800" s="19"/>
      <c r="B4800" s="36"/>
    </row>
    <row r="4801" spans="1:2" x14ac:dyDescent="0.3">
      <c r="A4801" s="19"/>
      <c r="B4801" s="36"/>
    </row>
    <row r="4802" spans="1:2" x14ac:dyDescent="0.3">
      <c r="A4802" s="19"/>
      <c r="B4802" s="36"/>
    </row>
    <row r="4803" spans="1:2" x14ac:dyDescent="0.3">
      <c r="A4803" s="19"/>
      <c r="B4803" s="36"/>
    </row>
    <row r="4804" spans="1:2" x14ac:dyDescent="0.3">
      <c r="A4804" s="19"/>
      <c r="B4804" s="36"/>
    </row>
    <row r="4805" spans="1:2" x14ac:dyDescent="0.3">
      <c r="A4805" s="19"/>
      <c r="B4805" s="36"/>
    </row>
    <row r="4806" spans="1:2" x14ac:dyDescent="0.3">
      <c r="A4806" s="19"/>
      <c r="B4806" s="36"/>
    </row>
    <row r="4807" spans="1:2" x14ac:dyDescent="0.3">
      <c r="A4807" s="19"/>
      <c r="B4807" s="36"/>
    </row>
    <row r="4808" spans="1:2" x14ac:dyDescent="0.3">
      <c r="A4808" s="19"/>
      <c r="B4808" s="36"/>
    </row>
    <row r="4809" spans="1:2" x14ac:dyDescent="0.3">
      <c r="A4809" s="19"/>
      <c r="B4809" s="36"/>
    </row>
    <row r="4810" spans="1:2" x14ac:dyDescent="0.3">
      <c r="A4810" s="19"/>
      <c r="B4810" s="36"/>
    </row>
    <row r="4811" spans="1:2" x14ac:dyDescent="0.3">
      <c r="A4811" s="19"/>
      <c r="B4811" s="36"/>
    </row>
    <row r="4812" spans="1:2" x14ac:dyDescent="0.3">
      <c r="A4812" s="19"/>
      <c r="B4812" s="36"/>
    </row>
    <row r="4813" spans="1:2" x14ac:dyDescent="0.3">
      <c r="A4813" s="19"/>
      <c r="B4813" s="36"/>
    </row>
    <row r="4814" spans="1:2" x14ac:dyDescent="0.3">
      <c r="A4814" s="19"/>
      <c r="B4814" s="36"/>
    </row>
    <row r="4815" spans="1:2" x14ac:dyDescent="0.3">
      <c r="A4815" s="19"/>
      <c r="B4815" s="36"/>
    </row>
    <row r="4816" spans="1:2" x14ac:dyDescent="0.3">
      <c r="A4816" s="19"/>
      <c r="B4816" s="36"/>
    </row>
    <row r="4817" spans="1:2" x14ac:dyDescent="0.3">
      <c r="A4817" s="19"/>
      <c r="B4817" s="36"/>
    </row>
    <row r="4818" spans="1:2" x14ac:dyDescent="0.3">
      <c r="A4818" s="19"/>
      <c r="B4818" s="36"/>
    </row>
    <row r="4819" spans="1:2" x14ac:dyDescent="0.3">
      <c r="A4819" s="19"/>
      <c r="B4819" s="36"/>
    </row>
    <row r="4820" spans="1:2" x14ac:dyDescent="0.3">
      <c r="A4820" s="19"/>
      <c r="B4820" s="36"/>
    </row>
    <row r="4821" spans="1:2" x14ac:dyDescent="0.3">
      <c r="A4821" s="19"/>
      <c r="B4821" s="36"/>
    </row>
    <row r="4822" spans="1:2" x14ac:dyDescent="0.3">
      <c r="A4822" s="19"/>
      <c r="B4822" s="36"/>
    </row>
    <row r="4823" spans="1:2" x14ac:dyDescent="0.3">
      <c r="A4823" s="19"/>
      <c r="B4823" s="36"/>
    </row>
    <row r="4824" spans="1:2" x14ac:dyDescent="0.3">
      <c r="A4824" s="19"/>
      <c r="B4824" s="36"/>
    </row>
    <row r="4825" spans="1:2" x14ac:dyDescent="0.3">
      <c r="A4825" s="19"/>
      <c r="B4825" s="36"/>
    </row>
    <row r="4826" spans="1:2" x14ac:dyDescent="0.3">
      <c r="A4826" s="19"/>
      <c r="B4826" s="36"/>
    </row>
    <row r="4827" spans="1:2" x14ac:dyDescent="0.3">
      <c r="A4827" s="19"/>
      <c r="B4827" s="36"/>
    </row>
    <row r="4828" spans="1:2" x14ac:dyDescent="0.3">
      <c r="A4828" s="19"/>
      <c r="B4828" s="36"/>
    </row>
    <row r="4829" spans="1:2" x14ac:dyDescent="0.3">
      <c r="A4829" s="19"/>
      <c r="B4829" s="36"/>
    </row>
    <row r="4830" spans="1:2" x14ac:dyDescent="0.3">
      <c r="A4830" s="19"/>
      <c r="B4830" s="36"/>
    </row>
    <row r="4831" spans="1:2" x14ac:dyDescent="0.3">
      <c r="A4831" s="19"/>
      <c r="B4831" s="36"/>
    </row>
    <row r="4832" spans="1:2" x14ac:dyDescent="0.3">
      <c r="A4832" s="19"/>
      <c r="B4832" s="36"/>
    </row>
    <row r="4833" spans="1:2" x14ac:dyDescent="0.3">
      <c r="A4833" s="19"/>
      <c r="B4833" s="36"/>
    </row>
    <row r="4834" spans="1:2" x14ac:dyDescent="0.3">
      <c r="A4834" s="19"/>
      <c r="B4834" s="36"/>
    </row>
    <row r="4835" spans="1:2" x14ac:dyDescent="0.3">
      <c r="A4835" s="19"/>
      <c r="B4835" s="36"/>
    </row>
    <row r="4836" spans="1:2" x14ac:dyDescent="0.3">
      <c r="A4836" s="19"/>
      <c r="B4836" s="36"/>
    </row>
    <row r="4837" spans="1:2" x14ac:dyDescent="0.3">
      <c r="A4837" s="19"/>
      <c r="B4837" s="36"/>
    </row>
    <row r="4838" spans="1:2" x14ac:dyDescent="0.3">
      <c r="A4838" s="19"/>
      <c r="B4838" s="36"/>
    </row>
    <row r="4839" spans="1:2" x14ac:dyDescent="0.3">
      <c r="A4839" s="19"/>
      <c r="B4839" s="36"/>
    </row>
    <row r="4840" spans="1:2" x14ac:dyDescent="0.3">
      <c r="A4840" s="19"/>
      <c r="B4840" s="36"/>
    </row>
    <row r="4841" spans="1:2" x14ac:dyDescent="0.3">
      <c r="A4841" s="19"/>
      <c r="B4841" s="36"/>
    </row>
    <row r="4842" spans="1:2" x14ac:dyDescent="0.3">
      <c r="A4842" s="19"/>
      <c r="B4842" s="36"/>
    </row>
    <row r="4843" spans="1:2" x14ac:dyDescent="0.3">
      <c r="A4843" s="19"/>
      <c r="B4843" s="36"/>
    </row>
    <row r="4844" spans="1:2" x14ac:dyDescent="0.3">
      <c r="A4844" s="19"/>
      <c r="B4844" s="36"/>
    </row>
    <row r="4845" spans="1:2" x14ac:dyDescent="0.3">
      <c r="A4845" s="19"/>
      <c r="B4845" s="36"/>
    </row>
    <row r="4846" spans="1:2" x14ac:dyDescent="0.3">
      <c r="A4846" s="19"/>
      <c r="B4846" s="36"/>
    </row>
    <row r="4847" spans="1:2" x14ac:dyDescent="0.3">
      <c r="A4847" s="19"/>
      <c r="B4847" s="36"/>
    </row>
    <row r="4848" spans="1:2" x14ac:dyDescent="0.3">
      <c r="A4848" s="19"/>
      <c r="B4848" s="36"/>
    </row>
    <row r="4849" spans="1:2" x14ac:dyDescent="0.3">
      <c r="A4849" s="19"/>
      <c r="B4849" s="36"/>
    </row>
    <row r="4850" spans="1:2" x14ac:dyDescent="0.3">
      <c r="A4850" s="19"/>
      <c r="B4850" s="36"/>
    </row>
    <row r="4851" spans="1:2" x14ac:dyDescent="0.3">
      <c r="A4851" s="19"/>
      <c r="B4851" s="36"/>
    </row>
    <row r="4852" spans="1:2" x14ac:dyDescent="0.3">
      <c r="A4852" s="19"/>
      <c r="B4852" s="36"/>
    </row>
    <row r="4853" spans="1:2" x14ac:dyDescent="0.3">
      <c r="A4853" s="19"/>
      <c r="B4853" s="36"/>
    </row>
    <row r="4854" spans="1:2" x14ac:dyDescent="0.3">
      <c r="A4854" s="19"/>
      <c r="B4854" s="36"/>
    </row>
    <row r="4855" spans="1:2" x14ac:dyDescent="0.3">
      <c r="A4855" s="19"/>
      <c r="B4855" s="36"/>
    </row>
    <row r="4856" spans="1:2" x14ac:dyDescent="0.3">
      <c r="A4856" s="19"/>
      <c r="B4856" s="36"/>
    </row>
    <row r="4857" spans="1:2" x14ac:dyDescent="0.3">
      <c r="A4857" s="19"/>
      <c r="B4857" s="36"/>
    </row>
    <row r="4858" spans="1:2" x14ac:dyDescent="0.3">
      <c r="A4858" s="19"/>
      <c r="B4858" s="36"/>
    </row>
    <row r="4859" spans="1:2" x14ac:dyDescent="0.3">
      <c r="A4859" s="19"/>
      <c r="B4859" s="36"/>
    </row>
    <row r="4860" spans="1:2" x14ac:dyDescent="0.3">
      <c r="A4860" s="19"/>
      <c r="B4860" s="36"/>
    </row>
    <row r="4861" spans="1:2" x14ac:dyDescent="0.3">
      <c r="A4861" s="19"/>
      <c r="B4861" s="36"/>
    </row>
    <row r="4862" spans="1:2" x14ac:dyDescent="0.3">
      <c r="A4862" s="19"/>
      <c r="B4862" s="36"/>
    </row>
    <row r="4863" spans="1:2" x14ac:dyDescent="0.3">
      <c r="A4863" s="19"/>
      <c r="B4863" s="36"/>
    </row>
    <row r="4864" spans="1:2" x14ac:dyDescent="0.3">
      <c r="A4864" s="19"/>
      <c r="B4864" s="36"/>
    </row>
    <row r="4865" spans="1:2" x14ac:dyDescent="0.3">
      <c r="A4865" s="19"/>
      <c r="B4865" s="36"/>
    </row>
    <row r="4866" spans="1:2" x14ac:dyDescent="0.3">
      <c r="A4866" s="19"/>
      <c r="B4866" s="36"/>
    </row>
    <row r="4867" spans="1:2" x14ac:dyDescent="0.3">
      <c r="A4867" s="19"/>
      <c r="B4867" s="36"/>
    </row>
    <row r="4868" spans="1:2" x14ac:dyDescent="0.3">
      <c r="A4868" s="19"/>
      <c r="B4868" s="36"/>
    </row>
    <row r="4869" spans="1:2" x14ac:dyDescent="0.3">
      <c r="A4869" s="19"/>
      <c r="B4869" s="36"/>
    </row>
    <row r="4870" spans="1:2" x14ac:dyDescent="0.3">
      <c r="A4870" s="19"/>
      <c r="B4870" s="36"/>
    </row>
    <row r="4871" spans="1:2" x14ac:dyDescent="0.3">
      <c r="A4871" s="19"/>
      <c r="B4871" s="36"/>
    </row>
    <row r="4872" spans="1:2" x14ac:dyDescent="0.3">
      <c r="A4872" s="19"/>
      <c r="B4872" s="36"/>
    </row>
    <row r="4873" spans="1:2" x14ac:dyDescent="0.3">
      <c r="A4873" s="19"/>
      <c r="B4873" s="36"/>
    </row>
    <row r="4874" spans="1:2" x14ac:dyDescent="0.3">
      <c r="A4874" s="19"/>
      <c r="B4874" s="36"/>
    </row>
    <row r="4875" spans="1:2" x14ac:dyDescent="0.3">
      <c r="A4875" s="19"/>
      <c r="B4875" s="36"/>
    </row>
    <row r="4876" spans="1:2" x14ac:dyDescent="0.3">
      <c r="A4876" s="19"/>
      <c r="B4876" s="36"/>
    </row>
    <row r="4877" spans="1:2" x14ac:dyDescent="0.3">
      <c r="A4877" s="19"/>
      <c r="B4877" s="36"/>
    </row>
    <row r="4878" spans="1:2" x14ac:dyDescent="0.3">
      <c r="A4878" s="19"/>
      <c r="B4878" s="36"/>
    </row>
    <row r="4879" spans="1:2" x14ac:dyDescent="0.3">
      <c r="A4879" s="19"/>
      <c r="B4879" s="36"/>
    </row>
    <row r="4880" spans="1:2" x14ac:dyDescent="0.3">
      <c r="A4880" s="19"/>
      <c r="B4880" s="36"/>
    </row>
    <row r="4881" spans="1:2" x14ac:dyDescent="0.3">
      <c r="A4881" s="19"/>
      <c r="B4881" s="36"/>
    </row>
    <row r="4882" spans="1:2" x14ac:dyDescent="0.3">
      <c r="A4882" s="19"/>
      <c r="B4882" s="36"/>
    </row>
    <row r="4883" spans="1:2" x14ac:dyDescent="0.3">
      <c r="A4883" s="19"/>
      <c r="B4883" s="36"/>
    </row>
    <row r="4884" spans="1:2" x14ac:dyDescent="0.3">
      <c r="A4884" s="19"/>
      <c r="B4884" s="36"/>
    </row>
    <row r="4885" spans="1:2" x14ac:dyDescent="0.3">
      <c r="A4885" s="19"/>
      <c r="B4885" s="36"/>
    </row>
    <row r="4886" spans="1:2" x14ac:dyDescent="0.3">
      <c r="A4886" s="19"/>
      <c r="B4886" s="36"/>
    </row>
    <row r="4887" spans="1:2" x14ac:dyDescent="0.3">
      <c r="A4887" s="19"/>
      <c r="B4887" s="36"/>
    </row>
    <row r="4888" spans="1:2" x14ac:dyDescent="0.3">
      <c r="A4888" s="19"/>
      <c r="B4888" s="36"/>
    </row>
    <row r="4889" spans="1:2" x14ac:dyDescent="0.3">
      <c r="A4889" s="19"/>
      <c r="B4889" s="36"/>
    </row>
    <row r="4890" spans="1:2" x14ac:dyDescent="0.3">
      <c r="A4890" s="19"/>
      <c r="B4890" s="36"/>
    </row>
    <row r="4891" spans="1:2" x14ac:dyDescent="0.3">
      <c r="A4891" s="19"/>
      <c r="B4891" s="36"/>
    </row>
    <row r="4892" spans="1:2" x14ac:dyDescent="0.3">
      <c r="A4892" s="19"/>
      <c r="B4892" s="36"/>
    </row>
    <row r="4893" spans="1:2" x14ac:dyDescent="0.3">
      <c r="A4893" s="19"/>
      <c r="B4893" s="36"/>
    </row>
    <row r="4894" spans="1:2" x14ac:dyDescent="0.3">
      <c r="A4894" s="19"/>
      <c r="B4894" s="36"/>
    </row>
    <row r="4895" spans="1:2" x14ac:dyDescent="0.3">
      <c r="A4895" s="19"/>
      <c r="B4895" s="36"/>
    </row>
    <row r="4896" spans="1:2" x14ac:dyDescent="0.3">
      <c r="A4896" s="19"/>
      <c r="B4896" s="36"/>
    </row>
    <row r="4897" spans="1:2" x14ac:dyDescent="0.3">
      <c r="A4897" s="19"/>
      <c r="B4897" s="36"/>
    </row>
    <row r="4898" spans="1:2" x14ac:dyDescent="0.3">
      <c r="A4898" s="19"/>
      <c r="B4898" s="36"/>
    </row>
    <row r="4899" spans="1:2" x14ac:dyDescent="0.3">
      <c r="A4899" s="19"/>
      <c r="B4899" s="36"/>
    </row>
    <row r="4900" spans="1:2" x14ac:dyDescent="0.3">
      <c r="A4900" s="19"/>
      <c r="B4900" s="36"/>
    </row>
    <row r="4901" spans="1:2" x14ac:dyDescent="0.3">
      <c r="A4901" s="19"/>
      <c r="B4901" s="36"/>
    </row>
    <row r="4902" spans="1:2" x14ac:dyDescent="0.3">
      <c r="A4902" s="19"/>
      <c r="B4902" s="36"/>
    </row>
    <row r="4903" spans="1:2" x14ac:dyDescent="0.3">
      <c r="A4903" s="19"/>
      <c r="B4903" s="36"/>
    </row>
    <row r="4904" spans="1:2" x14ac:dyDescent="0.3">
      <c r="A4904" s="19"/>
      <c r="B4904" s="36"/>
    </row>
    <row r="4905" spans="1:2" x14ac:dyDescent="0.3">
      <c r="A4905" s="19"/>
      <c r="B4905" s="36"/>
    </row>
    <row r="4906" spans="1:2" x14ac:dyDescent="0.3">
      <c r="A4906" s="19"/>
      <c r="B4906" s="36"/>
    </row>
    <row r="4907" spans="1:2" x14ac:dyDescent="0.3">
      <c r="A4907" s="19"/>
      <c r="B4907" s="36"/>
    </row>
    <row r="4908" spans="1:2" x14ac:dyDescent="0.3">
      <c r="A4908" s="19"/>
      <c r="B4908" s="36"/>
    </row>
    <row r="4909" spans="1:2" x14ac:dyDescent="0.3">
      <c r="A4909" s="19"/>
      <c r="B4909" s="36"/>
    </row>
    <row r="4910" spans="1:2" x14ac:dyDescent="0.3">
      <c r="A4910" s="19"/>
      <c r="B4910" s="36"/>
    </row>
    <row r="4911" spans="1:2" x14ac:dyDescent="0.3">
      <c r="A4911" s="19"/>
      <c r="B4911" s="36"/>
    </row>
    <row r="4912" spans="1:2" x14ac:dyDescent="0.3">
      <c r="A4912" s="19"/>
      <c r="B4912" s="36"/>
    </row>
    <row r="4913" spans="1:2" x14ac:dyDescent="0.3">
      <c r="A4913" s="19"/>
      <c r="B4913" s="36"/>
    </row>
    <row r="4914" spans="1:2" x14ac:dyDescent="0.3">
      <c r="A4914" s="19"/>
      <c r="B4914" s="36"/>
    </row>
    <row r="4915" spans="1:2" x14ac:dyDescent="0.3">
      <c r="A4915" s="19"/>
      <c r="B4915" s="36"/>
    </row>
    <row r="4916" spans="1:2" x14ac:dyDescent="0.3">
      <c r="A4916" s="19"/>
      <c r="B4916" s="36"/>
    </row>
    <row r="4917" spans="1:2" x14ac:dyDescent="0.3">
      <c r="A4917" s="19"/>
      <c r="B4917" s="36"/>
    </row>
    <row r="4918" spans="1:2" x14ac:dyDescent="0.3">
      <c r="A4918" s="19"/>
      <c r="B4918" s="36"/>
    </row>
    <row r="4919" spans="1:2" x14ac:dyDescent="0.3">
      <c r="A4919" s="19"/>
      <c r="B4919" s="36"/>
    </row>
    <row r="4920" spans="1:2" x14ac:dyDescent="0.3">
      <c r="A4920" s="19"/>
      <c r="B4920" s="36"/>
    </row>
    <row r="4921" spans="1:2" x14ac:dyDescent="0.3">
      <c r="A4921" s="19"/>
      <c r="B4921" s="36"/>
    </row>
    <row r="4922" spans="1:2" x14ac:dyDescent="0.3">
      <c r="A4922" s="19"/>
      <c r="B4922" s="36"/>
    </row>
    <row r="4923" spans="1:2" x14ac:dyDescent="0.3">
      <c r="A4923" s="19"/>
      <c r="B4923" s="36"/>
    </row>
    <row r="4924" spans="1:2" x14ac:dyDescent="0.3">
      <c r="A4924" s="19"/>
      <c r="B4924" s="36"/>
    </row>
    <row r="4925" spans="1:2" x14ac:dyDescent="0.3">
      <c r="A4925" s="19"/>
      <c r="B4925" s="36"/>
    </row>
    <row r="4926" spans="1:2" x14ac:dyDescent="0.3">
      <c r="A4926" s="19"/>
      <c r="B4926" s="36"/>
    </row>
    <row r="4927" spans="1:2" x14ac:dyDescent="0.3">
      <c r="A4927" s="19"/>
      <c r="B4927" s="36"/>
    </row>
    <row r="4928" spans="1:2" x14ac:dyDescent="0.3">
      <c r="A4928" s="19"/>
      <c r="B4928" s="36"/>
    </row>
    <row r="4929" spans="1:2" x14ac:dyDescent="0.3">
      <c r="A4929" s="19"/>
      <c r="B4929" s="36"/>
    </row>
    <row r="4930" spans="1:2" x14ac:dyDescent="0.3">
      <c r="A4930" s="19"/>
      <c r="B4930" s="36"/>
    </row>
    <row r="4931" spans="1:2" x14ac:dyDescent="0.3">
      <c r="A4931" s="19"/>
      <c r="B4931" s="36"/>
    </row>
    <row r="4932" spans="1:2" x14ac:dyDescent="0.3">
      <c r="A4932" s="19"/>
      <c r="B4932" s="36"/>
    </row>
    <row r="4933" spans="1:2" x14ac:dyDescent="0.3">
      <c r="A4933" s="19"/>
      <c r="B4933" s="36"/>
    </row>
    <row r="4934" spans="1:2" x14ac:dyDescent="0.3">
      <c r="A4934" s="19"/>
      <c r="B4934" s="36"/>
    </row>
    <row r="4935" spans="1:2" x14ac:dyDescent="0.3">
      <c r="A4935" s="19"/>
      <c r="B4935" s="36"/>
    </row>
    <row r="4936" spans="1:2" x14ac:dyDescent="0.3">
      <c r="A4936" s="19"/>
      <c r="B4936" s="36"/>
    </row>
    <row r="4937" spans="1:2" x14ac:dyDescent="0.3">
      <c r="A4937" s="19"/>
      <c r="B4937" s="36"/>
    </row>
    <row r="4938" spans="1:2" x14ac:dyDescent="0.3">
      <c r="A4938" s="19"/>
      <c r="B4938" s="36"/>
    </row>
    <row r="4939" spans="1:2" x14ac:dyDescent="0.3">
      <c r="A4939" s="19"/>
      <c r="B4939" s="36"/>
    </row>
    <row r="4940" spans="1:2" x14ac:dyDescent="0.3">
      <c r="A4940" s="19"/>
      <c r="B4940" s="36"/>
    </row>
    <row r="4941" spans="1:2" x14ac:dyDescent="0.3">
      <c r="A4941" s="19"/>
      <c r="B4941" s="36"/>
    </row>
    <row r="4942" spans="1:2" x14ac:dyDescent="0.3">
      <c r="A4942" s="19"/>
      <c r="B4942" s="36"/>
    </row>
    <row r="4943" spans="1:2" x14ac:dyDescent="0.3">
      <c r="A4943" s="19"/>
      <c r="B4943" s="36"/>
    </row>
    <row r="4944" spans="1:2" x14ac:dyDescent="0.3">
      <c r="A4944" s="19"/>
      <c r="B4944" s="36"/>
    </row>
    <row r="4945" spans="1:2" x14ac:dyDescent="0.3">
      <c r="A4945" s="19"/>
      <c r="B4945" s="36"/>
    </row>
    <row r="4946" spans="1:2" x14ac:dyDescent="0.3">
      <c r="A4946" s="19"/>
      <c r="B4946" s="36"/>
    </row>
    <row r="4947" spans="1:2" x14ac:dyDescent="0.3">
      <c r="A4947" s="19"/>
      <c r="B4947" s="36"/>
    </row>
    <row r="4948" spans="1:2" x14ac:dyDescent="0.3">
      <c r="A4948" s="19"/>
      <c r="B4948" s="36"/>
    </row>
    <row r="4949" spans="1:2" x14ac:dyDescent="0.3">
      <c r="A4949" s="19"/>
      <c r="B4949" s="36"/>
    </row>
    <row r="4950" spans="1:2" x14ac:dyDescent="0.3">
      <c r="A4950" s="19"/>
      <c r="B4950" s="36"/>
    </row>
    <row r="4951" spans="1:2" x14ac:dyDescent="0.3">
      <c r="A4951" s="19"/>
      <c r="B4951" s="36"/>
    </row>
    <row r="4952" spans="1:2" x14ac:dyDescent="0.3">
      <c r="A4952" s="19"/>
      <c r="B4952" s="36"/>
    </row>
    <row r="4953" spans="1:2" x14ac:dyDescent="0.3">
      <c r="A4953" s="19"/>
      <c r="B4953" s="36"/>
    </row>
    <row r="4954" spans="1:2" x14ac:dyDescent="0.3">
      <c r="A4954" s="19"/>
      <c r="B4954" s="36"/>
    </row>
    <row r="4955" spans="1:2" x14ac:dyDescent="0.3">
      <c r="A4955" s="19"/>
      <c r="B4955" s="36"/>
    </row>
    <row r="4956" spans="1:2" x14ac:dyDescent="0.3">
      <c r="A4956" s="19"/>
      <c r="B4956" s="36"/>
    </row>
    <row r="4957" spans="1:2" x14ac:dyDescent="0.3">
      <c r="A4957" s="19"/>
      <c r="B4957" s="36"/>
    </row>
    <row r="4958" spans="1:2" x14ac:dyDescent="0.3">
      <c r="A4958" s="19"/>
      <c r="B4958" s="36"/>
    </row>
    <row r="4959" spans="1:2" x14ac:dyDescent="0.3">
      <c r="A4959" s="19"/>
      <c r="B4959" s="36"/>
    </row>
    <row r="4960" spans="1:2" x14ac:dyDescent="0.3">
      <c r="A4960" s="19"/>
      <c r="B4960" s="36"/>
    </row>
    <row r="4961" spans="1:2" x14ac:dyDescent="0.3">
      <c r="A4961" s="19"/>
      <c r="B4961" s="36"/>
    </row>
    <row r="4962" spans="1:2" x14ac:dyDescent="0.3">
      <c r="A4962" s="19"/>
      <c r="B4962" s="36"/>
    </row>
    <row r="4963" spans="1:2" x14ac:dyDescent="0.3">
      <c r="A4963" s="19"/>
      <c r="B4963" s="36"/>
    </row>
    <row r="4964" spans="1:2" x14ac:dyDescent="0.3">
      <c r="A4964" s="19"/>
      <c r="B4964" s="36"/>
    </row>
    <row r="4965" spans="1:2" x14ac:dyDescent="0.3">
      <c r="A4965" s="19"/>
      <c r="B4965" s="36"/>
    </row>
    <row r="4966" spans="1:2" x14ac:dyDescent="0.3">
      <c r="A4966" s="19"/>
      <c r="B4966" s="36"/>
    </row>
    <row r="4967" spans="1:2" x14ac:dyDescent="0.3">
      <c r="A4967" s="19"/>
      <c r="B4967" s="36"/>
    </row>
    <row r="4968" spans="1:2" x14ac:dyDescent="0.3">
      <c r="A4968" s="19"/>
      <c r="B4968" s="36"/>
    </row>
    <row r="4969" spans="1:2" x14ac:dyDescent="0.3">
      <c r="A4969" s="19"/>
      <c r="B4969" s="36"/>
    </row>
    <row r="4970" spans="1:2" x14ac:dyDescent="0.3">
      <c r="A4970" s="19"/>
      <c r="B4970" s="36"/>
    </row>
    <row r="4971" spans="1:2" x14ac:dyDescent="0.3">
      <c r="A4971" s="19"/>
      <c r="B4971" s="36"/>
    </row>
    <row r="4972" spans="1:2" x14ac:dyDescent="0.3">
      <c r="A4972" s="19"/>
      <c r="B4972" s="36"/>
    </row>
    <row r="4973" spans="1:2" x14ac:dyDescent="0.3">
      <c r="A4973" s="19"/>
      <c r="B4973" s="36"/>
    </row>
    <row r="4974" spans="1:2" x14ac:dyDescent="0.3">
      <c r="A4974" s="19"/>
      <c r="B4974" s="36"/>
    </row>
    <row r="4975" spans="1:2" x14ac:dyDescent="0.3">
      <c r="A4975" s="19"/>
      <c r="B4975" s="36"/>
    </row>
    <row r="4976" spans="1:2" x14ac:dyDescent="0.3">
      <c r="A4976" s="19"/>
      <c r="B4976" s="36"/>
    </row>
    <row r="4977" spans="1:2" x14ac:dyDescent="0.3">
      <c r="A4977" s="19"/>
      <c r="B4977" s="36"/>
    </row>
    <row r="4978" spans="1:2" x14ac:dyDescent="0.3">
      <c r="A4978" s="19"/>
      <c r="B4978" s="36"/>
    </row>
    <row r="4979" spans="1:2" x14ac:dyDescent="0.3">
      <c r="A4979" s="19"/>
      <c r="B4979" s="36"/>
    </row>
    <row r="4980" spans="1:2" x14ac:dyDescent="0.3">
      <c r="A4980" s="19"/>
      <c r="B4980" s="36"/>
    </row>
    <row r="4981" spans="1:2" x14ac:dyDescent="0.3">
      <c r="A4981" s="19"/>
      <c r="B4981" s="36"/>
    </row>
    <row r="4982" spans="1:2" x14ac:dyDescent="0.3">
      <c r="A4982" s="19"/>
      <c r="B4982" s="36"/>
    </row>
    <row r="4983" spans="1:2" x14ac:dyDescent="0.3">
      <c r="A4983" s="19"/>
      <c r="B4983" s="36"/>
    </row>
    <row r="4984" spans="1:2" x14ac:dyDescent="0.3">
      <c r="A4984" s="19"/>
      <c r="B4984" s="36"/>
    </row>
    <row r="4985" spans="1:2" x14ac:dyDescent="0.3">
      <c r="A4985" s="19"/>
      <c r="B4985" s="36"/>
    </row>
    <row r="4986" spans="1:2" x14ac:dyDescent="0.3">
      <c r="A4986" s="19"/>
      <c r="B4986" s="36"/>
    </row>
    <row r="4987" spans="1:2" x14ac:dyDescent="0.3">
      <c r="A4987" s="19"/>
      <c r="B4987" s="36"/>
    </row>
    <row r="4988" spans="1:2" x14ac:dyDescent="0.3">
      <c r="A4988" s="19"/>
      <c r="B4988" s="36"/>
    </row>
    <row r="4989" spans="1:2" x14ac:dyDescent="0.3">
      <c r="A4989" s="19"/>
      <c r="B4989" s="36"/>
    </row>
    <row r="4990" spans="1:2" x14ac:dyDescent="0.3">
      <c r="A4990" s="19"/>
      <c r="B4990" s="36"/>
    </row>
    <row r="4991" spans="1:2" x14ac:dyDescent="0.3">
      <c r="A4991" s="19"/>
      <c r="B4991" s="36"/>
    </row>
    <row r="4992" spans="1:2" x14ac:dyDescent="0.3">
      <c r="A4992" s="19"/>
      <c r="B4992" s="36"/>
    </row>
    <row r="4993" spans="1:2" x14ac:dyDescent="0.3">
      <c r="A4993" s="19"/>
      <c r="B4993" s="36"/>
    </row>
    <row r="4994" spans="1:2" x14ac:dyDescent="0.3">
      <c r="A4994" s="19"/>
      <c r="B4994" s="36"/>
    </row>
    <row r="4995" spans="1:2" x14ac:dyDescent="0.3">
      <c r="A4995" s="19"/>
      <c r="B4995" s="36"/>
    </row>
    <row r="4996" spans="1:2" x14ac:dyDescent="0.3">
      <c r="A4996" s="19"/>
      <c r="B4996" s="36"/>
    </row>
    <row r="4997" spans="1:2" x14ac:dyDescent="0.3">
      <c r="A4997" s="19"/>
      <c r="B4997" s="36"/>
    </row>
    <row r="4998" spans="1:2" x14ac:dyDescent="0.3">
      <c r="A4998" s="19"/>
      <c r="B4998" s="36"/>
    </row>
    <row r="4999" spans="1:2" x14ac:dyDescent="0.3">
      <c r="A4999" s="19"/>
      <c r="B4999" s="36"/>
    </row>
    <row r="5000" spans="1:2" x14ac:dyDescent="0.3">
      <c r="A5000" s="19"/>
      <c r="B5000" s="36"/>
    </row>
    <row r="5001" spans="1:2" x14ac:dyDescent="0.3">
      <c r="A5001" s="19"/>
      <c r="B5001" s="36"/>
    </row>
    <row r="5002" spans="1:2" x14ac:dyDescent="0.3">
      <c r="A5002" s="19"/>
      <c r="B5002" s="36"/>
    </row>
    <row r="5003" spans="1:2" x14ac:dyDescent="0.3">
      <c r="A5003" s="19"/>
      <c r="B5003" s="36"/>
    </row>
    <row r="5004" spans="1:2" x14ac:dyDescent="0.3">
      <c r="A5004" s="19"/>
      <c r="B5004" s="36"/>
    </row>
    <row r="5005" spans="1:2" x14ac:dyDescent="0.3">
      <c r="A5005" s="19"/>
      <c r="B5005" s="36"/>
    </row>
    <row r="5006" spans="1:2" x14ac:dyDescent="0.3">
      <c r="A5006" s="19"/>
      <c r="B5006" s="36"/>
    </row>
    <row r="5007" spans="1:2" x14ac:dyDescent="0.3">
      <c r="A5007" s="19"/>
      <c r="B5007" s="36"/>
    </row>
    <row r="5008" spans="1:2" x14ac:dyDescent="0.3">
      <c r="A5008" s="19"/>
      <c r="B5008" s="36"/>
    </row>
    <row r="5009" spans="1:2" x14ac:dyDescent="0.3">
      <c r="A5009" s="19"/>
      <c r="B5009" s="36"/>
    </row>
    <row r="5010" spans="1:2" x14ac:dyDescent="0.3">
      <c r="A5010" s="19"/>
      <c r="B5010" s="36"/>
    </row>
    <row r="5011" spans="1:2" x14ac:dyDescent="0.3">
      <c r="A5011" s="19"/>
      <c r="B5011" s="36"/>
    </row>
    <row r="5012" spans="1:2" x14ac:dyDescent="0.3">
      <c r="A5012" s="19"/>
      <c r="B5012" s="36"/>
    </row>
    <row r="5013" spans="1:2" x14ac:dyDescent="0.3">
      <c r="A5013" s="19"/>
      <c r="B5013" s="36"/>
    </row>
    <row r="5014" spans="1:2" x14ac:dyDescent="0.3">
      <c r="A5014" s="19"/>
      <c r="B5014" s="36"/>
    </row>
    <row r="5015" spans="1:2" x14ac:dyDescent="0.3">
      <c r="A5015" s="19"/>
      <c r="B5015" s="36"/>
    </row>
    <row r="5016" spans="1:2" x14ac:dyDescent="0.3">
      <c r="A5016" s="19"/>
      <c r="B5016" s="36"/>
    </row>
    <row r="5017" spans="1:2" x14ac:dyDescent="0.3">
      <c r="A5017" s="19"/>
      <c r="B5017" s="36"/>
    </row>
    <row r="5018" spans="1:2" x14ac:dyDescent="0.3">
      <c r="A5018" s="19"/>
      <c r="B5018" s="36"/>
    </row>
    <row r="5019" spans="1:2" x14ac:dyDescent="0.3">
      <c r="A5019" s="19"/>
      <c r="B5019" s="36"/>
    </row>
    <row r="5020" spans="1:2" x14ac:dyDescent="0.3">
      <c r="A5020" s="19"/>
      <c r="B5020" s="36"/>
    </row>
    <row r="5021" spans="1:2" x14ac:dyDescent="0.3">
      <c r="A5021" s="19"/>
      <c r="B5021" s="36"/>
    </row>
    <row r="5022" spans="1:2" x14ac:dyDescent="0.3">
      <c r="A5022" s="19"/>
      <c r="B5022" s="36"/>
    </row>
    <row r="5023" spans="1:2" x14ac:dyDescent="0.3">
      <c r="A5023" s="19"/>
      <c r="B5023" s="36"/>
    </row>
    <row r="5024" spans="1:2" x14ac:dyDescent="0.3">
      <c r="A5024" s="19"/>
      <c r="B5024" s="36"/>
    </row>
    <row r="5025" spans="1:2" x14ac:dyDescent="0.3">
      <c r="A5025" s="19"/>
      <c r="B5025" s="36"/>
    </row>
    <row r="5026" spans="1:2" x14ac:dyDescent="0.3">
      <c r="A5026" s="19"/>
      <c r="B5026" s="36"/>
    </row>
    <row r="5027" spans="1:2" x14ac:dyDescent="0.3">
      <c r="A5027" s="19"/>
      <c r="B5027" s="36"/>
    </row>
    <row r="5028" spans="1:2" x14ac:dyDescent="0.3">
      <c r="A5028" s="19"/>
      <c r="B5028" s="36"/>
    </row>
    <row r="5029" spans="1:2" x14ac:dyDescent="0.3">
      <c r="A5029" s="19"/>
      <c r="B5029" s="36"/>
    </row>
    <row r="5030" spans="1:2" x14ac:dyDescent="0.3">
      <c r="A5030" s="19"/>
      <c r="B5030" s="36"/>
    </row>
    <row r="5031" spans="1:2" x14ac:dyDescent="0.3">
      <c r="A5031" s="19"/>
      <c r="B5031" s="36"/>
    </row>
    <row r="5032" spans="1:2" x14ac:dyDescent="0.3">
      <c r="A5032" s="19"/>
      <c r="B5032" s="36"/>
    </row>
    <row r="5033" spans="1:2" x14ac:dyDescent="0.3">
      <c r="A5033" s="19"/>
      <c r="B5033" s="36"/>
    </row>
    <row r="5034" spans="1:2" x14ac:dyDescent="0.3">
      <c r="A5034" s="19"/>
      <c r="B5034" s="36"/>
    </row>
    <row r="5035" spans="1:2" x14ac:dyDescent="0.3">
      <c r="A5035" s="19"/>
      <c r="B5035" s="36"/>
    </row>
    <row r="5036" spans="1:2" x14ac:dyDescent="0.3">
      <c r="A5036" s="19"/>
      <c r="B5036" s="36"/>
    </row>
    <row r="5037" spans="1:2" x14ac:dyDescent="0.3">
      <c r="A5037" s="19"/>
      <c r="B5037" s="36"/>
    </row>
    <row r="5038" spans="1:2" x14ac:dyDescent="0.3">
      <c r="A5038" s="19"/>
      <c r="B5038" s="36"/>
    </row>
    <row r="5039" spans="1:2" x14ac:dyDescent="0.3">
      <c r="A5039" s="19"/>
      <c r="B5039" s="36"/>
    </row>
    <row r="5040" spans="1:2" x14ac:dyDescent="0.3">
      <c r="A5040" s="19"/>
      <c r="B5040" s="36"/>
    </row>
    <row r="5041" spans="1:2" x14ac:dyDescent="0.3">
      <c r="A5041" s="19"/>
      <c r="B5041" s="36"/>
    </row>
    <row r="5042" spans="1:2" x14ac:dyDescent="0.3">
      <c r="A5042" s="19"/>
      <c r="B5042" s="36"/>
    </row>
    <row r="5043" spans="1:2" x14ac:dyDescent="0.3">
      <c r="A5043" s="19"/>
      <c r="B5043" s="36"/>
    </row>
    <row r="5044" spans="1:2" x14ac:dyDescent="0.3">
      <c r="A5044" s="19"/>
      <c r="B5044" s="36"/>
    </row>
    <row r="5045" spans="1:2" x14ac:dyDescent="0.3">
      <c r="A5045" s="19"/>
      <c r="B5045" s="36"/>
    </row>
    <row r="5046" spans="1:2" x14ac:dyDescent="0.3">
      <c r="A5046" s="19"/>
      <c r="B5046" s="36"/>
    </row>
    <row r="5047" spans="1:2" x14ac:dyDescent="0.3">
      <c r="A5047" s="19"/>
      <c r="B5047" s="36"/>
    </row>
    <row r="5048" spans="1:2" x14ac:dyDescent="0.3">
      <c r="A5048" s="19"/>
      <c r="B5048" s="36"/>
    </row>
    <row r="5049" spans="1:2" x14ac:dyDescent="0.3">
      <c r="A5049" s="19"/>
      <c r="B5049" s="36"/>
    </row>
    <row r="5050" spans="1:2" x14ac:dyDescent="0.3">
      <c r="A5050" s="19"/>
      <c r="B5050" s="36"/>
    </row>
    <row r="5051" spans="1:2" x14ac:dyDescent="0.3">
      <c r="A5051" s="19"/>
      <c r="B5051" s="36"/>
    </row>
    <row r="5052" spans="1:2" x14ac:dyDescent="0.3">
      <c r="A5052" s="19"/>
      <c r="B5052" s="36"/>
    </row>
    <row r="5053" spans="1:2" x14ac:dyDescent="0.3">
      <c r="A5053" s="19"/>
      <c r="B5053" s="36"/>
    </row>
    <row r="5054" spans="1:2" x14ac:dyDescent="0.3">
      <c r="A5054" s="19"/>
      <c r="B5054" s="36"/>
    </row>
    <row r="5055" spans="1:2" x14ac:dyDescent="0.3">
      <c r="A5055" s="19"/>
      <c r="B5055" s="36"/>
    </row>
    <row r="5056" spans="1:2" x14ac:dyDescent="0.3">
      <c r="A5056" s="19"/>
      <c r="B5056" s="36"/>
    </row>
    <row r="5057" spans="1:2" x14ac:dyDescent="0.3">
      <c r="A5057" s="19"/>
      <c r="B5057" s="36"/>
    </row>
    <row r="5058" spans="1:2" x14ac:dyDescent="0.3">
      <c r="A5058" s="19"/>
      <c r="B5058" s="36"/>
    </row>
    <row r="5059" spans="1:2" x14ac:dyDescent="0.3">
      <c r="A5059" s="19"/>
      <c r="B5059" s="36"/>
    </row>
    <row r="5060" spans="1:2" x14ac:dyDescent="0.3">
      <c r="A5060" s="19"/>
      <c r="B5060" s="36"/>
    </row>
    <row r="5061" spans="1:2" x14ac:dyDescent="0.3">
      <c r="A5061" s="19"/>
      <c r="B5061" s="36"/>
    </row>
    <row r="5062" spans="1:2" x14ac:dyDescent="0.3">
      <c r="A5062" s="19"/>
      <c r="B5062" s="36"/>
    </row>
    <row r="5063" spans="1:2" x14ac:dyDescent="0.3">
      <c r="A5063" s="19"/>
      <c r="B5063" s="36"/>
    </row>
    <row r="5064" spans="1:2" x14ac:dyDescent="0.3">
      <c r="A5064" s="19"/>
      <c r="B5064" s="36"/>
    </row>
    <row r="5065" spans="1:2" x14ac:dyDescent="0.3">
      <c r="A5065" s="19"/>
      <c r="B5065" s="36"/>
    </row>
    <row r="5066" spans="1:2" x14ac:dyDescent="0.3">
      <c r="A5066" s="19"/>
      <c r="B5066" s="36"/>
    </row>
    <row r="5067" spans="1:2" x14ac:dyDescent="0.3">
      <c r="A5067" s="19"/>
      <c r="B5067" s="36"/>
    </row>
    <row r="5068" spans="1:2" x14ac:dyDescent="0.3">
      <c r="A5068" s="19"/>
      <c r="B5068" s="36"/>
    </row>
    <row r="5069" spans="1:2" x14ac:dyDescent="0.3">
      <c r="A5069" s="19"/>
      <c r="B5069" s="36"/>
    </row>
    <row r="5070" spans="1:2" x14ac:dyDescent="0.3">
      <c r="A5070" s="19"/>
      <c r="B5070" s="36"/>
    </row>
    <row r="5071" spans="1:2" x14ac:dyDescent="0.3">
      <c r="A5071" s="19"/>
      <c r="B5071" s="36"/>
    </row>
    <row r="5072" spans="1:2" x14ac:dyDescent="0.3">
      <c r="A5072" s="19"/>
      <c r="B5072" s="36"/>
    </row>
    <row r="5073" spans="1:2" x14ac:dyDescent="0.3">
      <c r="A5073" s="19"/>
      <c r="B5073" s="36"/>
    </row>
    <row r="5074" spans="1:2" x14ac:dyDescent="0.3">
      <c r="A5074" s="19"/>
      <c r="B5074" s="36"/>
    </row>
    <row r="5075" spans="1:2" x14ac:dyDescent="0.3">
      <c r="A5075" s="19"/>
      <c r="B5075" s="36"/>
    </row>
    <row r="5076" spans="1:2" x14ac:dyDescent="0.3">
      <c r="A5076" s="19"/>
      <c r="B5076" s="36"/>
    </row>
    <row r="5077" spans="1:2" x14ac:dyDescent="0.3">
      <c r="A5077" s="19"/>
      <c r="B5077" s="36"/>
    </row>
    <row r="5078" spans="1:2" x14ac:dyDescent="0.3">
      <c r="A5078" s="19"/>
      <c r="B5078" s="36"/>
    </row>
    <row r="5079" spans="1:2" x14ac:dyDescent="0.3">
      <c r="A5079" s="19"/>
      <c r="B5079" s="36"/>
    </row>
    <row r="5080" spans="1:2" x14ac:dyDescent="0.3">
      <c r="A5080" s="19"/>
      <c r="B5080" s="36"/>
    </row>
    <row r="5081" spans="1:2" x14ac:dyDescent="0.3">
      <c r="A5081" s="19"/>
      <c r="B5081" s="36"/>
    </row>
    <row r="5082" spans="1:2" x14ac:dyDescent="0.3">
      <c r="A5082" s="19"/>
      <c r="B5082" s="36"/>
    </row>
    <row r="5083" spans="1:2" x14ac:dyDescent="0.3">
      <c r="A5083" s="19"/>
      <c r="B5083" s="36"/>
    </row>
    <row r="5084" spans="1:2" x14ac:dyDescent="0.3">
      <c r="A5084" s="19"/>
      <c r="B5084" s="36"/>
    </row>
    <row r="5085" spans="1:2" x14ac:dyDescent="0.3">
      <c r="A5085" s="19"/>
      <c r="B5085" s="36"/>
    </row>
    <row r="5086" spans="1:2" x14ac:dyDescent="0.3">
      <c r="A5086" s="19"/>
      <c r="B5086" s="36"/>
    </row>
    <row r="5087" spans="1:2" x14ac:dyDescent="0.3">
      <c r="A5087" s="19"/>
      <c r="B5087" s="36"/>
    </row>
    <row r="5088" spans="1:2" x14ac:dyDescent="0.3">
      <c r="A5088" s="19"/>
      <c r="B5088" s="36"/>
    </row>
    <row r="5089" spans="1:2" x14ac:dyDescent="0.3">
      <c r="A5089" s="19"/>
      <c r="B5089" s="36"/>
    </row>
    <row r="5090" spans="1:2" x14ac:dyDescent="0.3">
      <c r="A5090" s="19"/>
      <c r="B5090" s="36"/>
    </row>
    <row r="5091" spans="1:2" x14ac:dyDescent="0.3">
      <c r="A5091" s="19"/>
      <c r="B5091" s="36"/>
    </row>
    <row r="5092" spans="1:2" x14ac:dyDescent="0.3">
      <c r="A5092" s="19"/>
      <c r="B5092" s="36"/>
    </row>
    <row r="5093" spans="1:2" x14ac:dyDescent="0.3">
      <c r="A5093" s="19"/>
      <c r="B5093" s="36"/>
    </row>
    <row r="5094" spans="1:2" x14ac:dyDescent="0.3">
      <c r="A5094" s="19"/>
      <c r="B5094" s="36"/>
    </row>
    <row r="5095" spans="1:2" x14ac:dyDescent="0.3">
      <c r="A5095" s="19"/>
      <c r="B5095" s="36"/>
    </row>
    <row r="5096" spans="1:2" x14ac:dyDescent="0.3">
      <c r="A5096" s="19"/>
      <c r="B5096" s="36"/>
    </row>
    <row r="5097" spans="1:2" x14ac:dyDescent="0.3">
      <c r="A5097" s="19"/>
      <c r="B5097" s="36"/>
    </row>
    <row r="5098" spans="1:2" x14ac:dyDescent="0.3">
      <c r="A5098" s="19"/>
      <c r="B5098" s="36"/>
    </row>
    <row r="5099" spans="1:2" x14ac:dyDescent="0.3">
      <c r="A5099" s="19"/>
      <c r="B5099" s="36"/>
    </row>
    <row r="5100" spans="1:2" x14ac:dyDescent="0.3">
      <c r="A5100" s="19"/>
      <c r="B5100" s="36"/>
    </row>
    <row r="5101" spans="1:2" x14ac:dyDescent="0.3">
      <c r="A5101" s="19"/>
      <c r="B5101" s="36"/>
    </row>
    <row r="5102" spans="1:2" x14ac:dyDescent="0.3">
      <c r="A5102" s="19"/>
      <c r="B5102" s="36"/>
    </row>
    <row r="5103" spans="1:2" x14ac:dyDescent="0.3">
      <c r="A5103" s="19"/>
      <c r="B5103" s="36"/>
    </row>
    <row r="5104" spans="1:2" x14ac:dyDescent="0.3">
      <c r="A5104" s="19"/>
      <c r="B5104" s="36"/>
    </row>
    <row r="5105" spans="1:2" x14ac:dyDescent="0.3">
      <c r="A5105" s="19"/>
      <c r="B5105" s="36"/>
    </row>
    <row r="5106" spans="1:2" x14ac:dyDescent="0.3">
      <c r="A5106" s="19"/>
      <c r="B5106" s="36"/>
    </row>
    <row r="5107" spans="1:2" x14ac:dyDescent="0.3">
      <c r="A5107" s="19"/>
      <c r="B5107" s="36"/>
    </row>
    <row r="5108" spans="1:2" x14ac:dyDescent="0.3">
      <c r="A5108" s="19"/>
      <c r="B5108" s="36"/>
    </row>
    <row r="5109" spans="1:2" x14ac:dyDescent="0.3">
      <c r="A5109" s="19"/>
      <c r="B5109" s="36"/>
    </row>
    <row r="5110" spans="1:2" x14ac:dyDescent="0.3">
      <c r="A5110" s="19"/>
      <c r="B5110" s="36"/>
    </row>
    <row r="5111" spans="1:2" x14ac:dyDescent="0.3">
      <c r="A5111" s="19"/>
      <c r="B5111" s="36"/>
    </row>
    <row r="5112" spans="1:2" x14ac:dyDescent="0.3">
      <c r="A5112" s="19"/>
      <c r="B5112" s="36"/>
    </row>
    <row r="5113" spans="1:2" x14ac:dyDescent="0.3">
      <c r="A5113" s="19"/>
      <c r="B5113" s="36"/>
    </row>
    <row r="5114" spans="1:2" x14ac:dyDescent="0.3">
      <c r="A5114" s="19"/>
      <c r="B5114" s="36"/>
    </row>
    <row r="5115" spans="1:2" x14ac:dyDescent="0.3">
      <c r="A5115" s="19"/>
      <c r="B5115" s="36"/>
    </row>
    <row r="5116" spans="1:2" x14ac:dyDescent="0.3">
      <c r="A5116" s="19"/>
      <c r="B5116" s="36"/>
    </row>
    <row r="5117" spans="1:2" x14ac:dyDescent="0.3">
      <c r="A5117" s="19"/>
      <c r="B5117" s="36"/>
    </row>
    <row r="5118" spans="1:2" x14ac:dyDescent="0.3">
      <c r="A5118" s="19"/>
      <c r="B5118" s="36"/>
    </row>
    <row r="5119" spans="1:2" x14ac:dyDescent="0.3">
      <c r="A5119" s="19"/>
      <c r="B5119" s="36"/>
    </row>
    <row r="5120" spans="1:2" x14ac:dyDescent="0.3">
      <c r="A5120" s="19"/>
      <c r="B5120" s="36"/>
    </row>
    <row r="5121" spans="1:2" x14ac:dyDescent="0.3">
      <c r="A5121" s="19"/>
      <c r="B5121" s="36"/>
    </row>
    <row r="5122" spans="1:2" x14ac:dyDescent="0.3">
      <c r="A5122" s="19"/>
      <c r="B5122" s="36"/>
    </row>
    <row r="5123" spans="1:2" x14ac:dyDescent="0.3">
      <c r="A5123" s="19"/>
      <c r="B5123" s="36"/>
    </row>
    <row r="5124" spans="1:2" x14ac:dyDescent="0.3">
      <c r="A5124" s="19"/>
      <c r="B5124" s="36"/>
    </row>
    <row r="5125" spans="1:2" x14ac:dyDescent="0.3">
      <c r="A5125" s="19"/>
      <c r="B5125" s="36"/>
    </row>
    <row r="5126" spans="1:2" x14ac:dyDescent="0.3">
      <c r="A5126" s="19"/>
      <c r="B5126" s="36"/>
    </row>
    <row r="5127" spans="1:2" x14ac:dyDescent="0.3">
      <c r="A5127" s="19"/>
      <c r="B5127" s="36"/>
    </row>
    <row r="5128" spans="1:2" x14ac:dyDescent="0.3">
      <c r="A5128" s="19"/>
      <c r="B5128" s="36"/>
    </row>
    <row r="5129" spans="1:2" x14ac:dyDescent="0.3">
      <c r="A5129" s="19"/>
      <c r="B5129" s="36"/>
    </row>
    <row r="5130" spans="1:2" x14ac:dyDescent="0.3">
      <c r="A5130" s="19"/>
      <c r="B5130" s="36"/>
    </row>
    <row r="5131" spans="1:2" x14ac:dyDescent="0.3">
      <c r="A5131" s="19"/>
      <c r="B5131" s="36"/>
    </row>
    <row r="5132" spans="1:2" x14ac:dyDescent="0.3">
      <c r="A5132" s="19"/>
      <c r="B5132" s="36"/>
    </row>
    <row r="5133" spans="1:2" x14ac:dyDescent="0.3">
      <c r="A5133" s="19"/>
      <c r="B5133" s="36"/>
    </row>
    <row r="5134" spans="1:2" x14ac:dyDescent="0.3">
      <c r="A5134" s="19"/>
      <c r="B5134" s="36"/>
    </row>
    <row r="5135" spans="1:2" x14ac:dyDescent="0.3">
      <c r="A5135" s="19"/>
      <c r="B5135" s="36"/>
    </row>
    <row r="5136" spans="1:2" x14ac:dyDescent="0.3">
      <c r="A5136" s="19"/>
      <c r="B5136" s="36"/>
    </row>
    <row r="5137" spans="1:2" x14ac:dyDescent="0.3">
      <c r="A5137" s="19"/>
      <c r="B5137" s="36"/>
    </row>
    <row r="5138" spans="1:2" x14ac:dyDescent="0.3">
      <c r="A5138" s="19"/>
      <c r="B5138" s="36"/>
    </row>
    <row r="5139" spans="1:2" x14ac:dyDescent="0.3">
      <c r="A5139" s="19"/>
      <c r="B5139" s="36"/>
    </row>
    <row r="5140" spans="1:2" x14ac:dyDescent="0.3">
      <c r="A5140" s="19"/>
      <c r="B5140" s="36"/>
    </row>
    <row r="5141" spans="1:2" x14ac:dyDescent="0.3">
      <c r="A5141" s="19"/>
      <c r="B5141" s="36"/>
    </row>
    <row r="5142" spans="1:2" x14ac:dyDescent="0.3">
      <c r="A5142" s="19"/>
      <c r="B5142" s="36"/>
    </row>
    <row r="5143" spans="1:2" x14ac:dyDescent="0.3">
      <c r="A5143" s="19"/>
      <c r="B5143" s="36"/>
    </row>
    <row r="5144" spans="1:2" x14ac:dyDescent="0.3">
      <c r="A5144" s="19"/>
      <c r="B5144" s="36"/>
    </row>
    <row r="5145" spans="1:2" x14ac:dyDescent="0.3">
      <c r="A5145" s="19"/>
      <c r="B5145" s="36"/>
    </row>
    <row r="5146" spans="1:2" x14ac:dyDescent="0.3">
      <c r="A5146" s="19"/>
      <c r="B5146" s="36"/>
    </row>
    <row r="5147" spans="1:2" x14ac:dyDescent="0.3">
      <c r="A5147" s="19"/>
      <c r="B5147" s="36"/>
    </row>
    <row r="5148" spans="1:2" x14ac:dyDescent="0.3">
      <c r="A5148" s="19"/>
      <c r="B5148" s="36"/>
    </row>
    <row r="5149" spans="1:2" x14ac:dyDescent="0.3">
      <c r="A5149" s="19"/>
      <c r="B5149" s="36"/>
    </row>
    <row r="5150" spans="1:2" x14ac:dyDescent="0.3">
      <c r="A5150" s="19"/>
      <c r="B5150" s="36"/>
    </row>
    <row r="5151" spans="1:2" x14ac:dyDescent="0.3">
      <c r="A5151" s="19"/>
      <c r="B5151" s="36"/>
    </row>
    <row r="5152" spans="1:2" x14ac:dyDescent="0.3">
      <c r="A5152" s="19"/>
      <c r="B5152" s="36"/>
    </row>
    <row r="5153" spans="1:2" x14ac:dyDescent="0.3">
      <c r="A5153" s="19"/>
      <c r="B5153" s="36"/>
    </row>
    <row r="5154" spans="1:2" x14ac:dyDescent="0.3">
      <c r="A5154" s="19"/>
      <c r="B5154" s="36"/>
    </row>
    <row r="5155" spans="1:2" x14ac:dyDescent="0.3">
      <c r="A5155" s="19"/>
      <c r="B5155" s="36"/>
    </row>
    <row r="5156" spans="1:2" x14ac:dyDescent="0.3">
      <c r="A5156" s="19"/>
      <c r="B5156" s="36"/>
    </row>
    <row r="5157" spans="1:2" x14ac:dyDescent="0.3">
      <c r="A5157" s="19"/>
      <c r="B5157" s="36"/>
    </row>
    <row r="5158" spans="1:2" x14ac:dyDescent="0.3">
      <c r="A5158" s="19"/>
      <c r="B5158" s="36"/>
    </row>
    <row r="5159" spans="1:2" x14ac:dyDescent="0.3">
      <c r="A5159" s="19"/>
      <c r="B5159" s="36"/>
    </row>
    <row r="5160" spans="1:2" x14ac:dyDescent="0.3">
      <c r="A5160" s="19"/>
      <c r="B5160" s="36"/>
    </row>
    <row r="5161" spans="1:2" x14ac:dyDescent="0.3">
      <c r="A5161" s="19"/>
      <c r="B5161" s="36"/>
    </row>
    <row r="5162" spans="1:2" x14ac:dyDescent="0.3">
      <c r="A5162" s="19"/>
      <c r="B5162" s="36"/>
    </row>
    <row r="5163" spans="1:2" x14ac:dyDescent="0.3">
      <c r="A5163" s="19"/>
      <c r="B5163" s="36"/>
    </row>
    <row r="5164" spans="1:2" x14ac:dyDescent="0.3">
      <c r="A5164" s="19"/>
      <c r="B5164" s="36"/>
    </row>
    <row r="5165" spans="1:2" x14ac:dyDescent="0.3">
      <c r="A5165" s="19"/>
      <c r="B5165" s="36"/>
    </row>
    <row r="5166" spans="1:2" x14ac:dyDescent="0.3">
      <c r="A5166" s="19"/>
      <c r="B5166" s="36"/>
    </row>
    <row r="5167" spans="1:2" x14ac:dyDescent="0.3">
      <c r="A5167" s="19"/>
      <c r="B5167" s="36"/>
    </row>
    <row r="5168" spans="1:2" x14ac:dyDescent="0.3">
      <c r="A5168" s="19"/>
      <c r="B5168" s="36"/>
    </row>
    <row r="5169" spans="1:2" x14ac:dyDescent="0.3">
      <c r="A5169" s="19"/>
      <c r="B5169" s="36"/>
    </row>
    <row r="5170" spans="1:2" x14ac:dyDescent="0.3">
      <c r="A5170" s="19"/>
      <c r="B5170" s="36"/>
    </row>
    <row r="5171" spans="1:2" x14ac:dyDescent="0.3">
      <c r="A5171" s="19"/>
      <c r="B5171" s="36"/>
    </row>
    <row r="5172" spans="1:2" x14ac:dyDescent="0.3">
      <c r="A5172" s="19"/>
      <c r="B5172" s="36"/>
    </row>
    <row r="5173" spans="1:2" x14ac:dyDescent="0.3">
      <c r="A5173" s="19"/>
      <c r="B5173" s="36"/>
    </row>
    <row r="5174" spans="1:2" x14ac:dyDescent="0.3">
      <c r="A5174" s="19"/>
      <c r="B5174" s="36"/>
    </row>
    <row r="5175" spans="1:2" x14ac:dyDescent="0.3">
      <c r="A5175" s="19"/>
      <c r="B5175" s="36"/>
    </row>
    <row r="5176" spans="1:2" x14ac:dyDescent="0.3">
      <c r="A5176" s="19"/>
      <c r="B5176" s="36"/>
    </row>
    <row r="5177" spans="1:2" x14ac:dyDescent="0.3">
      <c r="A5177" s="19"/>
      <c r="B5177" s="36"/>
    </row>
    <row r="5178" spans="1:2" x14ac:dyDescent="0.3">
      <c r="A5178" s="19"/>
      <c r="B5178" s="36"/>
    </row>
    <row r="5179" spans="1:2" x14ac:dyDescent="0.3">
      <c r="A5179" s="19"/>
      <c r="B5179" s="36"/>
    </row>
    <row r="5180" spans="1:2" x14ac:dyDescent="0.3">
      <c r="A5180" s="19"/>
      <c r="B5180" s="36"/>
    </row>
    <row r="5181" spans="1:2" x14ac:dyDescent="0.3">
      <c r="A5181" s="19"/>
      <c r="B5181" s="36"/>
    </row>
    <row r="5182" spans="1:2" x14ac:dyDescent="0.3">
      <c r="A5182" s="19"/>
      <c r="B5182" s="36"/>
    </row>
    <row r="5183" spans="1:2" x14ac:dyDescent="0.3">
      <c r="A5183" s="19"/>
      <c r="B5183" s="36"/>
    </row>
    <row r="5184" spans="1:2" x14ac:dyDescent="0.3">
      <c r="A5184" s="19"/>
      <c r="B5184" s="36"/>
    </row>
    <row r="5185" spans="1:2" x14ac:dyDescent="0.3">
      <c r="A5185" s="19"/>
      <c r="B5185" s="36"/>
    </row>
    <row r="5186" spans="1:2" x14ac:dyDescent="0.3">
      <c r="A5186" s="19"/>
      <c r="B5186" s="36"/>
    </row>
    <row r="5187" spans="1:2" x14ac:dyDescent="0.3">
      <c r="A5187" s="19"/>
      <c r="B5187" s="36"/>
    </row>
    <row r="5188" spans="1:2" x14ac:dyDescent="0.3">
      <c r="A5188" s="19"/>
      <c r="B5188" s="36"/>
    </row>
    <row r="5189" spans="1:2" x14ac:dyDescent="0.3">
      <c r="A5189" s="19"/>
      <c r="B5189" s="36"/>
    </row>
    <row r="5190" spans="1:2" x14ac:dyDescent="0.3">
      <c r="A5190" s="19"/>
      <c r="B5190" s="36"/>
    </row>
    <row r="5191" spans="1:2" x14ac:dyDescent="0.3">
      <c r="A5191" s="19"/>
      <c r="B5191" s="36"/>
    </row>
    <row r="5192" spans="1:2" x14ac:dyDescent="0.3">
      <c r="A5192" s="19"/>
      <c r="B5192" s="36"/>
    </row>
    <row r="5193" spans="1:2" x14ac:dyDescent="0.3">
      <c r="A5193" s="19"/>
      <c r="B5193" s="36"/>
    </row>
    <row r="5194" spans="1:2" x14ac:dyDescent="0.3">
      <c r="A5194" s="19"/>
      <c r="B5194" s="36"/>
    </row>
    <row r="5195" spans="1:2" x14ac:dyDescent="0.3">
      <c r="A5195" s="19"/>
      <c r="B5195" s="36"/>
    </row>
    <row r="5196" spans="1:2" x14ac:dyDescent="0.3">
      <c r="A5196" s="19"/>
      <c r="B5196" s="36"/>
    </row>
    <row r="5197" spans="1:2" x14ac:dyDescent="0.3">
      <c r="A5197" s="19"/>
      <c r="B5197" s="36"/>
    </row>
    <row r="5198" spans="1:2" x14ac:dyDescent="0.3">
      <c r="A5198" s="19"/>
      <c r="B5198" s="36"/>
    </row>
    <row r="5199" spans="1:2" x14ac:dyDescent="0.3">
      <c r="A5199" s="19"/>
      <c r="B5199" s="36"/>
    </row>
    <row r="5200" spans="1:2" x14ac:dyDescent="0.3">
      <c r="A5200" s="19"/>
      <c r="B5200" s="36"/>
    </row>
    <row r="5201" spans="1:2" x14ac:dyDescent="0.3">
      <c r="A5201" s="19"/>
      <c r="B5201" s="36"/>
    </row>
    <row r="5202" spans="1:2" x14ac:dyDescent="0.3">
      <c r="A5202" s="19"/>
      <c r="B5202" s="36"/>
    </row>
    <row r="5203" spans="1:2" x14ac:dyDescent="0.3">
      <c r="A5203" s="19"/>
      <c r="B5203" s="36"/>
    </row>
    <row r="5204" spans="1:2" x14ac:dyDescent="0.3">
      <c r="A5204" s="19"/>
      <c r="B5204" s="36"/>
    </row>
    <row r="5205" spans="1:2" x14ac:dyDescent="0.3">
      <c r="A5205" s="19"/>
      <c r="B5205" s="36"/>
    </row>
    <row r="5206" spans="1:2" x14ac:dyDescent="0.3">
      <c r="A5206" s="19"/>
      <c r="B5206" s="36"/>
    </row>
    <row r="5207" spans="1:2" x14ac:dyDescent="0.3">
      <c r="A5207" s="19"/>
      <c r="B5207" s="36"/>
    </row>
    <row r="5208" spans="1:2" x14ac:dyDescent="0.3">
      <c r="A5208" s="19"/>
      <c r="B5208" s="36"/>
    </row>
    <row r="5209" spans="1:2" x14ac:dyDescent="0.3">
      <c r="A5209" s="19"/>
      <c r="B5209" s="36"/>
    </row>
    <row r="5210" spans="1:2" x14ac:dyDescent="0.3">
      <c r="A5210" s="19"/>
      <c r="B5210" s="36"/>
    </row>
    <row r="5211" spans="1:2" x14ac:dyDescent="0.3">
      <c r="A5211" s="19"/>
      <c r="B5211" s="36"/>
    </row>
    <row r="5212" spans="1:2" x14ac:dyDescent="0.3">
      <c r="A5212" s="19"/>
      <c r="B5212" s="36"/>
    </row>
    <row r="5213" spans="1:2" x14ac:dyDescent="0.3">
      <c r="A5213" s="19"/>
      <c r="B5213" s="36"/>
    </row>
    <row r="5214" spans="1:2" x14ac:dyDescent="0.3">
      <c r="A5214" s="19"/>
      <c r="B5214" s="36"/>
    </row>
    <row r="5215" spans="1:2" x14ac:dyDescent="0.3">
      <c r="A5215" s="19"/>
      <c r="B5215" s="36"/>
    </row>
    <row r="5216" spans="1:2" x14ac:dyDescent="0.3">
      <c r="A5216" s="19"/>
      <c r="B5216" s="36"/>
    </row>
    <row r="5217" spans="1:2" x14ac:dyDescent="0.3">
      <c r="A5217" s="19"/>
      <c r="B5217" s="36"/>
    </row>
    <row r="5218" spans="1:2" x14ac:dyDescent="0.3">
      <c r="A5218" s="19"/>
      <c r="B5218" s="36"/>
    </row>
    <row r="5219" spans="1:2" x14ac:dyDescent="0.3">
      <c r="A5219" s="19"/>
      <c r="B5219" s="36"/>
    </row>
    <row r="5220" spans="1:2" x14ac:dyDescent="0.3">
      <c r="A5220" s="19"/>
      <c r="B5220" s="36"/>
    </row>
    <row r="5221" spans="1:2" x14ac:dyDescent="0.3">
      <c r="A5221" s="19"/>
      <c r="B5221" s="36"/>
    </row>
    <row r="5222" spans="1:2" x14ac:dyDescent="0.3">
      <c r="A5222" s="19"/>
      <c r="B5222" s="36"/>
    </row>
    <row r="5223" spans="1:2" x14ac:dyDescent="0.3">
      <c r="A5223" s="19"/>
      <c r="B5223" s="36"/>
    </row>
    <row r="5224" spans="1:2" x14ac:dyDescent="0.3">
      <c r="A5224" s="19"/>
      <c r="B5224" s="36"/>
    </row>
    <row r="5225" spans="1:2" x14ac:dyDescent="0.3">
      <c r="A5225" s="19"/>
      <c r="B5225" s="36"/>
    </row>
    <row r="5226" spans="1:2" x14ac:dyDescent="0.3">
      <c r="A5226" s="19"/>
      <c r="B5226" s="36"/>
    </row>
    <row r="5227" spans="1:2" x14ac:dyDescent="0.3">
      <c r="A5227" s="19"/>
      <c r="B5227" s="36"/>
    </row>
    <row r="5228" spans="1:2" x14ac:dyDescent="0.3">
      <c r="A5228" s="19"/>
      <c r="B5228" s="36"/>
    </row>
    <row r="5229" spans="1:2" x14ac:dyDescent="0.3">
      <c r="A5229" s="19"/>
      <c r="B5229" s="36"/>
    </row>
    <row r="5230" spans="1:2" x14ac:dyDescent="0.3">
      <c r="A5230" s="19"/>
      <c r="B5230" s="36"/>
    </row>
    <row r="5231" spans="1:2" x14ac:dyDescent="0.3">
      <c r="A5231" s="19"/>
      <c r="B5231" s="36"/>
    </row>
    <row r="5232" spans="1:2" x14ac:dyDescent="0.3">
      <c r="A5232" s="19"/>
      <c r="B5232" s="36"/>
    </row>
    <row r="5233" spans="1:2" x14ac:dyDescent="0.3">
      <c r="A5233" s="19"/>
      <c r="B5233" s="36"/>
    </row>
    <row r="5234" spans="1:2" x14ac:dyDescent="0.3">
      <c r="A5234" s="19"/>
      <c r="B5234" s="36"/>
    </row>
    <row r="5235" spans="1:2" x14ac:dyDescent="0.3">
      <c r="A5235" s="19"/>
      <c r="B5235" s="36"/>
    </row>
    <row r="5236" spans="1:2" x14ac:dyDescent="0.3">
      <c r="A5236" s="19"/>
      <c r="B5236" s="36"/>
    </row>
    <row r="5237" spans="1:2" x14ac:dyDescent="0.3">
      <c r="A5237" s="19"/>
      <c r="B5237" s="36"/>
    </row>
    <row r="5238" spans="1:2" x14ac:dyDescent="0.3">
      <c r="A5238" s="19"/>
      <c r="B5238" s="36"/>
    </row>
    <row r="5239" spans="1:2" x14ac:dyDescent="0.3">
      <c r="A5239" s="19"/>
      <c r="B5239" s="36"/>
    </row>
    <row r="5240" spans="1:2" x14ac:dyDescent="0.3">
      <c r="A5240" s="19"/>
      <c r="B5240" s="36"/>
    </row>
    <row r="5241" spans="1:2" x14ac:dyDescent="0.3">
      <c r="A5241" s="19"/>
      <c r="B5241" s="36"/>
    </row>
    <row r="5242" spans="1:2" x14ac:dyDescent="0.3">
      <c r="A5242" s="19"/>
      <c r="B5242" s="36"/>
    </row>
    <row r="5243" spans="1:2" x14ac:dyDescent="0.3">
      <c r="A5243" s="19"/>
      <c r="B5243" s="36"/>
    </row>
    <row r="5244" spans="1:2" x14ac:dyDescent="0.3">
      <c r="A5244" s="19"/>
      <c r="B5244" s="36"/>
    </row>
    <row r="5245" spans="1:2" x14ac:dyDescent="0.3">
      <c r="A5245" s="19"/>
      <c r="B5245" s="36"/>
    </row>
    <row r="5246" spans="1:2" x14ac:dyDescent="0.3">
      <c r="A5246" s="19"/>
      <c r="B5246" s="36"/>
    </row>
    <row r="5247" spans="1:2" x14ac:dyDescent="0.3">
      <c r="A5247" s="19"/>
      <c r="B5247" s="36"/>
    </row>
    <row r="5248" spans="1:2" x14ac:dyDescent="0.3">
      <c r="A5248" s="19"/>
      <c r="B5248" s="36"/>
    </row>
    <row r="5249" spans="1:2" x14ac:dyDescent="0.3">
      <c r="A5249" s="19"/>
      <c r="B5249" s="36"/>
    </row>
    <row r="5250" spans="1:2" x14ac:dyDescent="0.3">
      <c r="A5250" s="19"/>
      <c r="B5250" s="36"/>
    </row>
    <row r="5251" spans="1:2" x14ac:dyDescent="0.3">
      <c r="A5251" s="19"/>
      <c r="B5251" s="36"/>
    </row>
    <row r="5252" spans="1:2" x14ac:dyDescent="0.3">
      <c r="A5252" s="19"/>
      <c r="B5252" s="36"/>
    </row>
    <row r="5253" spans="1:2" x14ac:dyDescent="0.3">
      <c r="A5253" s="19"/>
      <c r="B5253" s="36"/>
    </row>
    <row r="5254" spans="1:2" x14ac:dyDescent="0.3">
      <c r="A5254" s="19"/>
      <c r="B5254" s="36"/>
    </row>
    <row r="5255" spans="1:2" x14ac:dyDescent="0.3">
      <c r="A5255" s="19"/>
      <c r="B5255" s="36"/>
    </row>
    <row r="5256" spans="1:2" x14ac:dyDescent="0.3">
      <c r="A5256" s="19"/>
      <c r="B5256" s="36"/>
    </row>
    <row r="5257" spans="1:2" x14ac:dyDescent="0.3">
      <c r="A5257" s="19"/>
      <c r="B5257" s="36"/>
    </row>
    <row r="5258" spans="1:2" x14ac:dyDescent="0.3">
      <c r="A5258" s="19"/>
      <c r="B5258" s="36"/>
    </row>
    <row r="5259" spans="1:2" x14ac:dyDescent="0.3">
      <c r="A5259" s="19"/>
      <c r="B5259" s="36"/>
    </row>
    <row r="5260" spans="1:2" x14ac:dyDescent="0.3">
      <c r="A5260" s="19"/>
      <c r="B5260" s="36"/>
    </row>
    <row r="5261" spans="1:2" x14ac:dyDescent="0.3">
      <c r="A5261" s="19"/>
      <c r="B5261" s="36"/>
    </row>
    <row r="5262" spans="1:2" x14ac:dyDescent="0.3">
      <c r="A5262" s="19"/>
      <c r="B5262" s="36"/>
    </row>
    <row r="5263" spans="1:2" x14ac:dyDescent="0.3">
      <c r="A5263" s="19"/>
      <c r="B5263" s="36"/>
    </row>
    <row r="5264" spans="1:2" x14ac:dyDescent="0.3">
      <c r="A5264" s="19"/>
      <c r="B5264" s="36"/>
    </row>
    <row r="5265" spans="1:2" x14ac:dyDescent="0.3">
      <c r="A5265" s="19"/>
      <c r="B5265" s="36"/>
    </row>
    <row r="5266" spans="1:2" x14ac:dyDescent="0.3">
      <c r="A5266" s="19"/>
      <c r="B5266" s="36"/>
    </row>
    <row r="5267" spans="1:2" x14ac:dyDescent="0.3">
      <c r="A5267" s="19"/>
      <c r="B5267" s="36"/>
    </row>
    <row r="5268" spans="1:2" x14ac:dyDescent="0.3">
      <c r="A5268" s="19"/>
      <c r="B5268" s="36"/>
    </row>
    <row r="5269" spans="1:2" x14ac:dyDescent="0.3">
      <c r="A5269" s="19"/>
      <c r="B5269" s="36"/>
    </row>
    <row r="5270" spans="1:2" x14ac:dyDescent="0.3">
      <c r="A5270" s="19"/>
      <c r="B5270" s="36"/>
    </row>
    <row r="5271" spans="1:2" x14ac:dyDescent="0.3">
      <c r="A5271" s="19"/>
      <c r="B5271" s="36"/>
    </row>
    <row r="5272" spans="1:2" x14ac:dyDescent="0.3">
      <c r="A5272" s="19"/>
      <c r="B5272" s="36"/>
    </row>
    <row r="5273" spans="1:2" x14ac:dyDescent="0.3">
      <c r="A5273" s="19"/>
      <c r="B5273" s="36"/>
    </row>
    <row r="5274" spans="1:2" x14ac:dyDescent="0.3">
      <c r="A5274" s="19"/>
      <c r="B5274" s="36"/>
    </row>
    <row r="5275" spans="1:2" x14ac:dyDescent="0.3">
      <c r="A5275" s="19"/>
      <c r="B5275" s="36"/>
    </row>
    <row r="5276" spans="1:2" x14ac:dyDescent="0.3">
      <c r="A5276" s="19"/>
      <c r="B5276" s="36"/>
    </row>
    <row r="5277" spans="1:2" x14ac:dyDescent="0.3">
      <c r="A5277" s="19"/>
      <c r="B5277" s="36"/>
    </row>
    <row r="5278" spans="1:2" x14ac:dyDescent="0.3">
      <c r="A5278" s="19"/>
      <c r="B5278" s="36"/>
    </row>
    <row r="5279" spans="1:2" x14ac:dyDescent="0.3">
      <c r="A5279" s="19"/>
      <c r="B5279" s="36"/>
    </row>
    <row r="5280" spans="1:2" x14ac:dyDescent="0.3">
      <c r="A5280" s="19"/>
      <c r="B5280" s="36"/>
    </row>
    <row r="5281" spans="1:2" x14ac:dyDescent="0.3">
      <c r="A5281" s="19"/>
      <c r="B5281" s="36"/>
    </row>
    <row r="5282" spans="1:2" x14ac:dyDescent="0.3">
      <c r="A5282" s="19"/>
      <c r="B5282" s="36"/>
    </row>
    <row r="5283" spans="1:2" x14ac:dyDescent="0.3">
      <c r="A5283" s="19"/>
      <c r="B5283" s="36"/>
    </row>
    <row r="5284" spans="1:2" x14ac:dyDescent="0.3">
      <c r="A5284" s="19"/>
      <c r="B5284" s="36"/>
    </row>
    <row r="5285" spans="1:2" x14ac:dyDescent="0.3">
      <c r="A5285" s="19"/>
      <c r="B5285" s="36"/>
    </row>
    <row r="5286" spans="1:2" x14ac:dyDescent="0.3">
      <c r="A5286" s="19"/>
      <c r="B5286" s="36"/>
    </row>
    <row r="5287" spans="1:2" x14ac:dyDescent="0.3">
      <c r="A5287" s="19"/>
      <c r="B5287" s="36"/>
    </row>
    <row r="5288" spans="1:2" x14ac:dyDescent="0.3">
      <c r="A5288" s="19"/>
      <c r="B5288" s="36"/>
    </row>
    <row r="5289" spans="1:2" x14ac:dyDescent="0.3">
      <c r="A5289" s="19"/>
      <c r="B5289" s="36"/>
    </row>
    <row r="5290" spans="1:2" x14ac:dyDescent="0.3">
      <c r="A5290" s="19"/>
      <c r="B5290" s="36"/>
    </row>
    <row r="5291" spans="1:2" x14ac:dyDescent="0.3">
      <c r="A5291" s="19"/>
      <c r="B5291" s="36"/>
    </row>
    <row r="5292" spans="1:2" x14ac:dyDescent="0.3">
      <c r="A5292" s="19"/>
      <c r="B5292" s="36"/>
    </row>
    <row r="5293" spans="1:2" x14ac:dyDescent="0.3">
      <c r="A5293" s="19"/>
      <c r="B5293" s="36"/>
    </row>
    <row r="5294" spans="1:2" x14ac:dyDescent="0.3">
      <c r="A5294" s="19"/>
      <c r="B5294" s="36"/>
    </row>
    <row r="5295" spans="1:2" x14ac:dyDescent="0.3">
      <c r="A5295" s="19"/>
      <c r="B5295" s="36"/>
    </row>
    <row r="5296" spans="1:2" x14ac:dyDescent="0.3">
      <c r="A5296" s="19"/>
      <c r="B5296" s="36"/>
    </row>
    <row r="5297" spans="1:2" x14ac:dyDescent="0.3">
      <c r="A5297" s="19"/>
      <c r="B5297" s="36"/>
    </row>
    <row r="5298" spans="1:2" x14ac:dyDescent="0.3">
      <c r="A5298" s="19"/>
      <c r="B5298" s="36"/>
    </row>
    <row r="5299" spans="1:2" x14ac:dyDescent="0.3">
      <c r="A5299" s="19"/>
      <c r="B5299" s="36"/>
    </row>
    <row r="5300" spans="1:2" x14ac:dyDescent="0.3">
      <c r="A5300" s="19"/>
      <c r="B5300" s="36"/>
    </row>
    <row r="5301" spans="1:2" x14ac:dyDescent="0.3">
      <c r="A5301" s="19"/>
      <c r="B5301" s="36"/>
    </row>
    <row r="5302" spans="1:2" x14ac:dyDescent="0.3">
      <c r="A5302" s="19"/>
      <c r="B5302" s="36"/>
    </row>
    <row r="5303" spans="1:2" x14ac:dyDescent="0.3">
      <c r="A5303" s="19"/>
      <c r="B5303" s="36"/>
    </row>
    <row r="5304" spans="1:2" x14ac:dyDescent="0.3">
      <c r="A5304" s="19"/>
      <c r="B5304" s="36"/>
    </row>
    <row r="5305" spans="1:2" x14ac:dyDescent="0.3">
      <c r="A5305" s="19"/>
      <c r="B5305" s="36"/>
    </row>
    <row r="5306" spans="1:2" x14ac:dyDescent="0.3">
      <c r="A5306" s="19"/>
      <c r="B5306" s="36"/>
    </row>
    <row r="5307" spans="1:2" x14ac:dyDescent="0.3">
      <c r="A5307" s="19"/>
      <c r="B5307" s="36"/>
    </row>
    <row r="5308" spans="1:2" x14ac:dyDescent="0.3">
      <c r="A5308" s="19"/>
      <c r="B5308" s="36"/>
    </row>
    <row r="5309" spans="1:2" x14ac:dyDescent="0.3">
      <c r="A5309" s="19"/>
      <c r="B5309" s="36"/>
    </row>
    <row r="5310" spans="1:2" x14ac:dyDescent="0.3">
      <c r="A5310" s="19"/>
      <c r="B5310" s="36"/>
    </row>
    <row r="5311" spans="1:2" x14ac:dyDescent="0.3">
      <c r="A5311" s="19"/>
      <c r="B5311" s="36"/>
    </row>
    <row r="5312" spans="1:2" x14ac:dyDescent="0.3">
      <c r="A5312" s="19"/>
      <c r="B5312" s="36"/>
    </row>
    <row r="5313" spans="1:2" x14ac:dyDescent="0.3">
      <c r="A5313" s="19"/>
      <c r="B5313" s="36"/>
    </row>
    <row r="5314" spans="1:2" x14ac:dyDescent="0.3">
      <c r="A5314" s="19"/>
      <c r="B5314" s="36"/>
    </row>
    <row r="5315" spans="1:2" x14ac:dyDescent="0.3">
      <c r="A5315" s="19"/>
      <c r="B5315" s="36"/>
    </row>
    <row r="5316" spans="1:2" x14ac:dyDescent="0.3">
      <c r="A5316" s="19"/>
      <c r="B5316" s="36"/>
    </row>
    <row r="5317" spans="1:2" x14ac:dyDescent="0.3">
      <c r="A5317" s="19"/>
      <c r="B5317" s="36"/>
    </row>
    <row r="5318" spans="1:2" x14ac:dyDescent="0.3">
      <c r="A5318" s="19"/>
      <c r="B5318" s="36"/>
    </row>
    <row r="5319" spans="1:2" x14ac:dyDescent="0.3">
      <c r="A5319" s="19"/>
      <c r="B5319" s="36"/>
    </row>
    <row r="5320" spans="1:2" x14ac:dyDescent="0.3">
      <c r="A5320" s="19"/>
      <c r="B5320" s="36"/>
    </row>
    <row r="5321" spans="1:2" x14ac:dyDescent="0.3">
      <c r="A5321" s="19"/>
      <c r="B5321" s="36"/>
    </row>
    <row r="5322" spans="1:2" x14ac:dyDescent="0.3">
      <c r="A5322" s="19"/>
      <c r="B5322" s="36"/>
    </row>
    <row r="5323" spans="1:2" x14ac:dyDescent="0.3">
      <c r="A5323" s="19"/>
      <c r="B5323" s="36"/>
    </row>
    <row r="5324" spans="1:2" x14ac:dyDescent="0.3">
      <c r="A5324" s="19"/>
      <c r="B5324" s="36"/>
    </row>
    <row r="5325" spans="1:2" x14ac:dyDescent="0.3">
      <c r="A5325" s="19"/>
      <c r="B5325" s="36"/>
    </row>
    <row r="5326" spans="1:2" x14ac:dyDescent="0.3">
      <c r="A5326" s="19"/>
      <c r="B5326" s="36"/>
    </row>
    <row r="5327" spans="1:2" x14ac:dyDescent="0.3">
      <c r="A5327" s="19"/>
      <c r="B5327" s="36"/>
    </row>
    <row r="5328" spans="1:2" x14ac:dyDescent="0.3">
      <c r="A5328" s="19"/>
      <c r="B5328" s="36"/>
    </row>
    <row r="5329" spans="1:2" x14ac:dyDescent="0.3">
      <c r="A5329" s="19"/>
      <c r="B5329" s="36"/>
    </row>
    <row r="5330" spans="1:2" x14ac:dyDescent="0.3">
      <c r="A5330" s="19"/>
      <c r="B5330" s="36"/>
    </row>
    <row r="5331" spans="1:2" x14ac:dyDescent="0.3">
      <c r="A5331" s="19"/>
      <c r="B5331" s="36"/>
    </row>
    <row r="5332" spans="1:2" x14ac:dyDescent="0.3">
      <c r="A5332" s="19"/>
      <c r="B5332" s="36"/>
    </row>
    <row r="5333" spans="1:2" x14ac:dyDescent="0.3">
      <c r="A5333" s="19"/>
      <c r="B5333" s="36"/>
    </row>
    <row r="5334" spans="1:2" x14ac:dyDescent="0.3">
      <c r="A5334" s="19"/>
      <c r="B5334" s="36"/>
    </row>
    <row r="5335" spans="1:2" x14ac:dyDescent="0.3">
      <c r="A5335" s="19"/>
      <c r="B5335" s="36"/>
    </row>
    <row r="5336" spans="1:2" x14ac:dyDescent="0.3">
      <c r="A5336" s="19"/>
      <c r="B5336" s="36"/>
    </row>
    <row r="5337" spans="1:2" x14ac:dyDescent="0.3">
      <c r="A5337" s="19"/>
      <c r="B5337" s="36"/>
    </row>
    <row r="5338" spans="1:2" x14ac:dyDescent="0.3">
      <c r="A5338" s="19"/>
      <c r="B5338" s="36"/>
    </row>
    <row r="5339" spans="1:2" x14ac:dyDescent="0.3">
      <c r="A5339" s="19"/>
      <c r="B5339" s="36"/>
    </row>
    <row r="5340" spans="1:2" x14ac:dyDescent="0.3">
      <c r="A5340" s="19"/>
      <c r="B5340" s="36"/>
    </row>
    <row r="5341" spans="1:2" x14ac:dyDescent="0.3">
      <c r="A5341" s="19"/>
      <c r="B5341" s="36"/>
    </row>
    <row r="5342" spans="1:2" x14ac:dyDescent="0.3">
      <c r="A5342" s="19"/>
      <c r="B5342" s="36"/>
    </row>
    <row r="5343" spans="1:2" x14ac:dyDescent="0.3">
      <c r="A5343" s="19"/>
      <c r="B5343" s="36"/>
    </row>
    <row r="5344" spans="1:2" x14ac:dyDescent="0.3">
      <c r="A5344" s="19"/>
      <c r="B5344" s="36"/>
    </row>
    <row r="5345" spans="1:2" x14ac:dyDescent="0.3">
      <c r="A5345" s="19"/>
      <c r="B5345" s="36"/>
    </row>
    <row r="5346" spans="1:2" x14ac:dyDescent="0.3">
      <c r="A5346" s="19"/>
      <c r="B5346" s="36"/>
    </row>
    <row r="5347" spans="1:2" x14ac:dyDescent="0.3">
      <c r="A5347" s="19"/>
      <c r="B5347" s="36"/>
    </row>
    <row r="5348" spans="1:2" x14ac:dyDescent="0.3">
      <c r="A5348" s="19"/>
      <c r="B5348" s="36"/>
    </row>
    <row r="5349" spans="1:2" x14ac:dyDescent="0.3">
      <c r="A5349" s="19"/>
      <c r="B5349" s="36"/>
    </row>
    <row r="5350" spans="1:2" x14ac:dyDescent="0.3">
      <c r="A5350" s="19"/>
      <c r="B5350" s="36"/>
    </row>
    <row r="5351" spans="1:2" x14ac:dyDescent="0.3">
      <c r="A5351" s="19"/>
      <c r="B5351" s="36"/>
    </row>
    <row r="5352" spans="1:2" x14ac:dyDescent="0.3">
      <c r="A5352" s="19"/>
      <c r="B5352" s="36"/>
    </row>
    <row r="5353" spans="1:2" x14ac:dyDescent="0.3">
      <c r="A5353" s="19"/>
      <c r="B5353" s="36"/>
    </row>
    <row r="5354" spans="1:2" x14ac:dyDescent="0.3">
      <c r="A5354" s="19"/>
      <c r="B5354" s="36"/>
    </row>
    <row r="5355" spans="1:2" x14ac:dyDescent="0.3">
      <c r="A5355" s="19"/>
      <c r="B5355" s="36"/>
    </row>
    <row r="5356" spans="1:2" x14ac:dyDescent="0.3">
      <c r="A5356" s="19"/>
      <c r="B5356" s="36"/>
    </row>
    <row r="5357" spans="1:2" x14ac:dyDescent="0.3">
      <c r="A5357" s="19"/>
      <c r="B5357" s="36"/>
    </row>
    <row r="5358" spans="1:2" x14ac:dyDescent="0.3">
      <c r="A5358" s="19"/>
      <c r="B5358" s="36"/>
    </row>
    <row r="5359" spans="1:2" x14ac:dyDescent="0.3">
      <c r="A5359" s="19"/>
      <c r="B5359" s="36"/>
    </row>
    <row r="5360" spans="1:2" x14ac:dyDescent="0.3">
      <c r="A5360" s="19"/>
      <c r="B5360" s="36"/>
    </row>
    <row r="5361" spans="1:2" x14ac:dyDescent="0.3">
      <c r="A5361" s="19"/>
      <c r="B5361" s="36"/>
    </row>
    <row r="5362" spans="1:2" x14ac:dyDescent="0.3">
      <c r="A5362" s="19"/>
      <c r="B5362" s="36"/>
    </row>
    <row r="5363" spans="1:2" x14ac:dyDescent="0.3">
      <c r="A5363" s="19"/>
      <c r="B5363" s="36"/>
    </row>
    <row r="5364" spans="1:2" x14ac:dyDescent="0.3">
      <c r="A5364" s="19"/>
      <c r="B5364" s="36"/>
    </row>
    <row r="5365" spans="1:2" x14ac:dyDescent="0.3">
      <c r="A5365" s="19"/>
      <c r="B5365" s="36"/>
    </row>
    <row r="5366" spans="1:2" x14ac:dyDescent="0.3">
      <c r="A5366" s="19"/>
      <c r="B5366" s="36"/>
    </row>
    <row r="5367" spans="1:2" x14ac:dyDescent="0.3">
      <c r="A5367" s="19"/>
      <c r="B5367" s="36"/>
    </row>
    <row r="5368" spans="1:2" x14ac:dyDescent="0.3">
      <c r="A5368" s="19"/>
      <c r="B5368" s="36"/>
    </row>
    <row r="5369" spans="1:2" x14ac:dyDescent="0.3">
      <c r="A5369" s="19"/>
      <c r="B5369" s="36"/>
    </row>
    <row r="5370" spans="1:2" x14ac:dyDescent="0.3">
      <c r="A5370" s="19"/>
      <c r="B5370" s="36"/>
    </row>
    <row r="5371" spans="1:2" x14ac:dyDescent="0.3">
      <c r="A5371" s="19"/>
      <c r="B5371" s="36"/>
    </row>
    <row r="5372" spans="1:2" x14ac:dyDescent="0.3">
      <c r="A5372" s="19"/>
      <c r="B5372" s="36"/>
    </row>
    <row r="5373" spans="1:2" x14ac:dyDescent="0.3">
      <c r="A5373" s="19"/>
      <c r="B5373" s="36"/>
    </row>
    <row r="5374" spans="1:2" x14ac:dyDescent="0.3">
      <c r="A5374" s="19"/>
      <c r="B5374" s="36"/>
    </row>
    <row r="5375" spans="1:2" x14ac:dyDescent="0.3">
      <c r="A5375" s="19"/>
      <c r="B5375" s="36"/>
    </row>
    <row r="5376" spans="1:2" x14ac:dyDescent="0.3">
      <c r="A5376" s="19"/>
      <c r="B5376" s="36"/>
    </row>
    <row r="5377" spans="1:2" x14ac:dyDescent="0.3">
      <c r="A5377" s="19"/>
      <c r="B5377" s="36"/>
    </row>
    <row r="5378" spans="1:2" x14ac:dyDescent="0.3">
      <c r="A5378" s="19"/>
      <c r="B5378" s="36"/>
    </row>
    <row r="5379" spans="1:2" x14ac:dyDescent="0.3">
      <c r="A5379" s="19"/>
      <c r="B5379" s="36"/>
    </row>
    <row r="5380" spans="1:2" x14ac:dyDescent="0.3">
      <c r="A5380" s="19"/>
      <c r="B5380" s="36"/>
    </row>
    <row r="5381" spans="1:2" x14ac:dyDescent="0.3">
      <c r="A5381" s="19"/>
      <c r="B5381" s="36"/>
    </row>
    <row r="5382" spans="1:2" x14ac:dyDescent="0.3">
      <c r="A5382" s="19"/>
      <c r="B5382" s="36"/>
    </row>
    <row r="5383" spans="1:2" x14ac:dyDescent="0.3">
      <c r="A5383" s="19"/>
      <c r="B5383" s="36"/>
    </row>
    <row r="5384" spans="1:2" x14ac:dyDescent="0.3">
      <c r="A5384" s="19"/>
      <c r="B5384" s="36"/>
    </row>
    <row r="5385" spans="1:2" x14ac:dyDescent="0.3">
      <c r="A5385" s="19"/>
      <c r="B5385" s="36"/>
    </row>
    <row r="5386" spans="1:2" x14ac:dyDescent="0.3">
      <c r="A5386" s="19"/>
      <c r="B5386" s="36"/>
    </row>
    <row r="5387" spans="1:2" x14ac:dyDescent="0.3">
      <c r="A5387" s="19"/>
      <c r="B5387" s="36"/>
    </row>
    <row r="5388" spans="1:2" x14ac:dyDescent="0.3">
      <c r="A5388" s="19"/>
      <c r="B5388" s="36"/>
    </row>
    <row r="5389" spans="1:2" x14ac:dyDescent="0.3">
      <c r="A5389" s="19"/>
      <c r="B5389" s="36"/>
    </row>
    <row r="5390" spans="1:2" x14ac:dyDescent="0.3">
      <c r="A5390" s="19"/>
      <c r="B5390" s="36"/>
    </row>
    <row r="5391" spans="1:2" x14ac:dyDescent="0.3">
      <c r="A5391" s="19"/>
      <c r="B5391" s="36"/>
    </row>
    <row r="5392" spans="1:2" x14ac:dyDescent="0.3">
      <c r="A5392" s="19"/>
      <c r="B5392" s="36"/>
    </row>
    <row r="5393" spans="1:2" x14ac:dyDescent="0.3">
      <c r="A5393" s="19"/>
      <c r="B5393" s="36"/>
    </row>
    <row r="5394" spans="1:2" x14ac:dyDescent="0.3">
      <c r="A5394" s="19"/>
      <c r="B5394" s="36"/>
    </row>
    <row r="5395" spans="1:2" x14ac:dyDescent="0.3">
      <c r="A5395" s="19"/>
      <c r="B5395" s="36"/>
    </row>
    <row r="5396" spans="1:2" x14ac:dyDescent="0.3">
      <c r="A5396" s="19"/>
      <c r="B5396" s="36"/>
    </row>
    <row r="5397" spans="1:2" x14ac:dyDescent="0.3">
      <c r="A5397" s="19"/>
      <c r="B5397" s="36"/>
    </row>
    <row r="5398" spans="1:2" x14ac:dyDescent="0.3">
      <c r="A5398" s="19"/>
      <c r="B5398" s="36"/>
    </row>
    <row r="5399" spans="1:2" x14ac:dyDescent="0.3">
      <c r="A5399" s="19"/>
      <c r="B5399" s="36"/>
    </row>
    <row r="5400" spans="1:2" x14ac:dyDescent="0.3">
      <c r="A5400" s="19"/>
      <c r="B5400" s="36"/>
    </row>
    <row r="5401" spans="1:2" x14ac:dyDescent="0.3">
      <c r="A5401" s="19"/>
      <c r="B5401" s="36"/>
    </row>
    <row r="5402" spans="1:2" x14ac:dyDescent="0.3">
      <c r="A5402" s="19"/>
      <c r="B5402" s="36"/>
    </row>
    <row r="5403" spans="1:2" x14ac:dyDescent="0.3">
      <c r="A5403" s="19"/>
      <c r="B5403" s="36"/>
    </row>
    <row r="5404" spans="1:2" x14ac:dyDescent="0.3">
      <c r="A5404" s="19"/>
      <c r="B5404" s="36"/>
    </row>
    <row r="5405" spans="1:2" x14ac:dyDescent="0.3">
      <c r="A5405" s="19"/>
      <c r="B5405" s="36"/>
    </row>
    <row r="5406" spans="1:2" x14ac:dyDescent="0.3">
      <c r="A5406" s="19"/>
      <c r="B5406" s="36"/>
    </row>
    <row r="5407" spans="1:2" x14ac:dyDescent="0.3">
      <c r="A5407" s="19"/>
      <c r="B5407" s="36"/>
    </row>
    <row r="5408" spans="1:2" x14ac:dyDescent="0.3">
      <c r="A5408" s="19"/>
      <c r="B5408" s="36"/>
    </row>
    <row r="5409" spans="1:2" x14ac:dyDescent="0.3">
      <c r="A5409" s="19"/>
      <c r="B5409" s="36"/>
    </row>
    <row r="5410" spans="1:2" x14ac:dyDescent="0.3">
      <c r="A5410" s="19"/>
      <c r="B5410" s="36"/>
    </row>
    <row r="5411" spans="1:2" x14ac:dyDescent="0.3">
      <c r="A5411" s="19"/>
      <c r="B5411" s="36"/>
    </row>
    <row r="5412" spans="1:2" x14ac:dyDescent="0.3">
      <c r="A5412" s="19"/>
      <c r="B5412" s="36"/>
    </row>
    <row r="5413" spans="1:2" x14ac:dyDescent="0.3">
      <c r="A5413" s="19"/>
      <c r="B5413" s="36"/>
    </row>
    <row r="5414" spans="1:2" x14ac:dyDescent="0.3">
      <c r="A5414" s="19"/>
      <c r="B5414" s="36"/>
    </row>
    <row r="5415" spans="1:2" x14ac:dyDescent="0.3">
      <c r="A5415" s="19"/>
      <c r="B5415" s="36"/>
    </row>
    <row r="5416" spans="1:2" x14ac:dyDescent="0.3">
      <c r="A5416" s="19"/>
      <c r="B5416" s="36"/>
    </row>
    <row r="5417" spans="1:2" x14ac:dyDescent="0.3">
      <c r="A5417" s="19"/>
      <c r="B5417" s="36"/>
    </row>
    <row r="5418" spans="1:2" x14ac:dyDescent="0.3">
      <c r="A5418" s="19"/>
      <c r="B5418" s="36"/>
    </row>
    <row r="5419" spans="1:2" x14ac:dyDescent="0.3">
      <c r="A5419" s="19"/>
      <c r="B5419" s="36"/>
    </row>
    <row r="5420" spans="1:2" x14ac:dyDescent="0.3">
      <c r="A5420" s="19"/>
      <c r="B5420" s="36"/>
    </row>
    <row r="5421" spans="1:2" x14ac:dyDescent="0.3">
      <c r="A5421" s="19"/>
      <c r="B5421" s="36"/>
    </row>
    <row r="5422" spans="1:2" x14ac:dyDescent="0.3">
      <c r="A5422" s="19"/>
      <c r="B5422" s="36"/>
    </row>
    <row r="5423" spans="1:2" x14ac:dyDescent="0.3">
      <c r="A5423" s="19"/>
      <c r="B5423" s="36"/>
    </row>
    <row r="5424" spans="1:2" x14ac:dyDescent="0.3">
      <c r="A5424" s="19"/>
      <c r="B5424" s="36"/>
    </row>
    <row r="5425" spans="1:2" x14ac:dyDescent="0.3">
      <c r="A5425" s="19"/>
      <c r="B5425" s="36"/>
    </row>
    <row r="5426" spans="1:2" x14ac:dyDescent="0.3">
      <c r="A5426" s="19"/>
      <c r="B5426" s="36"/>
    </row>
    <row r="5427" spans="1:2" x14ac:dyDescent="0.3">
      <c r="A5427" s="19"/>
      <c r="B5427" s="36"/>
    </row>
    <row r="5428" spans="1:2" x14ac:dyDescent="0.3">
      <c r="A5428" s="19"/>
      <c r="B5428" s="36"/>
    </row>
    <row r="5429" spans="1:2" x14ac:dyDescent="0.3">
      <c r="A5429" s="19"/>
      <c r="B5429" s="36"/>
    </row>
    <row r="5430" spans="1:2" x14ac:dyDescent="0.3">
      <c r="A5430" s="19"/>
      <c r="B5430" s="36"/>
    </row>
    <row r="5431" spans="1:2" x14ac:dyDescent="0.3">
      <c r="A5431" s="19"/>
      <c r="B5431" s="36"/>
    </row>
    <row r="5432" spans="1:2" x14ac:dyDescent="0.3">
      <c r="A5432" s="19"/>
      <c r="B5432" s="36"/>
    </row>
    <row r="5433" spans="1:2" x14ac:dyDescent="0.3">
      <c r="A5433" s="19"/>
      <c r="B5433" s="36"/>
    </row>
    <row r="5434" spans="1:2" x14ac:dyDescent="0.3">
      <c r="A5434" s="19"/>
      <c r="B5434" s="36"/>
    </row>
    <row r="5435" spans="1:2" x14ac:dyDescent="0.3">
      <c r="A5435" s="19"/>
      <c r="B5435" s="36"/>
    </row>
    <row r="5436" spans="1:2" x14ac:dyDescent="0.3">
      <c r="A5436" s="19"/>
      <c r="B5436" s="36"/>
    </row>
    <row r="5437" spans="1:2" x14ac:dyDescent="0.3">
      <c r="A5437" s="19"/>
      <c r="B5437" s="36"/>
    </row>
    <row r="5438" spans="1:2" x14ac:dyDescent="0.3">
      <c r="A5438" s="19"/>
      <c r="B5438" s="36"/>
    </row>
    <row r="5439" spans="1:2" x14ac:dyDescent="0.3">
      <c r="A5439" s="19"/>
      <c r="B5439" s="36"/>
    </row>
    <row r="5440" spans="1:2" x14ac:dyDescent="0.3">
      <c r="A5440" s="19"/>
      <c r="B5440" s="36"/>
    </row>
    <row r="5441" spans="1:2" x14ac:dyDescent="0.3">
      <c r="A5441" s="19"/>
      <c r="B5441" s="36"/>
    </row>
    <row r="5442" spans="1:2" x14ac:dyDescent="0.3">
      <c r="A5442" s="19"/>
      <c r="B5442" s="36"/>
    </row>
    <row r="5443" spans="1:2" x14ac:dyDescent="0.3">
      <c r="A5443" s="19"/>
      <c r="B5443" s="36"/>
    </row>
    <row r="5444" spans="1:2" x14ac:dyDescent="0.3">
      <c r="A5444" s="19"/>
      <c r="B5444" s="36"/>
    </row>
    <row r="5445" spans="1:2" x14ac:dyDescent="0.3">
      <c r="A5445" s="19"/>
      <c r="B5445" s="36"/>
    </row>
    <row r="5446" spans="1:2" x14ac:dyDescent="0.3">
      <c r="A5446" s="19"/>
      <c r="B5446" s="36"/>
    </row>
    <row r="5447" spans="1:2" x14ac:dyDescent="0.3">
      <c r="A5447" s="19"/>
      <c r="B5447" s="36"/>
    </row>
    <row r="5448" spans="1:2" x14ac:dyDescent="0.3">
      <c r="A5448" s="19"/>
      <c r="B5448" s="36"/>
    </row>
    <row r="5449" spans="1:2" x14ac:dyDescent="0.3">
      <c r="A5449" s="19"/>
      <c r="B5449" s="36"/>
    </row>
    <row r="5450" spans="1:2" x14ac:dyDescent="0.3">
      <c r="A5450" s="19"/>
      <c r="B5450" s="36"/>
    </row>
    <row r="5451" spans="1:2" x14ac:dyDescent="0.3">
      <c r="A5451" s="19"/>
      <c r="B5451" s="36"/>
    </row>
    <row r="5452" spans="1:2" x14ac:dyDescent="0.3">
      <c r="A5452" s="19"/>
      <c r="B5452" s="36"/>
    </row>
    <row r="5453" spans="1:2" x14ac:dyDescent="0.3">
      <c r="A5453" s="19"/>
      <c r="B5453" s="36"/>
    </row>
    <row r="5454" spans="1:2" x14ac:dyDescent="0.3">
      <c r="A5454" s="19"/>
      <c r="B5454" s="36"/>
    </row>
    <row r="5455" spans="1:2" x14ac:dyDescent="0.3">
      <c r="A5455" s="19"/>
      <c r="B5455" s="36"/>
    </row>
    <row r="5456" spans="1:2" x14ac:dyDescent="0.3">
      <c r="A5456" s="19"/>
      <c r="B5456" s="36"/>
    </row>
    <row r="5457" spans="1:2" x14ac:dyDescent="0.3">
      <c r="A5457" s="19"/>
      <c r="B5457" s="36"/>
    </row>
    <row r="5458" spans="1:2" x14ac:dyDescent="0.3">
      <c r="A5458" s="19"/>
      <c r="B5458" s="36"/>
    </row>
    <row r="5459" spans="1:2" x14ac:dyDescent="0.3">
      <c r="A5459" s="19"/>
      <c r="B5459" s="36"/>
    </row>
    <row r="5460" spans="1:2" x14ac:dyDescent="0.3">
      <c r="A5460" s="19"/>
      <c r="B5460" s="36"/>
    </row>
    <row r="5461" spans="1:2" x14ac:dyDescent="0.3">
      <c r="A5461" s="19"/>
      <c r="B5461" s="36"/>
    </row>
    <row r="5462" spans="1:2" x14ac:dyDescent="0.3">
      <c r="A5462" s="19"/>
      <c r="B5462" s="36"/>
    </row>
    <row r="5463" spans="1:2" x14ac:dyDescent="0.3">
      <c r="A5463" s="19"/>
      <c r="B5463" s="36"/>
    </row>
    <row r="5464" spans="1:2" x14ac:dyDescent="0.3">
      <c r="A5464" s="19"/>
      <c r="B5464" s="36"/>
    </row>
    <row r="5465" spans="1:2" x14ac:dyDescent="0.3">
      <c r="A5465" s="19"/>
      <c r="B5465" s="36"/>
    </row>
    <row r="5466" spans="1:2" x14ac:dyDescent="0.3">
      <c r="A5466" s="19"/>
      <c r="B5466" s="36"/>
    </row>
    <row r="5467" spans="1:2" x14ac:dyDescent="0.3">
      <c r="A5467" s="19"/>
      <c r="B5467" s="36"/>
    </row>
    <row r="5468" spans="1:2" x14ac:dyDescent="0.3">
      <c r="A5468" s="19"/>
      <c r="B5468" s="36"/>
    </row>
    <row r="5469" spans="1:2" x14ac:dyDescent="0.3">
      <c r="A5469" s="19"/>
      <c r="B5469" s="36"/>
    </row>
    <row r="5470" spans="1:2" x14ac:dyDescent="0.3">
      <c r="A5470" s="19"/>
      <c r="B5470" s="36"/>
    </row>
    <row r="5471" spans="1:2" x14ac:dyDescent="0.3">
      <c r="A5471" s="19"/>
      <c r="B5471" s="36"/>
    </row>
    <row r="5472" spans="1:2" x14ac:dyDescent="0.3">
      <c r="A5472" s="19"/>
      <c r="B5472" s="36"/>
    </row>
    <row r="5473" spans="1:2" x14ac:dyDescent="0.3">
      <c r="A5473" s="19"/>
      <c r="B5473" s="36"/>
    </row>
    <row r="5474" spans="1:2" x14ac:dyDescent="0.3">
      <c r="A5474" s="19"/>
      <c r="B5474" s="36"/>
    </row>
    <row r="5475" spans="1:2" x14ac:dyDescent="0.3">
      <c r="A5475" s="19"/>
      <c r="B5475" s="36"/>
    </row>
    <row r="5476" spans="1:2" x14ac:dyDescent="0.3">
      <c r="A5476" s="19"/>
      <c r="B5476" s="36"/>
    </row>
    <row r="5477" spans="1:2" x14ac:dyDescent="0.3">
      <c r="A5477" s="19"/>
      <c r="B5477" s="36"/>
    </row>
    <row r="5478" spans="1:2" x14ac:dyDescent="0.3">
      <c r="A5478" s="19"/>
      <c r="B5478" s="36"/>
    </row>
    <row r="5479" spans="1:2" x14ac:dyDescent="0.3">
      <c r="A5479" s="19"/>
      <c r="B5479" s="36"/>
    </row>
    <row r="5480" spans="1:2" x14ac:dyDescent="0.3">
      <c r="A5480" s="19"/>
      <c r="B5480" s="36"/>
    </row>
    <row r="5481" spans="1:2" x14ac:dyDescent="0.3">
      <c r="A5481" s="19"/>
      <c r="B5481" s="36"/>
    </row>
    <row r="5482" spans="1:2" x14ac:dyDescent="0.3">
      <c r="A5482" s="19"/>
      <c r="B5482" s="36"/>
    </row>
    <row r="5483" spans="1:2" x14ac:dyDescent="0.3">
      <c r="A5483" s="19"/>
      <c r="B5483" s="36"/>
    </row>
    <row r="5484" spans="1:2" x14ac:dyDescent="0.3">
      <c r="A5484" s="19"/>
      <c r="B5484" s="36"/>
    </row>
    <row r="5485" spans="1:2" x14ac:dyDescent="0.3">
      <c r="A5485" s="19"/>
      <c r="B5485" s="36"/>
    </row>
    <row r="5486" spans="1:2" x14ac:dyDescent="0.3">
      <c r="A5486" s="19"/>
      <c r="B5486" s="36"/>
    </row>
    <row r="5487" spans="1:2" x14ac:dyDescent="0.3">
      <c r="A5487" s="19"/>
      <c r="B5487" s="36"/>
    </row>
    <row r="5488" spans="1:2" x14ac:dyDescent="0.3">
      <c r="A5488" s="19"/>
      <c r="B5488" s="36"/>
    </row>
    <row r="5489" spans="1:2" x14ac:dyDescent="0.3">
      <c r="A5489" s="19"/>
      <c r="B5489" s="36"/>
    </row>
    <row r="5490" spans="1:2" x14ac:dyDescent="0.3">
      <c r="A5490" s="19"/>
      <c r="B5490" s="36"/>
    </row>
    <row r="5491" spans="1:2" x14ac:dyDescent="0.3">
      <c r="A5491" s="19"/>
      <c r="B5491" s="36"/>
    </row>
    <row r="5492" spans="1:2" x14ac:dyDescent="0.3">
      <c r="A5492" s="19"/>
      <c r="B5492" s="36"/>
    </row>
    <row r="5493" spans="1:2" x14ac:dyDescent="0.3">
      <c r="A5493" s="19"/>
      <c r="B5493" s="36"/>
    </row>
    <row r="5494" spans="1:2" x14ac:dyDescent="0.3">
      <c r="A5494" s="19"/>
      <c r="B5494" s="36"/>
    </row>
    <row r="5495" spans="1:2" x14ac:dyDescent="0.3">
      <c r="A5495" s="19"/>
      <c r="B5495" s="36"/>
    </row>
    <row r="5496" spans="1:2" x14ac:dyDescent="0.3">
      <c r="A5496" s="19"/>
      <c r="B5496" s="36"/>
    </row>
    <row r="5497" spans="1:2" x14ac:dyDescent="0.3">
      <c r="A5497" s="19"/>
      <c r="B5497" s="36"/>
    </row>
    <row r="5498" spans="1:2" x14ac:dyDescent="0.3">
      <c r="A5498" s="19"/>
      <c r="B5498" s="36"/>
    </row>
    <row r="5499" spans="1:2" x14ac:dyDescent="0.3">
      <c r="A5499" s="19"/>
      <c r="B5499" s="36"/>
    </row>
    <row r="5500" spans="1:2" x14ac:dyDescent="0.3">
      <c r="A5500" s="19"/>
      <c r="B5500" s="36"/>
    </row>
    <row r="5501" spans="1:2" x14ac:dyDescent="0.3">
      <c r="A5501" s="19"/>
      <c r="B5501" s="36"/>
    </row>
    <row r="5502" spans="1:2" x14ac:dyDescent="0.3">
      <c r="A5502" s="19"/>
      <c r="B5502" s="36"/>
    </row>
    <row r="5503" spans="1:2" x14ac:dyDescent="0.3">
      <c r="A5503" s="19"/>
      <c r="B5503" s="36"/>
    </row>
    <row r="5504" spans="1:2" x14ac:dyDescent="0.3">
      <c r="A5504" s="19"/>
      <c r="B5504" s="36"/>
    </row>
    <row r="5505" spans="1:2" x14ac:dyDescent="0.3">
      <c r="A5505" s="19"/>
      <c r="B5505" s="36"/>
    </row>
    <row r="5506" spans="1:2" x14ac:dyDescent="0.3">
      <c r="A5506" s="19"/>
      <c r="B5506" s="36"/>
    </row>
    <row r="5507" spans="1:2" x14ac:dyDescent="0.3">
      <c r="A5507" s="19"/>
      <c r="B5507" s="36"/>
    </row>
    <row r="5508" spans="1:2" x14ac:dyDescent="0.3">
      <c r="A5508" s="19"/>
      <c r="B5508" s="36"/>
    </row>
    <row r="5509" spans="1:2" x14ac:dyDescent="0.3">
      <c r="A5509" s="19"/>
      <c r="B5509" s="36"/>
    </row>
    <row r="5510" spans="1:2" x14ac:dyDescent="0.3">
      <c r="A5510" s="19"/>
      <c r="B5510" s="36"/>
    </row>
    <row r="5511" spans="1:2" x14ac:dyDescent="0.3">
      <c r="A5511" s="19"/>
      <c r="B5511" s="36"/>
    </row>
    <row r="5512" spans="1:2" x14ac:dyDescent="0.3">
      <c r="A5512" s="19"/>
      <c r="B5512" s="36"/>
    </row>
    <row r="5513" spans="1:2" x14ac:dyDescent="0.3">
      <c r="A5513" s="19"/>
      <c r="B5513" s="36"/>
    </row>
    <row r="5514" spans="1:2" x14ac:dyDescent="0.3">
      <c r="A5514" s="19"/>
      <c r="B5514" s="36"/>
    </row>
    <row r="5515" spans="1:2" x14ac:dyDescent="0.3">
      <c r="A5515" s="19"/>
      <c r="B5515" s="36"/>
    </row>
    <row r="5516" spans="1:2" x14ac:dyDescent="0.3">
      <c r="A5516" s="19"/>
      <c r="B5516" s="36"/>
    </row>
    <row r="5517" spans="1:2" x14ac:dyDescent="0.3">
      <c r="A5517" s="19"/>
      <c r="B5517" s="36"/>
    </row>
    <row r="5518" spans="1:2" x14ac:dyDescent="0.3">
      <c r="A5518" s="19"/>
      <c r="B5518" s="36"/>
    </row>
    <row r="5519" spans="1:2" x14ac:dyDescent="0.3">
      <c r="A5519" s="19"/>
      <c r="B5519" s="36"/>
    </row>
    <row r="5520" spans="1:2" x14ac:dyDescent="0.3">
      <c r="A5520" s="19"/>
      <c r="B5520" s="36"/>
    </row>
    <row r="5521" spans="1:2" x14ac:dyDescent="0.3">
      <c r="A5521" s="19"/>
      <c r="B5521" s="36"/>
    </row>
    <row r="5522" spans="1:2" x14ac:dyDescent="0.3">
      <c r="A5522" s="19"/>
      <c r="B5522" s="36"/>
    </row>
    <row r="5523" spans="1:2" x14ac:dyDescent="0.3">
      <c r="A5523" s="19"/>
      <c r="B5523" s="36"/>
    </row>
    <row r="5524" spans="1:2" x14ac:dyDescent="0.3">
      <c r="A5524" s="19"/>
      <c r="B5524" s="36"/>
    </row>
    <row r="5525" spans="1:2" x14ac:dyDescent="0.3">
      <c r="A5525" s="19"/>
      <c r="B5525" s="36"/>
    </row>
    <row r="5526" spans="1:2" x14ac:dyDescent="0.3">
      <c r="A5526" s="19"/>
      <c r="B5526" s="36"/>
    </row>
    <row r="5527" spans="1:2" x14ac:dyDescent="0.3">
      <c r="A5527" s="19"/>
      <c r="B5527" s="36"/>
    </row>
    <row r="5528" spans="1:2" x14ac:dyDescent="0.3">
      <c r="A5528" s="19"/>
      <c r="B5528" s="36"/>
    </row>
    <row r="5529" spans="1:2" x14ac:dyDescent="0.3">
      <c r="A5529" s="19"/>
      <c r="B5529" s="36"/>
    </row>
    <row r="5530" spans="1:2" x14ac:dyDescent="0.3">
      <c r="A5530" s="19"/>
      <c r="B5530" s="36"/>
    </row>
    <row r="5531" spans="1:2" x14ac:dyDescent="0.3">
      <c r="A5531" s="19"/>
      <c r="B5531" s="36"/>
    </row>
    <row r="5532" spans="1:2" x14ac:dyDescent="0.3">
      <c r="A5532" s="19"/>
      <c r="B5532" s="36"/>
    </row>
    <row r="5533" spans="1:2" x14ac:dyDescent="0.3">
      <c r="A5533" s="19"/>
      <c r="B5533" s="36"/>
    </row>
    <row r="5534" spans="1:2" x14ac:dyDescent="0.3">
      <c r="A5534" s="19"/>
      <c r="B5534" s="36"/>
    </row>
    <row r="5535" spans="1:2" x14ac:dyDescent="0.3">
      <c r="A5535" s="19"/>
      <c r="B5535" s="36"/>
    </row>
    <row r="5536" spans="1:2" x14ac:dyDescent="0.3">
      <c r="A5536" s="19"/>
      <c r="B5536" s="36"/>
    </row>
    <row r="5537" spans="1:2" x14ac:dyDescent="0.3">
      <c r="A5537" s="19"/>
      <c r="B5537" s="36"/>
    </row>
    <row r="5538" spans="1:2" x14ac:dyDescent="0.3">
      <c r="A5538" s="19"/>
      <c r="B5538" s="36"/>
    </row>
    <row r="5539" spans="1:2" x14ac:dyDescent="0.3">
      <c r="A5539" s="19"/>
      <c r="B5539" s="36"/>
    </row>
    <row r="5540" spans="1:2" x14ac:dyDescent="0.3">
      <c r="A5540" s="19"/>
      <c r="B5540" s="36"/>
    </row>
    <row r="5541" spans="1:2" x14ac:dyDescent="0.3">
      <c r="A5541" s="19"/>
      <c r="B5541" s="36"/>
    </row>
    <row r="5542" spans="1:2" x14ac:dyDescent="0.3">
      <c r="A5542" s="19"/>
      <c r="B5542" s="36"/>
    </row>
    <row r="5543" spans="1:2" x14ac:dyDescent="0.3">
      <c r="A5543" s="19"/>
      <c r="B5543" s="36"/>
    </row>
    <row r="5544" spans="1:2" x14ac:dyDescent="0.3">
      <c r="A5544" s="19"/>
      <c r="B5544" s="36"/>
    </row>
    <row r="5545" spans="1:2" x14ac:dyDescent="0.3">
      <c r="A5545" s="19"/>
      <c r="B5545" s="36"/>
    </row>
    <row r="5546" spans="1:2" x14ac:dyDescent="0.3">
      <c r="A5546" s="19"/>
      <c r="B5546" s="36"/>
    </row>
    <row r="5547" spans="1:2" x14ac:dyDescent="0.3">
      <c r="A5547" s="19"/>
      <c r="B5547" s="36"/>
    </row>
    <row r="5548" spans="1:2" x14ac:dyDescent="0.3">
      <c r="A5548" s="19"/>
      <c r="B5548" s="36"/>
    </row>
    <row r="5549" spans="1:2" x14ac:dyDescent="0.3">
      <c r="A5549" s="19"/>
      <c r="B5549" s="36"/>
    </row>
    <row r="5550" spans="1:2" x14ac:dyDescent="0.3">
      <c r="A5550" s="19"/>
      <c r="B5550" s="36"/>
    </row>
    <row r="5551" spans="1:2" x14ac:dyDescent="0.3">
      <c r="A5551" s="19"/>
      <c r="B5551" s="36"/>
    </row>
    <row r="5552" spans="1:2" x14ac:dyDescent="0.3">
      <c r="A5552" s="19"/>
      <c r="B5552" s="36"/>
    </row>
    <row r="5553" spans="1:2" x14ac:dyDescent="0.3">
      <c r="A5553" s="19"/>
      <c r="B5553" s="36"/>
    </row>
    <row r="5554" spans="1:2" x14ac:dyDescent="0.3">
      <c r="A5554" s="19"/>
      <c r="B5554" s="36"/>
    </row>
    <row r="5555" spans="1:2" x14ac:dyDescent="0.3">
      <c r="A5555" s="19"/>
      <c r="B5555" s="36"/>
    </row>
    <row r="5556" spans="1:2" x14ac:dyDescent="0.3">
      <c r="A5556" s="19"/>
      <c r="B5556" s="36"/>
    </row>
    <row r="5557" spans="1:2" x14ac:dyDescent="0.3">
      <c r="A5557" s="19"/>
      <c r="B5557" s="36"/>
    </row>
    <row r="5558" spans="1:2" x14ac:dyDescent="0.3">
      <c r="A5558" s="19"/>
      <c r="B5558" s="36"/>
    </row>
    <row r="5559" spans="1:2" x14ac:dyDescent="0.3">
      <c r="A5559" s="19"/>
      <c r="B5559" s="36"/>
    </row>
    <row r="5560" spans="1:2" x14ac:dyDescent="0.3">
      <c r="A5560" s="19"/>
      <c r="B5560" s="36"/>
    </row>
    <row r="5561" spans="1:2" x14ac:dyDescent="0.3">
      <c r="A5561" s="19"/>
      <c r="B5561" s="36"/>
    </row>
    <row r="5562" spans="1:2" x14ac:dyDescent="0.3">
      <c r="A5562" s="19"/>
      <c r="B5562" s="36"/>
    </row>
    <row r="5563" spans="1:2" x14ac:dyDescent="0.3">
      <c r="A5563" s="19"/>
      <c r="B5563" s="36"/>
    </row>
    <row r="5564" spans="1:2" x14ac:dyDescent="0.3">
      <c r="A5564" s="19"/>
      <c r="B5564" s="36"/>
    </row>
    <row r="5565" spans="1:2" x14ac:dyDescent="0.3">
      <c r="A5565" s="19"/>
      <c r="B5565" s="36"/>
    </row>
    <row r="5566" spans="1:2" x14ac:dyDescent="0.3">
      <c r="A5566" s="19"/>
      <c r="B5566" s="36"/>
    </row>
    <row r="5567" spans="1:2" x14ac:dyDescent="0.3">
      <c r="A5567" s="19"/>
      <c r="B5567" s="36"/>
    </row>
    <row r="5568" spans="1:2" x14ac:dyDescent="0.3">
      <c r="A5568" s="19"/>
      <c r="B5568" s="36"/>
    </row>
    <row r="5569" spans="1:2" x14ac:dyDescent="0.3">
      <c r="A5569" s="19"/>
      <c r="B5569" s="36"/>
    </row>
    <row r="5570" spans="1:2" x14ac:dyDescent="0.3">
      <c r="A5570" s="19"/>
      <c r="B5570" s="36"/>
    </row>
    <row r="5571" spans="1:2" x14ac:dyDescent="0.3">
      <c r="A5571" s="19"/>
      <c r="B5571" s="36"/>
    </row>
    <row r="5572" spans="1:2" x14ac:dyDescent="0.3">
      <c r="A5572" s="19"/>
      <c r="B5572" s="36"/>
    </row>
    <row r="5573" spans="1:2" x14ac:dyDescent="0.3">
      <c r="A5573" s="19"/>
      <c r="B5573" s="36"/>
    </row>
    <row r="5574" spans="1:2" x14ac:dyDescent="0.3">
      <c r="A5574" s="19"/>
      <c r="B5574" s="36"/>
    </row>
    <row r="5575" spans="1:2" x14ac:dyDescent="0.3">
      <c r="A5575" s="19"/>
      <c r="B5575" s="36"/>
    </row>
    <row r="5576" spans="1:2" x14ac:dyDescent="0.3">
      <c r="A5576" s="19"/>
      <c r="B5576" s="36"/>
    </row>
    <row r="5577" spans="1:2" x14ac:dyDescent="0.3">
      <c r="A5577" s="19"/>
      <c r="B5577" s="36"/>
    </row>
    <row r="5578" spans="1:2" x14ac:dyDescent="0.3">
      <c r="A5578" s="19"/>
      <c r="B5578" s="36"/>
    </row>
    <row r="5579" spans="1:2" x14ac:dyDescent="0.3">
      <c r="A5579" s="19"/>
      <c r="B5579" s="36"/>
    </row>
    <row r="5580" spans="1:2" x14ac:dyDescent="0.3">
      <c r="A5580" s="19"/>
      <c r="B5580" s="36"/>
    </row>
    <row r="5581" spans="1:2" x14ac:dyDescent="0.3">
      <c r="A5581" s="19"/>
      <c r="B5581" s="36"/>
    </row>
    <row r="5582" spans="1:2" x14ac:dyDescent="0.3">
      <c r="A5582" s="19"/>
      <c r="B5582" s="36"/>
    </row>
    <row r="5583" spans="1:2" x14ac:dyDescent="0.3">
      <c r="A5583" s="19"/>
      <c r="B5583" s="36"/>
    </row>
    <row r="5584" spans="1:2" x14ac:dyDescent="0.3">
      <c r="A5584" s="19"/>
      <c r="B5584" s="36"/>
    </row>
    <row r="5585" spans="1:2" x14ac:dyDescent="0.3">
      <c r="A5585" s="19"/>
      <c r="B5585" s="36"/>
    </row>
    <row r="5586" spans="1:2" x14ac:dyDescent="0.3">
      <c r="A5586" s="19"/>
      <c r="B5586" s="36"/>
    </row>
    <row r="5587" spans="1:2" x14ac:dyDescent="0.3">
      <c r="A5587" s="19"/>
      <c r="B5587" s="36"/>
    </row>
    <row r="5588" spans="1:2" x14ac:dyDescent="0.3">
      <c r="A5588" s="19"/>
      <c r="B5588" s="36"/>
    </row>
    <row r="5589" spans="1:2" x14ac:dyDescent="0.3">
      <c r="A5589" s="19"/>
      <c r="B5589" s="36"/>
    </row>
    <row r="5590" spans="1:2" x14ac:dyDescent="0.3">
      <c r="A5590" s="19"/>
      <c r="B5590" s="36"/>
    </row>
    <row r="5591" spans="1:2" x14ac:dyDescent="0.3">
      <c r="A5591" s="19"/>
      <c r="B5591" s="36"/>
    </row>
    <row r="5592" spans="1:2" x14ac:dyDescent="0.3">
      <c r="A5592" s="19"/>
      <c r="B5592" s="36"/>
    </row>
    <row r="5593" spans="1:2" x14ac:dyDescent="0.3">
      <c r="A5593" s="19"/>
      <c r="B5593" s="36"/>
    </row>
    <row r="5594" spans="1:2" x14ac:dyDescent="0.3">
      <c r="A5594" s="19"/>
      <c r="B5594" s="36"/>
    </row>
    <row r="5595" spans="1:2" x14ac:dyDescent="0.3">
      <c r="A5595" s="19"/>
      <c r="B5595" s="36"/>
    </row>
    <row r="5596" spans="1:2" x14ac:dyDescent="0.3">
      <c r="A5596" s="19"/>
      <c r="B5596" s="36"/>
    </row>
    <row r="5597" spans="1:2" x14ac:dyDescent="0.3">
      <c r="A5597" s="19"/>
      <c r="B5597" s="36"/>
    </row>
    <row r="5598" spans="1:2" x14ac:dyDescent="0.3">
      <c r="A5598" s="19"/>
      <c r="B5598" s="36"/>
    </row>
    <row r="5599" spans="1:2" x14ac:dyDescent="0.3">
      <c r="A5599" s="19"/>
      <c r="B5599" s="36"/>
    </row>
    <row r="5600" spans="1:2" x14ac:dyDescent="0.3">
      <c r="A5600" s="19"/>
      <c r="B5600" s="36"/>
    </row>
    <row r="5601" spans="1:2" x14ac:dyDescent="0.3">
      <c r="A5601" s="19"/>
      <c r="B5601" s="36"/>
    </row>
    <row r="5602" spans="1:2" x14ac:dyDescent="0.3">
      <c r="A5602" s="19"/>
      <c r="B5602" s="36"/>
    </row>
    <row r="5603" spans="1:2" x14ac:dyDescent="0.3">
      <c r="A5603" s="19"/>
      <c r="B5603" s="36"/>
    </row>
    <row r="5604" spans="1:2" x14ac:dyDescent="0.3">
      <c r="A5604" s="19"/>
      <c r="B5604" s="36"/>
    </row>
    <row r="5605" spans="1:2" x14ac:dyDescent="0.3">
      <c r="A5605" s="19"/>
      <c r="B5605" s="36"/>
    </row>
    <row r="5606" spans="1:2" x14ac:dyDescent="0.3">
      <c r="A5606" s="19"/>
      <c r="B5606" s="36"/>
    </row>
    <row r="5607" spans="1:2" x14ac:dyDescent="0.3">
      <c r="A5607" s="19"/>
      <c r="B5607" s="36"/>
    </row>
    <row r="5608" spans="1:2" x14ac:dyDescent="0.3">
      <c r="A5608" s="19"/>
      <c r="B5608" s="36"/>
    </row>
    <row r="5609" spans="1:2" x14ac:dyDescent="0.3">
      <c r="A5609" s="19"/>
      <c r="B5609" s="36"/>
    </row>
    <row r="5610" spans="1:2" x14ac:dyDescent="0.3">
      <c r="A5610" s="19"/>
      <c r="B5610" s="36"/>
    </row>
    <row r="5611" spans="1:2" x14ac:dyDescent="0.3">
      <c r="A5611" s="19"/>
      <c r="B5611" s="36"/>
    </row>
    <row r="5612" spans="1:2" x14ac:dyDescent="0.3">
      <c r="A5612" s="19"/>
      <c r="B5612" s="36"/>
    </row>
    <row r="5613" spans="1:2" x14ac:dyDescent="0.3">
      <c r="A5613" s="19"/>
      <c r="B5613" s="36"/>
    </row>
    <row r="5614" spans="1:2" x14ac:dyDescent="0.3">
      <c r="A5614" s="19"/>
      <c r="B5614" s="36"/>
    </row>
    <row r="5615" spans="1:2" x14ac:dyDescent="0.3">
      <c r="A5615" s="19"/>
      <c r="B5615" s="36"/>
    </row>
    <row r="5616" spans="1:2" x14ac:dyDescent="0.3">
      <c r="A5616" s="19"/>
      <c r="B5616" s="36"/>
    </row>
    <row r="5617" spans="1:2" x14ac:dyDescent="0.3">
      <c r="A5617" s="19"/>
      <c r="B5617" s="36"/>
    </row>
    <row r="5618" spans="1:2" x14ac:dyDescent="0.3">
      <c r="A5618" s="19"/>
      <c r="B5618" s="36"/>
    </row>
    <row r="5619" spans="1:2" x14ac:dyDescent="0.3">
      <c r="A5619" s="19"/>
      <c r="B5619" s="36"/>
    </row>
    <row r="5620" spans="1:2" x14ac:dyDescent="0.3">
      <c r="A5620" s="19"/>
      <c r="B5620" s="36"/>
    </row>
    <row r="5621" spans="1:2" x14ac:dyDescent="0.3">
      <c r="A5621" s="19"/>
      <c r="B5621" s="36"/>
    </row>
    <row r="5622" spans="1:2" x14ac:dyDescent="0.3">
      <c r="A5622" s="19"/>
      <c r="B5622" s="36"/>
    </row>
    <row r="5623" spans="1:2" x14ac:dyDescent="0.3">
      <c r="A5623" s="19"/>
      <c r="B5623" s="36"/>
    </row>
    <row r="5624" spans="1:2" x14ac:dyDescent="0.3">
      <c r="A5624" s="19"/>
      <c r="B5624" s="36"/>
    </row>
    <row r="5625" spans="1:2" x14ac:dyDescent="0.3">
      <c r="A5625" s="19"/>
      <c r="B5625" s="36"/>
    </row>
    <row r="5626" spans="1:2" x14ac:dyDescent="0.3">
      <c r="A5626" s="19"/>
      <c r="B5626" s="36"/>
    </row>
    <row r="5627" spans="1:2" x14ac:dyDescent="0.3">
      <c r="A5627" s="19"/>
      <c r="B5627" s="36"/>
    </row>
    <row r="5628" spans="1:2" x14ac:dyDescent="0.3">
      <c r="A5628" s="19"/>
      <c r="B5628" s="36"/>
    </row>
    <row r="5629" spans="1:2" x14ac:dyDescent="0.3">
      <c r="A5629" s="19"/>
      <c r="B5629" s="36"/>
    </row>
    <row r="5630" spans="1:2" x14ac:dyDescent="0.3">
      <c r="A5630" s="19"/>
      <c r="B5630" s="36"/>
    </row>
    <row r="5631" spans="1:2" x14ac:dyDescent="0.3">
      <c r="A5631" s="19"/>
      <c r="B5631" s="36"/>
    </row>
    <row r="5632" spans="1:2" x14ac:dyDescent="0.3">
      <c r="A5632" s="19"/>
      <c r="B5632" s="36"/>
    </row>
    <row r="5633" spans="1:2" x14ac:dyDescent="0.3">
      <c r="A5633" s="19"/>
      <c r="B5633" s="36"/>
    </row>
    <row r="5634" spans="1:2" x14ac:dyDescent="0.3">
      <c r="A5634" s="19"/>
      <c r="B5634" s="36"/>
    </row>
    <row r="5635" spans="1:2" x14ac:dyDescent="0.3">
      <c r="A5635" s="19"/>
      <c r="B5635" s="36"/>
    </row>
    <row r="5636" spans="1:2" x14ac:dyDescent="0.3">
      <c r="A5636" s="19"/>
      <c r="B5636" s="36"/>
    </row>
    <row r="5637" spans="1:2" x14ac:dyDescent="0.3">
      <c r="A5637" s="19"/>
      <c r="B5637" s="36"/>
    </row>
    <row r="5638" spans="1:2" x14ac:dyDescent="0.3">
      <c r="A5638" s="19"/>
      <c r="B5638" s="36"/>
    </row>
    <row r="5639" spans="1:2" x14ac:dyDescent="0.3">
      <c r="A5639" s="19"/>
      <c r="B5639" s="36"/>
    </row>
    <row r="5640" spans="1:2" x14ac:dyDescent="0.3">
      <c r="A5640" s="19"/>
      <c r="B5640" s="36"/>
    </row>
    <row r="5641" spans="1:2" x14ac:dyDescent="0.3">
      <c r="A5641" s="19"/>
      <c r="B5641" s="36"/>
    </row>
    <row r="5642" spans="1:2" x14ac:dyDescent="0.3">
      <c r="A5642" s="19"/>
      <c r="B5642" s="36"/>
    </row>
    <row r="5643" spans="1:2" x14ac:dyDescent="0.3">
      <c r="A5643" s="19"/>
      <c r="B5643" s="36"/>
    </row>
    <row r="5644" spans="1:2" x14ac:dyDescent="0.3">
      <c r="A5644" s="19"/>
      <c r="B5644" s="36"/>
    </row>
    <row r="5645" spans="1:2" x14ac:dyDescent="0.3">
      <c r="A5645" s="19"/>
      <c r="B5645" s="36"/>
    </row>
    <row r="5646" spans="1:2" x14ac:dyDescent="0.3">
      <c r="A5646" s="19"/>
      <c r="B5646" s="36"/>
    </row>
    <row r="5647" spans="1:2" x14ac:dyDescent="0.3">
      <c r="A5647" s="19"/>
      <c r="B5647" s="36"/>
    </row>
    <row r="5648" spans="1:2" x14ac:dyDescent="0.3">
      <c r="A5648" s="19"/>
      <c r="B5648" s="36"/>
    </row>
    <row r="5649" spans="1:2" x14ac:dyDescent="0.3">
      <c r="A5649" s="19"/>
      <c r="B5649" s="36"/>
    </row>
    <row r="5650" spans="1:2" x14ac:dyDescent="0.3">
      <c r="A5650" s="19"/>
      <c r="B5650" s="36"/>
    </row>
    <row r="5651" spans="1:2" x14ac:dyDescent="0.3">
      <c r="A5651" s="19"/>
      <c r="B5651" s="36"/>
    </row>
    <row r="5652" spans="1:2" x14ac:dyDescent="0.3">
      <c r="A5652" s="19"/>
      <c r="B5652" s="36"/>
    </row>
    <row r="5653" spans="1:2" x14ac:dyDescent="0.3">
      <c r="A5653" s="19"/>
      <c r="B5653" s="36"/>
    </row>
    <row r="5654" spans="1:2" x14ac:dyDescent="0.3">
      <c r="A5654" s="19"/>
      <c r="B5654" s="36"/>
    </row>
    <row r="5655" spans="1:2" x14ac:dyDescent="0.3">
      <c r="A5655" s="19"/>
      <c r="B5655" s="36"/>
    </row>
    <row r="5656" spans="1:2" x14ac:dyDescent="0.3">
      <c r="A5656" s="19"/>
      <c r="B5656" s="36"/>
    </row>
    <row r="5657" spans="1:2" x14ac:dyDescent="0.3">
      <c r="A5657" s="19"/>
      <c r="B5657" s="36"/>
    </row>
    <row r="5658" spans="1:2" x14ac:dyDescent="0.3">
      <c r="A5658" s="19"/>
      <c r="B5658" s="36"/>
    </row>
    <row r="5659" spans="1:2" x14ac:dyDescent="0.3">
      <c r="A5659" s="19"/>
      <c r="B5659" s="36"/>
    </row>
    <row r="5660" spans="1:2" x14ac:dyDescent="0.3">
      <c r="A5660" s="19"/>
      <c r="B5660" s="36"/>
    </row>
    <row r="5661" spans="1:2" x14ac:dyDescent="0.3">
      <c r="A5661" s="19"/>
      <c r="B5661" s="36"/>
    </row>
    <row r="5662" spans="1:2" x14ac:dyDescent="0.3">
      <c r="A5662" s="19"/>
      <c r="B5662" s="36"/>
    </row>
    <row r="5663" spans="1:2" x14ac:dyDescent="0.3">
      <c r="A5663" s="19"/>
      <c r="B5663" s="36"/>
    </row>
    <row r="5664" spans="1:2" x14ac:dyDescent="0.3">
      <c r="A5664" s="19"/>
      <c r="B5664" s="36"/>
    </row>
    <row r="5665" spans="1:2" x14ac:dyDescent="0.3">
      <c r="A5665" s="19"/>
      <c r="B5665" s="36"/>
    </row>
    <row r="5666" spans="1:2" x14ac:dyDescent="0.3">
      <c r="A5666" s="19"/>
      <c r="B5666" s="36"/>
    </row>
    <row r="5667" spans="1:2" x14ac:dyDescent="0.3">
      <c r="A5667" s="19"/>
      <c r="B5667" s="36"/>
    </row>
    <row r="5668" spans="1:2" x14ac:dyDescent="0.3">
      <c r="A5668" s="19"/>
      <c r="B5668" s="36"/>
    </row>
    <row r="5669" spans="1:2" x14ac:dyDescent="0.3">
      <c r="A5669" s="19"/>
      <c r="B5669" s="36"/>
    </row>
    <row r="5670" spans="1:2" x14ac:dyDescent="0.3">
      <c r="A5670" s="19"/>
      <c r="B5670" s="36"/>
    </row>
    <row r="5671" spans="1:2" x14ac:dyDescent="0.3">
      <c r="A5671" s="19"/>
      <c r="B5671" s="36"/>
    </row>
    <row r="5672" spans="1:2" x14ac:dyDescent="0.3">
      <c r="A5672" s="19"/>
      <c r="B5672" s="36"/>
    </row>
    <row r="5673" spans="1:2" x14ac:dyDescent="0.3">
      <c r="A5673" s="19"/>
      <c r="B5673" s="36"/>
    </row>
    <row r="5674" spans="1:2" x14ac:dyDescent="0.3">
      <c r="A5674" s="19"/>
      <c r="B5674" s="36"/>
    </row>
    <row r="5675" spans="1:2" x14ac:dyDescent="0.3">
      <c r="A5675" s="19"/>
      <c r="B5675" s="36"/>
    </row>
    <row r="5676" spans="1:2" x14ac:dyDescent="0.3">
      <c r="A5676" s="19"/>
      <c r="B5676" s="36"/>
    </row>
    <row r="5677" spans="1:2" x14ac:dyDescent="0.3">
      <c r="A5677" s="19"/>
      <c r="B5677" s="36"/>
    </row>
    <row r="5678" spans="1:2" x14ac:dyDescent="0.3">
      <c r="A5678" s="19"/>
      <c r="B5678" s="36"/>
    </row>
    <row r="5679" spans="1:2" x14ac:dyDescent="0.3">
      <c r="A5679" s="19"/>
      <c r="B5679" s="36"/>
    </row>
    <row r="5680" spans="1:2" x14ac:dyDescent="0.3">
      <c r="A5680" s="19"/>
      <c r="B5680" s="36"/>
    </row>
    <row r="5681" spans="1:2" x14ac:dyDescent="0.3">
      <c r="A5681" s="19"/>
      <c r="B5681" s="36"/>
    </row>
    <row r="5682" spans="1:2" x14ac:dyDescent="0.3">
      <c r="A5682" s="19"/>
      <c r="B5682" s="36"/>
    </row>
    <row r="5683" spans="1:2" x14ac:dyDescent="0.3">
      <c r="A5683" s="19"/>
      <c r="B5683" s="36"/>
    </row>
    <row r="5684" spans="1:2" x14ac:dyDescent="0.3">
      <c r="A5684" s="19"/>
      <c r="B5684" s="36"/>
    </row>
    <row r="5685" spans="1:2" x14ac:dyDescent="0.3">
      <c r="A5685" s="19"/>
      <c r="B5685" s="36"/>
    </row>
    <row r="5686" spans="1:2" x14ac:dyDescent="0.3">
      <c r="A5686" s="19"/>
      <c r="B5686" s="36"/>
    </row>
    <row r="5687" spans="1:2" x14ac:dyDescent="0.3">
      <c r="A5687" s="19"/>
      <c r="B5687" s="36"/>
    </row>
    <row r="5688" spans="1:2" x14ac:dyDescent="0.3">
      <c r="A5688" s="19"/>
      <c r="B5688" s="36"/>
    </row>
    <row r="5689" spans="1:2" x14ac:dyDescent="0.3">
      <c r="A5689" s="19"/>
      <c r="B5689" s="36"/>
    </row>
    <row r="5690" spans="1:2" x14ac:dyDescent="0.3">
      <c r="A5690" s="19"/>
      <c r="B5690" s="36"/>
    </row>
    <row r="5691" spans="1:2" x14ac:dyDescent="0.3">
      <c r="A5691" s="19"/>
      <c r="B5691" s="36"/>
    </row>
    <row r="5692" spans="1:2" x14ac:dyDescent="0.3">
      <c r="A5692" s="19"/>
      <c r="B5692" s="36"/>
    </row>
    <row r="5693" spans="1:2" x14ac:dyDescent="0.3">
      <c r="A5693" s="19"/>
      <c r="B5693" s="36"/>
    </row>
    <row r="5694" spans="1:2" x14ac:dyDescent="0.3">
      <c r="A5694" s="19"/>
      <c r="B5694" s="36"/>
    </row>
    <row r="5695" spans="1:2" x14ac:dyDescent="0.3">
      <c r="A5695" s="19"/>
      <c r="B5695" s="36"/>
    </row>
    <row r="5696" spans="1:2" x14ac:dyDescent="0.3">
      <c r="A5696" s="19"/>
      <c r="B5696" s="36"/>
    </row>
    <row r="5697" spans="1:2" x14ac:dyDescent="0.3">
      <c r="A5697" s="19"/>
      <c r="B5697" s="36"/>
    </row>
    <row r="5698" spans="1:2" x14ac:dyDescent="0.3">
      <c r="A5698" s="19"/>
      <c r="B5698" s="36"/>
    </row>
    <row r="5699" spans="1:2" x14ac:dyDescent="0.3">
      <c r="A5699" s="19"/>
      <c r="B5699" s="36"/>
    </row>
    <row r="5700" spans="1:2" x14ac:dyDescent="0.3">
      <c r="A5700" s="19"/>
      <c r="B5700" s="36"/>
    </row>
    <row r="5701" spans="1:2" x14ac:dyDescent="0.3">
      <c r="A5701" s="19"/>
      <c r="B5701" s="36"/>
    </row>
    <row r="5702" spans="1:2" x14ac:dyDescent="0.3">
      <c r="A5702" s="19"/>
      <c r="B5702" s="36"/>
    </row>
    <row r="5703" spans="1:2" x14ac:dyDescent="0.3">
      <c r="A5703" s="19"/>
      <c r="B5703" s="36"/>
    </row>
    <row r="5704" spans="1:2" x14ac:dyDescent="0.3">
      <c r="A5704" s="19"/>
      <c r="B5704" s="36"/>
    </row>
    <row r="5705" spans="1:2" x14ac:dyDescent="0.3">
      <c r="A5705" s="19"/>
      <c r="B5705" s="36"/>
    </row>
    <row r="5706" spans="1:2" x14ac:dyDescent="0.3">
      <c r="A5706" s="19"/>
      <c r="B5706" s="36"/>
    </row>
    <row r="5707" spans="1:2" x14ac:dyDescent="0.3">
      <c r="A5707" s="19"/>
      <c r="B5707" s="36"/>
    </row>
    <row r="5708" spans="1:2" x14ac:dyDescent="0.3">
      <c r="A5708" s="19"/>
      <c r="B5708" s="36"/>
    </row>
    <row r="5709" spans="1:2" x14ac:dyDescent="0.3">
      <c r="A5709" s="19"/>
      <c r="B5709" s="36"/>
    </row>
    <row r="5710" spans="1:2" x14ac:dyDescent="0.3">
      <c r="A5710" s="19"/>
      <c r="B5710" s="36"/>
    </row>
    <row r="5711" spans="1:2" x14ac:dyDescent="0.3">
      <c r="A5711" s="19"/>
      <c r="B5711" s="36"/>
    </row>
    <row r="5712" spans="1:2" x14ac:dyDescent="0.3">
      <c r="A5712" s="19"/>
      <c r="B5712" s="36"/>
    </row>
    <row r="5713" spans="1:2" x14ac:dyDescent="0.3">
      <c r="A5713" s="19"/>
      <c r="B5713" s="36"/>
    </row>
    <row r="5714" spans="1:2" x14ac:dyDescent="0.3">
      <c r="A5714" s="19"/>
      <c r="B5714" s="36"/>
    </row>
    <row r="5715" spans="1:2" x14ac:dyDescent="0.3">
      <c r="A5715" s="19"/>
      <c r="B5715" s="36"/>
    </row>
    <row r="5716" spans="1:2" x14ac:dyDescent="0.3">
      <c r="A5716" s="19"/>
      <c r="B5716" s="36"/>
    </row>
    <row r="5717" spans="1:2" x14ac:dyDescent="0.3">
      <c r="A5717" s="19"/>
      <c r="B5717" s="36"/>
    </row>
    <row r="5718" spans="1:2" x14ac:dyDescent="0.3">
      <c r="A5718" s="19"/>
      <c r="B5718" s="36"/>
    </row>
    <row r="5719" spans="1:2" x14ac:dyDescent="0.3">
      <c r="A5719" s="19"/>
      <c r="B5719" s="36"/>
    </row>
    <row r="5720" spans="1:2" x14ac:dyDescent="0.3">
      <c r="A5720" s="19"/>
      <c r="B5720" s="36"/>
    </row>
    <row r="5721" spans="1:2" x14ac:dyDescent="0.3">
      <c r="A5721" s="19"/>
      <c r="B5721" s="36"/>
    </row>
    <row r="5722" spans="1:2" x14ac:dyDescent="0.3">
      <c r="A5722" s="19"/>
      <c r="B5722" s="36"/>
    </row>
    <row r="5723" spans="1:2" x14ac:dyDescent="0.3">
      <c r="A5723" s="19"/>
      <c r="B5723" s="36"/>
    </row>
    <row r="5724" spans="1:2" x14ac:dyDescent="0.3">
      <c r="A5724" s="19"/>
      <c r="B5724" s="36"/>
    </row>
    <row r="5725" spans="1:2" x14ac:dyDescent="0.3">
      <c r="A5725" s="19"/>
      <c r="B5725" s="36"/>
    </row>
    <row r="5726" spans="1:2" x14ac:dyDescent="0.3">
      <c r="A5726" s="19"/>
      <c r="B5726" s="36"/>
    </row>
    <row r="5727" spans="1:2" x14ac:dyDescent="0.3">
      <c r="A5727" s="19"/>
      <c r="B5727" s="36"/>
    </row>
    <row r="5728" spans="1:2" x14ac:dyDescent="0.3">
      <c r="A5728" s="19"/>
      <c r="B5728" s="36"/>
    </row>
    <row r="5729" spans="1:2" x14ac:dyDescent="0.3">
      <c r="A5729" s="19"/>
      <c r="B5729" s="36"/>
    </row>
    <row r="5730" spans="1:2" x14ac:dyDescent="0.3">
      <c r="A5730" s="19"/>
      <c r="B5730" s="36"/>
    </row>
    <row r="5731" spans="1:2" x14ac:dyDescent="0.3">
      <c r="A5731" s="19"/>
      <c r="B5731" s="36"/>
    </row>
    <row r="5732" spans="1:2" x14ac:dyDescent="0.3">
      <c r="A5732" s="19"/>
      <c r="B5732" s="36"/>
    </row>
    <row r="5733" spans="1:2" x14ac:dyDescent="0.3">
      <c r="A5733" s="19"/>
      <c r="B5733" s="36"/>
    </row>
    <row r="5734" spans="1:2" x14ac:dyDescent="0.3">
      <c r="A5734" s="19"/>
      <c r="B5734" s="36"/>
    </row>
    <row r="5735" spans="1:2" x14ac:dyDescent="0.3">
      <c r="A5735" s="19"/>
      <c r="B5735" s="36"/>
    </row>
    <row r="5736" spans="1:2" x14ac:dyDescent="0.3">
      <c r="A5736" s="19"/>
      <c r="B5736" s="36"/>
    </row>
    <row r="5737" spans="1:2" x14ac:dyDescent="0.3">
      <c r="A5737" s="19"/>
      <c r="B5737" s="36"/>
    </row>
    <row r="5738" spans="1:2" x14ac:dyDescent="0.3">
      <c r="A5738" s="19"/>
      <c r="B5738" s="36"/>
    </row>
    <row r="5739" spans="1:2" x14ac:dyDescent="0.3">
      <c r="A5739" s="19"/>
      <c r="B5739" s="36"/>
    </row>
    <row r="5740" spans="1:2" x14ac:dyDescent="0.3">
      <c r="A5740" s="19"/>
      <c r="B5740" s="36"/>
    </row>
    <row r="5741" spans="1:2" x14ac:dyDescent="0.3">
      <c r="A5741" s="19"/>
      <c r="B5741" s="36"/>
    </row>
    <row r="5742" spans="1:2" x14ac:dyDescent="0.3">
      <c r="A5742" s="19"/>
      <c r="B5742" s="36"/>
    </row>
    <row r="5743" spans="1:2" x14ac:dyDescent="0.3">
      <c r="A5743" s="19"/>
      <c r="B5743" s="36"/>
    </row>
    <row r="5744" spans="1:2" x14ac:dyDescent="0.3">
      <c r="A5744" s="19"/>
      <c r="B5744" s="36"/>
    </row>
    <row r="5745" spans="1:2" x14ac:dyDescent="0.3">
      <c r="A5745" s="19"/>
      <c r="B5745" s="36"/>
    </row>
    <row r="5746" spans="1:2" x14ac:dyDescent="0.3">
      <c r="A5746" s="19"/>
      <c r="B5746" s="36"/>
    </row>
    <row r="5747" spans="1:2" x14ac:dyDescent="0.3">
      <c r="A5747" s="19"/>
      <c r="B5747" s="36"/>
    </row>
    <row r="5748" spans="1:2" x14ac:dyDescent="0.3">
      <c r="A5748" s="19"/>
      <c r="B5748" s="36"/>
    </row>
    <row r="5749" spans="1:2" x14ac:dyDescent="0.3">
      <c r="A5749" s="19"/>
      <c r="B5749" s="36"/>
    </row>
    <row r="5750" spans="1:2" x14ac:dyDescent="0.3">
      <c r="A5750" s="19"/>
      <c r="B5750" s="36"/>
    </row>
    <row r="5751" spans="1:2" x14ac:dyDescent="0.3">
      <c r="A5751" s="19"/>
      <c r="B5751" s="36"/>
    </row>
    <row r="5752" spans="1:2" x14ac:dyDescent="0.3">
      <c r="A5752" s="19"/>
      <c r="B5752" s="36"/>
    </row>
    <row r="5753" spans="1:2" x14ac:dyDescent="0.3">
      <c r="A5753" s="19"/>
      <c r="B5753" s="36"/>
    </row>
    <row r="5754" spans="1:2" x14ac:dyDescent="0.3">
      <c r="A5754" s="19"/>
      <c r="B5754" s="36"/>
    </row>
    <row r="5755" spans="1:2" x14ac:dyDescent="0.3">
      <c r="A5755" s="19"/>
      <c r="B5755" s="36"/>
    </row>
    <row r="5756" spans="1:2" x14ac:dyDescent="0.3">
      <c r="A5756" s="19"/>
      <c r="B5756" s="36"/>
    </row>
    <row r="5757" spans="1:2" x14ac:dyDescent="0.3">
      <c r="A5757" s="19"/>
      <c r="B5757" s="36"/>
    </row>
    <row r="5758" spans="1:2" x14ac:dyDescent="0.3">
      <c r="A5758" s="19"/>
      <c r="B5758" s="36"/>
    </row>
    <row r="5759" spans="1:2" x14ac:dyDescent="0.3">
      <c r="A5759" s="19"/>
      <c r="B5759" s="36"/>
    </row>
    <row r="5760" spans="1:2" x14ac:dyDescent="0.3">
      <c r="A5760" s="19"/>
      <c r="B5760" s="36"/>
    </row>
    <row r="5761" spans="1:2" x14ac:dyDescent="0.3">
      <c r="A5761" s="19"/>
      <c r="B5761" s="36"/>
    </row>
    <row r="5762" spans="1:2" x14ac:dyDescent="0.3">
      <c r="A5762" s="19"/>
      <c r="B5762" s="36"/>
    </row>
    <row r="5763" spans="1:2" x14ac:dyDescent="0.3">
      <c r="A5763" s="19"/>
      <c r="B5763" s="36"/>
    </row>
    <row r="5764" spans="1:2" x14ac:dyDescent="0.3">
      <c r="A5764" s="19"/>
      <c r="B5764" s="36"/>
    </row>
    <row r="5765" spans="1:2" x14ac:dyDescent="0.3">
      <c r="A5765" s="19"/>
      <c r="B5765" s="36"/>
    </row>
    <row r="5766" spans="1:2" x14ac:dyDescent="0.3">
      <c r="A5766" s="19"/>
      <c r="B5766" s="36"/>
    </row>
    <row r="5767" spans="1:2" x14ac:dyDescent="0.3">
      <c r="A5767" s="19"/>
      <c r="B5767" s="36"/>
    </row>
    <row r="5768" spans="1:2" x14ac:dyDescent="0.3">
      <c r="A5768" s="19"/>
      <c r="B5768" s="36"/>
    </row>
    <row r="5769" spans="1:2" x14ac:dyDescent="0.3">
      <c r="A5769" s="19"/>
      <c r="B5769" s="36"/>
    </row>
    <row r="5770" spans="1:2" x14ac:dyDescent="0.3">
      <c r="A5770" s="19"/>
      <c r="B5770" s="36"/>
    </row>
    <row r="5771" spans="1:2" x14ac:dyDescent="0.3">
      <c r="A5771" s="19"/>
      <c r="B5771" s="36"/>
    </row>
    <row r="5772" spans="1:2" x14ac:dyDescent="0.3">
      <c r="A5772" s="19"/>
      <c r="B5772" s="36"/>
    </row>
    <row r="5773" spans="1:2" x14ac:dyDescent="0.3">
      <c r="A5773" s="19"/>
      <c r="B5773" s="36"/>
    </row>
    <row r="5774" spans="1:2" x14ac:dyDescent="0.3">
      <c r="A5774" s="19"/>
      <c r="B5774" s="36"/>
    </row>
    <row r="5775" spans="1:2" x14ac:dyDescent="0.3">
      <c r="A5775" s="19"/>
      <c r="B5775" s="36"/>
    </row>
    <row r="5776" spans="1:2" x14ac:dyDescent="0.3">
      <c r="A5776" s="19"/>
      <c r="B5776" s="36"/>
    </row>
    <row r="5777" spans="1:2" x14ac:dyDescent="0.3">
      <c r="A5777" s="19"/>
      <c r="B5777" s="36"/>
    </row>
    <row r="5778" spans="1:2" x14ac:dyDescent="0.3">
      <c r="A5778" s="19"/>
      <c r="B5778" s="36"/>
    </row>
    <row r="5779" spans="1:2" x14ac:dyDescent="0.3">
      <c r="A5779" s="19"/>
      <c r="B5779" s="36"/>
    </row>
    <row r="5780" spans="1:2" x14ac:dyDescent="0.3">
      <c r="A5780" s="19"/>
      <c r="B5780" s="36"/>
    </row>
    <row r="5781" spans="1:2" x14ac:dyDescent="0.3">
      <c r="A5781" s="19"/>
      <c r="B5781" s="36"/>
    </row>
    <row r="5782" spans="1:2" x14ac:dyDescent="0.3">
      <c r="A5782" s="19"/>
      <c r="B5782" s="36"/>
    </row>
    <row r="5783" spans="1:2" x14ac:dyDescent="0.3">
      <c r="A5783" s="19"/>
      <c r="B5783" s="36"/>
    </row>
    <row r="5784" spans="1:2" x14ac:dyDescent="0.3">
      <c r="A5784" s="19"/>
      <c r="B5784" s="36"/>
    </row>
    <row r="5785" spans="1:2" x14ac:dyDescent="0.3">
      <c r="A5785" s="19"/>
      <c r="B5785" s="36"/>
    </row>
    <row r="5786" spans="1:2" x14ac:dyDescent="0.3">
      <c r="A5786" s="19"/>
      <c r="B5786" s="36"/>
    </row>
    <row r="5787" spans="1:2" x14ac:dyDescent="0.3">
      <c r="A5787" s="19"/>
      <c r="B5787" s="36"/>
    </row>
    <row r="5788" spans="1:2" x14ac:dyDescent="0.3">
      <c r="A5788" s="19"/>
      <c r="B5788" s="36"/>
    </row>
    <row r="5789" spans="1:2" x14ac:dyDescent="0.3">
      <c r="A5789" s="19"/>
      <c r="B5789" s="36"/>
    </row>
    <row r="5790" spans="1:2" x14ac:dyDescent="0.3">
      <c r="A5790" s="19"/>
      <c r="B5790" s="36"/>
    </row>
    <row r="5791" spans="1:2" x14ac:dyDescent="0.3">
      <c r="A5791" s="19"/>
      <c r="B5791" s="36"/>
    </row>
    <row r="5792" spans="1:2" x14ac:dyDescent="0.3">
      <c r="A5792" s="19"/>
      <c r="B5792" s="36"/>
    </row>
    <row r="5793" spans="1:2" x14ac:dyDescent="0.3">
      <c r="A5793" s="19"/>
      <c r="B5793" s="36"/>
    </row>
    <row r="5794" spans="1:2" x14ac:dyDescent="0.3">
      <c r="A5794" s="19"/>
      <c r="B5794" s="36"/>
    </row>
    <row r="5795" spans="1:2" x14ac:dyDescent="0.3">
      <c r="A5795" s="19"/>
      <c r="B5795" s="36"/>
    </row>
    <row r="5796" spans="1:2" x14ac:dyDescent="0.3">
      <c r="A5796" s="19"/>
      <c r="B5796" s="36"/>
    </row>
    <row r="5797" spans="1:2" x14ac:dyDescent="0.3">
      <c r="A5797" s="19"/>
      <c r="B5797" s="36"/>
    </row>
    <row r="5798" spans="1:2" x14ac:dyDescent="0.3">
      <c r="A5798" s="19"/>
      <c r="B5798" s="36"/>
    </row>
    <row r="5799" spans="1:2" x14ac:dyDescent="0.3">
      <c r="A5799" s="19"/>
      <c r="B5799" s="36"/>
    </row>
    <row r="5800" spans="1:2" x14ac:dyDescent="0.3">
      <c r="A5800" s="19"/>
      <c r="B5800" s="36"/>
    </row>
    <row r="5801" spans="1:2" x14ac:dyDescent="0.3">
      <c r="A5801" s="19"/>
      <c r="B5801" s="36"/>
    </row>
    <row r="5802" spans="1:2" x14ac:dyDescent="0.3">
      <c r="A5802" s="19"/>
      <c r="B5802" s="36"/>
    </row>
    <row r="5803" spans="1:2" x14ac:dyDescent="0.3">
      <c r="A5803" s="19"/>
      <c r="B5803" s="36"/>
    </row>
    <row r="5804" spans="1:2" x14ac:dyDescent="0.3">
      <c r="A5804" s="19"/>
      <c r="B5804" s="36"/>
    </row>
    <row r="5805" spans="1:2" x14ac:dyDescent="0.3">
      <c r="A5805" s="19"/>
      <c r="B5805" s="36"/>
    </row>
    <row r="5806" spans="1:2" x14ac:dyDescent="0.3">
      <c r="A5806" s="19"/>
      <c r="B5806" s="36"/>
    </row>
    <row r="5807" spans="1:2" x14ac:dyDescent="0.3">
      <c r="A5807" s="19"/>
      <c r="B5807" s="36"/>
    </row>
    <row r="5808" spans="1:2" x14ac:dyDescent="0.3">
      <c r="A5808" s="19"/>
      <c r="B5808" s="36"/>
    </row>
    <row r="5809" spans="1:2" x14ac:dyDescent="0.3">
      <c r="A5809" s="19"/>
      <c r="B5809" s="36"/>
    </row>
    <row r="5810" spans="1:2" x14ac:dyDescent="0.3">
      <c r="A5810" s="19"/>
      <c r="B5810" s="36"/>
    </row>
    <row r="5811" spans="1:2" x14ac:dyDescent="0.3">
      <c r="A5811" s="19"/>
      <c r="B5811" s="36"/>
    </row>
    <row r="5812" spans="1:2" x14ac:dyDescent="0.3">
      <c r="A5812" s="19"/>
      <c r="B5812" s="36"/>
    </row>
    <row r="5813" spans="1:2" x14ac:dyDescent="0.3">
      <c r="A5813" s="19"/>
      <c r="B5813" s="36"/>
    </row>
    <row r="5814" spans="1:2" x14ac:dyDescent="0.3">
      <c r="A5814" s="19"/>
      <c r="B5814" s="36"/>
    </row>
    <row r="5815" spans="1:2" x14ac:dyDescent="0.3">
      <c r="A5815" s="19"/>
      <c r="B5815" s="36"/>
    </row>
    <row r="5816" spans="1:2" x14ac:dyDescent="0.3">
      <c r="A5816" s="19"/>
      <c r="B5816" s="36"/>
    </row>
    <row r="5817" spans="1:2" x14ac:dyDescent="0.3">
      <c r="A5817" s="19"/>
      <c r="B5817" s="36"/>
    </row>
    <row r="5818" spans="1:2" x14ac:dyDescent="0.3">
      <c r="A5818" s="19"/>
      <c r="B5818" s="36"/>
    </row>
    <row r="5819" spans="1:2" x14ac:dyDescent="0.3">
      <c r="A5819" s="19"/>
      <c r="B5819" s="36"/>
    </row>
    <row r="5820" spans="1:2" x14ac:dyDescent="0.3">
      <c r="A5820" s="19"/>
      <c r="B5820" s="36"/>
    </row>
    <row r="5821" spans="1:2" x14ac:dyDescent="0.3">
      <c r="A5821" s="19"/>
      <c r="B5821" s="36"/>
    </row>
    <row r="5822" spans="1:2" x14ac:dyDescent="0.3">
      <c r="A5822" s="19"/>
      <c r="B5822" s="36"/>
    </row>
    <row r="5823" spans="1:2" x14ac:dyDescent="0.3">
      <c r="A5823" s="19"/>
      <c r="B5823" s="36"/>
    </row>
    <row r="5824" spans="1:2" x14ac:dyDescent="0.3">
      <c r="A5824" s="19"/>
      <c r="B5824" s="36"/>
    </row>
    <row r="5825" spans="1:2" x14ac:dyDescent="0.3">
      <c r="A5825" s="19"/>
      <c r="B5825" s="36"/>
    </row>
    <row r="5826" spans="1:2" x14ac:dyDescent="0.3">
      <c r="A5826" s="19"/>
      <c r="B5826" s="36"/>
    </row>
    <row r="5827" spans="1:2" x14ac:dyDescent="0.3">
      <c r="A5827" s="19"/>
      <c r="B5827" s="36"/>
    </row>
    <row r="5828" spans="1:2" x14ac:dyDescent="0.3">
      <c r="A5828" s="19"/>
      <c r="B5828" s="36"/>
    </row>
    <row r="5829" spans="1:2" x14ac:dyDescent="0.3">
      <c r="A5829" s="19"/>
      <c r="B5829" s="36"/>
    </row>
    <row r="5830" spans="1:2" x14ac:dyDescent="0.3">
      <c r="A5830" s="19"/>
      <c r="B5830" s="36"/>
    </row>
    <row r="5831" spans="1:2" x14ac:dyDescent="0.3">
      <c r="A5831" s="19"/>
      <c r="B5831" s="36"/>
    </row>
    <row r="5832" spans="1:2" x14ac:dyDescent="0.3">
      <c r="A5832" s="19"/>
      <c r="B5832" s="36"/>
    </row>
    <row r="5833" spans="1:2" x14ac:dyDescent="0.3">
      <c r="A5833" s="19"/>
      <c r="B5833" s="36"/>
    </row>
    <row r="5834" spans="1:2" x14ac:dyDescent="0.3">
      <c r="A5834" s="19"/>
      <c r="B5834" s="36"/>
    </row>
    <row r="5835" spans="1:2" x14ac:dyDescent="0.3">
      <c r="A5835" s="19"/>
      <c r="B5835" s="36"/>
    </row>
    <row r="5836" spans="1:2" x14ac:dyDescent="0.3">
      <c r="A5836" s="19"/>
      <c r="B5836" s="36"/>
    </row>
    <row r="5837" spans="1:2" x14ac:dyDescent="0.3">
      <c r="A5837" s="19"/>
      <c r="B5837" s="36"/>
    </row>
    <row r="5838" spans="1:2" x14ac:dyDescent="0.3">
      <c r="A5838" s="19"/>
      <c r="B5838" s="36"/>
    </row>
    <row r="5839" spans="1:2" x14ac:dyDescent="0.3">
      <c r="A5839" s="19"/>
      <c r="B5839" s="36"/>
    </row>
    <row r="5840" spans="1:2" x14ac:dyDescent="0.3">
      <c r="A5840" s="19"/>
      <c r="B5840" s="36"/>
    </row>
    <row r="5841" spans="1:2" x14ac:dyDescent="0.3">
      <c r="A5841" s="19"/>
      <c r="B5841" s="36"/>
    </row>
    <row r="5842" spans="1:2" x14ac:dyDescent="0.3">
      <c r="A5842" s="19"/>
      <c r="B5842" s="36"/>
    </row>
    <row r="5843" spans="1:2" x14ac:dyDescent="0.3">
      <c r="A5843" s="19"/>
      <c r="B5843" s="36"/>
    </row>
    <row r="5844" spans="1:2" x14ac:dyDescent="0.3">
      <c r="A5844" s="19"/>
      <c r="B5844" s="36"/>
    </row>
    <row r="5845" spans="1:2" x14ac:dyDescent="0.3">
      <c r="A5845" s="19"/>
      <c r="B5845" s="36"/>
    </row>
    <row r="5846" spans="1:2" x14ac:dyDescent="0.3">
      <c r="A5846" s="19"/>
      <c r="B5846" s="36"/>
    </row>
    <row r="5847" spans="1:2" x14ac:dyDescent="0.3">
      <c r="A5847" s="19"/>
      <c r="B5847" s="36"/>
    </row>
    <row r="5848" spans="1:2" x14ac:dyDescent="0.3">
      <c r="A5848" s="19"/>
      <c r="B5848" s="36"/>
    </row>
    <row r="5849" spans="1:2" x14ac:dyDescent="0.3">
      <c r="A5849" s="19"/>
      <c r="B5849" s="36"/>
    </row>
    <row r="5850" spans="1:2" x14ac:dyDescent="0.3">
      <c r="A5850" s="19"/>
      <c r="B5850" s="36"/>
    </row>
    <row r="5851" spans="1:2" x14ac:dyDescent="0.3">
      <c r="A5851" s="19"/>
      <c r="B5851" s="36"/>
    </row>
    <row r="5852" spans="1:2" x14ac:dyDescent="0.3">
      <c r="A5852" s="19"/>
      <c r="B5852" s="36"/>
    </row>
    <row r="5853" spans="1:2" x14ac:dyDescent="0.3">
      <c r="A5853" s="19"/>
      <c r="B5853" s="36"/>
    </row>
    <row r="5854" spans="1:2" x14ac:dyDescent="0.3">
      <c r="A5854" s="19"/>
      <c r="B5854" s="36"/>
    </row>
    <row r="5855" spans="1:2" x14ac:dyDescent="0.3">
      <c r="A5855" s="19"/>
      <c r="B5855" s="36"/>
    </row>
    <row r="5856" spans="1:2" x14ac:dyDescent="0.3">
      <c r="A5856" s="19"/>
      <c r="B5856" s="36"/>
    </row>
    <row r="5857" spans="1:2" x14ac:dyDescent="0.3">
      <c r="A5857" s="19"/>
      <c r="B5857" s="36"/>
    </row>
    <row r="5858" spans="1:2" x14ac:dyDescent="0.3">
      <c r="A5858" s="19"/>
      <c r="B5858" s="36"/>
    </row>
    <row r="5859" spans="1:2" x14ac:dyDescent="0.3">
      <c r="A5859" s="19"/>
      <c r="B5859" s="36"/>
    </row>
    <row r="5860" spans="1:2" x14ac:dyDescent="0.3">
      <c r="A5860" s="19"/>
      <c r="B5860" s="36"/>
    </row>
    <row r="5861" spans="1:2" x14ac:dyDescent="0.3">
      <c r="A5861" s="19"/>
      <c r="B5861" s="36"/>
    </row>
    <row r="5862" spans="1:2" x14ac:dyDescent="0.3">
      <c r="A5862" s="19"/>
      <c r="B5862" s="36"/>
    </row>
    <row r="5863" spans="1:2" x14ac:dyDescent="0.3">
      <c r="A5863" s="19"/>
      <c r="B5863" s="36"/>
    </row>
    <row r="5864" spans="1:2" x14ac:dyDescent="0.3">
      <c r="A5864" s="19"/>
      <c r="B5864" s="36"/>
    </row>
    <row r="5865" spans="1:2" x14ac:dyDescent="0.3">
      <c r="A5865" s="19"/>
      <c r="B5865" s="36"/>
    </row>
    <row r="5866" spans="1:2" x14ac:dyDescent="0.3">
      <c r="A5866" s="19"/>
      <c r="B5866" s="36"/>
    </row>
    <row r="5867" spans="1:2" x14ac:dyDescent="0.3">
      <c r="A5867" s="19"/>
      <c r="B5867" s="36"/>
    </row>
    <row r="5868" spans="1:2" x14ac:dyDescent="0.3">
      <c r="A5868" s="19"/>
      <c r="B5868" s="36"/>
    </row>
    <row r="5869" spans="1:2" x14ac:dyDescent="0.3">
      <c r="A5869" s="19"/>
      <c r="B5869" s="36"/>
    </row>
    <row r="5870" spans="1:2" x14ac:dyDescent="0.3">
      <c r="A5870" s="19"/>
      <c r="B5870" s="36"/>
    </row>
    <row r="5871" spans="1:2" x14ac:dyDescent="0.3">
      <c r="A5871" s="19"/>
      <c r="B5871" s="36"/>
    </row>
    <row r="5872" spans="1:2" x14ac:dyDescent="0.3">
      <c r="A5872" s="19"/>
      <c r="B5872" s="36"/>
    </row>
    <row r="5873" spans="1:2" x14ac:dyDescent="0.3">
      <c r="A5873" s="19"/>
      <c r="B5873" s="36"/>
    </row>
    <row r="5874" spans="1:2" x14ac:dyDescent="0.3">
      <c r="A5874" s="19"/>
      <c r="B5874" s="36"/>
    </row>
    <row r="5875" spans="1:2" x14ac:dyDescent="0.3">
      <c r="A5875" s="19"/>
      <c r="B5875" s="36"/>
    </row>
    <row r="5876" spans="1:2" x14ac:dyDescent="0.3">
      <c r="A5876" s="19"/>
      <c r="B5876" s="36"/>
    </row>
    <row r="5877" spans="1:2" x14ac:dyDescent="0.3">
      <c r="A5877" s="19"/>
      <c r="B5877" s="36"/>
    </row>
    <row r="5878" spans="1:2" x14ac:dyDescent="0.3">
      <c r="A5878" s="19"/>
      <c r="B5878" s="36"/>
    </row>
    <row r="5879" spans="1:2" x14ac:dyDescent="0.3">
      <c r="A5879" s="19"/>
      <c r="B5879" s="36"/>
    </row>
    <row r="5880" spans="1:2" x14ac:dyDescent="0.3">
      <c r="A5880" s="19"/>
      <c r="B5880" s="36"/>
    </row>
    <row r="5881" spans="1:2" x14ac:dyDescent="0.3">
      <c r="A5881" s="19"/>
      <c r="B5881" s="36"/>
    </row>
    <row r="5882" spans="1:2" x14ac:dyDescent="0.3">
      <c r="A5882" s="19"/>
      <c r="B5882" s="36"/>
    </row>
    <row r="5883" spans="1:2" x14ac:dyDescent="0.3">
      <c r="A5883" s="19"/>
      <c r="B5883" s="36"/>
    </row>
    <row r="5884" spans="1:2" x14ac:dyDescent="0.3">
      <c r="A5884" s="19"/>
      <c r="B5884" s="36"/>
    </row>
    <row r="5885" spans="1:2" x14ac:dyDescent="0.3">
      <c r="A5885" s="19"/>
      <c r="B5885" s="36"/>
    </row>
    <row r="5886" spans="1:2" x14ac:dyDescent="0.3">
      <c r="A5886" s="19"/>
      <c r="B5886" s="36"/>
    </row>
    <row r="5887" spans="1:2" x14ac:dyDescent="0.3">
      <c r="A5887" s="19"/>
      <c r="B5887" s="36"/>
    </row>
    <row r="5888" spans="1:2" x14ac:dyDescent="0.3">
      <c r="A5888" s="19"/>
      <c r="B5888" s="36"/>
    </row>
    <row r="5889" spans="1:2" x14ac:dyDescent="0.3">
      <c r="A5889" s="19"/>
      <c r="B5889" s="36"/>
    </row>
    <row r="5890" spans="1:2" x14ac:dyDescent="0.3">
      <c r="A5890" s="19"/>
      <c r="B5890" s="36"/>
    </row>
    <row r="5891" spans="1:2" x14ac:dyDescent="0.3">
      <c r="A5891" s="19"/>
      <c r="B5891" s="36"/>
    </row>
    <row r="5892" spans="1:2" x14ac:dyDescent="0.3">
      <c r="A5892" s="19"/>
      <c r="B5892" s="36"/>
    </row>
    <row r="5893" spans="1:2" x14ac:dyDescent="0.3">
      <c r="A5893" s="19"/>
      <c r="B5893" s="36"/>
    </row>
    <row r="5894" spans="1:2" x14ac:dyDescent="0.3">
      <c r="A5894" s="19"/>
      <c r="B5894" s="36"/>
    </row>
    <row r="5895" spans="1:2" x14ac:dyDescent="0.3">
      <c r="A5895" s="19"/>
      <c r="B5895" s="36"/>
    </row>
    <row r="5896" spans="1:2" x14ac:dyDescent="0.3">
      <c r="A5896" s="19"/>
      <c r="B5896" s="36"/>
    </row>
    <row r="5897" spans="1:2" x14ac:dyDescent="0.3">
      <c r="A5897" s="19"/>
      <c r="B5897" s="36"/>
    </row>
    <row r="5898" spans="1:2" x14ac:dyDescent="0.3">
      <c r="A5898" s="19"/>
      <c r="B5898" s="36"/>
    </row>
    <row r="5899" spans="1:2" x14ac:dyDescent="0.3">
      <c r="A5899" s="19"/>
      <c r="B5899" s="36"/>
    </row>
    <row r="5900" spans="1:2" x14ac:dyDescent="0.3">
      <c r="A5900" s="19"/>
      <c r="B5900" s="36"/>
    </row>
    <row r="5901" spans="1:2" x14ac:dyDescent="0.3">
      <c r="A5901" s="19"/>
      <c r="B5901" s="36"/>
    </row>
    <row r="5902" spans="1:2" x14ac:dyDescent="0.3">
      <c r="A5902" s="19"/>
      <c r="B5902" s="36"/>
    </row>
    <row r="5903" spans="1:2" x14ac:dyDescent="0.3">
      <c r="A5903" s="19"/>
      <c r="B5903" s="36"/>
    </row>
    <row r="5904" spans="1:2" x14ac:dyDescent="0.3">
      <c r="A5904" s="19"/>
      <c r="B5904" s="36"/>
    </row>
    <row r="5905" spans="1:2" x14ac:dyDescent="0.3">
      <c r="A5905" s="19"/>
      <c r="B5905" s="36"/>
    </row>
    <row r="5906" spans="1:2" x14ac:dyDescent="0.3">
      <c r="A5906" s="19"/>
      <c r="B5906" s="36"/>
    </row>
    <row r="5907" spans="1:2" x14ac:dyDescent="0.3">
      <c r="A5907" s="19"/>
      <c r="B5907" s="36"/>
    </row>
    <row r="5908" spans="1:2" x14ac:dyDescent="0.3">
      <c r="A5908" s="19"/>
      <c r="B5908" s="36"/>
    </row>
    <row r="5909" spans="1:2" x14ac:dyDescent="0.3">
      <c r="A5909" s="19"/>
      <c r="B5909" s="36"/>
    </row>
    <row r="5910" spans="1:2" x14ac:dyDescent="0.3">
      <c r="A5910" s="19"/>
      <c r="B5910" s="36"/>
    </row>
    <row r="5911" spans="1:2" x14ac:dyDescent="0.3">
      <c r="A5911" s="19"/>
      <c r="B5911" s="36"/>
    </row>
    <row r="5912" spans="1:2" x14ac:dyDescent="0.3">
      <c r="A5912" s="19"/>
      <c r="B5912" s="36"/>
    </row>
    <row r="5913" spans="1:2" x14ac:dyDescent="0.3">
      <c r="A5913" s="19"/>
      <c r="B5913" s="36"/>
    </row>
    <row r="5914" spans="1:2" x14ac:dyDescent="0.3">
      <c r="A5914" s="19"/>
      <c r="B5914" s="36"/>
    </row>
    <row r="5915" spans="1:2" x14ac:dyDescent="0.3">
      <c r="A5915" s="19"/>
      <c r="B5915" s="36"/>
    </row>
    <row r="5916" spans="1:2" x14ac:dyDescent="0.3">
      <c r="A5916" s="19"/>
      <c r="B5916" s="36"/>
    </row>
    <row r="5917" spans="1:2" x14ac:dyDescent="0.3">
      <c r="A5917" s="19"/>
      <c r="B5917" s="36"/>
    </row>
    <row r="5918" spans="1:2" x14ac:dyDescent="0.3">
      <c r="A5918" s="19"/>
      <c r="B5918" s="36"/>
    </row>
    <row r="5919" spans="1:2" x14ac:dyDescent="0.3">
      <c r="A5919" s="19"/>
      <c r="B5919" s="36"/>
    </row>
    <row r="5920" spans="1:2" x14ac:dyDescent="0.3">
      <c r="A5920" s="19"/>
      <c r="B5920" s="36"/>
    </row>
    <row r="5921" spans="1:2" x14ac:dyDescent="0.3">
      <c r="A5921" s="19"/>
      <c r="B5921" s="36"/>
    </row>
    <row r="5922" spans="1:2" x14ac:dyDescent="0.3">
      <c r="A5922" s="19"/>
      <c r="B5922" s="36"/>
    </row>
    <row r="5923" spans="1:2" x14ac:dyDescent="0.3">
      <c r="A5923" s="19"/>
      <c r="B5923" s="36"/>
    </row>
    <row r="5924" spans="1:2" x14ac:dyDescent="0.3">
      <c r="A5924" s="19"/>
      <c r="B5924" s="36"/>
    </row>
    <row r="5925" spans="1:2" x14ac:dyDescent="0.3">
      <c r="A5925" s="19"/>
      <c r="B5925" s="36"/>
    </row>
    <row r="5926" spans="1:2" x14ac:dyDescent="0.3">
      <c r="A5926" s="19"/>
      <c r="B5926" s="36"/>
    </row>
    <row r="5927" spans="1:2" x14ac:dyDescent="0.3">
      <c r="A5927" s="19"/>
      <c r="B5927" s="36"/>
    </row>
    <row r="5928" spans="1:2" x14ac:dyDescent="0.3">
      <c r="A5928" s="19"/>
      <c r="B5928" s="36"/>
    </row>
    <row r="5929" spans="1:2" x14ac:dyDescent="0.3">
      <c r="A5929" s="19"/>
      <c r="B5929" s="36"/>
    </row>
    <row r="5930" spans="1:2" x14ac:dyDescent="0.3">
      <c r="A5930" s="19"/>
      <c r="B5930" s="36"/>
    </row>
    <row r="5931" spans="1:2" x14ac:dyDescent="0.3">
      <c r="A5931" s="19"/>
      <c r="B5931" s="36"/>
    </row>
    <row r="5932" spans="1:2" x14ac:dyDescent="0.3">
      <c r="A5932" s="19"/>
      <c r="B5932" s="36"/>
    </row>
    <row r="5933" spans="1:2" x14ac:dyDescent="0.3">
      <c r="A5933" s="19"/>
      <c r="B5933" s="36"/>
    </row>
    <row r="5934" spans="1:2" x14ac:dyDescent="0.3">
      <c r="A5934" s="19"/>
      <c r="B5934" s="36"/>
    </row>
    <row r="5935" spans="1:2" x14ac:dyDescent="0.3">
      <c r="A5935" s="19"/>
      <c r="B5935" s="36"/>
    </row>
    <row r="5936" spans="1:2" x14ac:dyDescent="0.3">
      <c r="A5936" s="19"/>
      <c r="B5936" s="36"/>
    </row>
    <row r="5937" spans="1:2" x14ac:dyDescent="0.3">
      <c r="A5937" s="19"/>
      <c r="B5937" s="36"/>
    </row>
    <row r="5938" spans="1:2" x14ac:dyDescent="0.3">
      <c r="A5938" s="19"/>
      <c r="B5938" s="36"/>
    </row>
    <row r="5939" spans="1:2" x14ac:dyDescent="0.3">
      <c r="A5939" s="19"/>
      <c r="B5939" s="36"/>
    </row>
    <row r="5940" spans="1:2" x14ac:dyDescent="0.3">
      <c r="A5940" s="19"/>
      <c r="B5940" s="36"/>
    </row>
    <row r="5941" spans="1:2" x14ac:dyDescent="0.3">
      <c r="A5941" s="19"/>
      <c r="B5941" s="36"/>
    </row>
    <row r="5942" spans="1:2" x14ac:dyDescent="0.3">
      <c r="A5942" s="19"/>
      <c r="B5942" s="36"/>
    </row>
    <row r="5943" spans="1:2" x14ac:dyDescent="0.3">
      <c r="A5943" s="19"/>
      <c r="B5943" s="36"/>
    </row>
    <row r="5944" spans="1:2" x14ac:dyDescent="0.3">
      <c r="A5944" s="19"/>
      <c r="B5944" s="36"/>
    </row>
    <row r="5945" spans="1:2" x14ac:dyDescent="0.3">
      <c r="A5945" s="19"/>
      <c r="B5945" s="36"/>
    </row>
    <row r="5946" spans="1:2" x14ac:dyDescent="0.3">
      <c r="A5946" s="19"/>
      <c r="B5946" s="36"/>
    </row>
    <row r="5947" spans="1:2" x14ac:dyDescent="0.3">
      <c r="A5947" s="19"/>
      <c r="B5947" s="36"/>
    </row>
    <row r="5948" spans="1:2" x14ac:dyDescent="0.3">
      <c r="A5948" s="19"/>
      <c r="B5948" s="36"/>
    </row>
    <row r="5949" spans="1:2" x14ac:dyDescent="0.3">
      <c r="A5949" s="19"/>
      <c r="B5949" s="36"/>
    </row>
    <row r="5950" spans="1:2" x14ac:dyDescent="0.3">
      <c r="A5950" s="19"/>
      <c r="B5950" s="36"/>
    </row>
    <row r="5951" spans="1:2" x14ac:dyDescent="0.3">
      <c r="A5951" s="19"/>
      <c r="B5951" s="36"/>
    </row>
    <row r="5952" spans="1:2" x14ac:dyDescent="0.3">
      <c r="A5952" s="19"/>
      <c r="B5952" s="36"/>
    </row>
    <row r="5953" spans="1:2" x14ac:dyDescent="0.3">
      <c r="A5953" s="19"/>
      <c r="B5953" s="36"/>
    </row>
    <row r="5954" spans="1:2" x14ac:dyDescent="0.3">
      <c r="A5954" s="19"/>
      <c r="B5954" s="36"/>
    </row>
    <row r="5955" spans="1:2" x14ac:dyDescent="0.3">
      <c r="A5955" s="19"/>
      <c r="B5955" s="36"/>
    </row>
    <row r="5956" spans="1:2" x14ac:dyDescent="0.3">
      <c r="A5956" s="19"/>
      <c r="B5956" s="36"/>
    </row>
    <row r="5957" spans="1:2" x14ac:dyDescent="0.3">
      <c r="A5957" s="19"/>
      <c r="B5957" s="36"/>
    </row>
    <row r="5958" spans="1:2" x14ac:dyDescent="0.3">
      <c r="A5958" s="19"/>
      <c r="B5958" s="36"/>
    </row>
    <row r="5959" spans="1:2" x14ac:dyDescent="0.3">
      <c r="A5959" s="19"/>
      <c r="B5959" s="36"/>
    </row>
    <row r="5960" spans="1:2" x14ac:dyDescent="0.3">
      <c r="A5960" s="19"/>
      <c r="B5960" s="36"/>
    </row>
    <row r="5961" spans="1:2" x14ac:dyDescent="0.3">
      <c r="A5961" s="19"/>
      <c r="B5961" s="36"/>
    </row>
    <row r="5962" spans="1:2" x14ac:dyDescent="0.3">
      <c r="A5962" s="19"/>
      <c r="B5962" s="36"/>
    </row>
    <row r="5963" spans="1:2" x14ac:dyDescent="0.3">
      <c r="A5963" s="19"/>
      <c r="B5963" s="36"/>
    </row>
    <row r="5964" spans="1:2" x14ac:dyDescent="0.3">
      <c r="A5964" s="19"/>
      <c r="B5964" s="36"/>
    </row>
    <row r="5965" spans="1:2" x14ac:dyDescent="0.3">
      <c r="A5965" s="19"/>
      <c r="B5965" s="36"/>
    </row>
    <row r="5966" spans="1:2" x14ac:dyDescent="0.3">
      <c r="A5966" s="19"/>
      <c r="B5966" s="36"/>
    </row>
    <row r="5967" spans="1:2" x14ac:dyDescent="0.3">
      <c r="A5967" s="19"/>
      <c r="B5967" s="36"/>
    </row>
    <row r="5968" spans="1:2" x14ac:dyDescent="0.3">
      <c r="A5968" s="19"/>
      <c r="B5968" s="36"/>
    </row>
    <row r="5969" spans="1:2" x14ac:dyDescent="0.3">
      <c r="A5969" s="19"/>
      <c r="B5969" s="36"/>
    </row>
    <row r="5970" spans="1:2" x14ac:dyDescent="0.3">
      <c r="A5970" s="19"/>
      <c r="B5970" s="36"/>
    </row>
    <row r="5971" spans="1:2" x14ac:dyDescent="0.3">
      <c r="A5971" s="19"/>
      <c r="B5971" s="36"/>
    </row>
    <row r="5972" spans="1:2" x14ac:dyDescent="0.3">
      <c r="A5972" s="19"/>
      <c r="B5972" s="36"/>
    </row>
    <row r="5973" spans="1:2" x14ac:dyDescent="0.3">
      <c r="A5973" s="19"/>
      <c r="B5973" s="36"/>
    </row>
    <row r="5974" spans="1:2" x14ac:dyDescent="0.3">
      <c r="A5974" s="19"/>
      <c r="B5974" s="36"/>
    </row>
    <row r="5975" spans="1:2" x14ac:dyDescent="0.3">
      <c r="A5975" s="19"/>
      <c r="B5975" s="36"/>
    </row>
    <row r="5976" spans="1:2" x14ac:dyDescent="0.3">
      <c r="A5976" s="19"/>
      <c r="B5976" s="36"/>
    </row>
    <row r="5977" spans="1:2" x14ac:dyDescent="0.3">
      <c r="A5977" s="19"/>
      <c r="B5977" s="36"/>
    </row>
    <row r="5978" spans="1:2" x14ac:dyDescent="0.3">
      <c r="A5978" s="19"/>
      <c r="B5978" s="36"/>
    </row>
    <row r="5979" spans="1:2" x14ac:dyDescent="0.3">
      <c r="A5979" s="19"/>
      <c r="B5979" s="36"/>
    </row>
    <row r="5980" spans="1:2" x14ac:dyDescent="0.3">
      <c r="A5980" s="19"/>
      <c r="B5980" s="36"/>
    </row>
    <row r="5981" spans="1:2" x14ac:dyDescent="0.3">
      <c r="A5981" s="19"/>
      <c r="B5981" s="36"/>
    </row>
    <row r="5982" spans="1:2" x14ac:dyDescent="0.3">
      <c r="A5982" s="19"/>
      <c r="B5982" s="36"/>
    </row>
    <row r="5983" spans="1:2" x14ac:dyDescent="0.3">
      <c r="A5983" s="19"/>
      <c r="B5983" s="36"/>
    </row>
    <row r="5984" spans="1:2" x14ac:dyDescent="0.3">
      <c r="A5984" s="19"/>
      <c r="B5984" s="36"/>
    </row>
    <row r="5985" spans="1:2" x14ac:dyDescent="0.3">
      <c r="A5985" s="19"/>
      <c r="B5985" s="36"/>
    </row>
    <row r="5986" spans="1:2" x14ac:dyDescent="0.3">
      <c r="A5986" s="19"/>
      <c r="B5986" s="36"/>
    </row>
    <row r="5987" spans="1:2" x14ac:dyDescent="0.3">
      <c r="A5987" s="19"/>
      <c r="B5987" s="36"/>
    </row>
    <row r="5988" spans="1:2" x14ac:dyDescent="0.3">
      <c r="A5988" s="19"/>
      <c r="B5988" s="36"/>
    </row>
    <row r="5989" spans="1:2" x14ac:dyDescent="0.3">
      <c r="A5989" s="19"/>
      <c r="B5989" s="36"/>
    </row>
    <row r="5990" spans="1:2" x14ac:dyDescent="0.3">
      <c r="A5990" s="19"/>
      <c r="B5990" s="36"/>
    </row>
    <row r="5991" spans="1:2" x14ac:dyDescent="0.3">
      <c r="A5991" s="19"/>
      <c r="B5991" s="36"/>
    </row>
    <row r="5992" spans="1:2" x14ac:dyDescent="0.3">
      <c r="A5992" s="19"/>
      <c r="B5992" s="36"/>
    </row>
    <row r="5993" spans="1:2" x14ac:dyDescent="0.3">
      <c r="A5993" s="19"/>
      <c r="B5993" s="36"/>
    </row>
    <row r="5994" spans="1:2" x14ac:dyDescent="0.3">
      <c r="A5994" s="19"/>
      <c r="B5994" s="36"/>
    </row>
    <row r="5995" spans="1:2" x14ac:dyDescent="0.3">
      <c r="A5995" s="19"/>
      <c r="B5995" s="36"/>
    </row>
    <row r="5996" spans="1:2" x14ac:dyDescent="0.3">
      <c r="A5996" s="19"/>
      <c r="B5996" s="36"/>
    </row>
    <row r="5997" spans="1:2" x14ac:dyDescent="0.3">
      <c r="A5997" s="19"/>
      <c r="B5997" s="36"/>
    </row>
    <row r="5998" spans="1:2" x14ac:dyDescent="0.3">
      <c r="A5998" s="19"/>
      <c r="B5998" s="36"/>
    </row>
    <row r="5999" spans="1:2" x14ac:dyDescent="0.3">
      <c r="A5999" s="19"/>
      <c r="B5999" s="36"/>
    </row>
    <row r="6000" spans="1:2" x14ac:dyDescent="0.3">
      <c r="A6000" s="19"/>
      <c r="B6000" s="36"/>
    </row>
    <row r="6001" spans="1:2" x14ac:dyDescent="0.3">
      <c r="A6001" s="19"/>
      <c r="B6001" s="36"/>
    </row>
    <row r="6002" spans="1:2" x14ac:dyDescent="0.3">
      <c r="A6002" s="19"/>
      <c r="B6002" s="36"/>
    </row>
    <row r="6003" spans="1:2" x14ac:dyDescent="0.3">
      <c r="A6003" s="19"/>
      <c r="B6003" s="36"/>
    </row>
    <row r="6004" spans="1:2" x14ac:dyDescent="0.3">
      <c r="A6004" s="19"/>
      <c r="B6004" s="36"/>
    </row>
    <row r="6005" spans="1:2" x14ac:dyDescent="0.3">
      <c r="A6005" s="19"/>
      <c r="B6005" s="36"/>
    </row>
    <row r="6006" spans="1:2" x14ac:dyDescent="0.3">
      <c r="A6006" s="19"/>
      <c r="B6006" s="36"/>
    </row>
    <row r="6007" spans="1:2" x14ac:dyDescent="0.3">
      <c r="A6007" s="19"/>
      <c r="B6007" s="36"/>
    </row>
    <row r="6008" spans="1:2" x14ac:dyDescent="0.3">
      <c r="A6008" s="19"/>
      <c r="B6008" s="36"/>
    </row>
    <row r="6009" spans="1:2" x14ac:dyDescent="0.3">
      <c r="A6009" s="19"/>
      <c r="B6009" s="36"/>
    </row>
    <row r="6010" spans="1:2" x14ac:dyDescent="0.3">
      <c r="A6010" s="19"/>
      <c r="B6010" s="36"/>
    </row>
    <row r="6011" spans="1:2" x14ac:dyDescent="0.3">
      <c r="A6011" s="19"/>
      <c r="B6011" s="36"/>
    </row>
    <row r="6012" spans="1:2" x14ac:dyDescent="0.3">
      <c r="A6012" s="19"/>
      <c r="B6012" s="36"/>
    </row>
    <row r="6013" spans="1:2" x14ac:dyDescent="0.3">
      <c r="A6013" s="19"/>
      <c r="B6013" s="36"/>
    </row>
    <row r="6014" spans="1:2" x14ac:dyDescent="0.3">
      <c r="A6014" s="19"/>
      <c r="B6014" s="36"/>
    </row>
    <row r="6015" spans="1:2" x14ac:dyDescent="0.3">
      <c r="A6015" s="19"/>
      <c r="B6015" s="36"/>
    </row>
    <row r="6016" spans="1:2" x14ac:dyDescent="0.3">
      <c r="A6016" s="19"/>
      <c r="B6016" s="36"/>
    </row>
    <row r="6017" spans="1:2" x14ac:dyDescent="0.3">
      <c r="A6017" s="19"/>
      <c r="B6017" s="36"/>
    </row>
    <row r="6018" spans="1:2" x14ac:dyDescent="0.3">
      <c r="A6018" s="19"/>
      <c r="B6018" s="36"/>
    </row>
    <row r="6019" spans="1:2" x14ac:dyDescent="0.3">
      <c r="A6019" s="19"/>
      <c r="B6019" s="36"/>
    </row>
    <row r="6020" spans="1:2" x14ac:dyDescent="0.3">
      <c r="A6020" s="19"/>
      <c r="B6020" s="36"/>
    </row>
    <row r="6021" spans="1:2" x14ac:dyDescent="0.3">
      <c r="A6021" s="19"/>
      <c r="B6021" s="36"/>
    </row>
    <row r="6022" spans="1:2" x14ac:dyDescent="0.3">
      <c r="A6022" s="19"/>
      <c r="B6022" s="36"/>
    </row>
    <row r="6023" spans="1:2" x14ac:dyDescent="0.3">
      <c r="A6023" s="19"/>
      <c r="B6023" s="36"/>
    </row>
    <row r="6024" spans="1:2" x14ac:dyDescent="0.3">
      <c r="A6024" s="19"/>
      <c r="B6024" s="36"/>
    </row>
    <row r="6025" spans="1:2" x14ac:dyDescent="0.3">
      <c r="A6025" s="19"/>
      <c r="B6025" s="36"/>
    </row>
    <row r="6026" spans="1:2" x14ac:dyDescent="0.3">
      <c r="A6026" s="19"/>
      <c r="B6026" s="36"/>
    </row>
    <row r="6027" spans="1:2" x14ac:dyDescent="0.3">
      <c r="A6027" s="19"/>
      <c r="B6027" s="36"/>
    </row>
    <row r="6028" spans="1:2" x14ac:dyDescent="0.3">
      <c r="A6028" s="19"/>
      <c r="B6028" s="36"/>
    </row>
    <row r="6029" spans="1:2" x14ac:dyDescent="0.3">
      <c r="A6029" s="19"/>
      <c r="B6029" s="36"/>
    </row>
    <row r="6030" spans="1:2" x14ac:dyDescent="0.3">
      <c r="A6030" s="19"/>
      <c r="B6030" s="36"/>
    </row>
    <row r="6031" spans="1:2" x14ac:dyDescent="0.3">
      <c r="A6031" s="19"/>
      <c r="B6031" s="36"/>
    </row>
    <row r="6032" spans="1:2" x14ac:dyDescent="0.3">
      <c r="A6032" s="19"/>
      <c r="B6032" s="36"/>
    </row>
    <row r="6033" spans="1:2" x14ac:dyDescent="0.3">
      <c r="A6033" s="19"/>
      <c r="B6033" s="36"/>
    </row>
    <row r="6034" spans="1:2" x14ac:dyDescent="0.3">
      <c r="A6034" s="19"/>
      <c r="B6034" s="36"/>
    </row>
    <row r="6035" spans="1:2" x14ac:dyDescent="0.3">
      <c r="A6035" s="19"/>
      <c r="B6035" s="36"/>
    </row>
    <row r="6036" spans="1:2" x14ac:dyDescent="0.3">
      <c r="A6036" s="19"/>
      <c r="B6036" s="36"/>
    </row>
    <row r="6037" spans="1:2" x14ac:dyDescent="0.3">
      <c r="A6037" s="19"/>
      <c r="B6037" s="36"/>
    </row>
    <row r="6038" spans="1:2" x14ac:dyDescent="0.3">
      <c r="A6038" s="19"/>
      <c r="B6038" s="36"/>
    </row>
    <row r="6039" spans="1:2" x14ac:dyDescent="0.3">
      <c r="A6039" s="19"/>
      <c r="B6039" s="36"/>
    </row>
    <row r="6040" spans="1:2" x14ac:dyDescent="0.3">
      <c r="A6040" s="19"/>
      <c r="B6040" s="36"/>
    </row>
    <row r="6041" spans="1:2" x14ac:dyDescent="0.3">
      <c r="A6041" s="19"/>
      <c r="B6041" s="36"/>
    </row>
    <row r="6042" spans="1:2" x14ac:dyDescent="0.3">
      <c r="A6042" s="19"/>
      <c r="B6042" s="36"/>
    </row>
    <row r="6043" spans="1:2" x14ac:dyDescent="0.3">
      <c r="A6043" s="19"/>
      <c r="B6043" s="36"/>
    </row>
    <row r="6044" spans="1:2" x14ac:dyDescent="0.3">
      <c r="A6044" s="19"/>
      <c r="B6044" s="36"/>
    </row>
    <row r="6045" spans="1:2" x14ac:dyDescent="0.3">
      <c r="A6045" s="19"/>
      <c r="B6045" s="36"/>
    </row>
    <row r="6046" spans="1:2" x14ac:dyDescent="0.3">
      <c r="A6046" s="19"/>
      <c r="B6046" s="36"/>
    </row>
    <row r="6047" spans="1:2" x14ac:dyDescent="0.3">
      <c r="A6047" s="19"/>
      <c r="B6047" s="36"/>
    </row>
    <row r="6048" spans="1:2" x14ac:dyDescent="0.3">
      <c r="A6048" s="19"/>
      <c r="B6048" s="36"/>
    </row>
    <row r="6049" spans="1:2" x14ac:dyDescent="0.3">
      <c r="A6049" s="19"/>
      <c r="B6049" s="36"/>
    </row>
    <row r="6050" spans="1:2" x14ac:dyDescent="0.3">
      <c r="A6050" s="19"/>
      <c r="B6050" s="36"/>
    </row>
    <row r="6051" spans="1:2" x14ac:dyDescent="0.3">
      <c r="A6051" s="19"/>
      <c r="B6051" s="36"/>
    </row>
    <row r="6052" spans="1:2" x14ac:dyDescent="0.3">
      <c r="A6052" s="19"/>
      <c r="B6052" s="36"/>
    </row>
    <row r="6053" spans="1:2" x14ac:dyDescent="0.3">
      <c r="A6053" s="19"/>
      <c r="B6053" s="36"/>
    </row>
    <row r="6054" spans="1:2" x14ac:dyDescent="0.3">
      <c r="A6054" s="19"/>
      <c r="B6054" s="36"/>
    </row>
    <row r="6055" spans="1:2" x14ac:dyDescent="0.3">
      <c r="A6055" s="19"/>
      <c r="B6055" s="36"/>
    </row>
    <row r="6056" spans="1:2" x14ac:dyDescent="0.3">
      <c r="A6056" s="19"/>
      <c r="B6056" s="36"/>
    </row>
    <row r="6057" spans="1:2" x14ac:dyDescent="0.3">
      <c r="A6057" s="19"/>
      <c r="B6057" s="36"/>
    </row>
    <row r="6058" spans="1:2" x14ac:dyDescent="0.3">
      <c r="A6058" s="19"/>
      <c r="B6058" s="36"/>
    </row>
    <row r="6059" spans="1:2" x14ac:dyDescent="0.3">
      <c r="A6059" s="19"/>
      <c r="B6059" s="36"/>
    </row>
    <row r="6060" spans="1:2" x14ac:dyDescent="0.3">
      <c r="A6060" s="19"/>
      <c r="B6060" s="36"/>
    </row>
    <row r="6061" spans="1:2" x14ac:dyDescent="0.3">
      <c r="A6061" s="19"/>
      <c r="B6061" s="36"/>
    </row>
    <row r="6062" spans="1:2" x14ac:dyDescent="0.3">
      <c r="A6062" s="19"/>
      <c r="B6062" s="36"/>
    </row>
    <row r="6063" spans="1:2" x14ac:dyDescent="0.3">
      <c r="A6063" s="19"/>
      <c r="B6063" s="36"/>
    </row>
    <row r="6064" spans="1:2" x14ac:dyDescent="0.3">
      <c r="A6064" s="19"/>
      <c r="B6064" s="36"/>
    </row>
    <row r="6065" spans="1:2" x14ac:dyDescent="0.3">
      <c r="A6065" s="19"/>
      <c r="B6065" s="36"/>
    </row>
    <row r="6066" spans="1:2" x14ac:dyDescent="0.3">
      <c r="A6066" s="19"/>
      <c r="B6066" s="36"/>
    </row>
    <row r="6067" spans="1:2" x14ac:dyDescent="0.3">
      <c r="A6067" s="19"/>
      <c r="B6067" s="36"/>
    </row>
    <row r="6068" spans="1:2" x14ac:dyDescent="0.3">
      <c r="A6068" s="19"/>
      <c r="B6068" s="36"/>
    </row>
    <row r="6069" spans="1:2" x14ac:dyDescent="0.3">
      <c r="A6069" s="19"/>
      <c r="B6069" s="36"/>
    </row>
    <row r="6070" spans="1:2" x14ac:dyDescent="0.3">
      <c r="A6070" s="19"/>
      <c r="B6070" s="36"/>
    </row>
    <row r="6071" spans="1:2" x14ac:dyDescent="0.3">
      <c r="A6071" s="19"/>
      <c r="B6071" s="36"/>
    </row>
    <row r="6072" spans="1:2" x14ac:dyDescent="0.3">
      <c r="A6072" s="19"/>
      <c r="B6072" s="36"/>
    </row>
    <row r="6073" spans="1:2" x14ac:dyDescent="0.3">
      <c r="A6073" s="19"/>
      <c r="B6073" s="36"/>
    </row>
    <row r="6074" spans="1:2" x14ac:dyDescent="0.3">
      <c r="A6074" s="19"/>
      <c r="B6074" s="36"/>
    </row>
    <row r="6075" spans="1:2" x14ac:dyDescent="0.3">
      <c r="A6075" s="19"/>
      <c r="B6075" s="36"/>
    </row>
    <row r="6076" spans="1:2" x14ac:dyDescent="0.3">
      <c r="A6076" s="19"/>
      <c r="B6076" s="36"/>
    </row>
    <row r="6077" spans="1:2" x14ac:dyDescent="0.3">
      <c r="A6077" s="19"/>
      <c r="B6077" s="36"/>
    </row>
    <row r="6078" spans="1:2" x14ac:dyDescent="0.3">
      <c r="A6078" s="19"/>
      <c r="B6078" s="36"/>
    </row>
    <row r="6079" spans="1:2" x14ac:dyDescent="0.3">
      <c r="A6079" s="19"/>
      <c r="B6079" s="36"/>
    </row>
    <row r="6080" spans="1:2" x14ac:dyDescent="0.3">
      <c r="A6080" s="19"/>
      <c r="B6080" s="36"/>
    </row>
    <row r="6081" spans="1:2" x14ac:dyDescent="0.3">
      <c r="A6081" s="19"/>
      <c r="B6081" s="36"/>
    </row>
    <row r="6082" spans="1:2" x14ac:dyDescent="0.3">
      <c r="A6082" s="19"/>
      <c r="B6082" s="36"/>
    </row>
    <row r="6083" spans="1:2" x14ac:dyDescent="0.3">
      <c r="A6083" s="19"/>
      <c r="B6083" s="36"/>
    </row>
    <row r="6084" spans="1:2" x14ac:dyDescent="0.3">
      <c r="A6084" s="19"/>
      <c r="B6084" s="36"/>
    </row>
    <row r="6085" spans="1:2" x14ac:dyDescent="0.3">
      <c r="A6085" s="19"/>
      <c r="B6085" s="36"/>
    </row>
    <row r="6086" spans="1:2" x14ac:dyDescent="0.3">
      <c r="A6086" s="19"/>
      <c r="B6086" s="36"/>
    </row>
    <row r="6087" spans="1:2" x14ac:dyDescent="0.3">
      <c r="A6087" s="19"/>
      <c r="B6087" s="36"/>
    </row>
    <row r="6088" spans="1:2" x14ac:dyDescent="0.3">
      <c r="A6088" s="19"/>
      <c r="B6088" s="36"/>
    </row>
    <row r="6089" spans="1:2" x14ac:dyDescent="0.3">
      <c r="A6089" s="19"/>
      <c r="B6089" s="36"/>
    </row>
    <row r="6090" spans="1:2" x14ac:dyDescent="0.3">
      <c r="A6090" s="19"/>
      <c r="B6090" s="36"/>
    </row>
    <row r="6091" spans="1:2" x14ac:dyDescent="0.3">
      <c r="A6091" s="19"/>
      <c r="B6091" s="36"/>
    </row>
    <row r="6092" spans="1:2" x14ac:dyDescent="0.3">
      <c r="A6092" s="19"/>
      <c r="B6092" s="36"/>
    </row>
    <row r="6093" spans="1:2" x14ac:dyDescent="0.3">
      <c r="A6093" s="19"/>
      <c r="B6093" s="36"/>
    </row>
    <row r="6094" spans="1:2" x14ac:dyDescent="0.3">
      <c r="A6094" s="19"/>
      <c r="B6094" s="36"/>
    </row>
    <row r="6095" spans="1:2" x14ac:dyDescent="0.3">
      <c r="A6095" s="19"/>
      <c r="B6095" s="36"/>
    </row>
    <row r="6096" spans="1:2" x14ac:dyDescent="0.3">
      <c r="A6096" s="19"/>
      <c r="B6096" s="36"/>
    </row>
    <row r="6097" spans="1:2" x14ac:dyDescent="0.3">
      <c r="A6097" s="19"/>
      <c r="B6097" s="36"/>
    </row>
    <row r="6098" spans="1:2" x14ac:dyDescent="0.3">
      <c r="A6098" s="19"/>
      <c r="B6098" s="36"/>
    </row>
    <row r="6099" spans="1:2" x14ac:dyDescent="0.3">
      <c r="A6099" s="19"/>
      <c r="B6099" s="36"/>
    </row>
    <row r="6100" spans="1:2" x14ac:dyDescent="0.3">
      <c r="A6100" s="19"/>
      <c r="B6100" s="36"/>
    </row>
    <row r="6101" spans="1:2" x14ac:dyDescent="0.3">
      <c r="A6101" s="19"/>
      <c r="B6101" s="36"/>
    </row>
    <row r="6102" spans="1:2" x14ac:dyDescent="0.3">
      <c r="A6102" s="19"/>
      <c r="B6102" s="36"/>
    </row>
    <row r="6103" spans="1:2" x14ac:dyDescent="0.3">
      <c r="A6103" s="19"/>
      <c r="B6103" s="36"/>
    </row>
    <row r="6104" spans="1:2" x14ac:dyDescent="0.3">
      <c r="A6104" s="19"/>
      <c r="B6104" s="36"/>
    </row>
    <row r="6105" spans="1:2" x14ac:dyDescent="0.3">
      <c r="A6105" s="19"/>
      <c r="B6105" s="36"/>
    </row>
    <row r="6106" spans="1:2" x14ac:dyDescent="0.3">
      <c r="A6106" s="19"/>
      <c r="B6106" s="36"/>
    </row>
    <row r="6107" spans="1:2" x14ac:dyDescent="0.3">
      <c r="A6107" s="19"/>
      <c r="B6107" s="36"/>
    </row>
    <row r="6108" spans="1:2" x14ac:dyDescent="0.3">
      <c r="A6108" s="19"/>
      <c r="B6108" s="36"/>
    </row>
    <row r="6109" spans="1:2" x14ac:dyDescent="0.3">
      <c r="A6109" s="19"/>
      <c r="B6109" s="36"/>
    </row>
    <row r="6110" spans="1:2" x14ac:dyDescent="0.3">
      <c r="A6110" s="19"/>
      <c r="B6110" s="36"/>
    </row>
    <row r="6111" spans="1:2" x14ac:dyDescent="0.3">
      <c r="A6111" s="19"/>
      <c r="B6111" s="36"/>
    </row>
    <row r="6112" spans="1:2" x14ac:dyDescent="0.3">
      <c r="A6112" s="19"/>
      <c r="B6112" s="36"/>
    </row>
    <row r="6113" spans="1:2" x14ac:dyDescent="0.3">
      <c r="A6113" s="19"/>
      <c r="B6113" s="36"/>
    </row>
    <row r="6114" spans="1:2" x14ac:dyDescent="0.3">
      <c r="A6114" s="19"/>
      <c r="B6114" s="36"/>
    </row>
    <row r="6115" spans="1:2" x14ac:dyDescent="0.3">
      <c r="A6115" s="19"/>
      <c r="B6115" s="36"/>
    </row>
    <row r="6116" spans="1:2" x14ac:dyDescent="0.3">
      <c r="A6116" s="19"/>
      <c r="B6116" s="36"/>
    </row>
    <row r="6117" spans="1:2" x14ac:dyDescent="0.3">
      <c r="A6117" s="19"/>
      <c r="B6117" s="36"/>
    </row>
    <row r="6118" spans="1:2" x14ac:dyDescent="0.3">
      <c r="A6118" s="19"/>
      <c r="B6118" s="36"/>
    </row>
    <row r="6119" spans="1:2" x14ac:dyDescent="0.3">
      <c r="A6119" s="19"/>
      <c r="B6119" s="36"/>
    </row>
    <row r="6120" spans="1:2" x14ac:dyDescent="0.3">
      <c r="A6120" s="19"/>
      <c r="B6120" s="36"/>
    </row>
    <row r="6121" spans="1:2" x14ac:dyDescent="0.3">
      <c r="A6121" s="19"/>
      <c r="B6121" s="36"/>
    </row>
    <row r="6122" spans="1:2" x14ac:dyDescent="0.3">
      <c r="A6122" s="19"/>
      <c r="B6122" s="36"/>
    </row>
    <row r="6123" spans="1:2" x14ac:dyDescent="0.3">
      <c r="A6123" s="19"/>
      <c r="B6123" s="36"/>
    </row>
    <row r="6124" spans="1:2" x14ac:dyDescent="0.3">
      <c r="A6124" s="19"/>
      <c r="B6124" s="36"/>
    </row>
    <row r="6125" spans="1:2" x14ac:dyDescent="0.3">
      <c r="A6125" s="19"/>
      <c r="B6125" s="36"/>
    </row>
    <row r="6126" spans="1:2" x14ac:dyDescent="0.3">
      <c r="A6126" s="19"/>
      <c r="B6126" s="36"/>
    </row>
    <row r="6127" spans="1:2" x14ac:dyDescent="0.3">
      <c r="A6127" s="19"/>
      <c r="B6127" s="36"/>
    </row>
    <row r="6128" spans="1:2" x14ac:dyDescent="0.3">
      <c r="A6128" s="19"/>
      <c r="B6128" s="36"/>
    </row>
    <row r="6129" spans="1:2" x14ac:dyDescent="0.3">
      <c r="A6129" s="19"/>
      <c r="B6129" s="36"/>
    </row>
    <row r="6130" spans="1:2" x14ac:dyDescent="0.3">
      <c r="A6130" s="19"/>
      <c r="B6130" s="36"/>
    </row>
    <row r="6131" spans="1:2" x14ac:dyDescent="0.3">
      <c r="A6131" s="19"/>
      <c r="B6131" s="36"/>
    </row>
    <row r="6132" spans="1:2" x14ac:dyDescent="0.3">
      <c r="A6132" s="19"/>
      <c r="B6132" s="36"/>
    </row>
    <row r="6133" spans="1:2" x14ac:dyDescent="0.3">
      <c r="A6133" s="19"/>
      <c r="B6133" s="36"/>
    </row>
    <row r="6134" spans="1:2" x14ac:dyDescent="0.3">
      <c r="A6134" s="19"/>
      <c r="B6134" s="36"/>
    </row>
    <row r="6135" spans="1:2" x14ac:dyDescent="0.3">
      <c r="A6135" s="19"/>
      <c r="B6135" s="36"/>
    </row>
    <row r="6136" spans="1:2" x14ac:dyDescent="0.3">
      <c r="A6136" s="19"/>
      <c r="B6136" s="36"/>
    </row>
    <row r="6137" spans="1:2" x14ac:dyDescent="0.3">
      <c r="A6137" s="19"/>
      <c r="B6137" s="36"/>
    </row>
    <row r="6138" spans="1:2" x14ac:dyDescent="0.3">
      <c r="A6138" s="19"/>
      <c r="B6138" s="36"/>
    </row>
    <row r="6139" spans="1:2" x14ac:dyDescent="0.3">
      <c r="A6139" s="19"/>
      <c r="B6139" s="36"/>
    </row>
    <row r="6140" spans="1:2" x14ac:dyDescent="0.3">
      <c r="A6140" s="19"/>
      <c r="B6140" s="36"/>
    </row>
    <row r="6141" spans="1:2" x14ac:dyDescent="0.3">
      <c r="A6141" s="19"/>
      <c r="B6141" s="36"/>
    </row>
    <row r="6142" spans="1:2" x14ac:dyDescent="0.3">
      <c r="A6142" s="19"/>
      <c r="B6142" s="36"/>
    </row>
    <row r="6143" spans="1:2" x14ac:dyDescent="0.3">
      <c r="A6143" s="19"/>
      <c r="B6143" s="36"/>
    </row>
    <row r="6144" spans="1:2" x14ac:dyDescent="0.3">
      <c r="A6144" s="19"/>
      <c r="B6144" s="36"/>
    </row>
    <row r="6145" spans="1:2" x14ac:dyDescent="0.3">
      <c r="A6145" s="19"/>
      <c r="B6145" s="36"/>
    </row>
    <row r="6146" spans="1:2" x14ac:dyDescent="0.3">
      <c r="A6146" s="19"/>
      <c r="B6146" s="36"/>
    </row>
    <row r="6147" spans="1:2" x14ac:dyDescent="0.3">
      <c r="A6147" s="19"/>
      <c r="B6147" s="36"/>
    </row>
    <row r="6148" spans="1:2" x14ac:dyDescent="0.3">
      <c r="A6148" s="19"/>
      <c r="B6148" s="36"/>
    </row>
    <row r="6149" spans="1:2" x14ac:dyDescent="0.3">
      <c r="A6149" s="19"/>
      <c r="B6149" s="36"/>
    </row>
    <row r="6150" spans="1:2" x14ac:dyDescent="0.3">
      <c r="A6150" s="19"/>
      <c r="B6150" s="36"/>
    </row>
    <row r="6151" spans="1:2" x14ac:dyDescent="0.3">
      <c r="A6151" s="19"/>
      <c r="B6151" s="36"/>
    </row>
    <row r="6152" spans="1:2" x14ac:dyDescent="0.3">
      <c r="A6152" s="19"/>
      <c r="B6152" s="36"/>
    </row>
    <row r="6153" spans="1:2" x14ac:dyDescent="0.3">
      <c r="A6153" s="19"/>
      <c r="B6153" s="36"/>
    </row>
    <row r="6154" spans="1:2" x14ac:dyDescent="0.3">
      <c r="A6154" s="19"/>
      <c r="B6154" s="36"/>
    </row>
    <row r="6155" spans="1:2" x14ac:dyDescent="0.3">
      <c r="A6155" s="19"/>
      <c r="B6155" s="36"/>
    </row>
    <row r="6156" spans="1:2" x14ac:dyDescent="0.3">
      <c r="A6156" s="19"/>
      <c r="B6156" s="36"/>
    </row>
    <row r="6157" spans="1:2" x14ac:dyDescent="0.3">
      <c r="A6157" s="19"/>
      <c r="B6157" s="36"/>
    </row>
    <row r="6158" spans="1:2" x14ac:dyDescent="0.3">
      <c r="A6158" s="19"/>
      <c r="B6158" s="36"/>
    </row>
    <row r="6159" spans="1:2" x14ac:dyDescent="0.3">
      <c r="A6159" s="19"/>
      <c r="B6159" s="36"/>
    </row>
    <row r="6160" spans="1:2" x14ac:dyDescent="0.3">
      <c r="A6160" s="19"/>
      <c r="B6160" s="36"/>
    </row>
    <row r="6161" spans="1:2" x14ac:dyDescent="0.3">
      <c r="A6161" s="19"/>
      <c r="B6161" s="36"/>
    </row>
    <row r="6162" spans="1:2" x14ac:dyDescent="0.3">
      <c r="A6162" s="19"/>
      <c r="B6162" s="36"/>
    </row>
    <row r="6163" spans="1:2" x14ac:dyDescent="0.3">
      <c r="A6163" s="19"/>
      <c r="B6163" s="36"/>
    </row>
    <row r="6164" spans="1:2" x14ac:dyDescent="0.3">
      <c r="A6164" s="19"/>
      <c r="B6164" s="36"/>
    </row>
    <row r="6165" spans="1:2" x14ac:dyDescent="0.3">
      <c r="A6165" s="19"/>
      <c r="B6165" s="36"/>
    </row>
    <row r="6166" spans="1:2" x14ac:dyDescent="0.3">
      <c r="A6166" s="19"/>
      <c r="B6166" s="36"/>
    </row>
    <row r="6167" spans="1:2" x14ac:dyDescent="0.3">
      <c r="A6167" s="19"/>
      <c r="B6167" s="36"/>
    </row>
    <row r="6168" spans="1:2" x14ac:dyDescent="0.3">
      <c r="A6168" s="19"/>
      <c r="B6168" s="36"/>
    </row>
    <row r="6169" spans="1:2" x14ac:dyDescent="0.3">
      <c r="A6169" s="19"/>
      <c r="B6169" s="36"/>
    </row>
    <row r="6170" spans="1:2" x14ac:dyDescent="0.3">
      <c r="A6170" s="19"/>
      <c r="B6170" s="36"/>
    </row>
    <row r="6171" spans="1:2" x14ac:dyDescent="0.3">
      <c r="A6171" s="19"/>
      <c r="B6171" s="36"/>
    </row>
    <row r="6172" spans="1:2" x14ac:dyDescent="0.3">
      <c r="A6172" s="19"/>
      <c r="B6172" s="36"/>
    </row>
    <row r="6173" spans="1:2" x14ac:dyDescent="0.3">
      <c r="A6173" s="19"/>
      <c r="B6173" s="36"/>
    </row>
    <row r="6174" spans="1:2" x14ac:dyDescent="0.3">
      <c r="A6174" s="19"/>
      <c r="B6174" s="36"/>
    </row>
    <row r="6175" spans="1:2" x14ac:dyDescent="0.3">
      <c r="A6175" s="19"/>
      <c r="B6175" s="36"/>
    </row>
    <row r="6176" spans="1:2" x14ac:dyDescent="0.3">
      <c r="A6176" s="19"/>
      <c r="B6176" s="36"/>
    </row>
    <row r="6177" spans="1:2" x14ac:dyDescent="0.3">
      <c r="A6177" s="19"/>
      <c r="B6177" s="36"/>
    </row>
    <row r="6178" spans="1:2" x14ac:dyDescent="0.3">
      <c r="A6178" s="19"/>
      <c r="B6178" s="36"/>
    </row>
    <row r="6179" spans="1:2" x14ac:dyDescent="0.3">
      <c r="A6179" s="19"/>
      <c r="B6179" s="36"/>
    </row>
    <row r="6180" spans="1:2" x14ac:dyDescent="0.3">
      <c r="A6180" s="19"/>
      <c r="B6180" s="36"/>
    </row>
    <row r="6181" spans="1:2" x14ac:dyDescent="0.3">
      <c r="A6181" s="19"/>
      <c r="B6181" s="36"/>
    </row>
    <row r="6182" spans="1:2" x14ac:dyDescent="0.3">
      <c r="A6182" s="19"/>
      <c r="B6182" s="36"/>
    </row>
    <row r="6183" spans="1:2" x14ac:dyDescent="0.3">
      <c r="A6183" s="19"/>
      <c r="B6183" s="36"/>
    </row>
    <row r="6184" spans="1:2" x14ac:dyDescent="0.3">
      <c r="A6184" s="19"/>
      <c r="B6184" s="36"/>
    </row>
    <row r="6185" spans="1:2" x14ac:dyDescent="0.3">
      <c r="A6185" s="19"/>
      <c r="B6185" s="36"/>
    </row>
    <row r="6186" spans="1:2" x14ac:dyDescent="0.3">
      <c r="A6186" s="19"/>
      <c r="B6186" s="36"/>
    </row>
    <row r="6187" spans="1:2" x14ac:dyDescent="0.3">
      <c r="A6187" s="19"/>
      <c r="B6187" s="36"/>
    </row>
    <row r="6188" spans="1:2" x14ac:dyDescent="0.3">
      <c r="A6188" s="19"/>
      <c r="B6188" s="36"/>
    </row>
    <row r="6189" spans="1:2" x14ac:dyDescent="0.3">
      <c r="A6189" s="19"/>
      <c r="B6189" s="36"/>
    </row>
    <row r="6190" spans="1:2" x14ac:dyDescent="0.3">
      <c r="A6190" s="19"/>
      <c r="B6190" s="36"/>
    </row>
    <row r="6191" spans="1:2" x14ac:dyDescent="0.3">
      <c r="A6191" s="19"/>
      <c r="B6191" s="36"/>
    </row>
    <row r="6192" spans="1:2" x14ac:dyDescent="0.3">
      <c r="A6192" s="19"/>
      <c r="B6192" s="36"/>
    </row>
    <row r="6193" spans="1:2" x14ac:dyDescent="0.3">
      <c r="A6193" s="19"/>
      <c r="B6193" s="36"/>
    </row>
    <row r="6194" spans="1:2" x14ac:dyDescent="0.3">
      <c r="A6194" s="19"/>
      <c r="B6194" s="36"/>
    </row>
    <row r="6195" spans="1:2" x14ac:dyDescent="0.3">
      <c r="A6195" s="19"/>
      <c r="B6195" s="36"/>
    </row>
    <row r="6196" spans="1:2" x14ac:dyDescent="0.3">
      <c r="A6196" s="19"/>
      <c r="B6196" s="36"/>
    </row>
    <row r="6197" spans="1:2" x14ac:dyDescent="0.3">
      <c r="A6197" s="19"/>
      <c r="B6197" s="36"/>
    </row>
    <row r="6198" spans="1:2" x14ac:dyDescent="0.3">
      <c r="A6198" s="19"/>
      <c r="B6198" s="36"/>
    </row>
    <row r="6199" spans="1:2" x14ac:dyDescent="0.3">
      <c r="A6199" s="19"/>
      <c r="B6199" s="36"/>
    </row>
    <row r="6200" spans="1:2" x14ac:dyDescent="0.3">
      <c r="A6200" s="19"/>
      <c r="B6200" s="36"/>
    </row>
    <row r="6201" spans="1:2" x14ac:dyDescent="0.3">
      <c r="A6201" s="19"/>
      <c r="B6201" s="36"/>
    </row>
    <row r="6202" spans="1:2" x14ac:dyDescent="0.3">
      <c r="A6202" s="19"/>
      <c r="B6202" s="36"/>
    </row>
    <row r="6203" spans="1:2" x14ac:dyDescent="0.3">
      <c r="A6203" s="19"/>
      <c r="B6203" s="36"/>
    </row>
    <row r="6204" spans="1:2" x14ac:dyDescent="0.3">
      <c r="A6204" s="19"/>
      <c r="B6204" s="36"/>
    </row>
    <row r="6205" spans="1:2" x14ac:dyDescent="0.3">
      <c r="A6205" s="19"/>
      <c r="B6205" s="36"/>
    </row>
    <row r="6206" spans="1:2" x14ac:dyDescent="0.3">
      <c r="A6206" s="19"/>
      <c r="B6206" s="36"/>
    </row>
    <row r="6207" spans="1:2" x14ac:dyDescent="0.3">
      <c r="A6207" s="19"/>
      <c r="B6207" s="36"/>
    </row>
    <row r="6208" spans="1:2" x14ac:dyDescent="0.3">
      <c r="A6208" s="19"/>
      <c r="B6208" s="36"/>
    </row>
    <row r="6209" spans="1:2" x14ac:dyDescent="0.3">
      <c r="A6209" s="19"/>
      <c r="B6209" s="36"/>
    </row>
    <row r="6210" spans="1:2" x14ac:dyDescent="0.3">
      <c r="A6210" s="19"/>
      <c r="B6210" s="36"/>
    </row>
    <row r="6211" spans="1:2" x14ac:dyDescent="0.3">
      <c r="A6211" s="19"/>
      <c r="B6211" s="36"/>
    </row>
    <row r="6212" spans="1:2" x14ac:dyDescent="0.3">
      <c r="A6212" s="19"/>
      <c r="B6212" s="36"/>
    </row>
    <row r="6213" spans="1:2" x14ac:dyDescent="0.3">
      <c r="A6213" s="19"/>
      <c r="B6213" s="36"/>
    </row>
    <row r="6214" spans="1:2" x14ac:dyDescent="0.3">
      <c r="A6214" s="19"/>
      <c r="B6214" s="36"/>
    </row>
    <row r="6215" spans="1:2" x14ac:dyDescent="0.3">
      <c r="A6215" s="19"/>
      <c r="B6215" s="36"/>
    </row>
    <row r="6216" spans="1:2" x14ac:dyDescent="0.3">
      <c r="A6216" s="19"/>
      <c r="B6216" s="36"/>
    </row>
    <row r="6217" spans="1:2" x14ac:dyDescent="0.3">
      <c r="A6217" s="19"/>
      <c r="B6217" s="36"/>
    </row>
    <row r="6218" spans="1:2" x14ac:dyDescent="0.3">
      <c r="A6218" s="19"/>
      <c r="B6218" s="36"/>
    </row>
    <row r="6219" spans="1:2" x14ac:dyDescent="0.3">
      <c r="A6219" s="19"/>
      <c r="B6219" s="36"/>
    </row>
    <row r="6220" spans="1:2" x14ac:dyDescent="0.3">
      <c r="A6220" s="19"/>
      <c r="B6220" s="36"/>
    </row>
    <row r="6221" spans="1:2" x14ac:dyDescent="0.3">
      <c r="A6221" s="19"/>
      <c r="B6221" s="36"/>
    </row>
    <row r="6222" spans="1:2" x14ac:dyDescent="0.3">
      <c r="A6222" s="19"/>
      <c r="B6222" s="36"/>
    </row>
    <row r="6223" spans="1:2" x14ac:dyDescent="0.3">
      <c r="A6223" s="19"/>
      <c r="B6223" s="36"/>
    </row>
    <row r="6224" spans="1:2" x14ac:dyDescent="0.3">
      <c r="A6224" s="19"/>
      <c r="B6224" s="36"/>
    </row>
    <row r="6225" spans="1:2" x14ac:dyDescent="0.3">
      <c r="A6225" s="19"/>
      <c r="B6225" s="36"/>
    </row>
    <row r="6226" spans="1:2" x14ac:dyDescent="0.3">
      <c r="A6226" s="19"/>
      <c r="B6226" s="36"/>
    </row>
    <row r="6227" spans="1:2" x14ac:dyDescent="0.3">
      <c r="A6227" s="19"/>
      <c r="B6227" s="36"/>
    </row>
    <row r="6228" spans="1:2" x14ac:dyDescent="0.3">
      <c r="A6228" s="19"/>
      <c r="B6228" s="36"/>
    </row>
    <row r="6229" spans="1:2" x14ac:dyDescent="0.3">
      <c r="A6229" s="19"/>
      <c r="B6229" s="36"/>
    </row>
    <row r="6230" spans="1:2" x14ac:dyDescent="0.3">
      <c r="A6230" s="19"/>
      <c r="B6230" s="36"/>
    </row>
    <row r="6231" spans="1:2" x14ac:dyDescent="0.3">
      <c r="A6231" s="19"/>
      <c r="B6231" s="36"/>
    </row>
    <row r="6232" spans="1:2" x14ac:dyDescent="0.3">
      <c r="A6232" s="19"/>
      <c r="B6232" s="36"/>
    </row>
    <row r="6233" spans="1:2" x14ac:dyDescent="0.3">
      <c r="A6233" s="19"/>
      <c r="B6233" s="36"/>
    </row>
    <row r="6234" spans="1:2" x14ac:dyDescent="0.3">
      <c r="A6234" s="19"/>
      <c r="B6234" s="36"/>
    </row>
    <row r="6235" spans="1:2" x14ac:dyDescent="0.3">
      <c r="A6235" s="19"/>
      <c r="B6235" s="36"/>
    </row>
    <row r="6236" spans="1:2" x14ac:dyDescent="0.3">
      <c r="A6236" s="19"/>
      <c r="B6236" s="36"/>
    </row>
    <row r="6237" spans="1:2" x14ac:dyDescent="0.3">
      <c r="A6237" s="19"/>
      <c r="B6237" s="36"/>
    </row>
    <row r="6238" spans="1:2" x14ac:dyDescent="0.3">
      <c r="A6238" s="19"/>
      <c r="B6238" s="36"/>
    </row>
    <row r="6239" spans="1:2" x14ac:dyDescent="0.3">
      <c r="A6239" s="19"/>
      <c r="B6239" s="36"/>
    </row>
    <row r="6240" spans="1:2" x14ac:dyDescent="0.3">
      <c r="A6240" s="19"/>
      <c r="B6240" s="36"/>
    </row>
    <row r="6241" spans="1:2" x14ac:dyDescent="0.3">
      <c r="A6241" s="19"/>
      <c r="B6241" s="36"/>
    </row>
    <row r="6242" spans="1:2" x14ac:dyDescent="0.3">
      <c r="A6242" s="19"/>
      <c r="B6242" s="36"/>
    </row>
    <row r="6243" spans="1:2" x14ac:dyDescent="0.3">
      <c r="A6243" s="19"/>
      <c r="B6243" s="36"/>
    </row>
    <row r="6244" spans="1:2" x14ac:dyDescent="0.3">
      <c r="A6244" s="19"/>
      <c r="B6244" s="36"/>
    </row>
    <row r="6245" spans="1:2" x14ac:dyDescent="0.3">
      <c r="A6245" s="19"/>
      <c r="B6245" s="36"/>
    </row>
    <row r="6246" spans="1:2" x14ac:dyDescent="0.3">
      <c r="A6246" s="19"/>
      <c r="B6246" s="36"/>
    </row>
    <row r="6247" spans="1:2" x14ac:dyDescent="0.3">
      <c r="A6247" s="19"/>
      <c r="B6247" s="36"/>
    </row>
    <row r="6248" spans="1:2" x14ac:dyDescent="0.3">
      <c r="A6248" s="19"/>
      <c r="B6248" s="36"/>
    </row>
    <row r="6249" spans="1:2" x14ac:dyDescent="0.3">
      <c r="A6249" s="19"/>
      <c r="B6249" s="36"/>
    </row>
    <row r="6250" spans="1:2" x14ac:dyDescent="0.3">
      <c r="A6250" s="19"/>
      <c r="B6250" s="36"/>
    </row>
    <row r="6251" spans="1:2" x14ac:dyDescent="0.3">
      <c r="A6251" s="19"/>
      <c r="B6251" s="36"/>
    </row>
    <row r="6252" spans="1:2" x14ac:dyDescent="0.3">
      <c r="A6252" s="19"/>
      <c r="B6252" s="36"/>
    </row>
    <row r="6253" spans="1:2" x14ac:dyDescent="0.3">
      <c r="A6253" s="19"/>
      <c r="B6253" s="36"/>
    </row>
    <row r="6254" spans="1:2" x14ac:dyDescent="0.3">
      <c r="A6254" s="19"/>
      <c r="B6254" s="36"/>
    </row>
    <row r="6255" spans="1:2" x14ac:dyDescent="0.3">
      <c r="A6255" s="19"/>
      <c r="B6255" s="36"/>
    </row>
    <row r="6256" spans="1:2" x14ac:dyDescent="0.3">
      <c r="A6256" s="19"/>
      <c r="B6256" s="36"/>
    </row>
    <row r="6257" spans="1:2" x14ac:dyDescent="0.3">
      <c r="A6257" s="19"/>
      <c r="B6257" s="36"/>
    </row>
    <row r="6258" spans="1:2" x14ac:dyDescent="0.3">
      <c r="A6258" s="19"/>
      <c r="B6258" s="36"/>
    </row>
    <row r="6259" spans="1:2" x14ac:dyDescent="0.3">
      <c r="A6259" s="19"/>
      <c r="B6259" s="36"/>
    </row>
    <row r="6260" spans="1:2" x14ac:dyDescent="0.3">
      <c r="A6260" s="19"/>
      <c r="B6260" s="36"/>
    </row>
    <row r="6261" spans="1:2" x14ac:dyDescent="0.3">
      <c r="A6261" s="19"/>
      <c r="B6261" s="36"/>
    </row>
    <row r="6262" spans="1:2" x14ac:dyDescent="0.3">
      <c r="A6262" s="19"/>
      <c r="B6262" s="36"/>
    </row>
    <row r="6263" spans="1:2" x14ac:dyDescent="0.3">
      <c r="A6263" s="19"/>
      <c r="B6263" s="36"/>
    </row>
    <row r="6264" spans="1:2" x14ac:dyDescent="0.3">
      <c r="A6264" s="19"/>
      <c r="B6264" s="36"/>
    </row>
    <row r="6265" spans="1:2" x14ac:dyDescent="0.3">
      <c r="A6265" s="19"/>
      <c r="B6265" s="36"/>
    </row>
    <row r="6266" spans="1:2" x14ac:dyDescent="0.3">
      <c r="A6266" s="19"/>
      <c r="B6266" s="36"/>
    </row>
    <row r="6267" spans="1:2" x14ac:dyDescent="0.3">
      <c r="A6267" s="19"/>
      <c r="B6267" s="36"/>
    </row>
    <row r="6268" spans="1:2" x14ac:dyDescent="0.3">
      <c r="A6268" s="19"/>
      <c r="B6268" s="36"/>
    </row>
    <row r="6269" spans="1:2" x14ac:dyDescent="0.3">
      <c r="A6269" s="19"/>
      <c r="B6269" s="36"/>
    </row>
    <row r="6270" spans="1:2" x14ac:dyDescent="0.3">
      <c r="A6270" s="19"/>
      <c r="B6270" s="36"/>
    </row>
    <row r="6271" spans="1:2" x14ac:dyDescent="0.3">
      <c r="A6271" s="19"/>
      <c r="B6271" s="36"/>
    </row>
    <row r="6272" spans="1:2" x14ac:dyDescent="0.3">
      <c r="A6272" s="19"/>
      <c r="B6272" s="36"/>
    </row>
    <row r="6273" spans="1:2" x14ac:dyDescent="0.3">
      <c r="A6273" s="19"/>
      <c r="B6273" s="36"/>
    </row>
    <row r="6274" spans="1:2" x14ac:dyDescent="0.3">
      <c r="A6274" s="19"/>
      <c r="B6274" s="36"/>
    </row>
    <row r="6275" spans="1:2" x14ac:dyDescent="0.3">
      <c r="A6275" s="19"/>
      <c r="B6275" s="36"/>
    </row>
    <row r="6276" spans="1:2" x14ac:dyDescent="0.3">
      <c r="A6276" s="19"/>
      <c r="B6276" s="36"/>
    </row>
    <row r="6277" spans="1:2" x14ac:dyDescent="0.3">
      <c r="A6277" s="19"/>
      <c r="B6277" s="36"/>
    </row>
    <row r="6278" spans="1:2" x14ac:dyDescent="0.3">
      <c r="A6278" s="19"/>
      <c r="B6278" s="36"/>
    </row>
    <row r="6279" spans="1:2" x14ac:dyDescent="0.3">
      <c r="A6279" s="19"/>
      <c r="B6279" s="36"/>
    </row>
    <row r="6280" spans="1:2" x14ac:dyDescent="0.3">
      <c r="A6280" s="19"/>
      <c r="B6280" s="36"/>
    </row>
    <row r="6281" spans="1:2" x14ac:dyDescent="0.3">
      <c r="A6281" s="19"/>
      <c r="B6281" s="36"/>
    </row>
    <row r="6282" spans="1:2" x14ac:dyDescent="0.3">
      <c r="A6282" s="19"/>
      <c r="B6282" s="36"/>
    </row>
    <row r="6283" spans="1:2" x14ac:dyDescent="0.3">
      <c r="A6283" s="19"/>
      <c r="B6283" s="36"/>
    </row>
    <row r="6284" spans="1:2" x14ac:dyDescent="0.3">
      <c r="A6284" s="19"/>
      <c r="B6284" s="36"/>
    </row>
    <row r="6285" spans="1:2" x14ac:dyDescent="0.3">
      <c r="A6285" s="19"/>
      <c r="B6285" s="36"/>
    </row>
    <row r="6286" spans="1:2" x14ac:dyDescent="0.3">
      <c r="A6286" s="19"/>
      <c r="B6286" s="36"/>
    </row>
    <row r="6287" spans="1:2" x14ac:dyDescent="0.3">
      <c r="A6287" s="19"/>
      <c r="B6287" s="36"/>
    </row>
    <row r="6288" spans="1:2" x14ac:dyDescent="0.3">
      <c r="A6288" s="19"/>
      <c r="B6288" s="36"/>
    </row>
    <row r="6289" spans="1:2" x14ac:dyDescent="0.3">
      <c r="A6289" s="19"/>
      <c r="B6289" s="36"/>
    </row>
    <row r="6290" spans="1:2" x14ac:dyDescent="0.3">
      <c r="A6290" s="19"/>
      <c r="B6290" s="36"/>
    </row>
    <row r="6291" spans="1:2" x14ac:dyDescent="0.3">
      <c r="A6291" s="19"/>
      <c r="B6291" s="36"/>
    </row>
    <row r="6292" spans="1:2" x14ac:dyDescent="0.3">
      <c r="A6292" s="19"/>
      <c r="B6292" s="36"/>
    </row>
    <row r="6293" spans="1:2" x14ac:dyDescent="0.3">
      <c r="A6293" s="19"/>
      <c r="B6293" s="36"/>
    </row>
    <row r="6294" spans="1:2" x14ac:dyDescent="0.3">
      <c r="A6294" s="19"/>
      <c r="B6294" s="36"/>
    </row>
    <row r="6295" spans="1:2" x14ac:dyDescent="0.3">
      <c r="A6295" s="19"/>
      <c r="B6295" s="36"/>
    </row>
    <row r="6296" spans="1:2" x14ac:dyDescent="0.3">
      <c r="A6296" s="19"/>
      <c r="B6296" s="36"/>
    </row>
    <row r="6297" spans="1:2" x14ac:dyDescent="0.3">
      <c r="A6297" s="19"/>
      <c r="B6297" s="36"/>
    </row>
    <row r="6298" spans="1:2" x14ac:dyDescent="0.3">
      <c r="A6298" s="19"/>
      <c r="B6298" s="36"/>
    </row>
    <row r="6299" spans="1:2" x14ac:dyDescent="0.3">
      <c r="A6299" s="19"/>
      <c r="B6299" s="36"/>
    </row>
    <row r="6300" spans="1:2" x14ac:dyDescent="0.3">
      <c r="A6300" s="19"/>
      <c r="B6300" s="36"/>
    </row>
    <row r="6301" spans="1:2" x14ac:dyDescent="0.3">
      <c r="A6301" s="19"/>
      <c r="B6301" s="36"/>
    </row>
    <row r="6302" spans="1:2" x14ac:dyDescent="0.3">
      <c r="A6302" s="19"/>
      <c r="B6302" s="36"/>
    </row>
    <row r="6303" spans="1:2" x14ac:dyDescent="0.3">
      <c r="A6303" s="19"/>
      <c r="B6303" s="36"/>
    </row>
    <row r="6304" spans="1:2" x14ac:dyDescent="0.3">
      <c r="A6304" s="19"/>
      <c r="B6304" s="36"/>
    </row>
    <row r="6305" spans="1:2" x14ac:dyDescent="0.3">
      <c r="A6305" s="19"/>
      <c r="B6305" s="36"/>
    </row>
    <row r="6306" spans="1:2" x14ac:dyDescent="0.3">
      <c r="A6306" s="19"/>
      <c r="B6306" s="36"/>
    </row>
    <row r="6307" spans="1:2" x14ac:dyDescent="0.3">
      <c r="A6307" s="19"/>
      <c r="B6307" s="36"/>
    </row>
    <row r="6308" spans="1:2" x14ac:dyDescent="0.3">
      <c r="A6308" s="19"/>
      <c r="B6308" s="36"/>
    </row>
    <row r="6309" spans="1:2" x14ac:dyDescent="0.3">
      <c r="A6309" s="19"/>
      <c r="B6309" s="36"/>
    </row>
    <row r="6310" spans="1:2" x14ac:dyDescent="0.3">
      <c r="A6310" s="19"/>
      <c r="B6310" s="36"/>
    </row>
    <row r="6311" spans="1:2" x14ac:dyDescent="0.3">
      <c r="A6311" s="19"/>
      <c r="B6311" s="36"/>
    </row>
    <row r="6312" spans="1:2" x14ac:dyDescent="0.3">
      <c r="A6312" s="19"/>
      <c r="B6312" s="36"/>
    </row>
    <row r="6313" spans="1:2" x14ac:dyDescent="0.3">
      <c r="A6313" s="19"/>
      <c r="B6313" s="36"/>
    </row>
    <row r="6314" spans="1:2" x14ac:dyDescent="0.3">
      <c r="A6314" s="19"/>
      <c r="B6314" s="36"/>
    </row>
    <row r="6315" spans="1:2" x14ac:dyDescent="0.3">
      <c r="A6315" s="19"/>
      <c r="B6315" s="36"/>
    </row>
    <row r="6316" spans="1:2" x14ac:dyDescent="0.3">
      <c r="A6316" s="19"/>
      <c r="B6316" s="36"/>
    </row>
    <row r="6317" spans="1:2" x14ac:dyDescent="0.3">
      <c r="A6317" s="19"/>
      <c r="B6317" s="36"/>
    </row>
    <row r="6318" spans="1:2" x14ac:dyDescent="0.3">
      <c r="A6318" s="19"/>
      <c r="B6318" s="36"/>
    </row>
    <row r="6319" spans="1:2" x14ac:dyDescent="0.3">
      <c r="A6319" s="19"/>
      <c r="B6319" s="36"/>
    </row>
    <row r="6320" spans="1:2" x14ac:dyDescent="0.3">
      <c r="A6320" s="19"/>
      <c r="B6320" s="36"/>
    </row>
    <row r="6321" spans="1:2" x14ac:dyDescent="0.3">
      <c r="A6321" s="19"/>
      <c r="B6321" s="36"/>
    </row>
    <row r="6322" spans="1:2" x14ac:dyDescent="0.3">
      <c r="A6322" s="19"/>
      <c r="B6322" s="36"/>
    </row>
    <row r="6323" spans="1:2" x14ac:dyDescent="0.3">
      <c r="A6323" s="19"/>
      <c r="B6323" s="36"/>
    </row>
    <row r="6324" spans="1:2" x14ac:dyDescent="0.3">
      <c r="A6324" s="19"/>
      <c r="B6324" s="36"/>
    </row>
    <row r="6325" spans="1:2" x14ac:dyDescent="0.3">
      <c r="A6325" s="19"/>
      <c r="B6325" s="36"/>
    </row>
    <row r="6326" spans="1:2" x14ac:dyDescent="0.3">
      <c r="A6326" s="19"/>
      <c r="B6326" s="36"/>
    </row>
    <row r="6327" spans="1:2" x14ac:dyDescent="0.3">
      <c r="A6327" s="19"/>
      <c r="B6327" s="36"/>
    </row>
    <row r="6328" spans="1:2" x14ac:dyDescent="0.3">
      <c r="A6328" s="19"/>
      <c r="B6328" s="36"/>
    </row>
    <row r="6329" spans="1:2" x14ac:dyDescent="0.3">
      <c r="A6329" s="19"/>
      <c r="B6329" s="36"/>
    </row>
    <row r="6330" spans="1:2" x14ac:dyDescent="0.3">
      <c r="A6330" s="19"/>
      <c r="B6330" s="36"/>
    </row>
    <row r="6331" spans="1:2" x14ac:dyDescent="0.3">
      <c r="A6331" s="19"/>
      <c r="B6331" s="36"/>
    </row>
    <row r="6332" spans="1:2" x14ac:dyDescent="0.3">
      <c r="A6332" s="19"/>
      <c r="B6332" s="36"/>
    </row>
    <row r="6333" spans="1:2" x14ac:dyDescent="0.3">
      <c r="A6333" s="19"/>
      <c r="B6333" s="36"/>
    </row>
    <row r="6334" spans="1:2" x14ac:dyDescent="0.3">
      <c r="A6334" s="19"/>
      <c r="B6334" s="36"/>
    </row>
    <row r="6335" spans="1:2" x14ac:dyDescent="0.3">
      <c r="A6335" s="19"/>
      <c r="B6335" s="36"/>
    </row>
    <row r="6336" spans="1:2" x14ac:dyDescent="0.3">
      <c r="A6336" s="19"/>
      <c r="B6336" s="36"/>
    </row>
    <row r="6337" spans="1:2" x14ac:dyDescent="0.3">
      <c r="A6337" s="19"/>
      <c r="B6337" s="36"/>
    </row>
    <row r="6338" spans="1:2" x14ac:dyDescent="0.3">
      <c r="A6338" s="19"/>
      <c r="B6338" s="36"/>
    </row>
    <row r="6339" spans="1:2" x14ac:dyDescent="0.3">
      <c r="A6339" s="19"/>
      <c r="B6339" s="36"/>
    </row>
    <row r="6340" spans="1:2" x14ac:dyDescent="0.3">
      <c r="A6340" s="19"/>
      <c r="B6340" s="36"/>
    </row>
    <row r="6341" spans="1:2" x14ac:dyDescent="0.3">
      <c r="A6341" s="19"/>
      <c r="B6341" s="36"/>
    </row>
    <row r="6342" spans="1:2" x14ac:dyDescent="0.3">
      <c r="A6342" s="19"/>
      <c r="B6342" s="36"/>
    </row>
    <row r="6343" spans="1:2" x14ac:dyDescent="0.3">
      <c r="A6343" s="19"/>
      <c r="B6343" s="36"/>
    </row>
    <row r="6344" spans="1:2" x14ac:dyDescent="0.3">
      <c r="A6344" s="19"/>
      <c r="B6344" s="36"/>
    </row>
    <row r="6345" spans="1:2" x14ac:dyDescent="0.3">
      <c r="A6345" s="19"/>
      <c r="B6345" s="36"/>
    </row>
    <row r="6346" spans="1:2" x14ac:dyDescent="0.3">
      <c r="A6346" s="19"/>
      <c r="B6346" s="36"/>
    </row>
    <row r="6347" spans="1:2" x14ac:dyDescent="0.3">
      <c r="A6347" s="19"/>
      <c r="B6347" s="36"/>
    </row>
    <row r="6348" spans="1:2" x14ac:dyDescent="0.3">
      <c r="A6348" s="19"/>
      <c r="B6348" s="36"/>
    </row>
    <row r="6349" spans="1:2" x14ac:dyDescent="0.3">
      <c r="A6349" s="19"/>
      <c r="B6349" s="36"/>
    </row>
    <row r="6350" spans="1:2" x14ac:dyDescent="0.3">
      <c r="A6350" s="19"/>
      <c r="B6350" s="36"/>
    </row>
    <row r="6351" spans="1:2" x14ac:dyDescent="0.3">
      <c r="A6351" s="19"/>
      <c r="B6351" s="36"/>
    </row>
    <row r="6352" spans="1:2" x14ac:dyDescent="0.3">
      <c r="A6352" s="19"/>
      <c r="B6352" s="36"/>
    </row>
    <row r="6353" spans="1:2" x14ac:dyDescent="0.3">
      <c r="A6353" s="19"/>
      <c r="B6353" s="36"/>
    </row>
    <row r="6354" spans="1:2" x14ac:dyDescent="0.3">
      <c r="A6354" s="19"/>
      <c r="B6354" s="36"/>
    </row>
    <row r="6355" spans="1:2" x14ac:dyDescent="0.3">
      <c r="A6355" s="19"/>
      <c r="B6355" s="36"/>
    </row>
    <row r="6356" spans="1:2" x14ac:dyDescent="0.3">
      <c r="A6356" s="19"/>
      <c r="B6356" s="36"/>
    </row>
    <row r="6357" spans="1:2" x14ac:dyDescent="0.3">
      <c r="A6357" s="19"/>
      <c r="B6357" s="36"/>
    </row>
    <row r="6358" spans="1:2" x14ac:dyDescent="0.3">
      <c r="A6358" s="19"/>
      <c r="B6358" s="36"/>
    </row>
    <row r="6359" spans="1:2" x14ac:dyDescent="0.3">
      <c r="A6359" s="19"/>
      <c r="B6359" s="36"/>
    </row>
    <row r="6360" spans="1:2" x14ac:dyDescent="0.3">
      <c r="A6360" s="19"/>
      <c r="B6360" s="36"/>
    </row>
    <row r="6361" spans="1:2" x14ac:dyDescent="0.3">
      <c r="A6361" s="19"/>
      <c r="B6361" s="36"/>
    </row>
    <row r="6362" spans="1:2" x14ac:dyDescent="0.3">
      <c r="A6362" s="19"/>
      <c r="B6362" s="36"/>
    </row>
    <row r="6363" spans="1:2" x14ac:dyDescent="0.3">
      <c r="A6363" s="19"/>
      <c r="B6363" s="36"/>
    </row>
    <row r="6364" spans="1:2" x14ac:dyDescent="0.3">
      <c r="A6364" s="19"/>
      <c r="B6364" s="36"/>
    </row>
    <row r="6365" spans="1:2" x14ac:dyDescent="0.3">
      <c r="A6365" s="19"/>
      <c r="B6365" s="36"/>
    </row>
    <row r="6366" spans="1:2" x14ac:dyDescent="0.3">
      <c r="A6366" s="19"/>
      <c r="B6366" s="36"/>
    </row>
    <row r="6367" spans="1:2" x14ac:dyDescent="0.3">
      <c r="A6367" s="19"/>
      <c r="B6367" s="36"/>
    </row>
    <row r="6368" spans="1:2" x14ac:dyDescent="0.3">
      <c r="A6368" s="19"/>
      <c r="B6368" s="36"/>
    </row>
    <row r="6369" spans="1:2" x14ac:dyDescent="0.3">
      <c r="A6369" s="19"/>
      <c r="B6369" s="36"/>
    </row>
    <row r="6370" spans="1:2" x14ac:dyDescent="0.3">
      <c r="A6370" s="19"/>
      <c r="B6370" s="36"/>
    </row>
    <row r="6371" spans="1:2" x14ac:dyDescent="0.3">
      <c r="A6371" s="19"/>
      <c r="B6371" s="36"/>
    </row>
    <row r="6372" spans="1:2" x14ac:dyDescent="0.3">
      <c r="A6372" s="19"/>
      <c r="B6372" s="36"/>
    </row>
    <row r="6373" spans="1:2" x14ac:dyDescent="0.3">
      <c r="A6373" s="19"/>
      <c r="B6373" s="36"/>
    </row>
    <row r="6374" spans="1:2" x14ac:dyDescent="0.3">
      <c r="A6374" s="19"/>
      <c r="B6374" s="36"/>
    </row>
    <row r="6375" spans="1:2" x14ac:dyDescent="0.3">
      <c r="A6375" s="19"/>
      <c r="B6375" s="36"/>
    </row>
    <row r="6376" spans="1:2" x14ac:dyDescent="0.3">
      <c r="A6376" s="19"/>
      <c r="B6376" s="36"/>
    </row>
    <row r="6377" spans="1:2" x14ac:dyDescent="0.3">
      <c r="A6377" s="19"/>
      <c r="B6377" s="36"/>
    </row>
    <row r="6378" spans="1:2" x14ac:dyDescent="0.3">
      <c r="A6378" s="19"/>
      <c r="B6378" s="36"/>
    </row>
    <row r="6379" spans="1:2" x14ac:dyDescent="0.3">
      <c r="A6379" s="19"/>
      <c r="B6379" s="36"/>
    </row>
    <row r="6380" spans="1:2" x14ac:dyDescent="0.3">
      <c r="A6380" s="19"/>
      <c r="B6380" s="36"/>
    </row>
    <row r="6381" spans="1:2" x14ac:dyDescent="0.3">
      <c r="A6381" s="19"/>
      <c r="B6381" s="36"/>
    </row>
    <row r="6382" spans="1:2" x14ac:dyDescent="0.3">
      <c r="A6382" s="19"/>
      <c r="B6382" s="36"/>
    </row>
    <row r="6383" spans="1:2" x14ac:dyDescent="0.3">
      <c r="A6383" s="19"/>
      <c r="B6383" s="36"/>
    </row>
    <row r="6384" spans="1:2" x14ac:dyDescent="0.3">
      <c r="A6384" s="19"/>
      <c r="B6384" s="36"/>
    </row>
    <row r="6385" spans="1:2" x14ac:dyDescent="0.3">
      <c r="A6385" s="19"/>
      <c r="B6385" s="36"/>
    </row>
    <row r="6386" spans="1:2" x14ac:dyDescent="0.3">
      <c r="A6386" s="19"/>
      <c r="B6386" s="36"/>
    </row>
    <row r="6387" spans="1:2" x14ac:dyDescent="0.3">
      <c r="A6387" s="19"/>
      <c r="B6387" s="36"/>
    </row>
    <row r="6388" spans="1:2" x14ac:dyDescent="0.3">
      <c r="A6388" s="19"/>
      <c r="B6388" s="36"/>
    </row>
    <row r="6389" spans="1:2" x14ac:dyDescent="0.3">
      <c r="A6389" s="19"/>
      <c r="B6389" s="36"/>
    </row>
    <row r="6390" spans="1:2" x14ac:dyDescent="0.3">
      <c r="A6390" s="19"/>
      <c r="B6390" s="36"/>
    </row>
    <row r="6391" spans="1:2" x14ac:dyDescent="0.3">
      <c r="A6391" s="19"/>
      <c r="B6391" s="36"/>
    </row>
    <row r="6392" spans="1:2" x14ac:dyDescent="0.3">
      <c r="A6392" s="19"/>
      <c r="B6392" s="36"/>
    </row>
    <row r="6393" spans="1:2" x14ac:dyDescent="0.3">
      <c r="A6393" s="19"/>
      <c r="B6393" s="36"/>
    </row>
    <row r="6394" spans="1:2" x14ac:dyDescent="0.3">
      <c r="A6394" s="19"/>
      <c r="B6394" s="36"/>
    </row>
    <row r="6395" spans="1:2" x14ac:dyDescent="0.3">
      <c r="A6395" s="19"/>
      <c r="B6395" s="36"/>
    </row>
    <row r="6396" spans="1:2" x14ac:dyDescent="0.3">
      <c r="A6396" s="19"/>
      <c r="B6396" s="36"/>
    </row>
    <row r="6397" spans="1:2" x14ac:dyDescent="0.3">
      <c r="A6397" s="19"/>
      <c r="B6397" s="36"/>
    </row>
    <row r="6398" spans="1:2" x14ac:dyDescent="0.3">
      <c r="A6398" s="19"/>
      <c r="B6398" s="36"/>
    </row>
    <row r="6399" spans="1:2" x14ac:dyDescent="0.3">
      <c r="A6399" s="19"/>
      <c r="B6399" s="36"/>
    </row>
    <row r="6400" spans="1:2" x14ac:dyDescent="0.3">
      <c r="A6400" s="19"/>
      <c r="B6400" s="36"/>
    </row>
    <row r="6401" spans="1:2" x14ac:dyDescent="0.3">
      <c r="A6401" s="19"/>
      <c r="B6401" s="36"/>
    </row>
    <row r="6402" spans="1:2" x14ac:dyDescent="0.3">
      <c r="A6402" s="19"/>
      <c r="B6402" s="36"/>
    </row>
    <row r="6403" spans="1:2" x14ac:dyDescent="0.3">
      <c r="A6403" s="19"/>
      <c r="B6403" s="36"/>
    </row>
    <row r="6404" spans="1:2" x14ac:dyDescent="0.3">
      <c r="A6404" s="19"/>
      <c r="B6404" s="36"/>
    </row>
    <row r="6405" spans="1:2" x14ac:dyDescent="0.3">
      <c r="A6405" s="19"/>
      <c r="B6405" s="36"/>
    </row>
    <row r="6406" spans="1:2" x14ac:dyDescent="0.3">
      <c r="A6406" s="19"/>
      <c r="B6406" s="36"/>
    </row>
    <row r="6407" spans="1:2" x14ac:dyDescent="0.3">
      <c r="A6407" s="19"/>
      <c r="B6407" s="36"/>
    </row>
    <row r="6408" spans="1:2" x14ac:dyDescent="0.3">
      <c r="A6408" s="19"/>
      <c r="B6408" s="36"/>
    </row>
    <row r="6409" spans="1:2" x14ac:dyDescent="0.3">
      <c r="A6409" s="19"/>
      <c r="B6409" s="36"/>
    </row>
    <row r="6410" spans="1:2" x14ac:dyDescent="0.3">
      <c r="A6410" s="19"/>
      <c r="B6410" s="36"/>
    </row>
    <row r="6411" spans="1:2" x14ac:dyDescent="0.3">
      <c r="A6411" s="19"/>
      <c r="B6411" s="36"/>
    </row>
    <row r="6412" spans="1:2" x14ac:dyDescent="0.3">
      <c r="A6412" s="19"/>
      <c r="B6412" s="36"/>
    </row>
    <row r="6413" spans="1:2" x14ac:dyDescent="0.3">
      <c r="A6413" s="19"/>
      <c r="B6413" s="36"/>
    </row>
    <row r="6414" spans="1:2" x14ac:dyDescent="0.3">
      <c r="A6414" s="19"/>
      <c r="B6414" s="36"/>
    </row>
    <row r="6415" spans="1:2" x14ac:dyDescent="0.3">
      <c r="A6415" s="19"/>
      <c r="B6415" s="36"/>
    </row>
    <row r="6416" spans="1:2" x14ac:dyDescent="0.3">
      <c r="A6416" s="19"/>
      <c r="B6416" s="36"/>
    </row>
    <row r="6417" spans="1:2" x14ac:dyDescent="0.3">
      <c r="A6417" s="19"/>
      <c r="B6417" s="36"/>
    </row>
    <row r="6418" spans="1:2" x14ac:dyDescent="0.3">
      <c r="A6418" s="19"/>
      <c r="B6418" s="36"/>
    </row>
    <row r="6419" spans="1:2" x14ac:dyDescent="0.3">
      <c r="A6419" s="19"/>
      <c r="B6419" s="36"/>
    </row>
    <row r="6420" spans="1:2" x14ac:dyDescent="0.3">
      <c r="A6420" s="19"/>
      <c r="B6420" s="36"/>
    </row>
    <row r="6421" spans="1:2" x14ac:dyDescent="0.3">
      <c r="A6421" s="19"/>
      <c r="B6421" s="36"/>
    </row>
    <row r="6422" spans="1:2" x14ac:dyDescent="0.3">
      <c r="A6422" s="19"/>
      <c r="B6422" s="36"/>
    </row>
    <row r="6423" spans="1:2" x14ac:dyDescent="0.3">
      <c r="A6423" s="19"/>
      <c r="B6423" s="36"/>
    </row>
    <row r="6424" spans="1:2" x14ac:dyDescent="0.3">
      <c r="A6424" s="19"/>
      <c r="B6424" s="36"/>
    </row>
    <row r="6425" spans="1:2" x14ac:dyDescent="0.3">
      <c r="A6425" s="19"/>
      <c r="B6425" s="36"/>
    </row>
    <row r="6426" spans="1:2" x14ac:dyDescent="0.3">
      <c r="A6426" s="19"/>
      <c r="B6426" s="36"/>
    </row>
    <row r="6427" spans="1:2" x14ac:dyDescent="0.3">
      <c r="A6427" s="19"/>
      <c r="B6427" s="36"/>
    </row>
    <row r="6428" spans="1:2" x14ac:dyDescent="0.3">
      <c r="A6428" s="19"/>
      <c r="B6428" s="36"/>
    </row>
    <row r="6429" spans="1:2" x14ac:dyDescent="0.3">
      <c r="A6429" s="19"/>
      <c r="B6429" s="36"/>
    </row>
    <row r="6430" spans="1:2" x14ac:dyDescent="0.3">
      <c r="A6430" s="19"/>
      <c r="B6430" s="36"/>
    </row>
    <row r="6431" spans="1:2" x14ac:dyDescent="0.3">
      <c r="A6431" s="19"/>
      <c r="B6431" s="36"/>
    </row>
    <row r="6432" spans="1:2" x14ac:dyDescent="0.3">
      <c r="A6432" s="19"/>
      <c r="B6432" s="36"/>
    </row>
    <row r="6433" spans="1:2" x14ac:dyDescent="0.3">
      <c r="A6433" s="19"/>
      <c r="B6433" s="36"/>
    </row>
    <row r="6434" spans="1:2" x14ac:dyDescent="0.3">
      <c r="A6434" s="19"/>
      <c r="B6434" s="36"/>
    </row>
    <row r="6435" spans="1:2" x14ac:dyDescent="0.3">
      <c r="A6435" s="19"/>
      <c r="B6435" s="36"/>
    </row>
    <row r="6436" spans="1:2" x14ac:dyDescent="0.3">
      <c r="A6436" s="19"/>
      <c r="B6436" s="36"/>
    </row>
    <row r="6437" spans="1:2" x14ac:dyDescent="0.3">
      <c r="A6437" s="19"/>
      <c r="B6437" s="36"/>
    </row>
    <row r="6438" spans="1:2" x14ac:dyDescent="0.3">
      <c r="A6438" s="19"/>
      <c r="B6438" s="36"/>
    </row>
    <row r="6439" spans="1:2" x14ac:dyDescent="0.3">
      <c r="A6439" s="19"/>
      <c r="B6439" s="36"/>
    </row>
    <row r="6440" spans="1:2" x14ac:dyDescent="0.3">
      <c r="A6440" s="19"/>
      <c r="B6440" s="36"/>
    </row>
    <row r="6441" spans="1:2" x14ac:dyDescent="0.3">
      <c r="A6441" s="19"/>
      <c r="B6441" s="36"/>
    </row>
    <row r="6442" spans="1:2" x14ac:dyDescent="0.3">
      <c r="A6442" s="19"/>
      <c r="B6442" s="36"/>
    </row>
    <row r="6443" spans="1:2" x14ac:dyDescent="0.3">
      <c r="A6443" s="19"/>
      <c r="B6443" s="36"/>
    </row>
    <row r="6444" spans="1:2" x14ac:dyDescent="0.3">
      <c r="A6444" s="19"/>
      <c r="B6444" s="36"/>
    </row>
    <row r="6445" spans="1:2" x14ac:dyDescent="0.3">
      <c r="A6445" s="19"/>
      <c r="B6445" s="36"/>
    </row>
    <row r="6446" spans="1:2" x14ac:dyDescent="0.3">
      <c r="A6446" s="19"/>
      <c r="B6446" s="36"/>
    </row>
    <row r="6447" spans="1:2" x14ac:dyDescent="0.3">
      <c r="A6447" s="19"/>
      <c r="B6447" s="36"/>
    </row>
    <row r="6448" spans="1:2" x14ac:dyDescent="0.3">
      <c r="A6448" s="19"/>
      <c r="B6448" s="36"/>
    </row>
    <row r="6449" spans="1:2" x14ac:dyDescent="0.3">
      <c r="A6449" s="19"/>
      <c r="B6449" s="36"/>
    </row>
    <row r="6450" spans="1:2" x14ac:dyDescent="0.3">
      <c r="A6450" s="19"/>
      <c r="B6450" s="36"/>
    </row>
    <row r="6451" spans="1:2" x14ac:dyDescent="0.3">
      <c r="A6451" s="19"/>
      <c r="B6451" s="36"/>
    </row>
    <row r="6452" spans="1:2" x14ac:dyDescent="0.3">
      <c r="A6452" s="19"/>
      <c r="B6452" s="36"/>
    </row>
    <row r="6453" spans="1:2" x14ac:dyDescent="0.3">
      <c r="A6453" s="19"/>
      <c r="B6453" s="36"/>
    </row>
    <row r="6454" spans="1:2" x14ac:dyDescent="0.3">
      <c r="A6454" s="19"/>
      <c r="B6454" s="36"/>
    </row>
    <row r="6455" spans="1:2" x14ac:dyDescent="0.3">
      <c r="A6455" s="19"/>
      <c r="B6455" s="36"/>
    </row>
    <row r="6456" spans="1:2" x14ac:dyDescent="0.3">
      <c r="A6456" s="19"/>
      <c r="B6456" s="36"/>
    </row>
    <row r="6457" spans="1:2" x14ac:dyDescent="0.3">
      <c r="A6457" s="19"/>
      <c r="B6457" s="36"/>
    </row>
    <row r="6458" spans="1:2" x14ac:dyDescent="0.3">
      <c r="A6458" s="19"/>
      <c r="B6458" s="36"/>
    </row>
    <row r="6459" spans="1:2" x14ac:dyDescent="0.3">
      <c r="A6459" s="19"/>
      <c r="B6459" s="36"/>
    </row>
    <row r="6460" spans="1:2" x14ac:dyDescent="0.3">
      <c r="A6460" s="19"/>
      <c r="B6460" s="36"/>
    </row>
    <row r="6461" spans="1:2" x14ac:dyDescent="0.3">
      <c r="A6461" s="19"/>
      <c r="B6461" s="36"/>
    </row>
    <row r="6462" spans="1:2" x14ac:dyDescent="0.3">
      <c r="A6462" s="19"/>
      <c r="B6462" s="36"/>
    </row>
    <row r="6463" spans="1:2" x14ac:dyDescent="0.3">
      <c r="A6463" s="19"/>
      <c r="B6463" s="36"/>
    </row>
    <row r="6464" spans="1:2" x14ac:dyDescent="0.3">
      <c r="A6464" s="19"/>
      <c r="B6464" s="36"/>
    </row>
    <row r="6465" spans="1:2" x14ac:dyDescent="0.3">
      <c r="A6465" s="19"/>
      <c r="B6465" s="36"/>
    </row>
    <row r="6466" spans="1:2" x14ac:dyDescent="0.3">
      <c r="A6466" s="19"/>
      <c r="B6466" s="36"/>
    </row>
    <row r="6467" spans="1:2" x14ac:dyDescent="0.3">
      <c r="A6467" s="19"/>
      <c r="B6467" s="36"/>
    </row>
    <row r="6468" spans="1:2" x14ac:dyDescent="0.3">
      <c r="A6468" s="19"/>
      <c r="B6468" s="36"/>
    </row>
    <row r="6469" spans="1:2" x14ac:dyDescent="0.3">
      <c r="A6469" s="19"/>
      <c r="B6469" s="36"/>
    </row>
    <row r="6470" spans="1:2" x14ac:dyDescent="0.3">
      <c r="A6470" s="19"/>
      <c r="B6470" s="36"/>
    </row>
    <row r="6471" spans="1:2" x14ac:dyDescent="0.3">
      <c r="A6471" s="19"/>
      <c r="B6471" s="36"/>
    </row>
    <row r="6472" spans="1:2" x14ac:dyDescent="0.3">
      <c r="A6472" s="19"/>
      <c r="B6472" s="36"/>
    </row>
    <row r="6473" spans="1:2" x14ac:dyDescent="0.3">
      <c r="A6473" s="19"/>
      <c r="B6473" s="36"/>
    </row>
    <row r="6474" spans="1:2" x14ac:dyDescent="0.3">
      <c r="A6474" s="19"/>
      <c r="B6474" s="36"/>
    </row>
    <row r="6475" spans="1:2" x14ac:dyDescent="0.3">
      <c r="A6475" s="19"/>
      <c r="B6475" s="36"/>
    </row>
    <row r="6476" spans="1:2" x14ac:dyDescent="0.3">
      <c r="A6476" s="19"/>
      <c r="B6476" s="36"/>
    </row>
    <row r="6477" spans="1:2" x14ac:dyDescent="0.3">
      <c r="A6477" s="19"/>
      <c r="B6477" s="36"/>
    </row>
    <row r="6478" spans="1:2" x14ac:dyDescent="0.3">
      <c r="A6478" s="19"/>
      <c r="B6478" s="36"/>
    </row>
    <row r="6479" spans="1:2" x14ac:dyDescent="0.3">
      <c r="A6479" s="19"/>
      <c r="B6479" s="36"/>
    </row>
    <row r="6480" spans="1:2" x14ac:dyDescent="0.3">
      <c r="A6480" s="19"/>
      <c r="B6480" s="36"/>
    </row>
    <row r="6481" spans="1:2" x14ac:dyDescent="0.3">
      <c r="A6481" s="19"/>
      <c r="B6481" s="36"/>
    </row>
    <row r="6482" spans="1:2" x14ac:dyDescent="0.3">
      <c r="A6482" s="19"/>
      <c r="B6482" s="36"/>
    </row>
    <row r="6483" spans="1:2" x14ac:dyDescent="0.3">
      <c r="A6483" s="19"/>
      <c r="B6483" s="36"/>
    </row>
    <row r="6484" spans="1:2" x14ac:dyDescent="0.3">
      <c r="A6484" s="19"/>
      <c r="B6484" s="36"/>
    </row>
    <row r="6485" spans="1:2" x14ac:dyDescent="0.3">
      <c r="A6485" s="19"/>
      <c r="B6485" s="36"/>
    </row>
    <row r="6486" spans="1:2" x14ac:dyDescent="0.3">
      <c r="A6486" s="19"/>
      <c r="B6486" s="36"/>
    </row>
    <row r="6487" spans="1:2" x14ac:dyDescent="0.3">
      <c r="A6487" s="19"/>
      <c r="B6487" s="36"/>
    </row>
    <row r="6488" spans="1:2" x14ac:dyDescent="0.3">
      <c r="A6488" s="19"/>
      <c r="B6488" s="36"/>
    </row>
    <row r="6489" spans="1:2" x14ac:dyDescent="0.3">
      <c r="A6489" s="19"/>
      <c r="B6489" s="36"/>
    </row>
    <row r="6490" spans="1:2" x14ac:dyDescent="0.3">
      <c r="A6490" s="19"/>
      <c r="B6490" s="36"/>
    </row>
    <row r="6491" spans="1:2" x14ac:dyDescent="0.3">
      <c r="A6491" s="19"/>
      <c r="B6491" s="36"/>
    </row>
    <row r="6492" spans="1:2" x14ac:dyDescent="0.3">
      <c r="A6492" s="19"/>
      <c r="B6492" s="36"/>
    </row>
    <row r="6493" spans="1:2" x14ac:dyDescent="0.3">
      <c r="A6493" s="19"/>
      <c r="B6493" s="36"/>
    </row>
    <row r="6494" spans="1:2" x14ac:dyDescent="0.3">
      <c r="A6494" s="19"/>
      <c r="B6494" s="36"/>
    </row>
    <row r="6495" spans="1:2" x14ac:dyDescent="0.3">
      <c r="A6495" s="19"/>
      <c r="B6495" s="36"/>
    </row>
    <row r="6496" spans="1:2" x14ac:dyDescent="0.3">
      <c r="A6496" s="19"/>
      <c r="B6496" s="36"/>
    </row>
    <row r="6497" spans="1:2" x14ac:dyDescent="0.3">
      <c r="A6497" s="19"/>
      <c r="B6497" s="36"/>
    </row>
    <row r="6498" spans="1:2" x14ac:dyDescent="0.3">
      <c r="A6498" s="19"/>
      <c r="B6498" s="36"/>
    </row>
    <row r="6499" spans="1:2" x14ac:dyDescent="0.3">
      <c r="A6499" s="19"/>
      <c r="B6499" s="36"/>
    </row>
    <row r="6500" spans="1:2" x14ac:dyDescent="0.3">
      <c r="A6500" s="19"/>
      <c r="B6500" s="36"/>
    </row>
    <row r="6501" spans="1:2" x14ac:dyDescent="0.3">
      <c r="A6501" s="19"/>
      <c r="B6501" s="36"/>
    </row>
    <row r="6502" spans="1:2" x14ac:dyDescent="0.3">
      <c r="A6502" s="19"/>
      <c r="B6502" s="36"/>
    </row>
    <row r="6503" spans="1:2" x14ac:dyDescent="0.3">
      <c r="A6503" s="19"/>
      <c r="B6503" s="36"/>
    </row>
    <row r="6504" spans="1:2" x14ac:dyDescent="0.3">
      <c r="A6504" s="19"/>
      <c r="B6504" s="36"/>
    </row>
    <row r="6505" spans="1:2" x14ac:dyDescent="0.3">
      <c r="A6505" s="19"/>
      <c r="B6505" s="36"/>
    </row>
    <row r="6506" spans="1:2" x14ac:dyDescent="0.3">
      <c r="A6506" s="19"/>
      <c r="B6506" s="36"/>
    </row>
    <row r="6507" spans="1:2" x14ac:dyDescent="0.3">
      <c r="A6507" s="19"/>
      <c r="B6507" s="36"/>
    </row>
    <row r="6508" spans="1:2" x14ac:dyDescent="0.3">
      <c r="A6508" s="19"/>
      <c r="B6508" s="36"/>
    </row>
    <row r="6509" spans="1:2" x14ac:dyDescent="0.3">
      <c r="A6509" s="19"/>
      <c r="B6509" s="36"/>
    </row>
    <row r="6510" spans="1:2" x14ac:dyDescent="0.3">
      <c r="A6510" s="19"/>
      <c r="B6510" s="36"/>
    </row>
    <row r="6511" spans="1:2" x14ac:dyDescent="0.3">
      <c r="A6511" s="19"/>
      <c r="B6511" s="36"/>
    </row>
    <row r="6512" spans="1:2" x14ac:dyDescent="0.3">
      <c r="A6512" s="19"/>
      <c r="B6512" s="36"/>
    </row>
    <row r="6513" spans="1:2" x14ac:dyDescent="0.3">
      <c r="A6513" s="19"/>
      <c r="B6513" s="36"/>
    </row>
    <row r="6514" spans="1:2" x14ac:dyDescent="0.3">
      <c r="A6514" s="19"/>
      <c r="B6514" s="36"/>
    </row>
    <row r="6515" spans="1:2" x14ac:dyDescent="0.3">
      <c r="A6515" s="19"/>
      <c r="B6515" s="36"/>
    </row>
    <row r="6516" spans="1:2" x14ac:dyDescent="0.3">
      <c r="A6516" s="19"/>
      <c r="B6516" s="36"/>
    </row>
    <row r="6517" spans="1:2" x14ac:dyDescent="0.3">
      <c r="A6517" s="19"/>
      <c r="B6517" s="36"/>
    </row>
    <row r="6518" spans="1:2" x14ac:dyDescent="0.3">
      <c r="A6518" s="19"/>
      <c r="B6518" s="36"/>
    </row>
    <row r="6519" spans="1:2" x14ac:dyDescent="0.3">
      <c r="A6519" s="19"/>
      <c r="B6519" s="36"/>
    </row>
    <row r="6520" spans="1:2" x14ac:dyDescent="0.3">
      <c r="A6520" s="19"/>
      <c r="B6520" s="36"/>
    </row>
    <row r="6521" spans="1:2" x14ac:dyDescent="0.3">
      <c r="A6521" s="19"/>
      <c r="B6521" s="36"/>
    </row>
    <row r="6522" spans="1:2" x14ac:dyDescent="0.3">
      <c r="A6522" s="19"/>
      <c r="B6522" s="36"/>
    </row>
    <row r="6523" spans="1:2" x14ac:dyDescent="0.3">
      <c r="A6523" s="19"/>
      <c r="B6523" s="36"/>
    </row>
    <row r="6524" spans="1:2" x14ac:dyDescent="0.3">
      <c r="A6524" s="19"/>
      <c r="B6524" s="36"/>
    </row>
    <row r="6525" spans="1:2" x14ac:dyDescent="0.3">
      <c r="A6525" s="19"/>
      <c r="B6525" s="36"/>
    </row>
    <row r="6526" spans="1:2" x14ac:dyDescent="0.3">
      <c r="A6526" s="19"/>
      <c r="B6526" s="36"/>
    </row>
    <row r="6527" spans="1:2" x14ac:dyDescent="0.3">
      <c r="A6527" s="19"/>
      <c r="B6527" s="36"/>
    </row>
    <row r="6528" spans="1:2" x14ac:dyDescent="0.3">
      <c r="A6528" s="19"/>
      <c r="B6528" s="36"/>
    </row>
    <row r="6529" spans="1:2" x14ac:dyDescent="0.3">
      <c r="A6529" s="19"/>
      <c r="B6529" s="36"/>
    </row>
    <row r="6530" spans="1:2" x14ac:dyDescent="0.3">
      <c r="A6530" s="19"/>
      <c r="B6530" s="36"/>
    </row>
    <row r="6531" spans="1:2" x14ac:dyDescent="0.3">
      <c r="A6531" s="19"/>
      <c r="B6531" s="36"/>
    </row>
    <row r="6532" spans="1:2" x14ac:dyDescent="0.3">
      <c r="A6532" s="19"/>
      <c r="B6532" s="36"/>
    </row>
    <row r="6533" spans="1:2" x14ac:dyDescent="0.3">
      <c r="A6533" s="19"/>
      <c r="B6533" s="36"/>
    </row>
    <row r="6534" spans="1:2" x14ac:dyDescent="0.3">
      <c r="A6534" s="19"/>
      <c r="B6534" s="36"/>
    </row>
    <row r="6535" spans="1:2" x14ac:dyDescent="0.3">
      <c r="A6535" s="19"/>
      <c r="B6535" s="36"/>
    </row>
    <row r="6536" spans="1:2" x14ac:dyDescent="0.3">
      <c r="A6536" s="19"/>
      <c r="B6536" s="36"/>
    </row>
    <row r="6537" spans="1:2" x14ac:dyDescent="0.3">
      <c r="A6537" s="19"/>
      <c r="B6537" s="36"/>
    </row>
    <row r="6538" spans="1:2" x14ac:dyDescent="0.3">
      <c r="A6538" s="19"/>
      <c r="B6538" s="36"/>
    </row>
    <row r="6539" spans="1:2" x14ac:dyDescent="0.3">
      <c r="A6539" s="19"/>
      <c r="B6539" s="36"/>
    </row>
    <row r="6540" spans="1:2" x14ac:dyDescent="0.3">
      <c r="A6540" s="19"/>
      <c r="B6540" s="36"/>
    </row>
    <row r="6541" spans="1:2" x14ac:dyDescent="0.3">
      <c r="A6541" s="19"/>
      <c r="B6541" s="36"/>
    </row>
    <row r="6542" spans="1:2" x14ac:dyDescent="0.3">
      <c r="A6542" s="19"/>
      <c r="B6542" s="36"/>
    </row>
    <row r="6543" spans="1:2" x14ac:dyDescent="0.3">
      <c r="A6543" s="19"/>
      <c r="B6543" s="36"/>
    </row>
    <row r="6544" spans="1:2" x14ac:dyDescent="0.3">
      <c r="A6544" s="19"/>
      <c r="B6544" s="36"/>
    </row>
    <row r="6545" spans="1:2" x14ac:dyDescent="0.3">
      <c r="A6545" s="19"/>
      <c r="B6545" s="36"/>
    </row>
    <row r="6546" spans="1:2" x14ac:dyDescent="0.3">
      <c r="A6546" s="19"/>
      <c r="B6546" s="36"/>
    </row>
    <row r="6547" spans="1:2" x14ac:dyDescent="0.3">
      <c r="A6547" s="19"/>
      <c r="B6547" s="36"/>
    </row>
    <row r="6548" spans="1:2" x14ac:dyDescent="0.3">
      <c r="A6548" s="19"/>
      <c r="B6548" s="36"/>
    </row>
    <row r="6549" spans="1:2" x14ac:dyDescent="0.3">
      <c r="A6549" s="19"/>
      <c r="B6549" s="36"/>
    </row>
    <row r="6550" spans="1:2" x14ac:dyDescent="0.3">
      <c r="A6550" s="19"/>
      <c r="B6550" s="36"/>
    </row>
    <row r="6551" spans="1:2" x14ac:dyDescent="0.3">
      <c r="A6551" s="19"/>
      <c r="B6551" s="36"/>
    </row>
    <row r="6552" spans="1:2" x14ac:dyDescent="0.3">
      <c r="A6552" s="19"/>
      <c r="B6552" s="36"/>
    </row>
    <row r="6553" spans="1:2" x14ac:dyDescent="0.3">
      <c r="A6553" s="19"/>
      <c r="B6553" s="36"/>
    </row>
    <row r="6554" spans="1:2" x14ac:dyDescent="0.3">
      <c r="A6554" s="19"/>
      <c r="B6554" s="36"/>
    </row>
    <row r="6555" spans="1:2" x14ac:dyDescent="0.3">
      <c r="A6555" s="19"/>
      <c r="B6555" s="36"/>
    </row>
    <row r="6556" spans="1:2" x14ac:dyDescent="0.3">
      <c r="A6556" s="19"/>
      <c r="B6556" s="36"/>
    </row>
    <row r="6557" spans="1:2" x14ac:dyDescent="0.3">
      <c r="A6557" s="19"/>
      <c r="B6557" s="36"/>
    </row>
    <row r="6558" spans="1:2" x14ac:dyDescent="0.3">
      <c r="A6558" s="19"/>
      <c r="B6558" s="36"/>
    </row>
    <row r="6559" spans="1:2" x14ac:dyDescent="0.3">
      <c r="A6559" s="19"/>
      <c r="B6559" s="36"/>
    </row>
    <row r="6560" spans="1:2" x14ac:dyDescent="0.3">
      <c r="A6560" s="19"/>
      <c r="B6560" s="36"/>
    </row>
    <row r="6561" spans="1:2" x14ac:dyDescent="0.3">
      <c r="A6561" s="19"/>
      <c r="B6561" s="36"/>
    </row>
    <row r="6562" spans="1:2" x14ac:dyDescent="0.3">
      <c r="A6562" s="19"/>
      <c r="B6562" s="36"/>
    </row>
    <row r="6563" spans="1:2" x14ac:dyDescent="0.3">
      <c r="A6563" s="19"/>
      <c r="B6563" s="36"/>
    </row>
    <row r="6564" spans="1:2" x14ac:dyDescent="0.3">
      <c r="A6564" s="19"/>
      <c r="B6564" s="36"/>
    </row>
    <row r="6565" spans="1:2" x14ac:dyDescent="0.3">
      <c r="A6565" s="19"/>
      <c r="B6565" s="36"/>
    </row>
    <row r="6566" spans="1:2" x14ac:dyDescent="0.3">
      <c r="A6566" s="19"/>
      <c r="B6566" s="36"/>
    </row>
    <row r="6567" spans="1:2" x14ac:dyDescent="0.3">
      <c r="A6567" s="19"/>
      <c r="B6567" s="36"/>
    </row>
    <row r="6568" spans="1:2" x14ac:dyDescent="0.3">
      <c r="A6568" s="19"/>
      <c r="B6568" s="36"/>
    </row>
    <row r="6569" spans="1:2" x14ac:dyDescent="0.3">
      <c r="A6569" s="19"/>
      <c r="B6569" s="36"/>
    </row>
    <row r="6570" spans="1:2" x14ac:dyDescent="0.3">
      <c r="A6570" s="19"/>
      <c r="B6570" s="36"/>
    </row>
    <row r="6571" spans="1:2" x14ac:dyDescent="0.3">
      <c r="A6571" s="19"/>
      <c r="B6571" s="36"/>
    </row>
    <row r="6572" spans="1:2" x14ac:dyDescent="0.3">
      <c r="A6572" s="19"/>
      <c r="B6572" s="36"/>
    </row>
    <row r="6573" spans="1:2" x14ac:dyDescent="0.3">
      <c r="A6573" s="19"/>
      <c r="B6573" s="36"/>
    </row>
    <row r="6574" spans="1:2" x14ac:dyDescent="0.3">
      <c r="A6574" s="19"/>
      <c r="B6574" s="36"/>
    </row>
    <row r="6575" spans="1:2" x14ac:dyDescent="0.3">
      <c r="A6575" s="19"/>
      <c r="B6575" s="36"/>
    </row>
    <row r="6576" spans="1:2" x14ac:dyDescent="0.3">
      <c r="A6576" s="19"/>
      <c r="B6576" s="36"/>
    </row>
    <row r="6577" spans="1:2" x14ac:dyDescent="0.3">
      <c r="A6577" s="19"/>
      <c r="B6577" s="36"/>
    </row>
    <row r="6578" spans="1:2" x14ac:dyDescent="0.3">
      <c r="A6578" s="19"/>
      <c r="B6578" s="36"/>
    </row>
    <row r="6579" spans="1:2" x14ac:dyDescent="0.3">
      <c r="A6579" s="19"/>
      <c r="B6579" s="36"/>
    </row>
    <row r="6580" spans="1:2" x14ac:dyDescent="0.3">
      <c r="A6580" s="19"/>
      <c r="B6580" s="36"/>
    </row>
    <row r="6581" spans="1:2" x14ac:dyDescent="0.3">
      <c r="A6581" s="19"/>
      <c r="B6581" s="36"/>
    </row>
    <row r="6582" spans="1:2" x14ac:dyDescent="0.3">
      <c r="A6582" s="19"/>
      <c r="B6582" s="36"/>
    </row>
    <row r="6583" spans="1:2" x14ac:dyDescent="0.3">
      <c r="A6583" s="19"/>
      <c r="B6583" s="36"/>
    </row>
    <row r="6584" spans="1:2" x14ac:dyDescent="0.3">
      <c r="A6584" s="19"/>
      <c r="B6584" s="36"/>
    </row>
    <row r="6585" spans="1:2" x14ac:dyDescent="0.3">
      <c r="A6585" s="19"/>
      <c r="B6585" s="36"/>
    </row>
    <row r="6586" spans="1:2" x14ac:dyDescent="0.3">
      <c r="A6586" s="19"/>
      <c r="B6586" s="36"/>
    </row>
    <row r="6587" spans="1:2" x14ac:dyDescent="0.3">
      <c r="A6587" s="19"/>
      <c r="B6587" s="36"/>
    </row>
    <row r="6588" spans="1:2" x14ac:dyDescent="0.3">
      <c r="A6588" s="19"/>
      <c r="B6588" s="36"/>
    </row>
    <row r="6589" spans="1:2" x14ac:dyDescent="0.3">
      <c r="A6589" s="19"/>
      <c r="B6589" s="36"/>
    </row>
    <row r="6590" spans="1:2" x14ac:dyDescent="0.3">
      <c r="A6590" s="19"/>
      <c r="B6590" s="36"/>
    </row>
    <row r="6591" spans="1:2" x14ac:dyDescent="0.3">
      <c r="A6591" s="19"/>
      <c r="B6591" s="36"/>
    </row>
    <row r="6592" spans="1:2" x14ac:dyDescent="0.3">
      <c r="A6592" s="19"/>
      <c r="B6592" s="36"/>
    </row>
    <row r="6593" spans="1:2" x14ac:dyDescent="0.3">
      <c r="A6593" s="19"/>
      <c r="B6593" s="36"/>
    </row>
    <row r="6594" spans="1:2" x14ac:dyDescent="0.3">
      <c r="A6594" s="19"/>
      <c r="B6594" s="36"/>
    </row>
    <row r="6595" spans="1:2" x14ac:dyDescent="0.3">
      <c r="A6595" s="19"/>
      <c r="B6595" s="36"/>
    </row>
    <row r="6596" spans="1:2" x14ac:dyDescent="0.3">
      <c r="A6596" s="19"/>
      <c r="B6596" s="36"/>
    </row>
    <row r="6597" spans="1:2" x14ac:dyDescent="0.3">
      <c r="A6597" s="19"/>
      <c r="B6597" s="36"/>
    </row>
    <row r="6598" spans="1:2" x14ac:dyDescent="0.3">
      <c r="A6598" s="19"/>
      <c r="B6598" s="36"/>
    </row>
    <row r="6599" spans="1:2" x14ac:dyDescent="0.3">
      <c r="A6599" s="19"/>
      <c r="B6599" s="36"/>
    </row>
    <row r="6600" spans="1:2" x14ac:dyDescent="0.3">
      <c r="A6600" s="19"/>
      <c r="B6600" s="36"/>
    </row>
    <row r="6601" spans="1:2" x14ac:dyDescent="0.3">
      <c r="A6601" s="19"/>
      <c r="B6601" s="36"/>
    </row>
    <row r="6602" spans="1:2" x14ac:dyDescent="0.3">
      <c r="A6602" s="19"/>
      <c r="B6602" s="36"/>
    </row>
    <row r="6603" spans="1:2" x14ac:dyDescent="0.3">
      <c r="A6603" s="19"/>
      <c r="B6603" s="36"/>
    </row>
    <row r="6604" spans="1:2" x14ac:dyDescent="0.3">
      <c r="A6604" s="19"/>
      <c r="B6604" s="36"/>
    </row>
    <row r="6605" spans="1:2" x14ac:dyDescent="0.3">
      <c r="A6605" s="19"/>
      <c r="B6605" s="36"/>
    </row>
    <row r="6606" spans="1:2" x14ac:dyDescent="0.3">
      <c r="A6606" s="19"/>
      <c r="B6606" s="36"/>
    </row>
    <row r="6607" spans="1:2" x14ac:dyDescent="0.3">
      <c r="A6607" s="19"/>
      <c r="B6607" s="36"/>
    </row>
    <row r="6608" spans="1:2" x14ac:dyDescent="0.3">
      <c r="A6608" s="19"/>
      <c r="B6608" s="36"/>
    </row>
    <row r="6609" spans="1:2" x14ac:dyDescent="0.3">
      <c r="A6609" s="19"/>
      <c r="B6609" s="36"/>
    </row>
    <row r="6610" spans="1:2" x14ac:dyDescent="0.3">
      <c r="A6610" s="19"/>
      <c r="B6610" s="36"/>
    </row>
    <row r="6611" spans="1:2" x14ac:dyDescent="0.3">
      <c r="A6611" s="19"/>
      <c r="B6611" s="36"/>
    </row>
    <row r="6612" spans="1:2" x14ac:dyDescent="0.3">
      <c r="A6612" s="19"/>
      <c r="B6612" s="36"/>
    </row>
    <row r="6613" spans="1:2" x14ac:dyDescent="0.3">
      <c r="A6613" s="19"/>
      <c r="B6613" s="36"/>
    </row>
    <row r="6614" spans="1:2" x14ac:dyDescent="0.3">
      <c r="A6614" s="19"/>
      <c r="B6614" s="36"/>
    </row>
    <row r="6615" spans="1:2" x14ac:dyDescent="0.3">
      <c r="A6615" s="19"/>
      <c r="B6615" s="36"/>
    </row>
    <row r="6616" spans="1:2" x14ac:dyDescent="0.3">
      <c r="A6616" s="19"/>
      <c r="B6616" s="36"/>
    </row>
    <row r="6617" spans="1:2" x14ac:dyDescent="0.3">
      <c r="A6617" s="19"/>
      <c r="B6617" s="36"/>
    </row>
    <row r="6618" spans="1:2" x14ac:dyDescent="0.3">
      <c r="A6618" s="19"/>
      <c r="B6618" s="36"/>
    </row>
    <row r="6619" spans="1:2" x14ac:dyDescent="0.3">
      <c r="A6619" s="19"/>
      <c r="B6619" s="36"/>
    </row>
    <row r="6620" spans="1:2" x14ac:dyDescent="0.3">
      <c r="A6620" s="19"/>
      <c r="B6620" s="36"/>
    </row>
    <row r="6621" spans="1:2" x14ac:dyDescent="0.3">
      <c r="A6621" s="19"/>
      <c r="B6621" s="36"/>
    </row>
    <row r="6622" spans="1:2" x14ac:dyDescent="0.3">
      <c r="A6622" s="19"/>
      <c r="B6622" s="36"/>
    </row>
    <row r="6623" spans="1:2" x14ac:dyDescent="0.3">
      <c r="A6623" s="19"/>
      <c r="B6623" s="36"/>
    </row>
    <row r="6624" spans="1:2" x14ac:dyDescent="0.3">
      <c r="A6624" s="19"/>
      <c r="B6624" s="36"/>
    </row>
    <row r="6625" spans="1:2" x14ac:dyDescent="0.3">
      <c r="A6625" s="19"/>
      <c r="B6625" s="36"/>
    </row>
    <row r="6626" spans="1:2" x14ac:dyDescent="0.3">
      <c r="A6626" s="19"/>
      <c r="B6626" s="36"/>
    </row>
    <row r="6627" spans="1:2" x14ac:dyDescent="0.3">
      <c r="A6627" s="19"/>
      <c r="B6627" s="36"/>
    </row>
    <row r="6628" spans="1:2" x14ac:dyDescent="0.3">
      <c r="A6628" s="19"/>
      <c r="B6628" s="36"/>
    </row>
    <row r="6629" spans="1:2" x14ac:dyDescent="0.3">
      <c r="A6629" s="19"/>
      <c r="B6629" s="36"/>
    </row>
    <row r="6630" spans="1:2" x14ac:dyDescent="0.3">
      <c r="A6630" s="19"/>
      <c r="B6630" s="36"/>
    </row>
    <row r="6631" spans="1:2" x14ac:dyDescent="0.3">
      <c r="A6631" s="19"/>
      <c r="B6631" s="36"/>
    </row>
    <row r="6632" spans="1:2" x14ac:dyDescent="0.3">
      <c r="A6632" s="19"/>
      <c r="B6632" s="36"/>
    </row>
    <row r="6633" spans="1:2" x14ac:dyDescent="0.3">
      <c r="A6633" s="19"/>
      <c r="B6633" s="36"/>
    </row>
    <row r="6634" spans="1:2" x14ac:dyDescent="0.3">
      <c r="A6634" s="19"/>
      <c r="B6634" s="36"/>
    </row>
    <row r="6635" spans="1:2" x14ac:dyDescent="0.3">
      <c r="A6635" s="19"/>
      <c r="B6635" s="36"/>
    </row>
    <row r="6636" spans="1:2" x14ac:dyDescent="0.3">
      <c r="A6636" s="19"/>
      <c r="B6636" s="36"/>
    </row>
    <row r="6637" spans="1:2" x14ac:dyDescent="0.3">
      <c r="A6637" s="19"/>
      <c r="B6637" s="36"/>
    </row>
    <row r="6638" spans="1:2" x14ac:dyDescent="0.3">
      <c r="A6638" s="19"/>
      <c r="B6638" s="36"/>
    </row>
    <row r="6639" spans="1:2" x14ac:dyDescent="0.3">
      <c r="A6639" s="19"/>
      <c r="B6639" s="36"/>
    </row>
    <row r="6640" spans="1:2" x14ac:dyDescent="0.3">
      <c r="A6640" s="19"/>
      <c r="B6640" s="36"/>
    </row>
    <row r="6641" spans="1:2" x14ac:dyDescent="0.3">
      <c r="A6641" s="19"/>
      <c r="B6641" s="36"/>
    </row>
    <row r="6642" spans="1:2" x14ac:dyDescent="0.3">
      <c r="A6642" s="19"/>
      <c r="B6642" s="36"/>
    </row>
    <row r="6643" spans="1:2" x14ac:dyDescent="0.3">
      <c r="A6643" s="19"/>
      <c r="B6643" s="36"/>
    </row>
    <row r="6644" spans="1:2" x14ac:dyDescent="0.3">
      <c r="A6644" s="19"/>
      <c r="B6644" s="36"/>
    </row>
    <row r="6645" spans="1:2" x14ac:dyDescent="0.3">
      <c r="A6645" s="19"/>
      <c r="B6645" s="36"/>
    </row>
    <row r="6646" spans="1:2" x14ac:dyDescent="0.3">
      <c r="A6646" s="19"/>
      <c r="B6646" s="36"/>
    </row>
    <row r="6647" spans="1:2" x14ac:dyDescent="0.3">
      <c r="A6647" s="19"/>
      <c r="B6647" s="36"/>
    </row>
    <row r="6648" spans="1:2" x14ac:dyDescent="0.3">
      <c r="A6648" s="19"/>
      <c r="B6648" s="36"/>
    </row>
    <row r="6649" spans="1:2" x14ac:dyDescent="0.3">
      <c r="A6649" s="19"/>
      <c r="B6649" s="36"/>
    </row>
    <row r="6650" spans="1:2" x14ac:dyDescent="0.3">
      <c r="A6650" s="19"/>
      <c r="B6650" s="36"/>
    </row>
    <row r="6651" spans="1:2" x14ac:dyDescent="0.3">
      <c r="A6651" s="19"/>
      <c r="B6651" s="36"/>
    </row>
    <row r="6652" spans="1:2" x14ac:dyDescent="0.3">
      <c r="A6652" s="19"/>
      <c r="B6652" s="36"/>
    </row>
    <row r="6653" spans="1:2" x14ac:dyDescent="0.3">
      <c r="A6653" s="19"/>
      <c r="B6653" s="36"/>
    </row>
    <row r="6654" spans="1:2" x14ac:dyDescent="0.3">
      <c r="A6654" s="19"/>
      <c r="B6654" s="36"/>
    </row>
    <row r="6655" spans="1:2" x14ac:dyDescent="0.3">
      <c r="A6655" s="19"/>
      <c r="B6655" s="36"/>
    </row>
    <row r="6656" spans="1:2" x14ac:dyDescent="0.3">
      <c r="A6656" s="19"/>
      <c r="B6656" s="36"/>
    </row>
    <row r="6657" spans="1:2" x14ac:dyDescent="0.3">
      <c r="A6657" s="19"/>
      <c r="B6657" s="36"/>
    </row>
    <row r="6658" spans="1:2" x14ac:dyDescent="0.3">
      <c r="A6658" s="19"/>
      <c r="B6658" s="36"/>
    </row>
    <row r="6659" spans="1:2" x14ac:dyDescent="0.3">
      <c r="A6659" s="19"/>
      <c r="B6659" s="36"/>
    </row>
    <row r="6660" spans="1:2" x14ac:dyDescent="0.3">
      <c r="A6660" s="19"/>
      <c r="B6660" s="36"/>
    </row>
    <row r="6661" spans="1:2" x14ac:dyDescent="0.3">
      <c r="A6661" s="19"/>
      <c r="B6661" s="36"/>
    </row>
    <row r="6662" spans="1:2" x14ac:dyDescent="0.3">
      <c r="A6662" s="19"/>
      <c r="B6662" s="36"/>
    </row>
    <row r="6663" spans="1:2" x14ac:dyDescent="0.3">
      <c r="A6663" s="19"/>
      <c r="B6663" s="36"/>
    </row>
    <row r="6664" spans="1:2" x14ac:dyDescent="0.3">
      <c r="A6664" s="19"/>
      <c r="B6664" s="36"/>
    </row>
    <row r="6665" spans="1:2" x14ac:dyDescent="0.3">
      <c r="A6665" s="19"/>
      <c r="B6665" s="36"/>
    </row>
    <row r="6666" spans="1:2" x14ac:dyDescent="0.3">
      <c r="A6666" s="19"/>
      <c r="B6666" s="36"/>
    </row>
    <row r="6667" spans="1:2" x14ac:dyDescent="0.3">
      <c r="A6667" s="19"/>
      <c r="B6667" s="36"/>
    </row>
    <row r="6668" spans="1:2" x14ac:dyDescent="0.3">
      <c r="A6668" s="19"/>
      <c r="B6668" s="36"/>
    </row>
    <row r="6669" spans="1:2" x14ac:dyDescent="0.3">
      <c r="A6669" s="19"/>
      <c r="B6669" s="36"/>
    </row>
    <row r="6670" spans="1:2" x14ac:dyDescent="0.3">
      <c r="A6670" s="19"/>
      <c r="B6670" s="36"/>
    </row>
    <row r="6671" spans="1:2" x14ac:dyDescent="0.3">
      <c r="A6671" s="19"/>
      <c r="B6671" s="36"/>
    </row>
    <row r="6672" spans="1:2" x14ac:dyDescent="0.3">
      <c r="A6672" s="19"/>
      <c r="B6672" s="36"/>
    </row>
    <row r="6673" spans="1:2" x14ac:dyDescent="0.3">
      <c r="A6673" s="19"/>
      <c r="B6673" s="36"/>
    </row>
    <row r="6674" spans="1:2" x14ac:dyDescent="0.3">
      <c r="A6674" s="19"/>
      <c r="B6674" s="36"/>
    </row>
    <row r="6675" spans="1:2" x14ac:dyDescent="0.3">
      <c r="A6675" s="19"/>
      <c r="B6675" s="36"/>
    </row>
    <row r="6676" spans="1:2" x14ac:dyDescent="0.3">
      <c r="A6676" s="19"/>
      <c r="B6676" s="36"/>
    </row>
    <row r="6677" spans="1:2" x14ac:dyDescent="0.3">
      <c r="A6677" s="19"/>
      <c r="B6677" s="36"/>
    </row>
    <row r="6678" spans="1:2" x14ac:dyDescent="0.3">
      <c r="A6678" s="19"/>
      <c r="B6678" s="36"/>
    </row>
    <row r="6679" spans="1:2" x14ac:dyDescent="0.3">
      <c r="A6679" s="19"/>
      <c r="B6679" s="36"/>
    </row>
    <row r="6680" spans="1:2" x14ac:dyDescent="0.3">
      <c r="A6680" s="19"/>
      <c r="B6680" s="36"/>
    </row>
    <row r="6681" spans="1:2" x14ac:dyDescent="0.3">
      <c r="A6681" s="19"/>
      <c r="B6681" s="36"/>
    </row>
    <row r="6682" spans="1:2" x14ac:dyDescent="0.3">
      <c r="A6682" s="19"/>
      <c r="B6682" s="36"/>
    </row>
    <row r="6683" spans="1:2" x14ac:dyDescent="0.3">
      <c r="A6683" s="19"/>
      <c r="B6683" s="36"/>
    </row>
    <row r="6684" spans="1:2" x14ac:dyDescent="0.3">
      <c r="A6684" s="19"/>
      <c r="B6684" s="36"/>
    </row>
    <row r="6685" spans="1:2" x14ac:dyDescent="0.3">
      <c r="A6685" s="19"/>
      <c r="B6685" s="36"/>
    </row>
    <row r="6686" spans="1:2" x14ac:dyDescent="0.3">
      <c r="A6686" s="19"/>
      <c r="B6686" s="36"/>
    </row>
    <row r="6687" spans="1:2" x14ac:dyDescent="0.3">
      <c r="A6687" s="19"/>
      <c r="B6687" s="36"/>
    </row>
    <row r="6688" spans="1:2" x14ac:dyDescent="0.3">
      <c r="A6688" s="19"/>
      <c r="B6688" s="36"/>
    </row>
    <row r="6689" spans="1:2" x14ac:dyDescent="0.3">
      <c r="A6689" s="19"/>
      <c r="B6689" s="36"/>
    </row>
    <row r="6690" spans="1:2" x14ac:dyDescent="0.3">
      <c r="A6690" s="19"/>
      <c r="B6690" s="36"/>
    </row>
    <row r="6691" spans="1:2" x14ac:dyDescent="0.3">
      <c r="A6691" s="19"/>
      <c r="B6691" s="36"/>
    </row>
    <row r="6692" spans="1:2" x14ac:dyDescent="0.3">
      <c r="A6692" s="19"/>
      <c r="B6692" s="36"/>
    </row>
    <row r="6693" spans="1:2" x14ac:dyDescent="0.3">
      <c r="A6693" s="19"/>
      <c r="B6693" s="36"/>
    </row>
    <row r="6694" spans="1:2" x14ac:dyDescent="0.3">
      <c r="A6694" s="19"/>
      <c r="B6694" s="36"/>
    </row>
    <row r="6695" spans="1:2" x14ac:dyDescent="0.3">
      <c r="A6695" s="19"/>
      <c r="B6695" s="36"/>
    </row>
    <row r="6696" spans="1:2" x14ac:dyDescent="0.3">
      <c r="A6696" s="19"/>
      <c r="B6696" s="36"/>
    </row>
    <row r="6697" spans="1:2" x14ac:dyDescent="0.3">
      <c r="A6697" s="19"/>
      <c r="B6697" s="36"/>
    </row>
    <row r="6698" spans="1:2" x14ac:dyDescent="0.3">
      <c r="A6698" s="19"/>
      <c r="B6698" s="36"/>
    </row>
    <row r="6699" spans="1:2" x14ac:dyDescent="0.3">
      <c r="A6699" s="19"/>
      <c r="B6699" s="36"/>
    </row>
    <row r="6700" spans="1:2" x14ac:dyDescent="0.3">
      <c r="A6700" s="19"/>
      <c r="B6700" s="36"/>
    </row>
    <row r="6701" spans="1:2" x14ac:dyDescent="0.3">
      <c r="A6701" s="19"/>
      <c r="B6701" s="36"/>
    </row>
    <row r="6702" spans="1:2" x14ac:dyDescent="0.3">
      <c r="A6702" s="19"/>
      <c r="B6702" s="36"/>
    </row>
    <row r="6703" spans="1:2" x14ac:dyDescent="0.3">
      <c r="A6703" s="19"/>
      <c r="B6703" s="36"/>
    </row>
    <row r="6704" spans="1:2" x14ac:dyDescent="0.3">
      <c r="A6704" s="19"/>
      <c r="B6704" s="36"/>
    </row>
    <row r="6705" spans="1:2" x14ac:dyDescent="0.3">
      <c r="A6705" s="19"/>
      <c r="B6705" s="36"/>
    </row>
    <row r="6706" spans="1:2" x14ac:dyDescent="0.3">
      <c r="A6706" s="19"/>
      <c r="B6706" s="36"/>
    </row>
    <row r="6707" spans="1:2" x14ac:dyDescent="0.3">
      <c r="A6707" s="19"/>
      <c r="B6707" s="36"/>
    </row>
    <row r="6708" spans="1:2" x14ac:dyDescent="0.3">
      <c r="A6708" s="19"/>
      <c r="B6708" s="36"/>
    </row>
    <row r="6709" spans="1:2" x14ac:dyDescent="0.3">
      <c r="A6709" s="19"/>
      <c r="B6709" s="36"/>
    </row>
    <row r="6710" spans="1:2" x14ac:dyDescent="0.3">
      <c r="A6710" s="19"/>
      <c r="B6710" s="36"/>
    </row>
    <row r="6711" spans="1:2" x14ac:dyDescent="0.3">
      <c r="A6711" s="19"/>
      <c r="B6711" s="36"/>
    </row>
    <row r="6712" spans="1:2" x14ac:dyDescent="0.3">
      <c r="A6712" s="19"/>
      <c r="B6712" s="36"/>
    </row>
    <row r="6713" spans="1:2" x14ac:dyDescent="0.3">
      <c r="A6713" s="19"/>
      <c r="B6713" s="36"/>
    </row>
    <row r="6714" spans="1:2" x14ac:dyDescent="0.3">
      <c r="A6714" s="19"/>
      <c r="B6714" s="36"/>
    </row>
    <row r="6715" spans="1:2" x14ac:dyDescent="0.3">
      <c r="A6715" s="19"/>
      <c r="B6715" s="36"/>
    </row>
    <row r="6716" spans="1:2" x14ac:dyDescent="0.3">
      <c r="A6716" s="19"/>
      <c r="B6716" s="36"/>
    </row>
    <row r="6717" spans="1:2" x14ac:dyDescent="0.3">
      <c r="A6717" s="19"/>
      <c r="B6717" s="36"/>
    </row>
    <row r="6718" spans="1:2" x14ac:dyDescent="0.3">
      <c r="A6718" s="19"/>
      <c r="B6718" s="36"/>
    </row>
    <row r="6719" spans="1:2" x14ac:dyDescent="0.3">
      <c r="A6719" s="19"/>
      <c r="B6719" s="36"/>
    </row>
    <row r="6720" spans="1:2" x14ac:dyDescent="0.3">
      <c r="A6720" s="19"/>
      <c r="B6720" s="36"/>
    </row>
    <row r="6721" spans="1:2" x14ac:dyDescent="0.3">
      <c r="A6721" s="19"/>
      <c r="B6721" s="36"/>
    </row>
    <row r="6722" spans="1:2" x14ac:dyDescent="0.3">
      <c r="A6722" s="19"/>
      <c r="B6722" s="36"/>
    </row>
    <row r="6723" spans="1:2" x14ac:dyDescent="0.3">
      <c r="A6723" s="19"/>
      <c r="B6723" s="36"/>
    </row>
    <row r="6724" spans="1:2" x14ac:dyDescent="0.3">
      <c r="A6724" s="19"/>
      <c r="B6724" s="36"/>
    </row>
    <row r="6725" spans="1:2" x14ac:dyDescent="0.3">
      <c r="A6725" s="19"/>
      <c r="B6725" s="36"/>
    </row>
    <row r="6726" spans="1:2" x14ac:dyDescent="0.3">
      <c r="A6726" s="19"/>
      <c r="B6726" s="36"/>
    </row>
    <row r="6727" spans="1:2" x14ac:dyDescent="0.3">
      <c r="A6727" s="19"/>
      <c r="B6727" s="36"/>
    </row>
    <row r="6728" spans="1:2" x14ac:dyDescent="0.3">
      <c r="A6728" s="19"/>
      <c r="B6728" s="36"/>
    </row>
    <row r="6729" spans="1:2" x14ac:dyDescent="0.3">
      <c r="A6729" s="19"/>
      <c r="B6729" s="36"/>
    </row>
    <row r="6730" spans="1:2" x14ac:dyDescent="0.3">
      <c r="A6730" s="19"/>
      <c r="B6730" s="36"/>
    </row>
    <row r="6731" spans="1:2" x14ac:dyDescent="0.3">
      <c r="A6731" s="19"/>
      <c r="B6731" s="36"/>
    </row>
    <row r="6732" spans="1:2" x14ac:dyDescent="0.3">
      <c r="A6732" s="19"/>
      <c r="B6732" s="36"/>
    </row>
    <row r="6733" spans="1:2" x14ac:dyDescent="0.3">
      <c r="A6733" s="19"/>
      <c r="B6733" s="36"/>
    </row>
    <row r="6734" spans="1:2" x14ac:dyDescent="0.3">
      <c r="A6734" s="19"/>
      <c r="B6734" s="36"/>
    </row>
    <row r="6735" spans="1:2" x14ac:dyDescent="0.3">
      <c r="A6735" s="19"/>
      <c r="B6735" s="36"/>
    </row>
    <row r="6736" spans="1:2" x14ac:dyDescent="0.3">
      <c r="A6736" s="19"/>
      <c r="B6736" s="36"/>
    </row>
    <row r="6737" spans="1:2" x14ac:dyDescent="0.3">
      <c r="A6737" s="19"/>
      <c r="B6737" s="36"/>
    </row>
    <row r="6738" spans="1:2" x14ac:dyDescent="0.3">
      <c r="A6738" s="19"/>
      <c r="B6738" s="36"/>
    </row>
    <row r="6739" spans="1:2" x14ac:dyDescent="0.3">
      <c r="A6739" s="19"/>
      <c r="B6739" s="36"/>
    </row>
    <row r="6740" spans="1:2" x14ac:dyDescent="0.3">
      <c r="A6740" s="19"/>
      <c r="B6740" s="36"/>
    </row>
    <row r="6741" spans="1:2" x14ac:dyDescent="0.3">
      <c r="A6741" s="19"/>
      <c r="B6741" s="36"/>
    </row>
    <row r="6742" spans="1:2" x14ac:dyDescent="0.3">
      <c r="A6742" s="19"/>
      <c r="B6742" s="36"/>
    </row>
    <row r="6743" spans="1:2" x14ac:dyDescent="0.3">
      <c r="A6743" s="19"/>
      <c r="B6743" s="36"/>
    </row>
    <row r="6744" spans="1:2" x14ac:dyDescent="0.3">
      <c r="A6744" s="19"/>
      <c r="B6744" s="36"/>
    </row>
    <row r="6745" spans="1:2" x14ac:dyDescent="0.3">
      <c r="A6745" s="19"/>
      <c r="B6745" s="36"/>
    </row>
    <row r="6746" spans="1:2" x14ac:dyDescent="0.3">
      <c r="A6746" s="19"/>
      <c r="B6746" s="36"/>
    </row>
    <row r="6747" spans="1:2" x14ac:dyDescent="0.3">
      <c r="A6747" s="19"/>
      <c r="B6747" s="36"/>
    </row>
    <row r="6748" spans="1:2" x14ac:dyDescent="0.3">
      <c r="A6748" s="19"/>
      <c r="B6748" s="36"/>
    </row>
    <row r="6749" spans="1:2" x14ac:dyDescent="0.3">
      <c r="A6749" s="19"/>
      <c r="B6749" s="36"/>
    </row>
    <row r="6750" spans="1:2" x14ac:dyDescent="0.3">
      <c r="A6750" s="19"/>
      <c r="B6750" s="36"/>
    </row>
    <row r="6751" spans="1:2" x14ac:dyDescent="0.3">
      <c r="A6751" s="19"/>
      <c r="B6751" s="36"/>
    </row>
    <row r="6752" spans="1:2" x14ac:dyDescent="0.3">
      <c r="A6752" s="19"/>
      <c r="B6752" s="36"/>
    </row>
    <row r="6753" spans="1:2" x14ac:dyDescent="0.3">
      <c r="A6753" s="19"/>
      <c r="B6753" s="36"/>
    </row>
    <row r="6754" spans="1:2" x14ac:dyDescent="0.3">
      <c r="A6754" s="19"/>
      <c r="B6754" s="36"/>
    </row>
    <row r="6755" spans="1:2" x14ac:dyDescent="0.3">
      <c r="A6755" s="19"/>
      <c r="B6755" s="36"/>
    </row>
    <row r="6756" spans="1:2" x14ac:dyDescent="0.3">
      <c r="A6756" s="19"/>
      <c r="B6756" s="36"/>
    </row>
    <row r="6757" spans="1:2" x14ac:dyDescent="0.3">
      <c r="A6757" s="19"/>
      <c r="B6757" s="36"/>
    </row>
    <row r="6758" spans="1:2" x14ac:dyDescent="0.3">
      <c r="A6758" s="19"/>
      <c r="B6758" s="36"/>
    </row>
    <row r="6759" spans="1:2" x14ac:dyDescent="0.3">
      <c r="A6759" s="19"/>
      <c r="B6759" s="36"/>
    </row>
    <row r="6760" spans="1:2" x14ac:dyDescent="0.3">
      <c r="A6760" s="19"/>
      <c r="B6760" s="36"/>
    </row>
    <row r="6761" spans="1:2" x14ac:dyDescent="0.3">
      <c r="A6761" s="19"/>
      <c r="B6761" s="36"/>
    </row>
    <row r="6762" spans="1:2" x14ac:dyDescent="0.3">
      <c r="A6762" s="19"/>
      <c r="B6762" s="36"/>
    </row>
    <row r="6763" spans="1:2" x14ac:dyDescent="0.3">
      <c r="A6763" s="19"/>
      <c r="B6763" s="36"/>
    </row>
    <row r="6764" spans="1:2" x14ac:dyDescent="0.3">
      <c r="A6764" s="19"/>
      <c r="B6764" s="36"/>
    </row>
    <row r="6765" spans="1:2" x14ac:dyDescent="0.3">
      <c r="A6765" s="19"/>
      <c r="B6765" s="36"/>
    </row>
    <row r="6766" spans="1:2" x14ac:dyDescent="0.3">
      <c r="A6766" s="19"/>
      <c r="B6766" s="36"/>
    </row>
    <row r="6767" spans="1:2" x14ac:dyDescent="0.3">
      <c r="A6767" s="19"/>
      <c r="B6767" s="36"/>
    </row>
    <row r="6768" spans="1:2" x14ac:dyDescent="0.3">
      <c r="A6768" s="19"/>
      <c r="B6768" s="36"/>
    </row>
    <row r="6769" spans="1:2" x14ac:dyDescent="0.3">
      <c r="A6769" s="19"/>
      <c r="B6769" s="36"/>
    </row>
    <row r="6770" spans="1:2" x14ac:dyDescent="0.3">
      <c r="A6770" s="19"/>
      <c r="B6770" s="36"/>
    </row>
    <row r="6771" spans="1:2" x14ac:dyDescent="0.3">
      <c r="A6771" s="19"/>
      <c r="B6771" s="36"/>
    </row>
    <row r="6772" spans="1:2" x14ac:dyDescent="0.3">
      <c r="A6772" s="19"/>
      <c r="B6772" s="36"/>
    </row>
    <row r="6773" spans="1:2" x14ac:dyDescent="0.3">
      <c r="A6773" s="19"/>
      <c r="B6773" s="36"/>
    </row>
    <row r="6774" spans="1:2" x14ac:dyDescent="0.3">
      <c r="A6774" s="19"/>
      <c r="B6774" s="36"/>
    </row>
    <row r="6775" spans="1:2" x14ac:dyDescent="0.3">
      <c r="A6775" s="19"/>
      <c r="B6775" s="36"/>
    </row>
    <row r="6776" spans="1:2" x14ac:dyDescent="0.3">
      <c r="A6776" s="19"/>
      <c r="B6776" s="36"/>
    </row>
    <row r="6777" spans="1:2" x14ac:dyDescent="0.3">
      <c r="A6777" s="19"/>
      <c r="B6777" s="36"/>
    </row>
    <row r="6778" spans="1:2" x14ac:dyDescent="0.3">
      <c r="A6778" s="19"/>
      <c r="B6778" s="36"/>
    </row>
    <row r="6779" spans="1:2" x14ac:dyDescent="0.3">
      <c r="A6779" s="19"/>
      <c r="B6779" s="36"/>
    </row>
    <row r="6780" spans="1:2" x14ac:dyDescent="0.3">
      <c r="A6780" s="19"/>
      <c r="B6780" s="36"/>
    </row>
    <row r="6781" spans="1:2" x14ac:dyDescent="0.3">
      <c r="A6781" s="19"/>
      <c r="B6781" s="36"/>
    </row>
    <row r="6782" spans="1:2" x14ac:dyDescent="0.3">
      <c r="A6782" s="19"/>
      <c r="B6782" s="36"/>
    </row>
    <row r="6783" spans="1:2" x14ac:dyDescent="0.3">
      <c r="A6783" s="19"/>
      <c r="B6783" s="36"/>
    </row>
    <row r="6784" spans="1:2" x14ac:dyDescent="0.3">
      <c r="A6784" s="19"/>
      <c r="B6784" s="36"/>
    </row>
    <row r="6785" spans="1:2" x14ac:dyDescent="0.3">
      <c r="A6785" s="19"/>
      <c r="B6785" s="36"/>
    </row>
    <row r="6786" spans="1:2" x14ac:dyDescent="0.3">
      <c r="A6786" s="19"/>
      <c r="B6786" s="36"/>
    </row>
    <row r="6787" spans="1:2" x14ac:dyDescent="0.3">
      <c r="A6787" s="19"/>
      <c r="B6787" s="36"/>
    </row>
    <row r="6788" spans="1:2" x14ac:dyDescent="0.3">
      <c r="A6788" s="19"/>
      <c r="B6788" s="36"/>
    </row>
    <row r="6789" spans="1:2" x14ac:dyDescent="0.3">
      <c r="A6789" s="19"/>
      <c r="B6789" s="36"/>
    </row>
    <row r="6790" spans="1:2" x14ac:dyDescent="0.3">
      <c r="A6790" s="19"/>
      <c r="B6790" s="36"/>
    </row>
    <row r="6791" spans="1:2" x14ac:dyDescent="0.3">
      <c r="A6791" s="19"/>
      <c r="B6791" s="36"/>
    </row>
    <row r="6792" spans="1:2" x14ac:dyDescent="0.3">
      <c r="A6792" s="19"/>
      <c r="B6792" s="36"/>
    </row>
    <row r="6793" spans="1:2" x14ac:dyDescent="0.3">
      <c r="A6793" s="19"/>
      <c r="B6793" s="36"/>
    </row>
    <row r="6794" spans="1:2" x14ac:dyDescent="0.3">
      <c r="A6794" s="19"/>
      <c r="B6794" s="36"/>
    </row>
    <row r="6795" spans="1:2" x14ac:dyDescent="0.3">
      <c r="A6795" s="19"/>
      <c r="B6795" s="36"/>
    </row>
    <row r="6796" spans="1:2" x14ac:dyDescent="0.3">
      <c r="A6796" s="19"/>
      <c r="B6796" s="36"/>
    </row>
    <row r="6797" spans="1:2" x14ac:dyDescent="0.3">
      <c r="A6797" s="19"/>
      <c r="B6797" s="36"/>
    </row>
    <row r="6798" spans="1:2" x14ac:dyDescent="0.3">
      <c r="A6798" s="19"/>
      <c r="B6798" s="36"/>
    </row>
    <row r="6799" spans="1:2" x14ac:dyDescent="0.3">
      <c r="A6799" s="19"/>
      <c r="B6799" s="36"/>
    </row>
    <row r="6800" spans="1:2" x14ac:dyDescent="0.3">
      <c r="A6800" s="19"/>
      <c r="B6800" s="36"/>
    </row>
    <row r="6801" spans="1:2" x14ac:dyDescent="0.3">
      <c r="A6801" s="19"/>
      <c r="B6801" s="36"/>
    </row>
    <row r="6802" spans="1:2" x14ac:dyDescent="0.3">
      <c r="A6802" s="19"/>
      <c r="B6802" s="36"/>
    </row>
    <row r="6803" spans="1:2" x14ac:dyDescent="0.3">
      <c r="A6803" s="19"/>
      <c r="B6803" s="36"/>
    </row>
    <row r="6804" spans="1:2" x14ac:dyDescent="0.3">
      <c r="A6804" s="19"/>
      <c r="B6804" s="36"/>
    </row>
    <row r="6805" spans="1:2" x14ac:dyDescent="0.3">
      <c r="A6805" s="19"/>
      <c r="B6805" s="36"/>
    </row>
    <row r="6806" spans="1:2" x14ac:dyDescent="0.3">
      <c r="A6806" s="19"/>
      <c r="B6806" s="36"/>
    </row>
    <row r="6807" spans="1:2" x14ac:dyDescent="0.3">
      <c r="A6807" s="19"/>
      <c r="B6807" s="36"/>
    </row>
    <row r="6808" spans="1:2" x14ac:dyDescent="0.3">
      <c r="A6808" s="19"/>
      <c r="B6808" s="36"/>
    </row>
    <row r="6809" spans="1:2" x14ac:dyDescent="0.3">
      <c r="A6809" s="19"/>
      <c r="B6809" s="36"/>
    </row>
    <row r="6810" spans="1:2" x14ac:dyDescent="0.3">
      <c r="A6810" s="19"/>
      <c r="B6810" s="36"/>
    </row>
    <row r="6811" spans="1:2" x14ac:dyDescent="0.3">
      <c r="A6811" s="19"/>
      <c r="B6811" s="36"/>
    </row>
    <row r="6812" spans="1:2" x14ac:dyDescent="0.3">
      <c r="A6812" s="19"/>
      <c r="B6812" s="36"/>
    </row>
    <row r="6813" spans="1:2" x14ac:dyDescent="0.3">
      <c r="A6813" s="19"/>
      <c r="B6813" s="36"/>
    </row>
    <row r="6814" spans="1:2" x14ac:dyDescent="0.3">
      <c r="A6814" s="19"/>
      <c r="B6814" s="36"/>
    </row>
    <row r="6815" spans="1:2" x14ac:dyDescent="0.3">
      <c r="A6815" s="19"/>
      <c r="B6815" s="36"/>
    </row>
    <row r="6816" spans="1:2" x14ac:dyDescent="0.3">
      <c r="A6816" s="19"/>
      <c r="B6816" s="36"/>
    </row>
    <row r="6817" spans="1:2" x14ac:dyDescent="0.3">
      <c r="A6817" s="19"/>
      <c r="B6817" s="36"/>
    </row>
    <row r="6818" spans="1:2" x14ac:dyDescent="0.3">
      <c r="A6818" s="19"/>
      <c r="B6818" s="36"/>
    </row>
    <row r="6819" spans="1:2" x14ac:dyDescent="0.3">
      <c r="A6819" s="19"/>
      <c r="B6819" s="36"/>
    </row>
    <row r="6820" spans="1:2" x14ac:dyDescent="0.3">
      <c r="A6820" s="19"/>
      <c r="B6820" s="36"/>
    </row>
    <row r="6821" spans="1:2" x14ac:dyDescent="0.3">
      <c r="A6821" s="19"/>
      <c r="B6821" s="36"/>
    </row>
    <row r="6822" spans="1:2" x14ac:dyDescent="0.3">
      <c r="A6822" s="19"/>
      <c r="B6822" s="36"/>
    </row>
    <row r="6823" spans="1:2" x14ac:dyDescent="0.3">
      <c r="A6823" s="19"/>
      <c r="B6823" s="36"/>
    </row>
    <row r="6824" spans="1:2" x14ac:dyDescent="0.3">
      <c r="A6824" s="19"/>
      <c r="B6824" s="36"/>
    </row>
    <row r="6825" spans="1:2" x14ac:dyDescent="0.3">
      <c r="A6825" s="19"/>
      <c r="B6825" s="36"/>
    </row>
    <row r="6826" spans="1:2" x14ac:dyDescent="0.3">
      <c r="A6826" s="19"/>
      <c r="B6826" s="36"/>
    </row>
    <row r="6827" spans="1:2" x14ac:dyDescent="0.3">
      <c r="A6827" s="19"/>
      <c r="B6827" s="36"/>
    </row>
    <row r="6828" spans="1:2" x14ac:dyDescent="0.3">
      <c r="A6828" s="19"/>
      <c r="B6828" s="36"/>
    </row>
    <row r="6829" spans="1:2" x14ac:dyDescent="0.3">
      <c r="A6829" s="19"/>
      <c r="B6829" s="36"/>
    </row>
    <row r="6830" spans="1:2" x14ac:dyDescent="0.3">
      <c r="A6830" s="19"/>
      <c r="B6830" s="36"/>
    </row>
    <row r="6831" spans="1:2" x14ac:dyDescent="0.3">
      <c r="A6831" s="19"/>
      <c r="B6831" s="36"/>
    </row>
    <row r="6832" spans="1:2" x14ac:dyDescent="0.3">
      <c r="A6832" s="19"/>
      <c r="B6832" s="36"/>
    </row>
    <row r="6833" spans="1:2" x14ac:dyDescent="0.3">
      <c r="A6833" s="19"/>
      <c r="B6833" s="36"/>
    </row>
    <row r="6834" spans="1:2" x14ac:dyDescent="0.3">
      <c r="A6834" s="19"/>
      <c r="B6834" s="36"/>
    </row>
    <row r="6835" spans="1:2" x14ac:dyDescent="0.3">
      <c r="A6835" s="19"/>
      <c r="B6835" s="36"/>
    </row>
    <row r="6836" spans="1:2" x14ac:dyDescent="0.3">
      <c r="A6836" s="19"/>
      <c r="B6836" s="36"/>
    </row>
    <row r="6837" spans="1:2" x14ac:dyDescent="0.3">
      <c r="A6837" s="19"/>
      <c r="B6837" s="36"/>
    </row>
    <row r="6838" spans="1:2" x14ac:dyDescent="0.3">
      <c r="A6838" s="19"/>
      <c r="B6838" s="36"/>
    </row>
    <row r="6839" spans="1:2" x14ac:dyDescent="0.3">
      <c r="A6839" s="19"/>
      <c r="B6839" s="36"/>
    </row>
    <row r="6840" spans="1:2" x14ac:dyDescent="0.3">
      <c r="A6840" s="19"/>
      <c r="B6840" s="36"/>
    </row>
    <row r="6841" spans="1:2" x14ac:dyDescent="0.3">
      <c r="A6841" s="19"/>
      <c r="B6841" s="36"/>
    </row>
    <row r="6842" spans="1:2" x14ac:dyDescent="0.3">
      <c r="A6842" s="19"/>
      <c r="B6842" s="36"/>
    </row>
    <row r="6843" spans="1:2" x14ac:dyDescent="0.3">
      <c r="A6843" s="19"/>
      <c r="B6843" s="36"/>
    </row>
    <row r="6844" spans="1:2" x14ac:dyDescent="0.3">
      <c r="A6844" s="19"/>
      <c r="B6844" s="36"/>
    </row>
    <row r="6845" spans="1:2" x14ac:dyDescent="0.3">
      <c r="A6845" s="19"/>
      <c r="B6845" s="36"/>
    </row>
    <row r="6846" spans="1:2" x14ac:dyDescent="0.3">
      <c r="A6846" s="19"/>
      <c r="B6846" s="36"/>
    </row>
    <row r="6847" spans="1:2" x14ac:dyDescent="0.3">
      <c r="A6847" s="19"/>
      <c r="B6847" s="36"/>
    </row>
    <row r="6848" spans="1:2" x14ac:dyDescent="0.3">
      <c r="A6848" s="19"/>
      <c r="B6848" s="36"/>
    </row>
    <row r="6849" spans="1:2" x14ac:dyDescent="0.3">
      <c r="A6849" s="19"/>
      <c r="B6849" s="36"/>
    </row>
    <row r="6850" spans="1:2" x14ac:dyDescent="0.3">
      <c r="A6850" s="19"/>
      <c r="B6850" s="36"/>
    </row>
    <row r="6851" spans="1:2" x14ac:dyDescent="0.3">
      <c r="A6851" s="19"/>
      <c r="B6851" s="36"/>
    </row>
    <row r="6852" spans="1:2" x14ac:dyDescent="0.3">
      <c r="A6852" s="19"/>
      <c r="B6852" s="36"/>
    </row>
    <row r="6853" spans="1:2" x14ac:dyDescent="0.3">
      <c r="A6853" s="19"/>
      <c r="B6853" s="36"/>
    </row>
    <row r="6854" spans="1:2" x14ac:dyDescent="0.3">
      <c r="A6854" s="19"/>
      <c r="B6854" s="36"/>
    </row>
    <row r="6855" spans="1:2" x14ac:dyDescent="0.3">
      <c r="A6855" s="19"/>
      <c r="B6855" s="36"/>
    </row>
    <row r="6856" spans="1:2" x14ac:dyDescent="0.3">
      <c r="A6856" s="19"/>
      <c r="B6856" s="36"/>
    </row>
    <row r="6857" spans="1:2" x14ac:dyDescent="0.3">
      <c r="A6857" s="19"/>
      <c r="B6857" s="36"/>
    </row>
    <row r="6858" spans="1:2" x14ac:dyDescent="0.3">
      <c r="A6858" s="19"/>
      <c r="B6858" s="36"/>
    </row>
    <row r="6859" spans="1:2" x14ac:dyDescent="0.3">
      <c r="A6859" s="19"/>
      <c r="B6859" s="36"/>
    </row>
    <row r="6860" spans="1:2" x14ac:dyDescent="0.3">
      <c r="A6860" s="19"/>
      <c r="B6860" s="36"/>
    </row>
    <row r="6861" spans="1:2" x14ac:dyDescent="0.3">
      <c r="A6861" s="19"/>
      <c r="B6861" s="36"/>
    </row>
    <row r="6862" spans="1:2" x14ac:dyDescent="0.3">
      <c r="A6862" s="19"/>
      <c r="B6862" s="36"/>
    </row>
    <row r="6863" spans="1:2" x14ac:dyDescent="0.3">
      <c r="A6863" s="19"/>
      <c r="B6863" s="36"/>
    </row>
    <row r="6864" spans="1:2" x14ac:dyDescent="0.3">
      <c r="A6864" s="19"/>
      <c r="B6864" s="36"/>
    </row>
    <row r="6865" spans="1:2" x14ac:dyDescent="0.3">
      <c r="A6865" s="19"/>
      <c r="B6865" s="36"/>
    </row>
    <row r="6866" spans="1:2" x14ac:dyDescent="0.3">
      <c r="A6866" s="19"/>
      <c r="B6866" s="36"/>
    </row>
    <row r="6867" spans="1:2" x14ac:dyDescent="0.3">
      <c r="A6867" s="19"/>
      <c r="B6867" s="36"/>
    </row>
    <row r="6868" spans="1:2" x14ac:dyDescent="0.3">
      <c r="A6868" s="19"/>
      <c r="B6868" s="36"/>
    </row>
    <row r="6869" spans="1:2" x14ac:dyDescent="0.3">
      <c r="A6869" s="19"/>
      <c r="B6869" s="36"/>
    </row>
    <row r="6870" spans="1:2" x14ac:dyDescent="0.3">
      <c r="A6870" s="19"/>
      <c r="B6870" s="36"/>
    </row>
    <row r="6871" spans="1:2" x14ac:dyDescent="0.3">
      <c r="A6871" s="19"/>
      <c r="B6871" s="36"/>
    </row>
    <row r="6872" spans="1:2" x14ac:dyDescent="0.3">
      <c r="A6872" s="19"/>
      <c r="B6872" s="36"/>
    </row>
    <row r="6873" spans="1:2" x14ac:dyDescent="0.3">
      <c r="A6873" s="19"/>
      <c r="B6873" s="36"/>
    </row>
    <row r="6874" spans="1:2" x14ac:dyDescent="0.3">
      <c r="A6874" s="19"/>
      <c r="B6874" s="36"/>
    </row>
    <row r="6875" spans="1:2" x14ac:dyDescent="0.3">
      <c r="A6875" s="19"/>
      <c r="B6875" s="36"/>
    </row>
    <row r="6876" spans="1:2" x14ac:dyDescent="0.3">
      <c r="A6876" s="19"/>
      <c r="B6876" s="36"/>
    </row>
    <row r="6877" spans="1:2" x14ac:dyDescent="0.3">
      <c r="A6877" s="19"/>
      <c r="B6877" s="36"/>
    </row>
    <row r="6878" spans="1:2" x14ac:dyDescent="0.3">
      <c r="A6878" s="19"/>
      <c r="B6878" s="36"/>
    </row>
    <row r="6879" spans="1:2" x14ac:dyDescent="0.3">
      <c r="A6879" s="19"/>
      <c r="B6879" s="36"/>
    </row>
    <row r="6880" spans="1:2" x14ac:dyDescent="0.3">
      <c r="A6880" s="19"/>
      <c r="B6880" s="36"/>
    </row>
    <row r="6881" spans="1:2" x14ac:dyDescent="0.3">
      <c r="A6881" s="19"/>
      <c r="B6881" s="36"/>
    </row>
    <row r="6882" spans="1:2" x14ac:dyDescent="0.3">
      <c r="A6882" s="19"/>
      <c r="B6882" s="36"/>
    </row>
    <row r="6883" spans="1:2" x14ac:dyDescent="0.3">
      <c r="A6883" s="19"/>
      <c r="B6883" s="36"/>
    </row>
    <row r="6884" spans="1:2" x14ac:dyDescent="0.3">
      <c r="A6884" s="19"/>
      <c r="B6884" s="36"/>
    </row>
    <row r="6885" spans="1:2" x14ac:dyDescent="0.3">
      <c r="A6885" s="19"/>
      <c r="B6885" s="36"/>
    </row>
    <row r="6886" spans="1:2" x14ac:dyDescent="0.3">
      <c r="A6886" s="19"/>
      <c r="B6886" s="36"/>
    </row>
    <row r="6887" spans="1:2" x14ac:dyDescent="0.3">
      <c r="A6887" s="19"/>
      <c r="B6887" s="36"/>
    </row>
    <row r="6888" spans="1:2" x14ac:dyDescent="0.3">
      <c r="A6888" s="19"/>
      <c r="B6888" s="36"/>
    </row>
    <row r="6889" spans="1:2" x14ac:dyDescent="0.3">
      <c r="A6889" s="19"/>
      <c r="B6889" s="36"/>
    </row>
    <row r="6890" spans="1:2" x14ac:dyDescent="0.3">
      <c r="A6890" s="19"/>
      <c r="B6890" s="36"/>
    </row>
    <row r="6891" spans="1:2" x14ac:dyDescent="0.3">
      <c r="A6891" s="19"/>
      <c r="B6891" s="36"/>
    </row>
    <row r="6892" spans="1:2" x14ac:dyDescent="0.3">
      <c r="A6892" s="19"/>
      <c r="B6892" s="36"/>
    </row>
    <row r="6893" spans="1:2" x14ac:dyDescent="0.3">
      <c r="A6893" s="19"/>
      <c r="B6893" s="36"/>
    </row>
    <row r="6894" spans="1:2" x14ac:dyDescent="0.3">
      <c r="A6894" s="19"/>
      <c r="B6894" s="36"/>
    </row>
    <row r="6895" spans="1:2" x14ac:dyDescent="0.3">
      <c r="A6895" s="19"/>
      <c r="B6895" s="36"/>
    </row>
    <row r="6896" spans="1:2" x14ac:dyDescent="0.3">
      <c r="A6896" s="19"/>
      <c r="B6896" s="36"/>
    </row>
    <row r="6897" spans="1:2" x14ac:dyDescent="0.3">
      <c r="A6897" s="19"/>
      <c r="B6897" s="36"/>
    </row>
    <row r="6898" spans="1:2" x14ac:dyDescent="0.3">
      <c r="A6898" s="19"/>
      <c r="B6898" s="36"/>
    </row>
    <row r="6899" spans="1:2" x14ac:dyDescent="0.3">
      <c r="A6899" s="19"/>
      <c r="B6899" s="36"/>
    </row>
    <row r="6900" spans="1:2" x14ac:dyDescent="0.3">
      <c r="A6900" s="19"/>
      <c r="B6900" s="36"/>
    </row>
    <row r="6901" spans="1:2" x14ac:dyDescent="0.3">
      <c r="A6901" s="19"/>
      <c r="B6901" s="36"/>
    </row>
    <row r="6902" spans="1:2" x14ac:dyDescent="0.3">
      <c r="A6902" s="19"/>
      <c r="B6902" s="36"/>
    </row>
    <row r="6903" spans="1:2" x14ac:dyDescent="0.3">
      <c r="A6903" s="19"/>
      <c r="B6903" s="36"/>
    </row>
    <row r="6904" spans="1:2" x14ac:dyDescent="0.3">
      <c r="A6904" s="19"/>
      <c r="B6904" s="36"/>
    </row>
    <row r="6905" spans="1:2" x14ac:dyDescent="0.3">
      <c r="A6905" s="19"/>
      <c r="B6905" s="36"/>
    </row>
    <row r="6906" spans="1:2" x14ac:dyDescent="0.3">
      <c r="A6906" s="19"/>
      <c r="B6906" s="36"/>
    </row>
    <row r="6907" spans="1:2" x14ac:dyDescent="0.3">
      <c r="A6907" s="19"/>
      <c r="B6907" s="36"/>
    </row>
    <row r="6908" spans="1:2" x14ac:dyDescent="0.3">
      <c r="A6908" s="19"/>
      <c r="B6908" s="36"/>
    </row>
    <row r="6909" spans="1:2" x14ac:dyDescent="0.3">
      <c r="A6909" s="19"/>
      <c r="B6909" s="36"/>
    </row>
    <row r="6910" spans="1:2" x14ac:dyDescent="0.3">
      <c r="A6910" s="19"/>
      <c r="B6910" s="36"/>
    </row>
    <row r="6911" spans="1:2" x14ac:dyDescent="0.3">
      <c r="A6911" s="19"/>
      <c r="B6911" s="36"/>
    </row>
    <row r="6912" spans="1:2" x14ac:dyDescent="0.3">
      <c r="A6912" s="19"/>
      <c r="B6912" s="36"/>
    </row>
    <row r="6913" spans="1:2" x14ac:dyDescent="0.3">
      <c r="A6913" s="19"/>
      <c r="B6913" s="36"/>
    </row>
    <row r="6914" spans="1:2" x14ac:dyDescent="0.3">
      <c r="A6914" s="19"/>
      <c r="B6914" s="36"/>
    </row>
    <row r="6915" spans="1:2" x14ac:dyDescent="0.3">
      <c r="A6915" s="19"/>
      <c r="B6915" s="36"/>
    </row>
    <row r="6916" spans="1:2" x14ac:dyDescent="0.3">
      <c r="A6916" s="19"/>
      <c r="B6916" s="36"/>
    </row>
    <row r="6917" spans="1:2" x14ac:dyDescent="0.3">
      <c r="A6917" s="19"/>
      <c r="B6917" s="36"/>
    </row>
    <row r="6918" spans="1:2" x14ac:dyDescent="0.3">
      <c r="A6918" s="19"/>
      <c r="B6918" s="36"/>
    </row>
    <row r="6919" spans="1:2" x14ac:dyDescent="0.3">
      <c r="A6919" s="19"/>
      <c r="B6919" s="36"/>
    </row>
    <row r="6920" spans="1:2" x14ac:dyDescent="0.3">
      <c r="A6920" s="19"/>
      <c r="B6920" s="36"/>
    </row>
    <row r="6921" spans="1:2" x14ac:dyDescent="0.3">
      <c r="A6921" s="19"/>
      <c r="B6921" s="36"/>
    </row>
    <row r="6922" spans="1:2" x14ac:dyDescent="0.3">
      <c r="A6922" s="19"/>
      <c r="B6922" s="36"/>
    </row>
    <row r="6923" spans="1:2" x14ac:dyDescent="0.3">
      <c r="A6923" s="19"/>
      <c r="B6923" s="36"/>
    </row>
    <row r="6924" spans="1:2" x14ac:dyDescent="0.3">
      <c r="A6924" s="19"/>
      <c r="B6924" s="36"/>
    </row>
    <row r="6925" spans="1:2" x14ac:dyDescent="0.3">
      <c r="A6925" s="19"/>
      <c r="B6925" s="36"/>
    </row>
    <row r="6926" spans="1:2" x14ac:dyDescent="0.3">
      <c r="A6926" s="19"/>
      <c r="B6926" s="36"/>
    </row>
    <row r="6927" spans="1:2" x14ac:dyDescent="0.3">
      <c r="A6927" s="19"/>
      <c r="B6927" s="36"/>
    </row>
    <row r="6928" spans="1:2" x14ac:dyDescent="0.3">
      <c r="A6928" s="19"/>
      <c r="B6928" s="36"/>
    </row>
    <row r="6929" spans="1:2" x14ac:dyDescent="0.3">
      <c r="A6929" s="19"/>
      <c r="B6929" s="36"/>
    </row>
    <row r="6930" spans="1:2" x14ac:dyDescent="0.3">
      <c r="A6930" s="19"/>
      <c r="B6930" s="36"/>
    </row>
    <row r="6931" spans="1:2" x14ac:dyDescent="0.3">
      <c r="A6931" s="19"/>
      <c r="B6931" s="36"/>
    </row>
    <row r="6932" spans="1:2" x14ac:dyDescent="0.3">
      <c r="A6932" s="19"/>
      <c r="B6932" s="36"/>
    </row>
    <row r="6933" spans="1:2" x14ac:dyDescent="0.3">
      <c r="A6933" s="19"/>
      <c r="B6933" s="36"/>
    </row>
    <row r="6934" spans="1:2" x14ac:dyDescent="0.3">
      <c r="A6934" s="19"/>
      <c r="B6934" s="36"/>
    </row>
    <row r="6935" spans="1:2" x14ac:dyDescent="0.3">
      <c r="A6935" s="19"/>
      <c r="B6935" s="36"/>
    </row>
    <row r="6936" spans="1:2" x14ac:dyDescent="0.3">
      <c r="A6936" s="19"/>
      <c r="B6936" s="36"/>
    </row>
    <row r="6937" spans="1:2" x14ac:dyDescent="0.3">
      <c r="A6937" s="19"/>
      <c r="B6937" s="36"/>
    </row>
    <row r="6938" spans="1:2" x14ac:dyDescent="0.3">
      <c r="A6938" s="19"/>
      <c r="B6938" s="36"/>
    </row>
    <row r="6939" spans="1:2" x14ac:dyDescent="0.3">
      <c r="A6939" s="19"/>
      <c r="B6939" s="36"/>
    </row>
    <row r="6940" spans="1:2" x14ac:dyDescent="0.3">
      <c r="A6940" s="19"/>
      <c r="B6940" s="36"/>
    </row>
    <row r="6941" spans="1:2" x14ac:dyDescent="0.3">
      <c r="A6941" s="19"/>
      <c r="B6941" s="36"/>
    </row>
    <row r="6942" spans="1:2" x14ac:dyDescent="0.3">
      <c r="A6942" s="19"/>
      <c r="B6942" s="36"/>
    </row>
    <row r="6943" spans="1:2" x14ac:dyDescent="0.3">
      <c r="A6943" s="19"/>
      <c r="B6943" s="36"/>
    </row>
    <row r="6944" spans="1:2" x14ac:dyDescent="0.3">
      <c r="A6944" s="19"/>
      <c r="B6944" s="36"/>
    </row>
    <row r="6945" spans="1:2" x14ac:dyDescent="0.3">
      <c r="A6945" s="19"/>
      <c r="B6945" s="36"/>
    </row>
    <row r="6946" spans="1:2" x14ac:dyDescent="0.3">
      <c r="A6946" s="19"/>
      <c r="B6946" s="36"/>
    </row>
    <row r="6947" spans="1:2" x14ac:dyDescent="0.3">
      <c r="A6947" s="19"/>
      <c r="B6947" s="36"/>
    </row>
    <row r="6948" spans="1:2" x14ac:dyDescent="0.3">
      <c r="A6948" s="19"/>
      <c r="B6948" s="36"/>
    </row>
    <row r="6949" spans="1:2" x14ac:dyDescent="0.3">
      <c r="A6949" s="19"/>
      <c r="B6949" s="36"/>
    </row>
    <row r="6950" spans="1:2" x14ac:dyDescent="0.3">
      <c r="A6950" s="19"/>
      <c r="B6950" s="36"/>
    </row>
    <row r="6951" spans="1:2" x14ac:dyDescent="0.3">
      <c r="A6951" s="19"/>
      <c r="B6951" s="36"/>
    </row>
    <row r="6952" spans="1:2" x14ac:dyDescent="0.3">
      <c r="A6952" s="19"/>
      <c r="B6952" s="36"/>
    </row>
    <row r="6953" spans="1:2" x14ac:dyDescent="0.3">
      <c r="A6953" s="19"/>
      <c r="B6953" s="36"/>
    </row>
    <row r="6954" spans="1:2" x14ac:dyDescent="0.3">
      <c r="A6954" s="19"/>
      <c r="B6954" s="36"/>
    </row>
    <row r="6955" spans="1:2" x14ac:dyDescent="0.3">
      <c r="A6955" s="19"/>
      <c r="B6955" s="36"/>
    </row>
    <row r="6956" spans="1:2" x14ac:dyDescent="0.3">
      <c r="A6956" s="19"/>
      <c r="B6956" s="36"/>
    </row>
    <row r="6957" spans="1:2" x14ac:dyDescent="0.3">
      <c r="A6957" s="19"/>
      <c r="B6957" s="36"/>
    </row>
    <row r="6958" spans="1:2" x14ac:dyDescent="0.3">
      <c r="A6958" s="19"/>
      <c r="B6958" s="36"/>
    </row>
    <row r="6959" spans="1:2" x14ac:dyDescent="0.3">
      <c r="A6959" s="19"/>
      <c r="B6959" s="36"/>
    </row>
    <row r="6960" spans="1:2" x14ac:dyDescent="0.3">
      <c r="A6960" s="19"/>
      <c r="B6960" s="36"/>
    </row>
    <row r="6961" spans="1:2" x14ac:dyDescent="0.3">
      <c r="A6961" s="19"/>
      <c r="B6961" s="36"/>
    </row>
    <row r="6962" spans="1:2" x14ac:dyDescent="0.3">
      <c r="A6962" s="19"/>
      <c r="B6962" s="36"/>
    </row>
    <row r="6963" spans="1:2" x14ac:dyDescent="0.3">
      <c r="A6963" s="19"/>
      <c r="B6963" s="36"/>
    </row>
    <row r="6964" spans="1:2" x14ac:dyDescent="0.3">
      <c r="A6964" s="19"/>
      <c r="B6964" s="36"/>
    </row>
    <row r="6965" spans="1:2" x14ac:dyDescent="0.3">
      <c r="A6965" s="19"/>
      <c r="B6965" s="36"/>
    </row>
    <row r="6966" spans="1:2" x14ac:dyDescent="0.3">
      <c r="A6966" s="19"/>
      <c r="B6966" s="36"/>
    </row>
    <row r="6967" spans="1:2" x14ac:dyDescent="0.3">
      <c r="A6967" s="19"/>
      <c r="B6967" s="36"/>
    </row>
    <row r="6968" spans="1:2" x14ac:dyDescent="0.3">
      <c r="A6968" s="19"/>
      <c r="B6968" s="36"/>
    </row>
    <row r="6969" spans="1:2" x14ac:dyDescent="0.3">
      <c r="A6969" s="19"/>
      <c r="B6969" s="36"/>
    </row>
    <row r="6970" spans="1:2" x14ac:dyDescent="0.3">
      <c r="A6970" s="19"/>
      <c r="B6970" s="36"/>
    </row>
    <row r="6971" spans="1:2" x14ac:dyDescent="0.3">
      <c r="A6971" s="19"/>
      <c r="B6971" s="36"/>
    </row>
    <row r="6972" spans="1:2" x14ac:dyDescent="0.3">
      <c r="A6972" s="19"/>
      <c r="B6972" s="36"/>
    </row>
    <row r="6973" spans="1:2" x14ac:dyDescent="0.3">
      <c r="A6973" s="19"/>
      <c r="B6973" s="36"/>
    </row>
    <row r="6974" spans="1:2" x14ac:dyDescent="0.3">
      <c r="A6974" s="19"/>
      <c r="B6974" s="36"/>
    </row>
    <row r="6975" spans="1:2" x14ac:dyDescent="0.3">
      <c r="A6975" s="19"/>
      <c r="B6975" s="36"/>
    </row>
    <row r="6976" spans="1:2" x14ac:dyDescent="0.3">
      <c r="A6976" s="19"/>
      <c r="B6976" s="36"/>
    </row>
    <row r="6977" spans="1:2" x14ac:dyDescent="0.3">
      <c r="A6977" s="19"/>
      <c r="B6977" s="36"/>
    </row>
    <row r="6978" spans="1:2" x14ac:dyDescent="0.3">
      <c r="A6978" s="19"/>
      <c r="B6978" s="36"/>
    </row>
    <row r="6979" spans="1:2" x14ac:dyDescent="0.3">
      <c r="A6979" s="19"/>
      <c r="B6979" s="36"/>
    </row>
    <row r="6980" spans="1:2" x14ac:dyDescent="0.3">
      <c r="A6980" s="19"/>
      <c r="B6980" s="36"/>
    </row>
    <row r="6981" spans="1:2" x14ac:dyDescent="0.3">
      <c r="A6981" s="19"/>
      <c r="B6981" s="36"/>
    </row>
    <row r="6982" spans="1:2" x14ac:dyDescent="0.3">
      <c r="A6982" s="19"/>
      <c r="B6982" s="36"/>
    </row>
    <row r="6983" spans="1:2" x14ac:dyDescent="0.3">
      <c r="A6983" s="19"/>
      <c r="B6983" s="36"/>
    </row>
    <row r="6984" spans="1:2" x14ac:dyDescent="0.3">
      <c r="A6984" s="19"/>
      <c r="B6984" s="36"/>
    </row>
    <row r="6985" spans="1:2" x14ac:dyDescent="0.3">
      <c r="A6985" s="19"/>
      <c r="B6985" s="36"/>
    </row>
    <row r="6986" spans="1:2" x14ac:dyDescent="0.3">
      <c r="A6986" s="19"/>
      <c r="B6986" s="36"/>
    </row>
    <row r="6987" spans="1:2" x14ac:dyDescent="0.3">
      <c r="A6987" s="19"/>
      <c r="B6987" s="36"/>
    </row>
    <row r="6988" spans="1:2" x14ac:dyDescent="0.3">
      <c r="A6988" s="19"/>
      <c r="B6988" s="36"/>
    </row>
    <row r="6989" spans="1:2" x14ac:dyDescent="0.3">
      <c r="A6989" s="19"/>
      <c r="B6989" s="36"/>
    </row>
    <row r="6990" spans="1:2" x14ac:dyDescent="0.3">
      <c r="A6990" s="19"/>
      <c r="B6990" s="36"/>
    </row>
    <row r="6991" spans="1:2" x14ac:dyDescent="0.3">
      <c r="A6991" s="19"/>
      <c r="B6991" s="36"/>
    </row>
    <row r="6992" spans="1:2" x14ac:dyDescent="0.3">
      <c r="A6992" s="19"/>
      <c r="B6992" s="36"/>
    </row>
    <row r="6993" spans="1:2" x14ac:dyDescent="0.3">
      <c r="A6993" s="19"/>
      <c r="B6993" s="36"/>
    </row>
    <row r="6994" spans="1:2" x14ac:dyDescent="0.3">
      <c r="A6994" s="19"/>
      <c r="B6994" s="36"/>
    </row>
    <row r="6995" spans="1:2" x14ac:dyDescent="0.3">
      <c r="A6995" s="19"/>
      <c r="B6995" s="36"/>
    </row>
    <row r="6996" spans="1:2" x14ac:dyDescent="0.3">
      <c r="A6996" s="19"/>
      <c r="B6996" s="36"/>
    </row>
    <row r="6997" spans="1:2" x14ac:dyDescent="0.3">
      <c r="A6997" s="19"/>
      <c r="B6997" s="36"/>
    </row>
    <row r="6998" spans="1:2" x14ac:dyDescent="0.3">
      <c r="A6998" s="19"/>
      <c r="B6998" s="36"/>
    </row>
    <row r="6999" spans="1:2" x14ac:dyDescent="0.3">
      <c r="A6999" s="19"/>
      <c r="B6999" s="36"/>
    </row>
    <row r="7000" spans="1:2" x14ac:dyDescent="0.3">
      <c r="A7000" s="19"/>
      <c r="B7000" s="36"/>
    </row>
    <row r="7001" spans="1:2" x14ac:dyDescent="0.3">
      <c r="A7001" s="19"/>
      <c r="B7001" s="36"/>
    </row>
    <row r="7002" spans="1:2" x14ac:dyDescent="0.3">
      <c r="A7002" s="19"/>
      <c r="B7002" s="36"/>
    </row>
    <row r="7003" spans="1:2" x14ac:dyDescent="0.3">
      <c r="A7003" s="19"/>
      <c r="B7003" s="36"/>
    </row>
    <row r="7004" spans="1:2" x14ac:dyDescent="0.3">
      <c r="A7004" s="19"/>
      <c r="B7004" s="36"/>
    </row>
    <row r="7005" spans="1:2" x14ac:dyDescent="0.3">
      <c r="A7005" s="19"/>
      <c r="B7005" s="36"/>
    </row>
    <row r="7006" spans="1:2" x14ac:dyDescent="0.3">
      <c r="A7006" s="19"/>
      <c r="B7006" s="36"/>
    </row>
    <row r="7007" spans="1:2" x14ac:dyDescent="0.3">
      <c r="A7007" s="19"/>
      <c r="B7007" s="36"/>
    </row>
    <row r="7008" spans="1:2" x14ac:dyDescent="0.3">
      <c r="A7008" s="19"/>
      <c r="B7008" s="36"/>
    </row>
    <row r="7009" spans="1:2" x14ac:dyDescent="0.3">
      <c r="A7009" s="19"/>
      <c r="B7009" s="36"/>
    </row>
    <row r="7010" spans="1:2" x14ac:dyDescent="0.3">
      <c r="A7010" s="19"/>
      <c r="B7010" s="36"/>
    </row>
    <row r="7011" spans="1:2" x14ac:dyDescent="0.3">
      <c r="A7011" s="19"/>
      <c r="B7011" s="36"/>
    </row>
    <row r="7012" spans="1:2" x14ac:dyDescent="0.3">
      <c r="A7012" s="19"/>
      <c r="B7012" s="36"/>
    </row>
    <row r="7013" spans="1:2" x14ac:dyDescent="0.3">
      <c r="A7013" s="19"/>
      <c r="B7013" s="36"/>
    </row>
    <row r="7014" spans="1:2" x14ac:dyDescent="0.3">
      <c r="A7014" s="19"/>
      <c r="B7014" s="36"/>
    </row>
    <row r="7015" spans="1:2" x14ac:dyDescent="0.3">
      <c r="A7015" s="19"/>
      <c r="B7015" s="36"/>
    </row>
    <row r="7016" spans="1:2" x14ac:dyDescent="0.3">
      <c r="A7016" s="19"/>
      <c r="B7016" s="36"/>
    </row>
    <row r="7017" spans="1:2" x14ac:dyDescent="0.3">
      <c r="A7017" s="19"/>
      <c r="B7017" s="36"/>
    </row>
    <row r="7018" spans="1:2" x14ac:dyDescent="0.3">
      <c r="A7018" s="19"/>
      <c r="B7018" s="36"/>
    </row>
    <row r="7019" spans="1:2" x14ac:dyDescent="0.3">
      <c r="A7019" s="19"/>
      <c r="B7019" s="36"/>
    </row>
    <row r="7020" spans="1:2" x14ac:dyDescent="0.3">
      <c r="A7020" s="19"/>
      <c r="B7020" s="36"/>
    </row>
    <row r="7021" spans="1:2" x14ac:dyDescent="0.3">
      <c r="A7021" s="19"/>
      <c r="B7021" s="36"/>
    </row>
    <row r="7022" spans="1:2" x14ac:dyDescent="0.3">
      <c r="A7022" s="19"/>
      <c r="B7022" s="36"/>
    </row>
    <row r="7023" spans="1:2" x14ac:dyDescent="0.3">
      <c r="A7023" s="19"/>
      <c r="B7023" s="36"/>
    </row>
    <row r="7024" spans="1:2" x14ac:dyDescent="0.3">
      <c r="A7024" s="19"/>
      <c r="B7024" s="36"/>
    </row>
    <row r="7025" spans="1:2" x14ac:dyDescent="0.3">
      <c r="A7025" s="19"/>
      <c r="B7025" s="36"/>
    </row>
    <row r="7026" spans="1:2" x14ac:dyDescent="0.3">
      <c r="A7026" s="19"/>
      <c r="B7026" s="36"/>
    </row>
    <row r="7027" spans="1:2" x14ac:dyDescent="0.3">
      <c r="A7027" s="19"/>
      <c r="B7027" s="36"/>
    </row>
    <row r="7028" spans="1:2" x14ac:dyDescent="0.3">
      <c r="A7028" s="19"/>
      <c r="B7028" s="36"/>
    </row>
    <row r="7029" spans="1:2" x14ac:dyDescent="0.3">
      <c r="A7029" s="19"/>
      <c r="B7029" s="36"/>
    </row>
    <row r="7030" spans="1:2" x14ac:dyDescent="0.3">
      <c r="A7030" s="19"/>
      <c r="B7030" s="36"/>
    </row>
    <row r="7031" spans="1:2" x14ac:dyDescent="0.3">
      <c r="A7031" s="19"/>
      <c r="B7031" s="36"/>
    </row>
    <row r="7032" spans="1:2" x14ac:dyDescent="0.3">
      <c r="A7032" s="19"/>
      <c r="B7032" s="36"/>
    </row>
    <row r="7033" spans="1:2" x14ac:dyDescent="0.3">
      <c r="A7033" s="19"/>
      <c r="B7033" s="36"/>
    </row>
    <row r="7034" spans="1:2" x14ac:dyDescent="0.3">
      <c r="A7034" s="19"/>
      <c r="B7034" s="36"/>
    </row>
    <row r="7035" spans="1:2" x14ac:dyDescent="0.3">
      <c r="A7035" s="19"/>
      <c r="B7035" s="36"/>
    </row>
    <row r="7036" spans="1:2" x14ac:dyDescent="0.3">
      <c r="A7036" s="19"/>
      <c r="B7036" s="36"/>
    </row>
    <row r="7037" spans="1:2" x14ac:dyDescent="0.3">
      <c r="A7037" s="19"/>
      <c r="B7037" s="36"/>
    </row>
    <row r="7038" spans="1:2" x14ac:dyDescent="0.3">
      <c r="A7038" s="19"/>
      <c r="B7038" s="36"/>
    </row>
    <row r="7039" spans="1:2" x14ac:dyDescent="0.3">
      <c r="A7039" s="19"/>
      <c r="B7039" s="36"/>
    </row>
    <row r="7040" spans="1:2" x14ac:dyDescent="0.3">
      <c r="A7040" s="19"/>
      <c r="B7040" s="36"/>
    </row>
    <row r="7041" spans="1:2" x14ac:dyDescent="0.3">
      <c r="A7041" s="19"/>
      <c r="B7041" s="36"/>
    </row>
    <row r="7042" spans="1:2" x14ac:dyDescent="0.3">
      <c r="A7042" s="19"/>
      <c r="B7042" s="36"/>
    </row>
    <row r="7043" spans="1:2" x14ac:dyDescent="0.3">
      <c r="A7043" s="19"/>
      <c r="B7043" s="36"/>
    </row>
    <row r="7044" spans="1:2" x14ac:dyDescent="0.3">
      <c r="A7044" s="19"/>
      <c r="B7044" s="36"/>
    </row>
    <row r="7045" spans="1:2" x14ac:dyDescent="0.3">
      <c r="A7045" s="19"/>
      <c r="B7045" s="36"/>
    </row>
    <row r="7046" spans="1:2" x14ac:dyDescent="0.3">
      <c r="A7046" s="19"/>
      <c r="B7046" s="36"/>
    </row>
    <row r="7047" spans="1:2" x14ac:dyDescent="0.3">
      <c r="A7047" s="19"/>
      <c r="B7047" s="36"/>
    </row>
    <row r="7048" spans="1:2" x14ac:dyDescent="0.3">
      <c r="A7048" s="19"/>
      <c r="B7048" s="36"/>
    </row>
    <row r="7049" spans="1:2" x14ac:dyDescent="0.3">
      <c r="A7049" s="19"/>
      <c r="B7049" s="36"/>
    </row>
    <row r="7050" spans="1:2" x14ac:dyDescent="0.3">
      <c r="A7050" s="19"/>
      <c r="B7050" s="36"/>
    </row>
    <row r="7051" spans="1:2" x14ac:dyDescent="0.3">
      <c r="A7051" s="19"/>
      <c r="B7051" s="36"/>
    </row>
    <row r="7052" spans="1:2" x14ac:dyDescent="0.3">
      <c r="A7052" s="19"/>
      <c r="B7052" s="36"/>
    </row>
    <row r="7053" spans="1:2" x14ac:dyDescent="0.3">
      <c r="A7053" s="19"/>
      <c r="B7053" s="36"/>
    </row>
    <row r="7054" spans="1:2" x14ac:dyDescent="0.3">
      <c r="A7054" s="19"/>
      <c r="B7054" s="36"/>
    </row>
    <row r="7055" spans="1:2" x14ac:dyDescent="0.3">
      <c r="A7055" s="19"/>
      <c r="B7055" s="36"/>
    </row>
    <row r="7056" spans="1:2" x14ac:dyDescent="0.3">
      <c r="A7056" s="19"/>
      <c r="B7056" s="36"/>
    </row>
    <row r="7057" spans="1:2" x14ac:dyDescent="0.3">
      <c r="A7057" s="19"/>
      <c r="B7057" s="36"/>
    </row>
    <row r="7058" spans="1:2" x14ac:dyDescent="0.3">
      <c r="A7058" s="19"/>
      <c r="B7058" s="36"/>
    </row>
    <row r="7059" spans="1:2" x14ac:dyDescent="0.3">
      <c r="A7059" s="19"/>
      <c r="B7059" s="36"/>
    </row>
    <row r="7060" spans="1:2" x14ac:dyDescent="0.3">
      <c r="A7060" s="19"/>
      <c r="B7060" s="36"/>
    </row>
    <row r="7061" spans="1:2" x14ac:dyDescent="0.3">
      <c r="A7061" s="19"/>
      <c r="B7061" s="36"/>
    </row>
    <row r="7062" spans="1:2" x14ac:dyDescent="0.3">
      <c r="A7062" s="19"/>
      <c r="B7062" s="36"/>
    </row>
    <row r="7063" spans="1:2" x14ac:dyDescent="0.3">
      <c r="A7063" s="19"/>
      <c r="B7063" s="36"/>
    </row>
    <row r="7064" spans="1:2" x14ac:dyDescent="0.3">
      <c r="A7064" s="19"/>
      <c r="B7064" s="36"/>
    </row>
    <row r="7065" spans="1:2" x14ac:dyDescent="0.3">
      <c r="A7065" s="19"/>
      <c r="B7065" s="36"/>
    </row>
    <row r="7066" spans="1:2" x14ac:dyDescent="0.3">
      <c r="A7066" s="19"/>
      <c r="B7066" s="36"/>
    </row>
    <row r="7067" spans="1:2" x14ac:dyDescent="0.3">
      <c r="A7067" s="19"/>
      <c r="B7067" s="36"/>
    </row>
    <row r="7068" spans="1:2" x14ac:dyDescent="0.3">
      <c r="A7068" s="19"/>
      <c r="B7068" s="36"/>
    </row>
    <row r="7069" spans="1:2" x14ac:dyDescent="0.3">
      <c r="A7069" s="19"/>
      <c r="B7069" s="36"/>
    </row>
    <row r="7070" spans="1:2" x14ac:dyDescent="0.3">
      <c r="A7070" s="19"/>
      <c r="B7070" s="36"/>
    </row>
    <row r="7071" spans="1:2" x14ac:dyDescent="0.3">
      <c r="A7071" s="19"/>
      <c r="B7071" s="36"/>
    </row>
    <row r="7072" spans="1:2" x14ac:dyDescent="0.3">
      <c r="A7072" s="19"/>
      <c r="B7072" s="36"/>
    </row>
    <row r="7073" spans="1:2" x14ac:dyDescent="0.3">
      <c r="A7073" s="19"/>
      <c r="B7073" s="36"/>
    </row>
    <row r="7074" spans="1:2" x14ac:dyDescent="0.3">
      <c r="A7074" s="19"/>
      <c r="B7074" s="36"/>
    </row>
    <row r="7075" spans="1:2" x14ac:dyDescent="0.3">
      <c r="A7075" s="19"/>
      <c r="B7075" s="36"/>
    </row>
    <row r="7076" spans="1:2" x14ac:dyDescent="0.3">
      <c r="A7076" s="19"/>
      <c r="B7076" s="36"/>
    </row>
    <row r="7077" spans="1:2" x14ac:dyDescent="0.3">
      <c r="A7077" s="19"/>
      <c r="B7077" s="36"/>
    </row>
    <row r="7078" spans="1:2" x14ac:dyDescent="0.3">
      <c r="A7078" s="19"/>
      <c r="B7078" s="36"/>
    </row>
    <row r="7079" spans="1:2" x14ac:dyDescent="0.3">
      <c r="A7079" s="19"/>
      <c r="B7079" s="36"/>
    </row>
    <row r="7080" spans="1:2" x14ac:dyDescent="0.3">
      <c r="A7080" s="19"/>
      <c r="B7080" s="36"/>
    </row>
    <row r="7081" spans="1:2" x14ac:dyDescent="0.3">
      <c r="A7081" s="19"/>
      <c r="B7081" s="36"/>
    </row>
    <row r="7082" spans="1:2" x14ac:dyDescent="0.3">
      <c r="A7082" s="19"/>
      <c r="B7082" s="36"/>
    </row>
    <row r="7083" spans="1:2" x14ac:dyDescent="0.3">
      <c r="A7083" s="19"/>
      <c r="B7083" s="36"/>
    </row>
    <row r="7084" spans="1:2" x14ac:dyDescent="0.3">
      <c r="A7084" s="19"/>
      <c r="B7084" s="36"/>
    </row>
    <row r="7085" spans="1:2" x14ac:dyDescent="0.3">
      <c r="A7085" s="19"/>
      <c r="B7085" s="36"/>
    </row>
    <row r="7086" spans="1:2" x14ac:dyDescent="0.3">
      <c r="A7086" s="19"/>
      <c r="B7086" s="36"/>
    </row>
    <row r="7087" spans="1:2" x14ac:dyDescent="0.3">
      <c r="A7087" s="19"/>
      <c r="B7087" s="36"/>
    </row>
    <row r="7088" spans="1:2" x14ac:dyDescent="0.3">
      <c r="A7088" s="19"/>
      <c r="B7088" s="36"/>
    </row>
    <row r="7089" spans="1:2" x14ac:dyDescent="0.3">
      <c r="A7089" s="19"/>
      <c r="B7089" s="36"/>
    </row>
    <row r="7090" spans="1:2" x14ac:dyDescent="0.3">
      <c r="A7090" s="19"/>
      <c r="B7090" s="36"/>
    </row>
    <row r="7091" spans="1:2" x14ac:dyDescent="0.3">
      <c r="A7091" s="19"/>
      <c r="B7091" s="36"/>
    </row>
    <row r="7092" spans="1:2" x14ac:dyDescent="0.3">
      <c r="A7092" s="19"/>
      <c r="B7092" s="36"/>
    </row>
    <row r="7093" spans="1:2" x14ac:dyDescent="0.3">
      <c r="A7093" s="19"/>
      <c r="B7093" s="36"/>
    </row>
    <row r="7094" spans="1:2" x14ac:dyDescent="0.3">
      <c r="A7094" s="19"/>
      <c r="B7094" s="36"/>
    </row>
    <row r="7095" spans="1:2" x14ac:dyDescent="0.3">
      <c r="A7095" s="19"/>
      <c r="B7095" s="36"/>
    </row>
    <row r="7096" spans="1:2" x14ac:dyDescent="0.3">
      <c r="A7096" s="19"/>
      <c r="B7096" s="36"/>
    </row>
    <row r="7097" spans="1:2" x14ac:dyDescent="0.3">
      <c r="A7097" s="19"/>
      <c r="B7097" s="36"/>
    </row>
    <row r="7098" spans="1:2" x14ac:dyDescent="0.3">
      <c r="A7098" s="19"/>
      <c r="B7098" s="36"/>
    </row>
    <row r="7099" spans="1:2" x14ac:dyDescent="0.3">
      <c r="A7099" s="19"/>
      <c r="B7099" s="36"/>
    </row>
    <row r="7100" spans="1:2" x14ac:dyDescent="0.3">
      <c r="A7100" s="19"/>
      <c r="B7100" s="36"/>
    </row>
    <row r="7101" spans="1:2" x14ac:dyDescent="0.3">
      <c r="A7101" s="19"/>
      <c r="B7101" s="36"/>
    </row>
    <row r="7102" spans="1:2" x14ac:dyDescent="0.3">
      <c r="A7102" s="19"/>
      <c r="B7102" s="36"/>
    </row>
    <row r="7103" spans="1:2" x14ac:dyDescent="0.3">
      <c r="A7103" s="19"/>
      <c r="B7103" s="36"/>
    </row>
    <row r="7104" spans="1:2" x14ac:dyDescent="0.3">
      <c r="A7104" s="19"/>
      <c r="B7104" s="36"/>
    </row>
    <row r="7105" spans="1:2" x14ac:dyDescent="0.3">
      <c r="A7105" s="19"/>
      <c r="B7105" s="36"/>
    </row>
    <row r="7106" spans="1:2" x14ac:dyDescent="0.3">
      <c r="A7106" s="19"/>
      <c r="B7106" s="36"/>
    </row>
    <row r="7107" spans="1:2" x14ac:dyDescent="0.3">
      <c r="A7107" s="19"/>
      <c r="B7107" s="36"/>
    </row>
    <row r="7108" spans="1:2" x14ac:dyDescent="0.3">
      <c r="A7108" s="19"/>
      <c r="B7108" s="36"/>
    </row>
    <row r="7109" spans="1:2" x14ac:dyDescent="0.3">
      <c r="A7109" s="19"/>
      <c r="B7109" s="36"/>
    </row>
    <row r="7110" spans="1:2" x14ac:dyDescent="0.3">
      <c r="A7110" s="19"/>
      <c r="B7110" s="36"/>
    </row>
    <row r="7111" spans="1:2" x14ac:dyDescent="0.3">
      <c r="A7111" s="19"/>
      <c r="B7111" s="36"/>
    </row>
    <row r="7112" spans="1:2" x14ac:dyDescent="0.3">
      <c r="A7112" s="19"/>
      <c r="B7112" s="36"/>
    </row>
    <row r="7113" spans="1:2" x14ac:dyDescent="0.3">
      <c r="A7113" s="19"/>
      <c r="B7113" s="36"/>
    </row>
    <row r="7114" spans="1:2" x14ac:dyDescent="0.3">
      <c r="A7114" s="19"/>
      <c r="B7114" s="36"/>
    </row>
    <row r="7115" spans="1:2" x14ac:dyDescent="0.3">
      <c r="A7115" s="19"/>
      <c r="B7115" s="36"/>
    </row>
    <row r="7116" spans="1:2" x14ac:dyDescent="0.3">
      <c r="A7116" s="19"/>
      <c r="B7116" s="36"/>
    </row>
    <row r="7117" spans="1:2" x14ac:dyDescent="0.3">
      <c r="A7117" s="19"/>
      <c r="B7117" s="36"/>
    </row>
    <row r="7118" spans="1:2" x14ac:dyDescent="0.3">
      <c r="A7118" s="19"/>
      <c r="B7118" s="36"/>
    </row>
    <row r="7119" spans="1:2" x14ac:dyDescent="0.3">
      <c r="A7119" s="19"/>
      <c r="B7119" s="36"/>
    </row>
    <row r="7120" spans="1:2" x14ac:dyDescent="0.3">
      <c r="A7120" s="19"/>
      <c r="B7120" s="36"/>
    </row>
    <row r="7121" spans="1:2" x14ac:dyDescent="0.3">
      <c r="A7121" s="19"/>
      <c r="B7121" s="36"/>
    </row>
    <row r="7122" spans="1:2" x14ac:dyDescent="0.3">
      <c r="A7122" s="19"/>
      <c r="B7122" s="36"/>
    </row>
    <row r="7123" spans="1:2" x14ac:dyDescent="0.3">
      <c r="A7123" s="19"/>
      <c r="B7123" s="36"/>
    </row>
    <row r="7124" spans="1:2" x14ac:dyDescent="0.3">
      <c r="A7124" s="19"/>
      <c r="B7124" s="36"/>
    </row>
    <row r="7125" spans="1:2" x14ac:dyDescent="0.3">
      <c r="A7125" s="19"/>
      <c r="B7125" s="36"/>
    </row>
    <row r="7126" spans="1:2" x14ac:dyDescent="0.3">
      <c r="A7126" s="19"/>
      <c r="B7126" s="36"/>
    </row>
    <row r="7127" spans="1:2" x14ac:dyDescent="0.3">
      <c r="A7127" s="19"/>
      <c r="B7127" s="36"/>
    </row>
    <row r="7128" spans="1:2" x14ac:dyDescent="0.3">
      <c r="A7128" s="19"/>
      <c r="B7128" s="36"/>
    </row>
    <row r="7129" spans="1:2" x14ac:dyDescent="0.3">
      <c r="A7129" s="19"/>
      <c r="B7129" s="36"/>
    </row>
    <row r="7130" spans="1:2" x14ac:dyDescent="0.3">
      <c r="A7130" s="19"/>
      <c r="B7130" s="36"/>
    </row>
    <row r="7131" spans="1:2" x14ac:dyDescent="0.3">
      <c r="A7131" s="19"/>
      <c r="B7131" s="36"/>
    </row>
    <row r="7132" spans="1:2" x14ac:dyDescent="0.3">
      <c r="A7132" s="19"/>
      <c r="B7132" s="36"/>
    </row>
    <row r="7133" spans="1:2" x14ac:dyDescent="0.3">
      <c r="A7133" s="19"/>
      <c r="B7133" s="36"/>
    </row>
    <row r="7134" spans="1:2" x14ac:dyDescent="0.3">
      <c r="A7134" s="19"/>
      <c r="B7134" s="36"/>
    </row>
    <row r="7135" spans="1:2" x14ac:dyDescent="0.3">
      <c r="A7135" s="19"/>
      <c r="B7135" s="36"/>
    </row>
    <row r="7136" spans="1:2" x14ac:dyDescent="0.3">
      <c r="A7136" s="19"/>
      <c r="B7136" s="36"/>
    </row>
    <row r="7137" spans="1:2" x14ac:dyDescent="0.3">
      <c r="A7137" s="19"/>
      <c r="B7137" s="36"/>
    </row>
    <row r="7138" spans="1:2" x14ac:dyDescent="0.3">
      <c r="A7138" s="19"/>
      <c r="B7138" s="36"/>
    </row>
    <row r="7139" spans="1:2" x14ac:dyDescent="0.3">
      <c r="A7139" s="19"/>
      <c r="B7139" s="36"/>
    </row>
    <row r="7140" spans="1:2" x14ac:dyDescent="0.3">
      <c r="A7140" s="19"/>
      <c r="B7140" s="36"/>
    </row>
    <row r="7141" spans="1:2" x14ac:dyDescent="0.3">
      <c r="A7141" s="19"/>
      <c r="B7141" s="36"/>
    </row>
    <row r="7142" spans="1:2" x14ac:dyDescent="0.3">
      <c r="A7142" s="19"/>
      <c r="B7142" s="36"/>
    </row>
    <row r="7143" spans="1:2" x14ac:dyDescent="0.3">
      <c r="A7143" s="19"/>
      <c r="B7143" s="36"/>
    </row>
    <row r="7144" spans="1:2" x14ac:dyDescent="0.3">
      <c r="A7144" s="19"/>
      <c r="B7144" s="36"/>
    </row>
    <row r="7145" spans="1:2" x14ac:dyDescent="0.3">
      <c r="A7145" s="19"/>
      <c r="B7145" s="36"/>
    </row>
    <row r="7146" spans="1:2" x14ac:dyDescent="0.3">
      <c r="A7146" s="19"/>
      <c r="B7146" s="36"/>
    </row>
    <row r="7147" spans="1:2" x14ac:dyDescent="0.3">
      <c r="A7147" s="19"/>
      <c r="B7147" s="36"/>
    </row>
    <row r="7148" spans="1:2" x14ac:dyDescent="0.3">
      <c r="A7148" s="19"/>
      <c r="B7148" s="36"/>
    </row>
    <row r="7149" spans="1:2" x14ac:dyDescent="0.3">
      <c r="A7149" s="19"/>
      <c r="B7149" s="36"/>
    </row>
    <row r="7150" spans="1:2" x14ac:dyDescent="0.3">
      <c r="A7150" s="19"/>
      <c r="B7150" s="36"/>
    </row>
    <row r="7151" spans="1:2" x14ac:dyDescent="0.3">
      <c r="A7151" s="19"/>
      <c r="B7151" s="36"/>
    </row>
    <row r="7152" spans="1:2" x14ac:dyDescent="0.3">
      <c r="A7152" s="19"/>
      <c r="B7152" s="36"/>
    </row>
    <row r="7153" spans="1:2" x14ac:dyDescent="0.3">
      <c r="A7153" s="19"/>
      <c r="B7153" s="36"/>
    </row>
    <row r="7154" spans="1:2" x14ac:dyDescent="0.3">
      <c r="A7154" s="19"/>
      <c r="B7154" s="36"/>
    </row>
    <row r="7155" spans="1:2" x14ac:dyDescent="0.3">
      <c r="A7155" s="19"/>
      <c r="B7155" s="36"/>
    </row>
    <row r="7156" spans="1:2" x14ac:dyDescent="0.3">
      <c r="A7156" s="19"/>
      <c r="B7156" s="36"/>
    </row>
    <row r="7157" spans="1:2" x14ac:dyDescent="0.3">
      <c r="A7157" s="19"/>
      <c r="B7157" s="36"/>
    </row>
    <row r="7158" spans="1:2" x14ac:dyDescent="0.3">
      <c r="A7158" s="19"/>
      <c r="B7158" s="36"/>
    </row>
    <row r="7159" spans="1:2" x14ac:dyDescent="0.3">
      <c r="A7159" s="19"/>
      <c r="B7159" s="36"/>
    </row>
    <row r="7160" spans="1:2" x14ac:dyDescent="0.3">
      <c r="A7160" s="19"/>
      <c r="B7160" s="36"/>
    </row>
    <row r="7161" spans="1:2" x14ac:dyDescent="0.3">
      <c r="A7161" s="19"/>
      <c r="B7161" s="36"/>
    </row>
    <row r="7162" spans="1:2" x14ac:dyDescent="0.3">
      <c r="A7162" s="19"/>
      <c r="B7162" s="36"/>
    </row>
    <row r="7163" spans="1:2" x14ac:dyDescent="0.3">
      <c r="A7163" s="19"/>
      <c r="B7163" s="36"/>
    </row>
    <row r="7164" spans="1:2" x14ac:dyDescent="0.3">
      <c r="A7164" s="19"/>
      <c r="B7164" s="36"/>
    </row>
    <row r="7165" spans="1:2" x14ac:dyDescent="0.3">
      <c r="A7165" s="19"/>
      <c r="B7165" s="36"/>
    </row>
    <row r="7166" spans="1:2" x14ac:dyDescent="0.3">
      <c r="A7166" s="19"/>
      <c r="B7166" s="36"/>
    </row>
    <row r="7167" spans="1:2" x14ac:dyDescent="0.3">
      <c r="A7167" s="19"/>
      <c r="B7167" s="36"/>
    </row>
    <row r="7168" spans="1:2" x14ac:dyDescent="0.3">
      <c r="A7168" s="19"/>
      <c r="B7168" s="36"/>
    </row>
    <row r="7169" spans="1:2" x14ac:dyDescent="0.3">
      <c r="A7169" s="19"/>
      <c r="B7169" s="36"/>
    </row>
    <row r="7170" spans="1:2" x14ac:dyDescent="0.3">
      <c r="A7170" s="19"/>
      <c r="B7170" s="36"/>
    </row>
    <row r="7171" spans="1:2" x14ac:dyDescent="0.3">
      <c r="A7171" s="19"/>
      <c r="B7171" s="36"/>
    </row>
    <row r="7172" spans="1:2" x14ac:dyDescent="0.3">
      <c r="A7172" s="19"/>
      <c r="B7172" s="36"/>
    </row>
    <row r="7173" spans="1:2" x14ac:dyDescent="0.3">
      <c r="A7173" s="19"/>
      <c r="B7173" s="36"/>
    </row>
    <row r="7174" spans="1:2" x14ac:dyDescent="0.3">
      <c r="A7174" s="19"/>
      <c r="B7174" s="36"/>
    </row>
    <row r="7175" spans="1:2" x14ac:dyDescent="0.3">
      <c r="A7175" s="19"/>
      <c r="B7175" s="36"/>
    </row>
    <row r="7176" spans="1:2" x14ac:dyDescent="0.3">
      <c r="A7176" s="19"/>
      <c r="B7176" s="36"/>
    </row>
    <row r="7177" spans="1:2" x14ac:dyDescent="0.3">
      <c r="A7177" s="19"/>
      <c r="B7177" s="36"/>
    </row>
    <row r="7178" spans="1:2" x14ac:dyDescent="0.3">
      <c r="A7178" s="19"/>
      <c r="B7178" s="36"/>
    </row>
    <row r="7179" spans="1:2" x14ac:dyDescent="0.3">
      <c r="A7179" s="19"/>
      <c r="B7179" s="36"/>
    </row>
    <row r="7180" spans="1:2" x14ac:dyDescent="0.3">
      <c r="A7180" s="19"/>
      <c r="B7180" s="36"/>
    </row>
    <row r="7181" spans="1:2" x14ac:dyDescent="0.3">
      <c r="A7181" s="19"/>
      <c r="B7181" s="36"/>
    </row>
    <row r="7182" spans="1:2" x14ac:dyDescent="0.3">
      <c r="A7182" s="19"/>
      <c r="B7182" s="36"/>
    </row>
    <row r="7183" spans="1:2" x14ac:dyDescent="0.3">
      <c r="A7183" s="19"/>
      <c r="B7183" s="36"/>
    </row>
    <row r="7184" spans="1:2" x14ac:dyDescent="0.3">
      <c r="A7184" s="19"/>
      <c r="B7184" s="36"/>
    </row>
    <row r="7185" spans="1:2" x14ac:dyDescent="0.3">
      <c r="A7185" s="19"/>
      <c r="B7185" s="36"/>
    </row>
    <row r="7186" spans="1:2" x14ac:dyDescent="0.3">
      <c r="A7186" s="19"/>
      <c r="B7186" s="36"/>
    </row>
    <row r="7187" spans="1:2" x14ac:dyDescent="0.3">
      <c r="A7187" s="19"/>
      <c r="B7187" s="36"/>
    </row>
    <row r="7188" spans="1:2" x14ac:dyDescent="0.3">
      <c r="A7188" s="19"/>
      <c r="B7188" s="36"/>
    </row>
    <row r="7189" spans="1:2" x14ac:dyDescent="0.3">
      <c r="A7189" s="19"/>
      <c r="B7189" s="36"/>
    </row>
    <row r="7190" spans="1:2" x14ac:dyDescent="0.3">
      <c r="A7190" s="19"/>
      <c r="B7190" s="36"/>
    </row>
    <row r="7191" spans="1:2" x14ac:dyDescent="0.3">
      <c r="A7191" s="19"/>
      <c r="B7191" s="36"/>
    </row>
    <row r="7192" spans="1:2" x14ac:dyDescent="0.3">
      <c r="A7192" s="19"/>
      <c r="B7192" s="36"/>
    </row>
    <row r="7193" spans="1:2" x14ac:dyDescent="0.3">
      <c r="A7193" s="19"/>
      <c r="B7193" s="36"/>
    </row>
    <row r="7194" spans="1:2" x14ac:dyDescent="0.3">
      <c r="A7194" s="19"/>
      <c r="B7194" s="36"/>
    </row>
    <row r="7195" spans="1:2" x14ac:dyDescent="0.3">
      <c r="A7195" s="19"/>
      <c r="B7195" s="36"/>
    </row>
    <row r="7196" spans="1:2" x14ac:dyDescent="0.3">
      <c r="A7196" s="19"/>
      <c r="B7196" s="36"/>
    </row>
    <row r="7197" spans="1:2" x14ac:dyDescent="0.3">
      <c r="A7197" s="19"/>
      <c r="B7197" s="36"/>
    </row>
    <row r="7198" spans="1:2" x14ac:dyDescent="0.3">
      <c r="A7198" s="19"/>
      <c r="B7198" s="36"/>
    </row>
    <row r="7199" spans="1:2" x14ac:dyDescent="0.3">
      <c r="A7199" s="19"/>
      <c r="B7199" s="36"/>
    </row>
    <row r="7200" spans="1:2" x14ac:dyDescent="0.3">
      <c r="A7200" s="19"/>
      <c r="B7200" s="36"/>
    </row>
    <row r="7201" spans="1:2" x14ac:dyDescent="0.3">
      <c r="A7201" s="19"/>
      <c r="B7201" s="36"/>
    </row>
    <row r="7202" spans="1:2" x14ac:dyDescent="0.3">
      <c r="A7202" s="19"/>
      <c r="B7202" s="36"/>
    </row>
    <row r="7203" spans="1:2" x14ac:dyDescent="0.3">
      <c r="A7203" s="19"/>
      <c r="B7203" s="36"/>
    </row>
    <row r="7204" spans="1:2" x14ac:dyDescent="0.3">
      <c r="A7204" s="19"/>
      <c r="B7204" s="36"/>
    </row>
    <row r="7205" spans="1:2" x14ac:dyDescent="0.3">
      <c r="A7205" s="19"/>
      <c r="B7205" s="36"/>
    </row>
    <row r="7206" spans="1:2" x14ac:dyDescent="0.3">
      <c r="A7206" s="19"/>
      <c r="B7206" s="36"/>
    </row>
    <row r="7207" spans="1:2" x14ac:dyDescent="0.3">
      <c r="A7207" s="19"/>
      <c r="B7207" s="36"/>
    </row>
    <row r="7208" spans="1:2" x14ac:dyDescent="0.3">
      <c r="A7208" s="19"/>
      <c r="B7208" s="36"/>
    </row>
    <row r="7209" spans="1:2" x14ac:dyDescent="0.3">
      <c r="A7209" s="19"/>
      <c r="B7209" s="36"/>
    </row>
    <row r="7210" spans="1:2" x14ac:dyDescent="0.3">
      <c r="A7210" s="19"/>
      <c r="B7210" s="36"/>
    </row>
    <row r="7211" spans="1:2" x14ac:dyDescent="0.3">
      <c r="A7211" s="19"/>
      <c r="B7211" s="36"/>
    </row>
    <row r="7212" spans="1:2" x14ac:dyDescent="0.3">
      <c r="A7212" s="19"/>
      <c r="B7212" s="36"/>
    </row>
    <row r="7213" spans="1:2" x14ac:dyDescent="0.3">
      <c r="A7213" s="19"/>
      <c r="B7213" s="36"/>
    </row>
    <row r="7214" spans="1:2" x14ac:dyDescent="0.3">
      <c r="A7214" s="19"/>
      <c r="B7214" s="36"/>
    </row>
    <row r="7215" spans="1:2" x14ac:dyDescent="0.3">
      <c r="A7215" s="19"/>
      <c r="B7215" s="36"/>
    </row>
    <row r="7216" spans="1:2" x14ac:dyDescent="0.3">
      <c r="A7216" s="19"/>
      <c r="B7216" s="36"/>
    </row>
    <row r="7217" spans="1:2" x14ac:dyDescent="0.3">
      <c r="A7217" s="19"/>
      <c r="B7217" s="36"/>
    </row>
    <row r="7218" spans="1:2" x14ac:dyDescent="0.3">
      <c r="A7218" s="19"/>
      <c r="B7218" s="36"/>
    </row>
    <row r="7219" spans="1:2" x14ac:dyDescent="0.3">
      <c r="A7219" s="19"/>
      <c r="B7219" s="36"/>
    </row>
    <row r="7220" spans="1:2" x14ac:dyDescent="0.3">
      <c r="A7220" s="19"/>
      <c r="B7220" s="36"/>
    </row>
    <row r="7221" spans="1:2" x14ac:dyDescent="0.3">
      <c r="A7221" s="19"/>
      <c r="B7221" s="36"/>
    </row>
    <row r="7222" spans="1:2" x14ac:dyDescent="0.3">
      <c r="A7222" s="19"/>
      <c r="B7222" s="36"/>
    </row>
    <row r="7223" spans="1:2" x14ac:dyDescent="0.3">
      <c r="A7223" s="19"/>
      <c r="B7223" s="36"/>
    </row>
    <row r="7224" spans="1:2" x14ac:dyDescent="0.3">
      <c r="A7224" s="19"/>
      <c r="B7224" s="36"/>
    </row>
    <row r="7225" spans="1:2" x14ac:dyDescent="0.3">
      <c r="A7225" s="19"/>
      <c r="B7225" s="36"/>
    </row>
    <row r="7226" spans="1:2" x14ac:dyDescent="0.3">
      <c r="A7226" s="19"/>
      <c r="B7226" s="36"/>
    </row>
    <row r="7227" spans="1:2" x14ac:dyDescent="0.3">
      <c r="A7227" s="19"/>
      <c r="B7227" s="36"/>
    </row>
    <row r="7228" spans="1:2" x14ac:dyDescent="0.3">
      <c r="A7228" s="19"/>
      <c r="B7228" s="36"/>
    </row>
    <row r="7229" spans="1:2" x14ac:dyDescent="0.3">
      <c r="A7229" s="19"/>
      <c r="B7229" s="36"/>
    </row>
    <row r="7230" spans="1:2" x14ac:dyDescent="0.3">
      <c r="A7230" s="19"/>
      <c r="B7230" s="36"/>
    </row>
    <row r="7231" spans="1:2" x14ac:dyDescent="0.3">
      <c r="A7231" s="19"/>
      <c r="B7231" s="36"/>
    </row>
    <row r="7232" spans="1:2" x14ac:dyDescent="0.3">
      <c r="A7232" s="19"/>
      <c r="B7232" s="36"/>
    </row>
    <row r="7233" spans="1:2" x14ac:dyDescent="0.3">
      <c r="A7233" s="19"/>
      <c r="B7233" s="36"/>
    </row>
    <row r="7234" spans="1:2" x14ac:dyDescent="0.3">
      <c r="A7234" s="19"/>
      <c r="B7234" s="36"/>
    </row>
    <row r="7235" spans="1:2" x14ac:dyDescent="0.3">
      <c r="A7235" s="19"/>
      <c r="B7235" s="36"/>
    </row>
    <row r="7236" spans="1:2" x14ac:dyDescent="0.3">
      <c r="A7236" s="19"/>
      <c r="B7236" s="36"/>
    </row>
    <row r="7237" spans="1:2" x14ac:dyDescent="0.3">
      <c r="A7237" s="19"/>
      <c r="B7237" s="36"/>
    </row>
    <row r="7238" spans="1:2" x14ac:dyDescent="0.3">
      <c r="A7238" s="19"/>
      <c r="B7238" s="36"/>
    </row>
    <row r="7239" spans="1:2" x14ac:dyDescent="0.3">
      <c r="A7239" s="19"/>
      <c r="B7239" s="36"/>
    </row>
    <row r="7240" spans="1:2" x14ac:dyDescent="0.3">
      <c r="A7240" s="19"/>
      <c r="B7240" s="36"/>
    </row>
    <row r="7241" spans="1:2" x14ac:dyDescent="0.3">
      <c r="A7241" s="19"/>
      <c r="B7241" s="36"/>
    </row>
    <row r="7242" spans="1:2" x14ac:dyDescent="0.3">
      <c r="A7242" s="19"/>
      <c r="B7242" s="36"/>
    </row>
    <row r="7243" spans="1:2" x14ac:dyDescent="0.3">
      <c r="A7243" s="19"/>
      <c r="B7243" s="36"/>
    </row>
    <row r="7244" spans="1:2" x14ac:dyDescent="0.3">
      <c r="A7244" s="19"/>
      <c r="B7244" s="36"/>
    </row>
    <row r="7245" spans="1:2" x14ac:dyDescent="0.3">
      <c r="A7245" s="19"/>
      <c r="B7245" s="36"/>
    </row>
    <row r="7246" spans="1:2" x14ac:dyDescent="0.3">
      <c r="A7246" s="19"/>
      <c r="B7246" s="36"/>
    </row>
    <row r="7247" spans="1:2" x14ac:dyDescent="0.3">
      <c r="A7247" s="19"/>
      <c r="B7247" s="36"/>
    </row>
    <row r="7248" spans="1:2" x14ac:dyDescent="0.3">
      <c r="A7248" s="19"/>
      <c r="B7248" s="36"/>
    </row>
    <row r="7249" spans="1:2" x14ac:dyDescent="0.3">
      <c r="A7249" s="19"/>
      <c r="B7249" s="36"/>
    </row>
    <row r="7250" spans="1:2" x14ac:dyDescent="0.3">
      <c r="A7250" s="19"/>
      <c r="B7250" s="36"/>
    </row>
    <row r="7251" spans="1:2" x14ac:dyDescent="0.3">
      <c r="A7251" s="19"/>
      <c r="B7251" s="36"/>
    </row>
    <row r="7252" spans="1:2" x14ac:dyDescent="0.3">
      <c r="A7252" s="19"/>
      <c r="B7252" s="36"/>
    </row>
    <row r="7253" spans="1:2" x14ac:dyDescent="0.3">
      <c r="A7253" s="19"/>
      <c r="B7253" s="36"/>
    </row>
    <row r="7254" spans="1:2" x14ac:dyDescent="0.3">
      <c r="A7254" s="19"/>
      <c r="B7254" s="36"/>
    </row>
    <row r="7255" spans="1:2" x14ac:dyDescent="0.3">
      <c r="A7255" s="19"/>
      <c r="B7255" s="36"/>
    </row>
    <row r="7256" spans="1:2" x14ac:dyDescent="0.3">
      <c r="A7256" s="19"/>
      <c r="B7256" s="36"/>
    </row>
    <row r="7257" spans="1:2" x14ac:dyDescent="0.3">
      <c r="A7257" s="19"/>
      <c r="B7257" s="36"/>
    </row>
    <row r="7258" spans="1:2" x14ac:dyDescent="0.3">
      <c r="A7258" s="19"/>
      <c r="B7258" s="36"/>
    </row>
    <row r="7259" spans="1:2" x14ac:dyDescent="0.3">
      <c r="A7259" s="19"/>
      <c r="B7259" s="36"/>
    </row>
    <row r="7260" spans="1:2" x14ac:dyDescent="0.3">
      <c r="A7260" s="19"/>
      <c r="B7260" s="36"/>
    </row>
    <row r="7261" spans="1:2" x14ac:dyDescent="0.3">
      <c r="A7261" s="19"/>
      <c r="B7261" s="36"/>
    </row>
    <row r="7262" spans="1:2" x14ac:dyDescent="0.3">
      <c r="A7262" s="19"/>
      <c r="B7262" s="36"/>
    </row>
    <row r="7263" spans="1:2" x14ac:dyDescent="0.3">
      <c r="A7263" s="19"/>
      <c r="B7263" s="36"/>
    </row>
    <row r="7264" spans="1:2" x14ac:dyDescent="0.3">
      <c r="A7264" s="19"/>
      <c r="B7264" s="36"/>
    </row>
    <row r="7265" spans="1:2" x14ac:dyDescent="0.3">
      <c r="A7265" s="19"/>
      <c r="B7265" s="36"/>
    </row>
    <row r="7266" spans="1:2" x14ac:dyDescent="0.3">
      <c r="A7266" s="19"/>
      <c r="B7266" s="36"/>
    </row>
    <row r="7267" spans="1:2" x14ac:dyDescent="0.3">
      <c r="A7267" s="19"/>
      <c r="B7267" s="36"/>
    </row>
    <row r="7268" spans="1:2" x14ac:dyDescent="0.3">
      <c r="A7268" s="19"/>
      <c r="B7268" s="36"/>
    </row>
    <row r="7269" spans="1:2" x14ac:dyDescent="0.3">
      <c r="A7269" s="19"/>
      <c r="B7269" s="36"/>
    </row>
    <row r="7270" spans="1:2" x14ac:dyDescent="0.3">
      <c r="A7270" s="19"/>
      <c r="B7270" s="36"/>
    </row>
    <row r="7271" spans="1:2" x14ac:dyDescent="0.3">
      <c r="A7271" s="19"/>
      <c r="B7271" s="36"/>
    </row>
    <row r="7272" spans="1:2" x14ac:dyDescent="0.3">
      <c r="A7272" s="19"/>
      <c r="B7272" s="36"/>
    </row>
    <row r="7273" spans="1:2" x14ac:dyDescent="0.3">
      <c r="A7273" s="19"/>
      <c r="B7273" s="36"/>
    </row>
    <row r="7274" spans="1:2" x14ac:dyDescent="0.3">
      <c r="A7274" s="19"/>
      <c r="B7274" s="36"/>
    </row>
    <row r="7275" spans="1:2" x14ac:dyDescent="0.3">
      <c r="A7275" s="19"/>
      <c r="B7275" s="36"/>
    </row>
    <row r="7276" spans="1:2" x14ac:dyDescent="0.3">
      <c r="A7276" s="19"/>
      <c r="B7276" s="36"/>
    </row>
    <row r="7277" spans="1:2" x14ac:dyDescent="0.3">
      <c r="A7277" s="19"/>
      <c r="B7277" s="36"/>
    </row>
    <row r="7278" spans="1:2" x14ac:dyDescent="0.3">
      <c r="A7278" s="19"/>
      <c r="B7278" s="36"/>
    </row>
    <row r="7279" spans="1:2" x14ac:dyDescent="0.3">
      <c r="A7279" s="19"/>
      <c r="B7279" s="36"/>
    </row>
    <row r="7280" spans="1:2" x14ac:dyDescent="0.3">
      <c r="A7280" s="19"/>
      <c r="B7280" s="36"/>
    </row>
    <row r="7281" spans="1:2" x14ac:dyDescent="0.3">
      <c r="A7281" s="19"/>
      <c r="B7281" s="36"/>
    </row>
    <row r="7282" spans="1:2" x14ac:dyDescent="0.3">
      <c r="A7282" s="19"/>
      <c r="B7282" s="36"/>
    </row>
    <row r="7283" spans="1:2" x14ac:dyDescent="0.3">
      <c r="A7283" s="19"/>
      <c r="B7283" s="36"/>
    </row>
    <row r="7284" spans="1:2" x14ac:dyDescent="0.3">
      <c r="A7284" s="19"/>
      <c r="B7284" s="36"/>
    </row>
    <row r="7285" spans="1:2" x14ac:dyDescent="0.3">
      <c r="A7285" s="19"/>
      <c r="B7285" s="36"/>
    </row>
    <row r="7286" spans="1:2" x14ac:dyDescent="0.3">
      <c r="A7286" s="19"/>
      <c r="B7286" s="36"/>
    </row>
    <row r="7287" spans="1:2" x14ac:dyDescent="0.3">
      <c r="A7287" s="19"/>
      <c r="B7287" s="36"/>
    </row>
    <row r="7288" spans="1:2" x14ac:dyDescent="0.3">
      <c r="A7288" s="19"/>
      <c r="B7288" s="36"/>
    </row>
    <row r="7289" spans="1:2" x14ac:dyDescent="0.3">
      <c r="A7289" s="19"/>
      <c r="B7289" s="36"/>
    </row>
    <row r="7290" spans="1:2" x14ac:dyDescent="0.3">
      <c r="A7290" s="19"/>
      <c r="B7290" s="36"/>
    </row>
    <row r="7291" spans="1:2" x14ac:dyDescent="0.3">
      <c r="A7291" s="19"/>
      <c r="B7291" s="36"/>
    </row>
    <row r="7292" spans="1:2" x14ac:dyDescent="0.3">
      <c r="A7292" s="19"/>
      <c r="B7292" s="36"/>
    </row>
    <row r="7293" spans="1:2" x14ac:dyDescent="0.3">
      <c r="A7293" s="19"/>
      <c r="B7293" s="36"/>
    </row>
    <row r="7294" spans="1:2" x14ac:dyDescent="0.3">
      <c r="A7294" s="19"/>
      <c r="B7294" s="36"/>
    </row>
    <row r="7295" spans="1:2" x14ac:dyDescent="0.3">
      <c r="A7295" s="19"/>
      <c r="B7295" s="36"/>
    </row>
    <row r="7296" spans="1:2" x14ac:dyDescent="0.3">
      <c r="A7296" s="19"/>
      <c r="B7296" s="36"/>
    </row>
    <row r="7297" spans="1:2" x14ac:dyDescent="0.3">
      <c r="A7297" s="19"/>
      <c r="B7297" s="36"/>
    </row>
    <row r="7298" spans="1:2" x14ac:dyDescent="0.3">
      <c r="A7298" s="19"/>
      <c r="B7298" s="36"/>
    </row>
    <row r="7299" spans="1:2" x14ac:dyDescent="0.3">
      <c r="A7299" s="19"/>
      <c r="B7299" s="36"/>
    </row>
    <row r="7300" spans="1:2" x14ac:dyDescent="0.3">
      <c r="A7300" s="19"/>
      <c r="B7300" s="36"/>
    </row>
    <row r="7301" spans="1:2" x14ac:dyDescent="0.3">
      <c r="A7301" s="19"/>
      <c r="B7301" s="36"/>
    </row>
    <row r="7302" spans="1:2" x14ac:dyDescent="0.3">
      <c r="A7302" s="19"/>
      <c r="B7302" s="36"/>
    </row>
    <row r="7303" spans="1:2" x14ac:dyDescent="0.3">
      <c r="A7303" s="19"/>
      <c r="B7303" s="36"/>
    </row>
    <row r="7304" spans="1:2" x14ac:dyDescent="0.3">
      <c r="A7304" s="19"/>
      <c r="B7304" s="36"/>
    </row>
    <row r="7305" spans="1:2" x14ac:dyDescent="0.3">
      <c r="A7305" s="19"/>
      <c r="B7305" s="36"/>
    </row>
    <row r="7306" spans="1:2" x14ac:dyDescent="0.3">
      <c r="A7306" s="19"/>
      <c r="B7306" s="36"/>
    </row>
    <row r="7307" spans="1:2" x14ac:dyDescent="0.3">
      <c r="A7307" s="19"/>
      <c r="B7307" s="36"/>
    </row>
    <row r="7308" spans="1:2" x14ac:dyDescent="0.3">
      <c r="A7308" s="19"/>
      <c r="B7308" s="36"/>
    </row>
    <row r="7309" spans="1:2" x14ac:dyDescent="0.3">
      <c r="A7309" s="19"/>
      <c r="B7309" s="36"/>
    </row>
    <row r="7310" spans="1:2" x14ac:dyDescent="0.3">
      <c r="A7310" s="19"/>
      <c r="B7310" s="36"/>
    </row>
    <row r="7311" spans="1:2" x14ac:dyDescent="0.3">
      <c r="A7311" s="19"/>
      <c r="B7311" s="36"/>
    </row>
    <row r="7312" spans="1:2" x14ac:dyDescent="0.3">
      <c r="A7312" s="19"/>
      <c r="B7312" s="36"/>
    </row>
    <row r="7313" spans="1:2" x14ac:dyDescent="0.3">
      <c r="A7313" s="19"/>
      <c r="B7313" s="36"/>
    </row>
    <row r="7314" spans="1:2" x14ac:dyDescent="0.3">
      <c r="A7314" s="19"/>
      <c r="B7314" s="36"/>
    </row>
    <row r="7315" spans="1:2" x14ac:dyDescent="0.3">
      <c r="A7315" s="19"/>
      <c r="B7315" s="36"/>
    </row>
    <row r="7316" spans="1:2" x14ac:dyDescent="0.3">
      <c r="A7316" s="19"/>
      <c r="B7316" s="36"/>
    </row>
    <row r="7317" spans="1:2" x14ac:dyDescent="0.3">
      <c r="A7317" s="19"/>
      <c r="B7317" s="36"/>
    </row>
    <row r="7318" spans="1:2" x14ac:dyDescent="0.3">
      <c r="A7318" s="19"/>
      <c r="B7318" s="36"/>
    </row>
    <row r="7319" spans="1:2" x14ac:dyDescent="0.3">
      <c r="A7319" s="19"/>
      <c r="B7319" s="36"/>
    </row>
    <row r="7320" spans="1:2" x14ac:dyDescent="0.3">
      <c r="A7320" s="19"/>
      <c r="B7320" s="36"/>
    </row>
    <row r="7321" spans="1:2" x14ac:dyDescent="0.3">
      <c r="A7321" s="19"/>
      <c r="B7321" s="36"/>
    </row>
    <row r="7322" spans="1:2" x14ac:dyDescent="0.3">
      <c r="A7322" s="19"/>
      <c r="B7322" s="36"/>
    </row>
    <row r="7323" spans="1:2" x14ac:dyDescent="0.3">
      <c r="A7323" s="19"/>
      <c r="B7323" s="36"/>
    </row>
    <row r="7324" spans="1:2" x14ac:dyDescent="0.3">
      <c r="A7324" s="19"/>
      <c r="B7324" s="36"/>
    </row>
    <row r="7325" spans="1:2" x14ac:dyDescent="0.3">
      <c r="A7325" s="19"/>
      <c r="B7325" s="36"/>
    </row>
    <row r="7326" spans="1:2" x14ac:dyDescent="0.3">
      <c r="A7326" s="19"/>
      <c r="B7326" s="36"/>
    </row>
    <row r="7327" spans="1:2" x14ac:dyDescent="0.3">
      <c r="A7327" s="19"/>
      <c r="B7327" s="36"/>
    </row>
    <row r="7328" spans="1:2" x14ac:dyDescent="0.3">
      <c r="A7328" s="19"/>
      <c r="B7328" s="36"/>
    </row>
    <row r="7329" spans="1:2" x14ac:dyDescent="0.3">
      <c r="A7329" s="19"/>
      <c r="B7329" s="36"/>
    </row>
    <row r="7330" spans="1:2" x14ac:dyDescent="0.3">
      <c r="A7330" s="19"/>
      <c r="B7330" s="36"/>
    </row>
    <row r="7331" spans="1:2" x14ac:dyDescent="0.3">
      <c r="A7331" s="19"/>
      <c r="B7331" s="36"/>
    </row>
    <row r="7332" spans="1:2" x14ac:dyDescent="0.3">
      <c r="A7332" s="19"/>
      <c r="B7332" s="36"/>
    </row>
    <row r="7333" spans="1:2" x14ac:dyDescent="0.3">
      <c r="A7333" s="19"/>
      <c r="B7333" s="36"/>
    </row>
    <row r="7334" spans="1:2" x14ac:dyDescent="0.3">
      <c r="A7334" s="19"/>
      <c r="B7334" s="36"/>
    </row>
    <row r="7335" spans="1:2" x14ac:dyDescent="0.3">
      <c r="A7335" s="19"/>
      <c r="B7335" s="36"/>
    </row>
    <row r="7336" spans="1:2" x14ac:dyDescent="0.3">
      <c r="A7336" s="19"/>
      <c r="B7336" s="36"/>
    </row>
    <row r="7337" spans="1:2" x14ac:dyDescent="0.3">
      <c r="A7337" s="19"/>
      <c r="B7337" s="36"/>
    </row>
    <row r="7338" spans="1:2" x14ac:dyDescent="0.3">
      <c r="A7338" s="19"/>
      <c r="B7338" s="36"/>
    </row>
    <row r="7339" spans="1:2" x14ac:dyDescent="0.3">
      <c r="A7339" s="19"/>
      <c r="B7339" s="36"/>
    </row>
    <row r="7340" spans="1:2" x14ac:dyDescent="0.3">
      <c r="A7340" s="19"/>
      <c r="B7340" s="36"/>
    </row>
    <row r="7341" spans="1:2" x14ac:dyDescent="0.3">
      <c r="A7341" s="19"/>
      <c r="B7341" s="36"/>
    </row>
    <row r="7342" spans="1:2" x14ac:dyDescent="0.3">
      <c r="A7342" s="19"/>
      <c r="B7342" s="36"/>
    </row>
    <row r="7343" spans="1:2" x14ac:dyDescent="0.3">
      <c r="A7343" s="19"/>
      <c r="B7343" s="36"/>
    </row>
    <row r="7344" spans="1:2" x14ac:dyDescent="0.3">
      <c r="A7344" s="19"/>
      <c r="B7344" s="36"/>
    </row>
    <row r="7345" spans="1:2" x14ac:dyDescent="0.3">
      <c r="A7345" s="19"/>
      <c r="B7345" s="36"/>
    </row>
    <row r="7346" spans="1:2" x14ac:dyDescent="0.3">
      <c r="A7346" s="19"/>
      <c r="B7346" s="36"/>
    </row>
    <row r="7347" spans="1:2" x14ac:dyDescent="0.3">
      <c r="A7347" s="19"/>
      <c r="B7347" s="36"/>
    </row>
    <row r="7348" spans="1:2" x14ac:dyDescent="0.3">
      <c r="A7348" s="19"/>
      <c r="B7348" s="36"/>
    </row>
    <row r="7349" spans="1:2" x14ac:dyDescent="0.3">
      <c r="A7349" s="19"/>
      <c r="B7349" s="36"/>
    </row>
    <row r="7350" spans="1:2" x14ac:dyDescent="0.3">
      <c r="A7350" s="19"/>
      <c r="B7350" s="36"/>
    </row>
    <row r="7351" spans="1:2" x14ac:dyDescent="0.3">
      <c r="A7351" s="19"/>
      <c r="B7351" s="36"/>
    </row>
    <row r="7352" spans="1:2" x14ac:dyDescent="0.3">
      <c r="A7352" s="19"/>
      <c r="B7352" s="36"/>
    </row>
    <row r="7353" spans="1:2" x14ac:dyDescent="0.3">
      <c r="A7353" s="19"/>
      <c r="B7353" s="36"/>
    </row>
    <row r="7354" spans="1:2" x14ac:dyDescent="0.3">
      <c r="A7354" s="19"/>
      <c r="B7354" s="36"/>
    </row>
    <row r="7355" spans="1:2" x14ac:dyDescent="0.3">
      <c r="A7355" s="19"/>
      <c r="B7355" s="36"/>
    </row>
    <row r="7356" spans="1:2" x14ac:dyDescent="0.3">
      <c r="A7356" s="19"/>
      <c r="B7356" s="36"/>
    </row>
    <row r="7357" spans="1:2" x14ac:dyDescent="0.3">
      <c r="A7357" s="19"/>
      <c r="B7357" s="36"/>
    </row>
    <row r="7358" spans="1:2" x14ac:dyDescent="0.3">
      <c r="A7358" s="19"/>
      <c r="B7358" s="36"/>
    </row>
    <row r="7359" spans="1:2" x14ac:dyDescent="0.3">
      <c r="A7359" s="19"/>
      <c r="B7359" s="36"/>
    </row>
    <row r="7360" spans="1:2" x14ac:dyDescent="0.3">
      <c r="A7360" s="19"/>
      <c r="B7360" s="36"/>
    </row>
    <row r="7361" spans="1:2" x14ac:dyDescent="0.3">
      <c r="A7361" s="19"/>
      <c r="B7361" s="36"/>
    </row>
    <row r="7362" spans="1:2" x14ac:dyDescent="0.3">
      <c r="A7362" s="19"/>
      <c r="B7362" s="36"/>
    </row>
    <row r="7363" spans="1:2" x14ac:dyDescent="0.3">
      <c r="A7363" s="19"/>
      <c r="B7363" s="36"/>
    </row>
    <row r="7364" spans="1:2" x14ac:dyDescent="0.3">
      <c r="A7364" s="19"/>
      <c r="B7364" s="36"/>
    </row>
    <row r="7365" spans="1:2" x14ac:dyDescent="0.3">
      <c r="A7365" s="19"/>
      <c r="B7365" s="36"/>
    </row>
    <row r="7366" spans="1:2" x14ac:dyDescent="0.3">
      <c r="A7366" s="19"/>
      <c r="B7366" s="36"/>
    </row>
    <row r="7367" spans="1:2" x14ac:dyDescent="0.3">
      <c r="A7367" s="19"/>
      <c r="B7367" s="36"/>
    </row>
    <row r="7368" spans="1:2" x14ac:dyDescent="0.3">
      <c r="A7368" s="19"/>
      <c r="B7368" s="36"/>
    </row>
    <row r="7369" spans="1:2" x14ac:dyDescent="0.3">
      <c r="A7369" s="19"/>
      <c r="B7369" s="36"/>
    </row>
    <row r="7370" spans="1:2" x14ac:dyDescent="0.3">
      <c r="A7370" s="19"/>
      <c r="B7370" s="36"/>
    </row>
    <row r="7371" spans="1:2" x14ac:dyDescent="0.3">
      <c r="A7371" s="19"/>
      <c r="B7371" s="36"/>
    </row>
    <row r="7372" spans="1:2" x14ac:dyDescent="0.3">
      <c r="A7372" s="19"/>
      <c r="B7372" s="36"/>
    </row>
    <row r="7373" spans="1:2" x14ac:dyDescent="0.3">
      <c r="A7373" s="19"/>
      <c r="B7373" s="36"/>
    </row>
    <row r="7374" spans="1:2" x14ac:dyDescent="0.3">
      <c r="A7374" s="19"/>
      <c r="B7374" s="36"/>
    </row>
    <row r="7375" spans="1:2" x14ac:dyDescent="0.3">
      <c r="A7375" s="19"/>
      <c r="B7375" s="36"/>
    </row>
    <row r="7376" spans="1:2" x14ac:dyDescent="0.3">
      <c r="A7376" s="19"/>
      <c r="B7376" s="36"/>
    </row>
    <row r="7377" spans="1:2" x14ac:dyDescent="0.3">
      <c r="A7377" s="19"/>
      <c r="B7377" s="36"/>
    </row>
    <row r="7378" spans="1:2" x14ac:dyDescent="0.3">
      <c r="A7378" s="19"/>
      <c r="B7378" s="36"/>
    </row>
    <row r="7379" spans="1:2" x14ac:dyDescent="0.3">
      <c r="A7379" s="19"/>
      <c r="B7379" s="36"/>
    </row>
    <row r="7380" spans="1:2" x14ac:dyDescent="0.3">
      <c r="A7380" s="19"/>
      <c r="B7380" s="36"/>
    </row>
    <row r="7381" spans="1:2" x14ac:dyDescent="0.3">
      <c r="A7381" s="19"/>
      <c r="B7381" s="36"/>
    </row>
    <row r="7382" spans="1:2" x14ac:dyDescent="0.3">
      <c r="A7382" s="19"/>
      <c r="B7382" s="36"/>
    </row>
    <row r="7383" spans="1:2" x14ac:dyDescent="0.3">
      <c r="A7383" s="19"/>
      <c r="B7383" s="36"/>
    </row>
    <row r="7384" spans="1:2" x14ac:dyDescent="0.3">
      <c r="A7384" s="19"/>
      <c r="B7384" s="36"/>
    </row>
    <row r="7385" spans="1:2" x14ac:dyDescent="0.3">
      <c r="A7385" s="19"/>
      <c r="B7385" s="36"/>
    </row>
    <row r="7386" spans="1:2" x14ac:dyDescent="0.3">
      <c r="A7386" s="19"/>
      <c r="B7386" s="36"/>
    </row>
    <row r="7387" spans="1:2" x14ac:dyDescent="0.3">
      <c r="A7387" s="19"/>
      <c r="B7387" s="36"/>
    </row>
    <row r="7388" spans="1:2" x14ac:dyDescent="0.3">
      <c r="A7388" s="19"/>
      <c r="B7388" s="36"/>
    </row>
    <row r="7389" spans="1:2" x14ac:dyDescent="0.3">
      <c r="A7389" s="19"/>
      <c r="B7389" s="36"/>
    </row>
    <row r="7390" spans="1:2" x14ac:dyDescent="0.3">
      <c r="A7390" s="19"/>
      <c r="B7390" s="36"/>
    </row>
    <row r="7391" spans="1:2" x14ac:dyDescent="0.3">
      <c r="A7391" s="19"/>
      <c r="B7391" s="36"/>
    </row>
    <row r="7392" spans="1:2" x14ac:dyDescent="0.3">
      <c r="A7392" s="19"/>
      <c r="B7392" s="36"/>
    </row>
    <row r="7393" spans="1:2" x14ac:dyDescent="0.3">
      <c r="A7393" s="19"/>
      <c r="B7393" s="36"/>
    </row>
    <row r="7394" spans="1:2" x14ac:dyDescent="0.3">
      <c r="A7394" s="19"/>
      <c r="B7394" s="36"/>
    </row>
    <row r="7395" spans="1:2" x14ac:dyDescent="0.3">
      <c r="A7395" s="19"/>
      <c r="B7395" s="36"/>
    </row>
    <row r="7396" spans="1:2" x14ac:dyDescent="0.3">
      <c r="A7396" s="19"/>
      <c r="B7396" s="36"/>
    </row>
    <row r="7397" spans="1:2" x14ac:dyDescent="0.3">
      <c r="A7397" s="19"/>
      <c r="B7397" s="36"/>
    </row>
    <row r="7398" spans="1:2" x14ac:dyDescent="0.3">
      <c r="A7398" s="19"/>
      <c r="B7398" s="36"/>
    </row>
    <row r="7399" spans="1:2" x14ac:dyDescent="0.3">
      <c r="A7399" s="19"/>
      <c r="B7399" s="36"/>
    </row>
    <row r="7400" spans="1:2" x14ac:dyDescent="0.3">
      <c r="A7400" s="19"/>
      <c r="B7400" s="36"/>
    </row>
    <row r="7401" spans="1:2" x14ac:dyDescent="0.3">
      <c r="A7401" s="19"/>
      <c r="B7401" s="36"/>
    </row>
    <row r="7402" spans="1:2" x14ac:dyDescent="0.3">
      <c r="A7402" s="19"/>
      <c r="B7402" s="36"/>
    </row>
    <row r="7403" spans="1:2" x14ac:dyDescent="0.3">
      <c r="A7403" s="19"/>
      <c r="B7403" s="36"/>
    </row>
    <row r="7404" spans="1:2" x14ac:dyDescent="0.3">
      <c r="A7404" s="19"/>
      <c r="B7404" s="36"/>
    </row>
    <row r="7405" spans="1:2" x14ac:dyDescent="0.3">
      <c r="A7405" s="19"/>
      <c r="B7405" s="36"/>
    </row>
    <row r="7406" spans="1:2" x14ac:dyDescent="0.3">
      <c r="A7406" s="19"/>
      <c r="B7406" s="36"/>
    </row>
    <row r="7407" spans="1:2" x14ac:dyDescent="0.3">
      <c r="A7407" s="19"/>
      <c r="B7407" s="36"/>
    </row>
    <row r="7408" spans="1:2" x14ac:dyDescent="0.3">
      <c r="A7408" s="19"/>
      <c r="B7408" s="36"/>
    </row>
    <row r="7409" spans="1:2" x14ac:dyDescent="0.3">
      <c r="A7409" s="19"/>
      <c r="B7409" s="36"/>
    </row>
    <row r="7410" spans="1:2" x14ac:dyDescent="0.3">
      <c r="A7410" s="19"/>
      <c r="B7410" s="36"/>
    </row>
    <row r="7411" spans="1:2" x14ac:dyDescent="0.3">
      <c r="A7411" s="19"/>
      <c r="B7411" s="36"/>
    </row>
    <row r="7412" spans="1:2" x14ac:dyDescent="0.3">
      <c r="A7412" s="19"/>
      <c r="B7412" s="36"/>
    </row>
    <row r="7413" spans="1:2" x14ac:dyDescent="0.3">
      <c r="A7413" s="19"/>
      <c r="B7413" s="36"/>
    </row>
    <row r="7414" spans="1:2" x14ac:dyDescent="0.3">
      <c r="A7414" s="19"/>
      <c r="B7414" s="36"/>
    </row>
    <row r="7415" spans="1:2" x14ac:dyDescent="0.3">
      <c r="A7415" s="19"/>
      <c r="B7415" s="36"/>
    </row>
    <row r="7416" spans="1:2" x14ac:dyDescent="0.3">
      <c r="A7416" s="19"/>
      <c r="B7416" s="36"/>
    </row>
    <row r="7417" spans="1:2" x14ac:dyDescent="0.3">
      <c r="A7417" s="19"/>
      <c r="B7417" s="36"/>
    </row>
    <row r="7418" spans="1:2" x14ac:dyDescent="0.3">
      <c r="A7418" s="19"/>
      <c r="B7418" s="36"/>
    </row>
    <row r="7419" spans="1:2" x14ac:dyDescent="0.3">
      <c r="A7419" s="19"/>
      <c r="B7419" s="36"/>
    </row>
    <row r="7420" spans="1:2" x14ac:dyDescent="0.3">
      <c r="A7420" s="19"/>
      <c r="B7420" s="36"/>
    </row>
    <row r="7421" spans="1:2" x14ac:dyDescent="0.3">
      <c r="A7421" s="19"/>
      <c r="B7421" s="36"/>
    </row>
    <row r="7422" spans="1:2" x14ac:dyDescent="0.3">
      <c r="A7422" s="19"/>
      <c r="B7422" s="36"/>
    </row>
    <row r="7423" spans="1:2" x14ac:dyDescent="0.3">
      <c r="A7423" s="19"/>
      <c r="B7423" s="36"/>
    </row>
    <row r="7424" spans="1:2" x14ac:dyDescent="0.3">
      <c r="A7424" s="19"/>
      <c r="B7424" s="36"/>
    </row>
    <row r="7425" spans="1:2" x14ac:dyDescent="0.3">
      <c r="A7425" s="19"/>
      <c r="B7425" s="36"/>
    </row>
    <row r="7426" spans="1:2" x14ac:dyDescent="0.3">
      <c r="A7426" s="19"/>
      <c r="B7426" s="36"/>
    </row>
    <row r="7427" spans="1:2" x14ac:dyDescent="0.3">
      <c r="A7427" s="19"/>
      <c r="B7427" s="36"/>
    </row>
    <row r="7428" spans="1:2" x14ac:dyDescent="0.3">
      <c r="A7428" s="19"/>
      <c r="B7428" s="36"/>
    </row>
    <row r="7429" spans="1:2" x14ac:dyDescent="0.3">
      <c r="A7429" s="19"/>
      <c r="B7429" s="36"/>
    </row>
    <row r="7430" spans="1:2" x14ac:dyDescent="0.3">
      <c r="A7430" s="19"/>
      <c r="B7430" s="36"/>
    </row>
    <row r="7431" spans="1:2" x14ac:dyDescent="0.3">
      <c r="A7431" s="19"/>
      <c r="B7431" s="36"/>
    </row>
    <row r="7432" spans="1:2" x14ac:dyDescent="0.3">
      <c r="A7432" s="19"/>
      <c r="B7432" s="36"/>
    </row>
    <row r="7433" spans="1:2" x14ac:dyDescent="0.3">
      <c r="A7433" s="19"/>
      <c r="B7433" s="36"/>
    </row>
    <row r="7434" spans="1:2" x14ac:dyDescent="0.3">
      <c r="A7434" s="19"/>
      <c r="B7434" s="36"/>
    </row>
    <row r="7435" spans="1:2" x14ac:dyDescent="0.3">
      <c r="A7435" s="19"/>
      <c r="B7435" s="36"/>
    </row>
    <row r="7436" spans="1:2" x14ac:dyDescent="0.3">
      <c r="A7436" s="19"/>
      <c r="B7436" s="36"/>
    </row>
    <row r="7437" spans="1:2" x14ac:dyDescent="0.3">
      <c r="A7437" s="19"/>
      <c r="B7437" s="36"/>
    </row>
    <row r="7438" spans="1:2" x14ac:dyDescent="0.3">
      <c r="A7438" s="19"/>
      <c r="B7438" s="36"/>
    </row>
    <row r="7439" spans="1:2" x14ac:dyDescent="0.3">
      <c r="A7439" s="19"/>
      <c r="B7439" s="36"/>
    </row>
    <row r="7440" spans="1:2" x14ac:dyDescent="0.3">
      <c r="A7440" s="19"/>
      <c r="B7440" s="36"/>
    </row>
    <row r="7441" spans="1:2" x14ac:dyDescent="0.3">
      <c r="A7441" s="19"/>
      <c r="B7441" s="36"/>
    </row>
    <row r="7442" spans="1:2" x14ac:dyDescent="0.3">
      <c r="A7442" s="19"/>
      <c r="B7442" s="36"/>
    </row>
    <row r="7443" spans="1:2" x14ac:dyDescent="0.3">
      <c r="A7443" s="19"/>
      <c r="B7443" s="36"/>
    </row>
    <row r="7444" spans="1:2" x14ac:dyDescent="0.3">
      <c r="A7444" s="19"/>
      <c r="B7444" s="36"/>
    </row>
    <row r="7445" spans="1:2" x14ac:dyDescent="0.3">
      <c r="A7445" s="19"/>
      <c r="B7445" s="36"/>
    </row>
    <row r="7446" spans="1:2" x14ac:dyDescent="0.3">
      <c r="A7446" s="19"/>
      <c r="B7446" s="36"/>
    </row>
    <row r="7447" spans="1:2" x14ac:dyDescent="0.3">
      <c r="A7447" s="19"/>
      <c r="B7447" s="36"/>
    </row>
    <row r="7448" spans="1:2" x14ac:dyDescent="0.3">
      <c r="A7448" s="19"/>
      <c r="B7448" s="36"/>
    </row>
    <row r="7449" spans="1:2" x14ac:dyDescent="0.3">
      <c r="A7449" s="19"/>
      <c r="B7449" s="36"/>
    </row>
    <row r="7450" spans="1:2" x14ac:dyDescent="0.3">
      <c r="A7450" s="19"/>
      <c r="B7450" s="36"/>
    </row>
    <row r="7451" spans="1:2" x14ac:dyDescent="0.3">
      <c r="A7451" s="19"/>
      <c r="B7451" s="36"/>
    </row>
    <row r="7452" spans="1:2" x14ac:dyDescent="0.3">
      <c r="A7452" s="19"/>
      <c r="B7452" s="36"/>
    </row>
    <row r="7453" spans="1:2" x14ac:dyDescent="0.3">
      <c r="A7453" s="19"/>
      <c r="B7453" s="36"/>
    </row>
    <row r="7454" spans="1:2" x14ac:dyDescent="0.3">
      <c r="A7454" s="19"/>
      <c r="B7454" s="36"/>
    </row>
    <row r="7455" spans="1:2" x14ac:dyDescent="0.3">
      <c r="A7455" s="19"/>
      <c r="B7455" s="36"/>
    </row>
    <row r="7456" spans="1:2" x14ac:dyDescent="0.3">
      <c r="A7456" s="19"/>
      <c r="B7456" s="36"/>
    </row>
    <row r="7457" spans="1:2" x14ac:dyDescent="0.3">
      <c r="A7457" s="19"/>
      <c r="B7457" s="36"/>
    </row>
    <row r="7458" spans="1:2" x14ac:dyDescent="0.3">
      <c r="A7458" s="19"/>
      <c r="B7458" s="36"/>
    </row>
    <row r="7459" spans="1:2" x14ac:dyDescent="0.3">
      <c r="A7459" s="19"/>
      <c r="B7459" s="36"/>
    </row>
    <row r="7460" spans="1:2" x14ac:dyDescent="0.3">
      <c r="A7460" s="19"/>
      <c r="B7460" s="36"/>
    </row>
    <row r="7461" spans="1:2" x14ac:dyDescent="0.3">
      <c r="A7461" s="19"/>
      <c r="B7461" s="36"/>
    </row>
    <row r="7462" spans="1:2" x14ac:dyDescent="0.3">
      <c r="A7462" s="19"/>
      <c r="B7462" s="36"/>
    </row>
    <row r="7463" spans="1:2" x14ac:dyDescent="0.3">
      <c r="A7463" s="19"/>
      <c r="B7463" s="36"/>
    </row>
    <row r="7464" spans="1:2" x14ac:dyDescent="0.3">
      <c r="A7464" s="19"/>
      <c r="B7464" s="36"/>
    </row>
    <row r="7465" spans="1:2" x14ac:dyDescent="0.3">
      <c r="A7465" s="19"/>
      <c r="B7465" s="36"/>
    </row>
    <row r="7466" spans="1:2" x14ac:dyDescent="0.3">
      <c r="A7466" s="19"/>
      <c r="B7466" s="36"/>
    </row>
    <row r="7467" spans="1:2" x14ac:dyDescent="0.3">
      <c r="A7467" s="19"/>
      <c r="B7467" s="36"/>
    </row>
    <row r="7468" spans="1:2" x14ac:dyDescent="0.3">
      <c r="A7468" s="19"/>
      <c r="B7468" s="36"/>
    </row>
    <row r="7469" spans="1:2" x14ac:dyDescent="0.3">
      <c r="A7469" s="19"/>
      <c r="B7469" s="36"/>
    </row>
    <row r="7470" spans="1:2" x14ac:dyDescent="0.3">
      <c r="A7470" s="19"/>
      <c r="B7470" s="36"/>
    </row>
    <row r="7471" spans="1:2" x14ac:dyDescent="0.3">
      <c r="A7471" s="19"/>
      <c r="B7471" s="36"/>
    </row>
    <row r="7472" spans="1:2" x14ac:dyDescent="0.3">
      <c r="A7472" s="19"/>
      <c r="B7472" s="36"/>
    </row>
    <row r="7473" spans="1:2" x14ac:dyDescent="0.3">
      <c r="A7473" s="19"/>
      <c r="B7473" s="36"/>
    </row>
    <row r="7474" spans="1:2" x14ac:dyDescent="0.3">
      <c r="A7474" s="19"/>
      <c r="B7474" s="36"/>
    </row>
    <row r="7475" spans="1:2" x14ac:dyDescent="0.3">
      <c r="A7475" s="19"/>
      <c r="B7475" s="36"/>
    </row>
    <row r="7476" spans="1:2" x14ac:dyDescent="0.3">
      <c r="A7476" s="19"/>
      <c r="B7476" s="36"/>
    </row>
    <row r="7477" spans="1:2" x14ac:dyDescent="0.3">
      <c r="A7477" s="19"/>
      <c r="B7477" s="36"/>
    </row>
    <row r="7478" spans="1:2" x14ac:dyDescent="0.3">
      <c r="A7478" s="19"/>
      <c r="B7478" s="36"/>
    </row>
    <row r="7479" spans="1:2" x14ac:dyDescent="0.3">
      <c r="A7479" s="19"/>
      <c r="B7479" s="36"/>
    </row>
    <row r="7480" spans="1:2" x14ac:dyDescent="0.3">
      <c r="A7480" s="19"/>
      <c r="B7480" s="36"/>
    </row>
    <row r="7481" spans="1:2" x14ac:dyDescent="0.3">
      <c r="A7481" s="19"/>
      <c r="B7481" s="36"/>
    </row>
    <row r="7482" spans="1:2" x14ac:dyDescent="0.3">
      <c r="A7482" s="19"/>
      <c r="B7482" s="36"/>
    </row>
    <row r="7483" spans="1:2" x14ac:dyDescent="0.3">
      <c r="A7483" s="19"/>
      <c r="B7483" s="36"/>
    </row>
    <row r="7484" spans="1:2" x14ac:dyDescent="0.3">
      <c r="A7484" s="19"/>
      <c r="B7484" s="36"/>
    </row>
    <row r="7485" spans="1:2" x14ac:dyDescent="0.3">
      <c r="A7485" s="19"/>
      <c r="B7485" s="36"/>
    </row>
    <row r="7486" spans="1:2" x14ac:dyDescent="0.3">
      <c r="A7486" s="19"/>
      <c r="B7486" s="36"/>
    </row>
    <row r="7487" spans="1:2" x14ac:dyDescent="0.3">
      <c r="A7487" s="19"/>
      <c r="B7487" s="36"/>
    </row>
    <row r="7488" spans="1:2" x14ac:dyDescent="0.3">
      <c r="A7488" s="19"/>
      <c r="B7488" s="36"/>
    </row>
    <row r="7489" spans="1:2" x14ac:dyDescent="0.3">
      <c r="A7489" s="19"/>
      <c r="B7489" s="36"/>
    </row>
    <row r="7490" spans="1:2" x14ac:dyDescent="0.3">
      <c r="A7490" s="19"/>
      <c r="B7490" s="36"/>
    </row>
    <row r="7491" spans="1:2" x14ac:dyDescent="0.3">
      <c r="A7491" s="19"/>
      <c r="B7491" s="36"/>
    </row>
    <row r="7492" spans="1:2" x14ac:dyDescent="0.3">
      <c r="A7492" s="19"/>
      <c r="B7492" s="36"/>
    </row>
    <row r="7493" spans="1:2" x14ac:dyDescent="0.3">
      <c r="A7493" s="19"/>
      <c r="B7493" s="36"/>
    </row>
    <row r="7494" spans="1:2" x14ac:dyDescent="0.3">
      <c r="A7494" s="19"/>
      <c r="B7494" s="36"/>
    </row>
    <row r="7495" spans="1:2" x14ac:dyDescent="0.3">
      <c r="A7495" s="19"/>
      <c r="B7495" s="36"/>
    </row>
    <row r="7496" spans="1:2" x14ac:dyDescent="0.3">
      <c r="A7496" s="19"/>
      <c r="B7496" s="36"/>
    </row>
    <row r="7497" spans="1:2" x14ac:dyDescent="0.3">
      <c r="A7497" s="19"/>
      <c r="B7497" s="36"/>
    </row>
    <row r="7498" spans="1:2" x14ac:dyDescent="0.3">
      <c r="A7498" s="19"/>
      <c r="B7498" s="36"/>
    </row>
    <row r="7499" spans="1:2" x14ac:dyDescent="0.3">
      <c r="A7499" s="19"/>
      <c r="B7499" s="36"/>
    </row>
    <row r="7500" spans="1:2" x14ac:dyDescent="0.3">
      <c r="A7500" s="19"/>
      <c r="B7500" s="36"/>
    </row>
    <row r="7501" spans="1:2" x14ac:dyDescent="0.3">
      <c r="A7501" s="19"/>
      <c r="B7501" s="36"/>
    </row>
    <row r="7502" spans="1:2" x14ac:dyDescent="0.3">
      <c r="A7502" s="19"/>
      <c r="B7502" s="36"/>
    </row>
    <row r="7503" spans="1:2" x14ac:dyDescent="0.3">
      <c r="A7503" s="19"/>
      <c r="B7503" s="36"/>
    </row>
    <row r="7504" spans="1:2" x14ac:dyDescent="0.3">
      <c r="A7504" s="19"/>
      <c r="B7504" s="36"/>
    </row>
    <row r="7505" spans="1:2" x14ac:dyDescent="0.3">
      <c r="A7505" s="19"/>
      <c r="B7505" s="36"/>
    </row>
    <row r="7506" spans="1:2" x14ac:dyDescent="0.3">
      <c r="A7506" s="19"/>
      <c r="B7506" s="36"/>
    </row>
    <row r="7507" spans="1:2" x14ac:dyDescent="0.3">
      <c r="A7507" s="19"/>
      <c r="B7507" s="36"/>
    </row>
    <row r="7508" spans="1:2" x14ac:dyDescent="0.3">
      <c r="A7508" s="19"/>
      <c r="B7508" s="36"/>
    </row>
    <row r="7509" spans="1:2" x14ac:dyDescent="0.3">
      <c r="A7509" s="19"/>
      <c r="B7509" s="36"/>
    </row>
    <row r="7510" spans="1:2" x14ac:dyDescent="0.3">
      <c r="A7510" s="19"/>
      <c r="B7510" s="36"/>
    </row>
    <row r="7511" spans="1:2" x14ac:dyDescent="0.3">
      <c r="A7511" s="19"/>
      <c r="B7511" s="36"/>
    </row>
    <row r="7512" spans="1:2" x14ac:dyDescent="0.3">
      <c r="A7512" s="19"/>
      <c r="B7512" s="36"/>
    </row>
    <row r="7513" spans="1:2" x14ac:dyDescent="0.3">
      <c r="A7513" s="19"/>
      <c r="B7513" s="36"/>
    </row>
    <row r="7514" spans="1:2" x14ac:dyDescent="0.3">
      <c r="A7514" s="19"/>
      <c r="B7514" s="36"/>
    </row>
    <row r="7515" spans="1:2" x14ac:dyDescent="0.3">
      <c r="A7515" s="19"/>
      <c r="B7515" s="36"/>
    </row>
    <row r="7516" spans="1:2" x14ac:dyDescent="0.3">
      <c r="A7516" s="19"/>
      <c r="B7516" s="36"/>
    </row>
    <row r="7517" spans="1:2" x14ac:dyDescent="0.3">
      <c r="A7517" s="19"/>
      <c r="B7517" s="36"/>
    </row>
    <row r="7518" spans="1:2" x14ac:dyDescent="0.3">
      <c r="A7518" s="19"/>
      <c r="B7518" s="36"/>
    </row>
    <row r="7519" spans="1:2" x14ac:dyDescent="0.3">
      <c r="A7519" s="19"/>
      <c r="B7519" s="36"/>
    </row>
    <row r="7520" spans="1:2" x14ac:dyDescent="0.3">
      <c r="A7520" s="19"/>
      <c r="B7520" s="36"/>
    </row>
    <row r="7521" spans="1:2" x14ac:dyDescent="0.3">
      <c r="A7521" s="19"/>
      <c r="B7521" s="36"/>
    </row>
    <row r="7522" spans="1:2" x14ac:dyDescent="0.3">
      <c r="A7522" s="19"/>
      <c r="B7522" s="36"/>
    </row>
    <row r="7523" spans="1:2" x14ac:dyDescent="0.3">
      <c r="A7523" s="19"/>
      <c r="B7523" s="36"/>
    </row>
    <row r="7524" spans="1:2" x14ac:dyDescent="0.3">
      <c r="A7524" s="19"/>
      <c r="B7524" s="36"/>
    </row>
    <row r="7525" spans="1:2" x14ac:dyDescent="0.3">
      <c r="A7525" s="19"/>
      <c r="B7525" s="36"/>
    </row>
    <row r="7526" spans="1:2" x14ac:dyDescent="0.3">
      <c r="A7526" s="19"/>
      <c r="B7526" s="36"/>
    </row>
    <row r="7527" spans="1:2" x14ac:dyDescent="0.3">
      <c r="A7527" s="19"/>
      <c r="B7527" s="36"/>
    </row>
    <row r="7528" spans="1:2" x14ac:dyDescent="0.3">
      <c r="A7528" s="19"/>
      <c r="B7528" s="36"/>
    </row>
    <row r="7529" spans="1:2" x14ac:dyDescent="0.3">
      <c r="A7529" s="19"/>
      <c r="B7529" s="36"/>
    </row>
    <row r="7530" spans="1:2" x14ac:dyDescent="0.3">
      <c r="A7530" s="19"/>
      <c r="B7530" s="36"/>
    </row>
    <row r="7531" spans="1:2" x14ac:dyDescent="0.3">
      <c r="A7531" s="19"/>
      <c r="B7531" s="36"/>
    </row>
    <row r="7532" spans="1:2" x14ac:dyDescent="0.3">
      <c r="A7532" s="19"/>
      <c r="B7532" s="36"/>
    </row>
    <row r="7533" spans="1:2" x14ac:dyDescent="0.3">
      <c r="A7533" s="19"/>
      <c r="B7533" s="36"/>
    </row>
    <row r="7534" spans="1:2" x14ac:dyDescent="0.3">
      <c r="A7534" s="19"/>
      <c r="B7534" s="36"/>
    </row>
    <row r="7535" spans="1:2" x14ac:dyDescent="0.3">
      <c r="A7535" s="19"/>
      <c r="B7535" s="36"/>
    </row>
    <row r="7536" spans="1:2" x14ac:dyDescent="0.3">
      <c r="A7536" s="19"/>
      <c r="B7536" s="36"/>
    </row>
    <row r="7537" spans="1:2" x14ac:dyDescent="0.3">
      <c r="A7537" s="19"/>
      <c r="B7537" s="36"/>
    </row>
    <row r="7538" spans="1:2" x14ac:dyDescent="0.3">
      <c r="A7538" s="19"/>
      <c r="B7538" s="36"/>
    </row>
    <row r="7539" spans="1:2" x14ac:dyDescent="0.3">
      <c r="A7539" s="19"/>
      <c r="B7539" s="36"/>
    </row>
    <row r="7540" spans="1:2" x14ac:dyDescent="0.3">
      <c r="A7540" s="19"/>
      <c r="B7540" s="36"/>
    </row>
    <row r="7541" spans="1:2" x14ac:dyDescent="0.3">
      <c r="A7541" s="19"/>
      <c r="B7541" s="36"/>
    </row>
    <row r="7542" spans="1:2" x14ac:dyDescent="0.3">
      <c r="A7542" s="19"/>
      <c r="B7542" s="36"/>
    </row>
    <row r="7543" spans="1:2" x14ac:dyDescent="0.3">
      <c r="A7543" s="19"/>
      <c r="B7543" s="36"/>
    </row>
    <row r="7544" spans="1:2" x14ac:dyDescent="0.3">
      <c r="A7544" s="19"/>
      <c r="B7544" s="36"/>
    </row>
    <row r="7545" spans="1:2" x14ac:dyDescent="0.3">
      <c r="A7545" s="19"/>
      <c r="B7545" s="36"/>
    </row>
    <row r="7546" spans="1:2" x14ac:dyDescent="0.3">
      <c r="A7546" s="19"/>
      <c r="B7546" s="36"/>
    </row>
    <row r="7547" spans="1:2" x14ac:dyDescent="0.3">
      <c r="A7547" s="19"/>
      <c r="B7547" s="36"/>
    </row>
    <row r="7548" spans="1:2" x14ac:dyDescent="0.3">
      <c r="A7548" s="19"/>
      <c r="B7548" s="36"/>
    </row>
    <row r="7549" spans="1:2" x14ac:dyDescent="0.3">
      <c r="A7549" s="19"/>
      <c r="B7549" s="36"/>
    </row>
    <row r="7550" spans="1:2" x14ac:dyDescent="0.3">
      <c r="A7550" s="19"/>
      <c r="B7550" s="36"/>
    </row>
    <row r="7551" spans="1:2" x14ac:dyDescent="0.3">
      <c r="A7551" s="19"/>
      <c r="B7551" s="36"/>
    </row>
    <row r="7552" spans="1:2" x14ac:dyDescent="0.3">
      <c r="A7552" s="19"/>
      <c r="B7552" s="36"/>
    </row>
    <row r="7553" spans="1:2" x14ac:dyDescent="0.3">
      <c r="A7553" s="19"/>
      <c r="B7553" s="36"/>
    </row>
    <row r="7554" spans="1:2" x14ac:dyDescent="0.3">
      <c r="A7554" s="19"/>
      <c r="B7554" s="36"/>
    </row>
    <row r="7555" spans="1:2" x14ac:dyDescent="0.3">
      <c r="A7555" s="19"/>
      <c r="B7555" s="36"/>
    </row>
    <row r="7556" spans="1:2" x14ac:dyDescent="0.3">
      <c r="A7556" s="19"/>
      <c r="B7556" s="36"/>
    </row>
    <row r="7557" spans="1:2" x14ac:dyDescent="0.3">
      <c r="A7557" s="19"/>
      <c r="B7557" s="36"/>
    </row>
    <row r="7558" spans="1:2" x14ac:dyDescent="0.3">
      <c r="A7558" s="19"/>
      <c r="B7558" s="36"/>
    </row>
    <row r="7559" spans="1:2" x14ac:dyDescent="0.3">
      <c r="A7559" s="19"/>
      <c r="B7559" s="36"/>
    </row>
    <row r="7560" spans="1:2" x14ac:dyDescent="0.3">
      <c r="A7560" s="19"/>
      <c r="B7560" s="36"/>
    </row>
    <row r="7561" spans="1:2" x14ac:dyDescent="0.3">
      <c r="A7561" s="19"/>
      <c r="B7561" s="36"/>
    </row>
    <row r="7562" spans="1:2" x14ac:dyDescent="0.3">
      <c r="A7562" s="19"/>
      <c r="B7562" s="36"/>
    </row>
    <row r="7563" spans="1:2" x14ac:dyDescent="0.3">
      <c r="A7563" s="19"/>
      <c r="B7563" s="36"/>
    </row>
    <row r="7564" spans="1:2" x14ac:dyDescent="0.3">
      <c r="A7564" s="19"/>
      <c r="B7564" s="36"/>
    </row>
    <row r="7565" spans="1:2" x14ac:dyDescent="0.3">
      <c r="A7565" s="19"/>
      <c r="B7565" s="36"/>
    </row>
    <row r="7566" spans="1:2" x14ac:dyDescent="0.3">
      <c r="A7566" s="19"/>
      <c r="B7566" s="36"/>
    </row>
    <row r="7567" spans="1:2" x14ac:dyDescent="0.3">
      <c r="A7567" s="19"/>
      <c r="B7567" s="36"/>
    </row>
    <row r="7568" spans="1:2" x14ac:dyDescent="0.3">
      <c r="A7568" s="19"/>
      <c r="B7568" s="36"/>
    </row>
    <row r="7569" spans="1:2" x14ac:dyDescent="0.3">
      <c r="A7569" s="19"/>
      <c r="B7569" s="36"/>
    </row>
    <row r="7570" spans="1:2" x14ac:dyDescent="0.3">
      <c r="A7570" s="19"/>
      <c r="B7570" s="36"/>
    </row>
    <row r="7571" spans="1:2" x14ac:dyDescent="0.3">
      <c r="A7571" s="19"/>
      <c r="B7571" s="36"/>
    </row>
    <row r="7572" spans="1:2" x14ac:dyDescent="0.3">
      <c r="A7572" s="19"/>
      <c r="B7572" s="36"/>
    </row>
    <row r="7573" spans="1:2" x14ac:dyDescent="0.3">
      <c r="A7573" s="19"/>
      <c r="B7573" s="36"/>
    </row>
    <row r="7574" spans="1:2" x14ac:dyDescent="0.3">
      <c r="A7574" s="19"/>
      <c r="B7574" s="36"/>
    </row>
    <row r="7575" spans="1:2" x14ac:dyDescent="0.3">
      <c r="A7575" s="19"/>
      <c r="B7575" s="36"/>
    </row>
    <row r="7576" spans="1:2" x14ac:dyDescent="0.3">
      <c r="A7576" s="19"/>
      <c r="B7576" s="36"/>
    </row>
    <row r="7577" spans="1:2" x14ac:dyDescent="0.3">
      <c r="A7577" s="19"/>
      <c r="B7577" s="36"/>
    </row>
    <row r="7578" spans="1:2" x14ac:dyDescent="0.3">
      <c r="A7578" s="19"/>
      <c r="B7578" s="36"/>
    </row>
    <row r="7579" spans="1:2" x14ac:dyDescent="0.3">
      <c r="A7579" s="19"/>
      <c r="B7579" s="36"/>
    </row>
    <row r="7580" spans="1:2" x14ac:dyDescent="0.3">
      <c r="A7580" s="19"/>
      <c r="B7580" s="36"/>
    </row>
    <row r="7581" spans="1:2" x14ac:dyDescent="0.3">
      <c r="A7581" s="19"/>
      <c r="B7581" s="36"/>
    </row>
    <row r="7582" spans="1:2" x14ac:dyDescent="0.3">
      <c r="A7582" s="19"/>
      <c r="B7582" s="36"/>
    </row>
    <row r="7583" spans="1:2" x14ac:dyDescent="0.3">
      <c r="A7583" s="19"/>
      <c r="B7583" s="36"/>
    </row>
    <row r="7584" spans="1:2" x14ac:dyDescent="0.3">
      <c r="A7584" s="19"/>
      <c r="B7584" s="36"/>
    </row>
    <row r="7585" spans="1:2" x14ac:dyDescent="0.3">
      <c r="A7585" s="19"/>
      <c r="B7585" s="36"/>
    </row>
    <row r="7586" spans="1:2" x14ac:dyDescent="0.3">
      <c r="A7586" s="19"/>
      <c r="B7586" s="36"/>
    </row>
    <row r="7587" spans="1:2" x14ac:dyDescent="0.3">
      <c r="A7587" s="19"/>
      <c r="B7587" s="36"/>
    </row>
    <row r="7588" spans="1:2" x14ac:dyDescent="0.3">
      <c r="A7588" s="19"/>
      <c r="B7588" s="36"/>
    </row>
    <row r="7589" spans="1:2" x14ac:dyDescent="0.3">
      <c r="A7589" s="19"/>
      <c r="B7589" s="36"/>
    </row>
    <row r="7590" spans="1:2" x14ac:dyDescent="0.3">
      <c r="A7590" s="19"/>
      <c r="B7590" s="36"/>
    </row>
    <row r="7591" spans="1:2" x14ac:dyDescent="0.3">
      <c r="A7591" s="19"/>
      <c r="B7591" s="36"/>
    </row>
    <row r="7592" spans="1:2" x14ac:dyDescent="0.3">
      <c r="A7592" s="19"/>
      <c r="B7592" s="36"/>
    </row>
    <row r="7593" spans="1:2" x14ac:dyDescent="0.3">
      <c r="A7593" s="19"/>
      <c r="B7593" s="36"/>
    </row>
    <row r="7594" spans="1:2" x14ac:dyDescent="0.3">
      <c r="A7594" s="19"/>
      <c r="B7594" s="36"/>
    </row>
    <row r="7595" spans="1:2" x14ac:dyDescent="0.3">
      <c r="A7595" s="19"/>
      <c r="B7595" s="36"/>
    </row>
    <row r="7596" spans="1:2" x14ac:dyDescent="0.3">
      <c r="A7596" s="19"/>
      <c r="B7596" s="36"/>
    </row>
    <row r="7597" spans="1:2" x14ac:dyDescent="0.3">
      <c r="A7597" s="19"/>
      <c r="B7597" s="36"/>
    </row>
    <row r="7598" spans="1:2" x14ac:dyDescent="0.3">
      <c r="A7598" s="19"/>
      <c r="B7598" s="36"/>
    </row>
    <row r="7599" spans="1:2" x14ac:dyDescent="0.3">
      <c r="A7599" s="19"/>
      <c r="B7599" s="36"/>
    </row>
    <row r="7600" spans="1:2" x14ac:dyDescent="0.3">
      <c r="A7600" s="19"/>
      <c r="B7600" s="36"/>
    </row>
    <row r="7601" spans="1:2" x14ac:dyDescent="0.3">
      <c r="A7601" s="19"/>
      <c r="B7601" s="36"/>
    </row>
    <row r="7602" spans="1:2" x14ac:dyDescent="0.3">
      <c r="A7602" s="19"/>
      <c r="B7602" s="36"/>
    </row>
    <row r="7603" spans="1:2" x14ac:dyDescent="0.3">
      <c r="A7603" s="19"/>
      <c r="B7603" s="36"/>
    </row>
    <row r="7604" spans="1:2" x14ac:dyDescent="0.3">
      <c r="A7604" s="19"/>
      <c r="B7604" s="36"/>
    </row>
    <row r="7605" spans="1:2" x14ac:dyDescent="0.3">
      <c r="A7605" s="19"/>
      <c r="B7605" s="36"/>
    </row>
    <row r="7606" spans="1:2" x14ac:dyDescent="0.3">
      <c r="A7606" s="19"/>
      <c r="B7606" s="36"/>
    </row>
    <row r="7607" spans="1:2" x14ac:dyDescent="0.3">
      <c r="A7607" s="19"/>
      <c r="B7607" s="36"/>
    </row>
    <row r="7608" spans="1:2" x14ac:dyDescent="0.3">
      <c r="A7608" s="19"/>
      <c r="B7608" s="36"/>
    </row>
    <row r="7609" spans="1:2" x14ac:dyDescent="0.3">
      <c r="A7609" s="19"/>
      <c r="B7609" s="36"/>
    </row>
    <row r="7610" spans="1:2" x14ac:dyDescent="0.3">
      <c r="A7610" s="19"/>
      <c r="B7610" s="36"/>
    </row>
    <row r="7611" spans="1:2" x14ac:dyDescent="0.3">
      <c r="A7611" s="19"/>
      <c r="B7611" s="36"/>
    </row>
    <row r="7612" spans="1:2" x14ac:dyDescent="0.3">
      <c r="A7612" s="19"/>
      <c r="B7612" s="36"/>
    </row>
    <row r="7613" spans="1:2" x14ac:dyDescent="0.3">
      <c r="A7613" s="19"/>
      <c r="B7613" s="36"/>
    </row>
    <row r="7614" spans="1:2" x14ac:dyDescent="0.3">
      <c r="A7614" s="19"/>
      <c r="B7614" s="36"/>
    </row>
    <row r="7615" spans="1:2" x14ac:dyDescent="0.3">
      <c r="A7615" s="19"/>
      <c r="B7615" s="36"/>
    </row>
    <row r="7616" spans="1:2" x14ac:dyDescent="0.3">
      <c r="A7616" s="19"/>
      <c r="B7616" s="36"/>
    </row>
    <row r="7617" spans="1:2" x14ac:dyDescent="0.3">
      <c r="A7617" s="19"/>
      <c r="B7617" s="36"/>
    </row>
    <row r="7618" spans="1:2" x14ac:dyDescent="0.3">
      <c r="A7618" s="19"/>
      <c r="B7618" s="36"/>
    </row>
    <row r="7619" spans="1:2" x14ac:dyDescent="0.3">
      <c r="A7619" s="19"/>
      <c r="B7619" s="36"/>
    </row>
    <row r="7620" spans="1:2" x14ac:dyDescent="0.3">
      <c r="A7620" s="19"/>
      <c r="B7620" s="36"/>
    </row>
    <row r="7621" spans="1:2" x14ac:dyDescent="0.3">
      <c r="A7621" s="19"/>
      <c r="B7621" s="36"/>
    </row>
    <row r="7622" spans="1:2" x14ac:dyDescent="0.3">
      <c r="A7622" s="19"/>
      <c r="B7622" s="36"/>
    </row>
    <row r="7623" spans="1:2" x14ac:dyDescent="0.3">
      <c r="A7623" s="19"/>
      <c r="B7623" s="36"/>
    </row>
    <row r="7624" spans="1:2" x14ac:dyDescent="0.3">
      <c r="A7624" s="19"/>
      <c r="B7624" s="36"/>
    </row>
    <row r="7625" spans="1:2" x14ac:dyDescent="0.3">
      <c r="A7625" s="19"/>
      <c r="B7625" s="36"/>
    </row>
    <row r="7626" spans="1:2" x14ac:dyDescent="0.3">
      <c r="A7626" s="19"/>
      <c r="B7626" s="36"/>
    </row>
    <row r="7627" spans="1:2" x14ac:dyDescent="0.3">
      <c r="A7627" s="19"/>
      <c r="B7627" s="36"/>
    </row>
    <row r="7628" spans="1:2" x14ac:dyDescent="0.3">
      <c r="A7628" s="19"/>
      <c r="B7628" s="36"/>
    </row>
    <row r="7629" spans="1:2" x14ac:dyDescent="0.3">
      <c r="A7629" s="19"/>
      <c r="B7629" s="36"/>
    </row>
    <row r="7630" spans="1:2" x14ac:dyDescent="0.3">
      <c r="A7630" s="19"/>
      <c r="B7630" s="36"/>
    </row>
    <row r="7631" spans="1:2" x14ac:dyDescent="0.3">
      <c r="A7631" s="19"/>
      <c r="B7631" s="36"/>
    </row>
    <row r="7632" spans="1:2" x14ac:dyDescent="0.3">
      <c r="A7632" s="19"/>
      <c r="B7632" s="36"/>
    </row>
    <row r="7633" spans="1:2" x14ac:dyDescent="0.3">
      <c r="A7633" s="19"/>
      <c r="B7633" s="36"/>
    </row>
    <row r="7634" spans="1:2" x14ac:dyDescent="0.3">
      <c r="A7634" s="19"/>
      <c r="B7634" s="36"/>
    </row>
    <row r="7635" spans="1:2" x14ac:dyDescent="0.3">
      <c r="A7635" s="19"/>
      <c r="B7635" s="36"/>
    </row>
    <row r="7636" spans="1:2" x14ac:dyDescent="0.3">
      <c r="A7636" s="19"/>
      <c r="B7636" s="36"/>
    </row>
    <row r="7637" spans="1:2" x14ac:dyDescent="0.3">
      <c r="A7637" s="19"/>
      <c r="B7637" s="36"/>
    </row>
    <row r="7638" spans="1:2" x14ac:dyDescent="0.3">
      <c r="A7638" s="19"/>
      <c r="B7638" s="36"/>
    </row>
    <row r="7639" spans="1:2" x14ac:dyDescent="0.3">
      <c r="A7639" s="19"/>
      <c r="B7639" s="36"/>
    </row>
    <row r="7640" spans="1:2" x14ac:dyDescent="0.3">
      <c r="A7640" s="19"/>
      <c r="B7640" s="36"/>
    </row>
    <row r="7641" spans="1:2" x14ac:dyDescent="0.3">
      <c r="A7641" s="19"/>
      <c r="B7641" s="36"/>
    </row>
    <row r="7642" spans="1:2" x14ac:dyDescent="0.3">
      <c r="A7642" s="19"/>
      <c r="B7642" s="36"/>
    </row>
    <row r="7643" spans="1:2" x14ac:dyDescent="0.3">
      <c r="A7643" s="19"/>
      <c r="B7643" s="36"/>
    </row>
    <row r="7644" spans="1:2" x14ac:dyDescent="0.3">
      <c r="A7644" s="19"/>
      <c r="B7644" s="36"/>
    </row>
    <row r="7645" spans="1:2" x14ac:dyDescent="0.3">
      <c r="A7645" s="19"/>
      <c r="B7645" s="36"/>
    </row>
    <row r="7646" spans="1:2" x14ac:dyDescent="0.3">
      <c r="A7646" s="19"/>
      <c r="B7646" s="36"/>
    </row>
    <row r="7647" spans="1:2" x14ac:dyDescent="0.3">
      <c r="A7647" s="19"/>
      <c r="B7647" s="36"/>
    </row>
    <row r="7648" spans="1:2" x14ac:dyDescent="0.3">
      <c r="A7648" s="19"/>
      <c r="B7648" s="36"/>
    </row>
    <row r="7649" spans="1:2" x14ac:dyDescent="0.3">
      <c r="A7649" s="19"/>
      <c r="B7649" s="36"/>
    </row>
    <row r="7650" spans="1:2" x14ac:dyDescent="0.3">
      <c r="A7650" s="19"/>
      <c r="B7650" s="36"/>
    </row>
    <row r="7651" spans="1:2" x14ac:dyDescent="0.3">
      <c r="A7651" s="19"/>
      <c r="B7651" s="36"/>
    </row>
    <row r="7652" spans="1:2" x14ac:dyDescent="0.3">
      <c r="A7652" s="19"/>
      <c r="B7652" s="36"/>
    </row>
    <row r="7653" spans="1:2" x14ac:dyDescent="0.3">
      <c r="A7653" s="19"/>
      <c r="B7653" s="36"/>
    </row>
    <row r="7654" spans="1:2" x14ac:dyDescent="0.3">
      <c r="A7654" s="19"/>
      <c r="B7654" s="36"/>
    </row>
    <row r="7655" spans="1:2" x14ac:dyDescent="0.3">
      <c r="A7655" s="19"/>
      <c r="B7655" s="36"/>
    </row>
    <row r="7656" spans="1:2" x14ac:dyDescent="0.3">
      <c r="A7656" s="19"/>
      <c r="B7656" s="36"/>
    </row>
    <row r="7657" spans="1:2" x14ac:dyDescent="0.3">
      <c r="A7657" s="19"/>
      <c r="B7657" s="36"/>
    </row>
    <row r="7658" spans="1:2" x14ac:dyDescent="0.3">
      <c r="A7658" s="19"/>
      <c r="B7658" s="36"/>
    </row>
    <row r="7659" spans="1:2" x14ac:dyDescent="0.3">
      <c r="A7659" s="19"/>
      <c r="B7659" s="36"/>
    </row>
    <row r="7660" spans="1:2" x14ac:dyDescent="0.3">
      <c r="A7660" s="19"/>
      <c r="B7660" s="36"/>
    </row>
    <row r="7661" spans="1:2" x14ac:dyDescent="0.3">
      <c r="A7661" s="19"/>
      <c r="B7661" s="36"/>
    </row>
    <row r="7662" spans="1:2" x14ac:dyDescent="0.3">
      <c r="A7662" s="19"/>
      <c r="B7662" s="36"/>
    </row>
    <row r="7663" spans="1:2" x14ac:dyDescent="0.3">
      <c r="A7663" s="19"/>
      <c r="B7663" s="36"/>
    </row>
    <row r="7664" spans="1:2" x14ac:dyDescent="0.3">
      <c r="A7664" s="19"/>
      <c r="B7664" s="36"/>
    </row>
    <row r="7665" spans="1:2" x14ac:dyDescent="0.3">
      <c r="A7665" s="19"/>
      <c r="B7665" s="36"/>
    </row>
    <row r="7666" spans="1:2" x14ac:dyDescent="0.3">
      <c r="A7666" s="19"/>
      <c r="B7666" s="36"/>
    </row>
    <row r="7667" spans="1:2" x14ac:dyDescent="0.3">
      <c r="A7667" s="19"/>
      <c r="B7667" s="36"/>
    </row>
    <row r="7668" spans="1:2" x14ac:dyDescent="0.3">
      <c r="A7668" s="19"/>
      <c r="B7668" s="36"/>
    </row>
    <row r="7669" spans="1:2" x14ac:dyDescent="0.3">
      <c r="A7669" s="19"/>
      <c r="B7669" s="36"/>
    </row>
    <row r="7670" spans="1:2" x14ac:dyDescent="0.3">
      <c r="A7670" s="19"/>
      <c r="B7670" s="36"/>
    </row>
    <row r="7671" spans="1:2" x14ac:dyDescent="0.3">
      <c r="A7671" s="19"/>
      <c r="B7671" s="36"/>
    </row>
    <row r="7672" spans="1:2" x14ac:dyDescent="0.3">
      <c r="A7672" s="19"/>
      <c r="B7672" s="36"/>
    </row>
    <row r="7673" spans="1:2" x14ac:dyDescent="0.3">
      <c r="A7673" s="19"/>
      <c r="B7673" s="36"/>
    </row>
    <row r="7674" spans="1:2" x14ac:dyDescent="0.3">
      <c r="A7674" s="19"/>
      <c r="B7674" s="36"/>
    </row>
    <row r="7675" spans="1:2" x14ac:dyDescent="0.3">
      <c r="A7675" s="19"/>
      <c r="B7675" s="36"/>
    </row>
    <row r="7676" spans="1:2" x14ac:dyDescent="0.3">
      <c r="A7676" s="19"/>
      <c r="B7676" s="36"/>
    </row>
    <row r="7677" spans="1:2" x14ac:dyDescent="0.3">
      <c r="A7677" s="19"/>
      <c r="B7677" s="36"/>
    </row>
    <row r="7678" spans="1:2" x14ac:dyDescent="0.3">
      <c r="A7678" s="19"/>
      <c r="B7678" s="36"/>
    </row>
    <row r="7679" spans="1:2" x14ac:dyDescent="0.3">
      <c r="A7679" s="19"/>
      <c r="B7679" s="36"/>
    </row>
    <row r="7680" spans="1:2" x14ac:dyDescent="0.3">
      <c r="A7680" s="19"/>
      <c r="B7680" s="36"/>
    </row>
    <row r="7681" spans="1:2" x14ac:dyDescent="0.3">
      <c r="A7681" s="19"/>
      <c r="B7681" s="36"/>
    </row>
    <row r="7682" spans="1:2" x14ac:dyDescent="0.3">
      <c r="A7682" s="19"/>
      <c r="B7682" s="36"/>
    </row>
    <row r="7683" spans="1:2" x14ac:dyDescent="0.3">
      <c r="A7683" s="19"/>
      <c r="B7683" s="36"/>
    </row>
    <row r="7684" spans="1:2" x14ac:dyDescent="0.3">
      <c r="A7684" s="19"/>
      <c r="B7684" s="36"/>
    </row>
    <row r="7685" spans="1:2" x14ac:dyDescent="0.3">
      <c r="A7685" s="19"/>
      <c r="B7685" s="36"/>
    </row>
    <row r="7686" spans="1:2" x14ac:dyDescent="0.3">
      <c r="A7686" s="19"/>
      <c r="B7686" s="36"/>
    </row>
    <row r="7687" spans="1:2" x14ac:dyDescent="0.3">
      <c r="A7687" s="19"/>
      <c r="B7687" s="36"/>
    </row>
    <row r="7688" spans="1:2" x14ac:dyDescent="0.3">
      <c r="A7688" s="19"/>
      <c r="B7688" s="36"/>
    </row>
    <row r="7689" spans="1:2" x14ac:dyDescent="0.3">
      <c r="A7689" s="19"/>
      <c r="B7689" s="36"/>
    </row>
    <row r="7690" spans="1:2" x14ac:dyDescent="0.3">
      <c r="A7690" s="19"/>
      <c r="B7690" s="36"/>
    </row>
    <row r="7691" spans="1:2" x14ac:dyDescent="0.3">
      <c r="A7691" s="19"/>
      <c r="B7691" s="36"/>
    </row>
    <row r="7692" spans="1:2" x14ac:dyDescent="0.3">
      <c r="A7692" s="19"/>
      <c r="B7692" s="36"/>
    </row>
    <row r="7693" spans="1:2" x14ac:dyDescent="0.3">
      <c r="A7693" s="19"/>
      <c r="B7693" s="36"/>
    </row>
    <row r="7694" spans="1:2" x14ac:dyDescent="0.3">
      <c r="A7694" s="19"/>
      <c r="B7694" s="36"/>
    </row>
    <row r="7695" spans="1:2" x14ac:dyDescent="0.3">
      <c r="A7695" s="19"/>
      <c r="B7695" s="36"/>
    </row>
    <row r="7696" spans="1:2" x14ac:dyDescent="0.3">
      <c r="A7696" s="19"/>
      <c r="B7696" s="36"/>
    </row>
    <row r="7697" spans="1:2" x14ac:dyDescent="0.3">
      <c r="A7697" s="19"/>
      <c r="B7697" s="36"/>
    </row>
    <row r="7698" spans="1:2" x14ac:dyDescent="0.3">
      <c r="A7698" s="19"/>
      <c r="B7698" s="36"/>
    </row>
    <row r="7699" spans="1:2" x14ac:dyDescent="0.3">
      <c r="A7699" s="19"/>
      <c r="B7699" s="36"/>
    </row>
    <row r="7700" spans="1:2" x14ac:dyDescent="0.3">
      <c r="A7700" s="19"/>
      <c r="B7700" s="36"/>
    </row>
    <row r="7701" spans="1:2" x14ac:dyDescent="0.3">
      <c r="A7701" s="19"/>
      <c r="B7701" s="36"/>
    </row>
    <row r="7702" spans="1:2" x14ac:dyDescent="0.3">
      <c r="A7702" s="19"/>
      <c r="B7702" s="36"/>
    </row>
    <row r="7703" spans="1:2" x14ac:dyDescent="0.3">
      <c r="A7703" s="19"/>
      <c r="B7703" s="36"/>
    </row>
    <row r="7704" spans="1:2" x14ac:dyDescent="0.3">
      <c r="A7704" s="19"/>
      <c r="B7704" s="36"/>
    </row>
    <row r="7705" spans="1:2" x14ac:dyDescent="0.3">
      <c r="A7705" s="19"/>
      <c r="B7705" s="36"/>
    </row>
    <row r="7706" spans="1:2" x14ac:dyDescent="0.3">
      <c r="A7706" s="19"/>
      <c r="B7706" s="36"/>
    </row>
    <row r="7707" spans="1:2" x14ac:dyDescent="0.3">
      <c r="A7707" s="19"/>
      <c r="B7707" s="36"/>
    </row>
    <row r="7708" spans="1:2" x14ac:dyDescent="0.3">
      <c r="A7708" s="19"/>
      <c r="B7708" s="36"/>
    </row>
    <row r="7709" spans="1:2" x14ac:dyDescent="0.3">
      <c r="A7709" s="19"/>
      <c r="B7709" s="36"/>
    </row>
    <row r="7710" spans="1:2" x14ac:dyDescent="0.3">
      <c r="A7710" s="19"/>
      <c r="B7710" s="36"/>
    </row>
    <row r="7711" spans="1:2" x14ac:dyDescent="0.3">
      <c r="A7711" s="19"/>
      <c r="B7711" s="36"/>
    </row>
    <row r="7712" spans="1:2" x14ac:dyDescent="0.3">
      <c r="A7712" s="19"/>
      <c r="B7712" s="36"/>
    </row>
    <row r="7713" spans="1:2" x14ac:dyDescent="0.3">
      <c r="A7713" s="19"/>
      <c r="B7713" s="36"/>
    </row>
    <row r="7714" spans="1:2" x14ac:dyDescent="0.3">
      <c r="A7714" s="19"/>
      <c r="B7714" s="36"/>
    </row>
    <row r="7715" spans="1:2" x14ac:dyDescent="0.3">
      <c r="A7715" s="19"/>
      <c r="B7715" s="36"/>
    </row>
    <row r="7716" spans="1:2" x14ac:dyDescent="0.3">
      <c r="A7716" s="19"/>
      <c r="B7716" s="36"/>
    </row>
    <row r="7717" spans="1:2" x14ac:dyDescent="0.3">
      <c r="A7717" s="19"/>
      <c r="B7717" s="36"/>
    </row>
    <row r="7718" spans="1:2" x14ac:dyDescent="0.3">
      <c r="A7718" s="19"/>
      <c r="B7718" s="36"/>
    </row>
    <row r="7719" spans="1:2" x14ac:dyDescent="0.3">
      <c r="A7719" s="19"/>
      <c r="B7719" s="36"/>
    </row>
    <row r="7720" spans="1:2" x14ac:dyDescent="0.3">
      <c r="A7720" s="19"/>
      <c r="B7720" s="36"/>
    </row>
    <row r="7721" spans="1:2" x14ac:dyDescent="0.3">
      <c r="A7721" s="19"/>
      <c r="B7721" s="36"/>
    </row>
    <row r="7722" spans="1:2" x14ac:dyDescent="0.3">
      <c r="A7722" s="19"/>
      <c r="B7722" s="36"/>
    </row>
    <row r="7723" spans="1:2" x14ac:dyDescent="0.3">
      <c r="A7723" s="19"/>
      <c r="B7723" s="36"/>
    </row>
    <row r="7724" spans="1:2" x14ac:dyDescent="0.3">
      <c r="A7724" s="19"/>
      <c r="B7724" s="36"/>
    </row>
    <row r="7725" spans="1:2" x14ac:dyDescent="0.3">
      <c r="A7725" s="19"/>
      <c r="B7725" s="36"/>
    </row>
    <row r="7726" spans="1:2" x14ac:dyDescent="0.3">
      <c r="A7726" s="19"/>
      <c r="B7726" s="36"/>
    </row>
    <row r="7727" spans="1:2" x14ac:dyDescent="0.3">
      <c r="A7727" s="19"/>
      <c r="B7727" s="36"/>
    </row>
    <row r="7728" spans="1:2" x14ac:dyDescent="0.3">
      <c r="A7728" s="19"/>
      <c r="B7728" s="36"/>
    </row>
    <row r="7729" spans="1:2" x14ac:dyDescent="0.3">
      <c r="A7729" s="19"/>
      <c r="B7729" s="36"/>
    </row>
    <row r="7730" spans="1:2" x14ac:dyDescent="0.3">
      <c r="A7730" s="19"/>
      <c r="B7730" s="36"/>
    </row>
    <row r="7731" spans="1:2" x14ac:dyDescent="0.3">
      <c r="A7731" s="19"/>
      <c r="B7731" s="36"/>
    </row>
    <row r="7732" spans="1:2" x14ac:dyDescent="0.3">
      <c r="A7732" s="19"/>
      <c r="B7732" s="36"/>
    </row>
    <row r="7733" spans="1:2" x14ac:dyDescent="0.3">
      <c r="A7733" s="19"/>
      <c r="B7733" s="36"/>
    </row>
    <row r="7734" spans="1:2" x14ac:dyDescent="0.3">
      <c r="A7734" s="19"/>
      <c r="B7734" s="36"/>
    </row>
    <row r="7735" spans="1:2" x14ac:dyDescent="0.3">
      <c r="A7735" s="19"/>
      <c r="B7735" s="36"/>
    </row>
    <row r="7736" spans="1:2" x14ac:dyDescent="0.3">
      <c r="A7736" s="19"/>
      <c r="B7736" s="36"/>
    </row>
    <row r="7737" spans="1:2" x14ac:dyDescent="0.3">
      <c r="A7737" s="19"/>
      <c r="B7737" s="36"/>
    </row>
    <row r="7738" spans="1:2" x14ac:dyDescent="0.3">
      <c r="A7738" s="19"/>
      <c r="B7738" s="36"/>
    </row>
    <row r="7739" spans="1:2" x14ac:dyDescent="0.3">
      <c r="A7739" s="19"/>
      <c r="B7739" s="36"/>
    </row>
    <row r="7740" spans="1:2" x14ac:dyDescent="0.3">
      <c r="A7740" s="19"/>
      <c r="B7740" s="36"/>
    </row>
    <row r="7741" spans="1:2" x14ac:dyDescent="0.3">
      <c r="A7741" s="19"/>
      <c r="B7741" s="36"/>
    </row>
    <row r="7742" spans="1:2" x14ac:dyDescent="0.3">
      <c r="A7742" s="19"/>
      <c r="B7742" s="36"/>
    </row>
    <row r="7743" spans="1:2" x14ac:dyDescent="0.3">
      <c r="A7743" s="19"/>
      <c r="B7743" s="36"/>
    </row>
    <row r="7744" spans="1:2" x14ac:dyDescent="0.3">
      <c r="A7744" s="19"/>
      <c r="B7744" s="36"/>
    </row>
    <row r="7745" spans="1:2" x14ac:dyDescent="0.3">
      <c r="A7745" s="19"/>
      <c r="B7745" s="36"/>
    </row>
    <row r="7746" spans="1:2" x14ac:dyDescent="0.3">
      <c r="A7746" s="19"/>
      <c r="B7746" s="36"/>
    </row>
    <row r="7747" spans="1:2" x14ac:dyDescent="0.3">
      <c r="A7747" s="19"/>
      <c r="B7747" s="36"/>
    </row>
    <row r="7748" spans="1:2" x14ac:dyDescent="0.3">
      <c r="A7748" s="19"/>
      <c r="B7748" s="36"/>
    </row>
    <row r="7749" spans="1:2" x14ac:dyDescent="0.3">
      <c r="A7749" s="19"/>
      <c r="B7749" s="36"/>
    </row>
    <row r="7750" spans="1:2" x14ac:dyDescent="0.3">
      <c r="A7750" s="19"/>
      <c r="B7750" s="36"/>
    </row>
    <row r="7751" spans="1:2" x14ac:dyDescent="0.3">
      <c r="A7751" s="19"/>
      <c r="B7751" s="36"/>
    </row>
    <row r="7752" spans="1:2" x14ac:dyDescent="0.3">
      <c r="A7752" s="19"/>
      <c r="B7752" s="36"/>
    </row>
    <row r="7753" spans="1:2" x14ac:dyDescent="0.3">
      <c r="A7753" s="19"/>
      <c r="B7753" s="36"/>
    </row>
    <row r="7754" spans="1:2" x14ac:dyDescent="0.3">
      <c r="A7754" s="19"/>
      <c r="B7754" s="36"/>
    </row>
    <row r="7755" spans="1:2" x14ac:dyDescent="0.3">
      <c r="A7755" s="19"/>
      <c r="B7755" s="36"/>
    </row>
    <row r="7756" spans="1:2" x14ac:dyDescent="0.3">
      <c r="A7756" s="19"/>
      <c r="B7756" s="36"/>
    </row>
    <row r="7757" spans="1:2" x14ac:dyDescent="0.3">
      <c r="A7757" s="19"/>
      <c r="B7757" s="36"/>
    </row>
    <row r="7758" spans="1:2" x14ac:dyDescent="0.3">
      <c r="A7758" s="19"/>
      <c r="B7758" s="36"/>
    </row>
    <row r="7759" spans="1:2" x14ac:dyDescent="0.3">
      <c r="A7759" s="19"/>
      <c r="B7759" s="36"/>
    </row>
    <row r="7760" spans="1:2" x14ac:dyDescent="0.3">
      <c r="A7760" s="19"/>
      <c r="B7760" s="36"/>
    </row>
    <row r="7761" spans="1:2" x14ac:dyDescent="0.3">
      <c r="A7761" s="19"/>
      <c r="B7761" s="36"/>
    </row>
    <row r="7762" spans="1:2" x14ac:dyDescent="0.3">
      <c r="A7762" s="19"/>
      <c r="B7762" s="36"/>
    </row>
    <row r="7763" spans="1:2" x14ac:dyDescent="0.3">
      <c r="A7763" s="19"/>
      <c r="B7763" s="36"/>
    </row>
    <row r="7764" spans="1:2" x14ac:dyDescent="0.3">
      <c r="A7764" s="19"/>
      <c r="B7764" s="36"/>
    </row>
    <row r="7765" spans="1:2" x14ac:dyDescent="0.3">
      <c r="A7765" s="19"/>
      <c r="B7765" s="36"/>
    </row>
    <row r="7766" spans="1:2" x14ac:dyDescent="0.3">
      <c r="A7766" s="19"/>
      <c r="B7766" s="36"/>
    </row>
    <row r="7767" spans="1:2" x14ac:dyDescent="0.3">
      <c r="A7767" s="19"/>
      <c r="B7767" s="36"/>
    </row>
    <row r="7768" spans="1:2" x14ac:dyDescent="0.3">
      <c r="A7768" s="19"/>
      <c r="B7768" s="36"/>
    </row>
    <row r="7769" spans="1:2" x14ac:dyDescent="0.3">
      <c r="A7769" s="19"/>
      <c r="B7769" s="36"/>
    </row>
    <row r="7770" spans="1:2" x14ac:dyDescent="0.3">
      <c r="A7770" s="19"/>
      <c r="B7770" s="36"/>
    </row>
    <row r="7771" spans="1:2" x14ac:dyDescent="0.3">
      <c r="A7771" s="19"/>
      <c r="B7771" s="36"/>
    </row>
    <row r="7772" spans="1:2" x14ac:dyDescent="0.3">
      <c r="A7772" s="19"/>
      <c r="B7772" s="36"/>
    </row>
    <row r="7773" spans="1:2" x14ac:dyDescent="0.3">
      <c r="A7773" s="19"/>
      <c r="B7773" s="36"/>
    </row>
    <row r="7774" spans="1:2" x14ac:dyDescent="0.3">
      <c r="A7774" s="19"/>
      <c r="B7774" s="36"/>
    </row>
    <row r="7775" spans="1:2" x14ac:dyDescent="0.3">
      <c r="A7775" s="19"/>
      <c r="B7775" s="36"/>
    </row>
    <row r="7776" spans="1:2" x14ac:dyDescent="0.3">
      <c r="A7776" s="19"/>
      <c r="B7776" s="36"/>
    </row>
    <row r="7777" spans="1:2" x14ac:dyDescent="0.3">
      <c r="A7777" s="19"/>
      <c r="B7777" s="36"/>
    </row>
    <row r="7778" spans="1:2" x14ac:dyDescent="0.3">
      <c r="A7778" s="19"/>
      <c r="B7778" s="36"/>
    </row>
    <row r="7779" spans="1:2" x14ac:dyDescent="0.3">
      <c r="A7779" s="19"/>
      <c r="B7779" s="36"/>
    </row>
    <row r="7780" spans="1:2" x14ac:dyDescent="0.3">
      <c r="A7780" s="19"/>
      <c r="B7780" s="36"/>
    </row>
    <row r="7781" spans="1:2" x14ac:dyDescent="0.3">
      <c r="A7781" s="19"/>
      <c r="B7781" s="36"/>
    </row>
    <row r="7782" spans="1:2" x14ac:dyDescent="0.3">
      <c r="A7782" s="19"/>
      <c r="B7782" s="36"/>
    </row>
    <row r="7783" spans="1:2" x14ac:dyDescent="0.3">
      <c r="A7783" s="19"/>
      <c r="B7783" s="36"/>
    </row>
    <row r="7784" spans="1:2" x14ac:dyDescent="0.3">
      <c r="A7784" s="19"/>
      <c r="B7784" s="36"/>
    </row>
    <row r="7785" spans="1:2" x14ac:dyDescent="0.3">
      <c r="A7785" s="19"/>
      <c r="B7785" s="36"/>
    </row>
    <row r="7786" spans="1:2" x14ac:dyDescent="0.3">
      <c r="A7786" s="19"/>
      <c r="B7786" s="36"/>
    </row>
    <row r="7787" spans="1:2" x14ac:dyDescent="0.3">
      <c r="A7787" s="19"/>
      <c r="B7787" s="36"/>
    </row>
    <row r="7788" spans="1:2" x14ac:dyDescent="0.3">
      <c r="A7788" s="19"/>
      <c r="B7788" s="36"/>
    </row>
    <row r="7789" spans="1:2" x14ac:dyDescent="0.3">
      <c r="A7789" s="19"/>
      <c r="B7789" s="36"/>
    </row>
    <row r="7790" spans="1:2" x14ac:dyDescent="0.3">
      <c r="A7790" s="19"/>
      <c r="B7790" s="36"/>
    </row>
    <row r="7791" spans="1:2" x14ac:dyDescent="0.3">
      <c r="A7791" s="19"/>
      <c r="B7791" s="36"/>
    </row>
    <row r="7792" spans="1:2" x14ac:dyDescent="0.3">
      <c r="A7792" s="19"/>
      <c r="B7792" s="36"/>
    </row>
    <row r="7793" spans="1:2" x14ac:dyDescent="0.3">
      <c r="A7793" s="19"/>
      <c r="B7793" s="36"/>
    </row>
    <row r="7794" spans="1:2" x14ac:dyDescent="0.3">
      <c r="A7794" s="19"/>
      <c r="B7794" s="36"/>
    </row>
    <row r="7795" spans="1:2" x14ac:dyDescent="0.3">
      <c r="A7795" s="19"/>
      <c r="B7795" s="36"/>
    </row>
    <row r="7796" spans="1:2" x14ac:dyDescent="0.3">
      <c r="A7796" s="19"/>
      <c r="B7796" s="36"/>
    </row>
    <row r="7797" spans="1:2" x14ac:dyDescent="0.3">
      <c r="A7797" s="19"/>
      <c r="B7797" s="36"/>
    </row>
    <row r="7798" spans="1:2" x14ac:dyDescent="0.3">
      <c r="A7798" s="19"/>
      <c r="B7798" s="36"/>
    </row>
    <row r="7799" spans="1:2" x14ac:dyDescent="0.3">
      <c r="A7799" s="19"/>
      <c r="B7799" s="36"/>
    </row>
    <row r="7800" spans="1:2" x14ac:dyDescent="0.3">
      <c r="A7800" s="19"/>
      <c r="B7800" s="36"/>
    </row>
    <row r="7801" spans="1:2" x14ac:dyDescent="0.3">
      <c r="A7801" s="19"/>
      <c r="B7801" s="36"/>
    </row>
    <row r="7802" spans="1:2" x14ac:dyDescent="0.3">
      <c r="A7802" s="19"/>
      <c r="B7802" s="36"/>
    </row>
    <row r="7803" spans="1:2" x14ac:dyDescent="0.3">
      <c r="A7803" s="19"/>
      <c r="B7803" s="36"/>
    </row>
    <row r="7804" spans="1:2" x14ac:dyDescent="0.3">
      <c r="A7804" s="19"/>
      <c r="B7804" s="36"/>
    </row>
    <row r="7805" spans="1:2" x14ac:dyDescent="0.3">
      <c r="A7805" s="19"/>
      <c r="B7805" s="36"/>
    </row>
    <row r="7806" spans="1:2" x14ac:dyDescent="0.3">
      <c r="A7806" s="19"/>
      <c r="B7806" s="36"/>
    </row>
    <row r="7807" spans="1:2" x14ac:dyDescent="0.3">
      <c r="A7807" s="19"/>
      <c r="B7807" s="36"/>
    </row>
    <row r="7808" spans="1:2" x14ac:dyDescent="0.3">
      <c r="A7808" s="19"/>
      <c r="B7808" s="36"/>
    </row>
    <row r="7809" spans="1:2" x14ac:dyDescent="0.3">
      <c r="A7809" s="19"/>
      <c r="B7809" s="36"/>
    </row>
    <row r="7810" spans="1:2" x14ac:dyDescent="0.3">
      <c r="A7810" s="19"/>
      <c r="B7810" s="36"/>
    </row>
    <row r="7811" spans="1:2" x14ac:dyDescent="0.3">
      <c r="A7811" s="19"/>
      <c r="B7811" s="36"/>
    </row>
    <row r="7812" spans="1:2" x14ac:dyDescent="0.3">
      <c r="A7812" s="19"/>
      <c r="B7812" s="36"/>
    </row>
    <row r="7813" spans="1:2" x14ac:dyDescent="0.3">
      <c r="A7813" s="19"/>
      <c r="B7813" s="36"/>
    </row>
    <row r="7814" spans="1:2" x14ac:dyDescent="0.3">
      <c r="A7814" s="19"/>
      <c r="B7814" s="36"/>
    </row>
    <row r="7815" spans="1:2" x14ac:dyDescent="0.3">
      <c r="A7815" s="19"/>
      <c r="B7815" s="36"/>
    </row>
    <row r="7816" spans="1:2" x14ac:dyDescent="0.3">
      <c r="A7816" s="19"/>
      <c r="B7816" s="36"/>
    </row>
    <row r="7817" spans="1:2" x14ac:dyDescent="0.3">
      <c r="A7817" s="19"/>
      <c r="B7817" s="36"/>
    </row>
    <row r="7818" spans="1:2" x14ac:dyDescent="0.3">
      <c r="A7818" s="19"/>
      <c r="B7818" s="36"/>
    </row>
    <row r="7819" spans="1:2" x14ac:dyDescent="0.3">
      <c r="A7819" s="19"/>
      <c r="B7819" s="36"/>
    </row>
    <row r="7820" spans="1:2" x14ac:dyDescent="0.3">
      <c r="A7820" s="19"/>
      <c r="B7820" s="36"/>
    </row>
    <row r="7821" spans="1:2" x14ac:dyDescent="0.3">
      <c r="A7821" s="19"/>
      <c r="B7821" s="36"/>
    </row>
    <row r="7822" spans="1:2" x14ac:dyDescent="0.3">
      <c r="A7822" s="19"/>
      <c r="B7822" s="36"/>
    </row>
    <row r="7823" spans="1:2" x14ac:dyDescent="0.3">
      <c r="A7823" s="19"/>
      <c r="B7823" s="36"/>
    </row>
    <row r="7824" spans="1:2" x14ac:dyDescent="0.3">
      <c r="A7824" s="19"/>
      <c r="B7824" s="36"/>
    </row>
    <row r="7825" spans="1:2" x14ac:dyDescent="0.3">
      <c r="A7825" s="19"/>
      <c r="B7825" s="36"/>
    </row>
    <row r="7826" spans="1:2" x14ac:dyDescent="0.3">
      <c r="A7826" s="19"/>
      <c r="B7826" s="36"/>
    </row>
    <row r="7827" spans="1:2" x14ac:dyDescent="0.3">
      <c r="A7827" s="19"/>
      <c r="B7827" s="36"/>
    </row>
    <row r="7828" spans="1:2" x14ac:dyDescent="0.3">
      <c r="A7828" s="19"/>
      <c r="B7828" s="36"/>
    </row>
    <row r="7829" spans="1:2" x14ac:dyDescent="0.3">
      <c r="A7829" s="19"/>
      <c r="B7829" s="36"/>
    </row>
    <row r="7830" spans="1:2" x14ac:dyDescent="0.3">
      <c r="A7830" s="19"/>
      <c r="B7830" s="36"/>
    </row>
    <row r="7831" spans="1:2" x14ac:dyDescent="0.3">
      <c r="A7831" s="19"/>
      <c r="B7831" s="36"/>
    </row>
    <row r="7832" spans="1:2" x14ac:dyDescent="0.3">
      <c r="A7832" s="19"/>
      <c r="B7832" s="36"/>
    </row>
    <row r="7833" spans="1:2" x14ac:dyDescent="0.3">
      <c r="A7833" s="19"/>
      <c r="B7833" s="36"/>
    </row>
    <row r="7834" spans="1:2" x14ac:dyDescent="0.3">
      <c r="A7834" s="19"/>
      <c r="B7834" s="36"/>
    </row>
    <row r="7835" spans="1:2" x14ac:dyDescent="0.3">
      <c r="A7835" s="19"/>
      <c r="B7835" s="36"/>
    </row>
    <row r="7836" spans="1:2" x14ac:dyDescent="0.3">
      <c r="A7836" s="19"/>
      <c r="B7836" s="36"/>
    </row>
    <row r="7837" spans="1:2" x14ac:dyDescent="0.3">
      <c r="A7837" s="19"/>
      <c r="B7837" s="36"/>
    </row>
    <row r="7838" spans="1:2" x14ac:dyDescent="0.3">
      <c r="A7838" s="19"/>
      <c r="B7838" s="36"/>
    </row>
    <row r="7839" spans="1:2" x14ac:dyDescent="0.3">
      <c r="A7839" s="19"/>
      <c r="B7839" s="36"/>
    </row>
    <row r="7840" spans="1:2" x14ac:dyDescent="0.3">
      <c r="A7840" s="19"/>
      <c r="B7840" s="36"/>
    </row>
    <row r="7841" spans="1:2" x14ac:dyDescent="0.3">
      <c r="A7841" s="19"/>
      <c r="B7841" s="36"/>
    </row>
    <row r="7842" spans="1:2" x14ac:dyDescent="0.3">
      <c r="A7842" s="19"/>
      <c r="B7842" s="36"/>
    </row>
    <row r="7843" spans="1:2" x14ac:dyDescent="0.3">
      <c r="A7843" s="19"/>
      <c r="B7843" s="36"/>
    </row>
    <row r="7844" spans="1:2" x14ac:dyDescent="0.3">
      <c r="A7844" s="19"/>
      <c r="B7844" s="36"/>
    </row>
    <row r="7845" spans="1:2" x14ac:dyDescent="0.3">
      <c r="A7845" s="19"/>
      <c r="B7845" s="36"/>
    </row>
    <row r="7846" spans="1:2" x14ac:dyDescent="0.3">
      <c r="A7846" s="19"/>
      <c r="B7846" s="36"/>
    </row>
    <row r="7847" spans="1:2" x14ac:dyDescent="0.3">
      <c r="A7847" s="19"/>
      <c r="B7847" s="36"/>
    </row>
    <row r="7848" spans="1:2" x14ac:dyDescent="0.3">
      <c r="A7848" s="19"/>
      <c r="B7848" s="36"/>
    </row>
    <row r="7849" spans="1:2" x14ac:dyDescent="0.3">
      <c r="A7849" s="19"/>
      <c r="B7849" s="36"/>
    </row>
    <row r="7850" spans="1:2" x14ac:dyDescent="0.3">
      <c r="A7850" s="19"/>
      <c r="B7850" s="36"/>
    </row>
    <row r="7851" spans="1:2" x14ac:dyDescent="0.3">
      <c r="A7851" s="19"/>
      <c r="B7851" s="36"/>
    </row>
    <row r="7852" spans="1:2" x14ac:dyDescent="0.3">
      <c r="A7852" s="19"/>
      <c r="B7852" s="36"/>
    </row>
    <row r="7853" spans="1:2" x14ac:dyDescent="0.3">
      <c r="A7853" s="19"/>
      <c r="B7853" s="36"/>
    </row>
    <row r="7854" spans="1:2" x14ac:dyDescent="0.3">
      <c r="A7854" s="19"/>
      <c r="B7854" s="36"/>
    </row>
    <row r="7855" spans="1:2" x14ac:dyDescent="0.3">
      <c r="A7855" s="19"/>
      <c r="B7855" s="36"/>
    </row>
    <row r="7856" spans="1:2" x14ac:dyDescent="0.3">
      <c r="A7856" s="19"/>
      <c r="B7856" s="36"/>
    </row>
    <row r="7857" spans="1:2" x14ac:dyDescent="0.3">
      <c r="A7857" s="19"/>
      <c r="B7857" s="36"/>
    </row>
    <row r="7858" spans="1:2" x14ac:dyDescent="0.3">
      <c r="A7858" s="19"/>
      <c r="B7858" s="36"/>
    </row>
    <row r="7859" spans="1:2" x14ac:dyDescent="0.3">
      <c r="A7859" s="19"/>
      <c r="B7859" s="36"/>
    </row>
    <row r="7860" spans="1:2" x14ac:dyDescent="0.3">
      <c r="A7860" s="19"/>
      <c r="B7860" s="36"/>
    </row>
    <row r="7861" spans="1:2" x14ac:dyDescent="0.3">
      <c r="A7861" s="19"/>
      <c r="B7861" s="36"/>
    </row>
    <row r="7862" spans="1:2" x14ac:dyDescent="0.3">
      <c r="A7862" s="19"/>
      <c r="B7862" s="36"/>
    </row>
    <row r="7863" spans="1:2" x14ac:dyDescent="0.3">
      <c r="A7863" s="19"/>
      <c r="B7863" s="36"/>
    </row>
    <row r="7864" spans="1:2" x14ac:dyDescent="0.3">
      <c r="A7864" s="19"/>
      <c r="B7864" s="36"/>
    </row>
    <row r="7865" spans="1:2" x14ac:dyDescent="0.3">
      <c r="A7865" s="19"/>
      <c r="B7865" s="36"/>
    </row>
    <row r="7866" spans="1:2" x14ac:dyDescent="0.3">
      <c r="A7866" s="19"/>
      <c r="B7866" s="36"/>
    </row>
    <row r="7867" spans="1:2" x14ac:dyDescent="0.3">
      <c r="A7867" s="19"/>
      <c r="B7867" s="36"/>
    </row>
    <row r="7868" spans="1:2" x14ac:dyDescent="0.3">
      <c r="A7868" s="19"/>
      <c r="B7868" s="36"/>
    </row>
    <row r="7869" spans="1:2" x14ac:dyDescent="0.3">
      <c r="A7869" s="19"/>
      <c r="B7869" s="36"/>
    </row>
    <row r="7870" spans="1:2" x14ac:dyDescent="0.3">
      <c r="A7870" s="19"/>
      <c r="B7870" s="36"/>
    </row>
    <row r="7871" spans="1:2" x14ac:dyDescent="0.3">
      <c r="A7871" s="19"/>
      <c r="B7871" s="36"/>
    </row>
    <row r="7872" spans="1:2" x14ac:dyDescent="0.3">
      <c r="A7872" s="19"/>
      <c r="B7872" s="36"/>
    </row>
    <row r="7873" spans="1:2" x14ac:dyDescent="0.3">
      <c r="A7873" s="19"/>
      <c r="B7873" s="36"/>
    </row>
    <row r="7874" spans="1:2" x14ac:dyDescent="0.3">
      <c r="A7874" s="19"/>
      <c r="B7874" s="36"/>
    </row>
    <row r="7875" spans="1:2" x14ac:dyDescent="0.3">
      <c r="A7875" s="19"/>
      <c r="B7875" s="36"/>
    </row>
    <row r="7876" spans="1:2" x14ac:dyDescent="0.3">
      <c r="A7876" s="19"/>
      <c r="B7876" s="36"/>
    </row>
    <row r="7877" spans="1:2" x14ac:dyDescent="0.3">
      <c r="A7877" s="19"/>
      <c r="B7877" s="36"/>
    </row>
    <row r="7878" spans="1:2" x14ac:dyDescent="0.3">
      <c r="A7878" s="19"/>
      <c r="B7878" s="36"/>
    </row>
    <row r="7879" spans="1:2" x14ac:dyDescent="0.3">
      <c r="A7879" s="19"/>
      <c r="B7879" s="36"/>
    </row>
    <row r="7880" spans="1:2" x14ac:dyDescent="0.3">
      <c r="A7880" s="19"/>
      <c r="B7880" s="36"/>
    </row>
    <row r="7881" spans="1:2" x14ac:dyDescent="0.3">
      <c r="A7881" s="19"/>
      <c r="B7881" s="36"/>
    </row>
    <row r="7882" spans="1:2" x14ac:dyDescent="0.3">
      <c r="A7882" s="19"/>
      <c r="B7882" s="36"/>
    </row>
    <row r="7883" spans="1:2" x14ac:dyDescent="0.3">
      <c r="A7883" s="19"/>
      <c r="B7883" s="36"/>
    </row>
    <row r="7884" spans="1:2" x14ac:dyDescent="0.3">
      <c r="A7884" s="19"/>
      <c r="B7884" s="36"/>
    </row>
    <row r="7885" spans="1:2" x14ac:dyDescent="0.3">
      <c r="A7885" s="19"/>
      <c r="B7885" s="36"/>
    </row>
    <row r="7886" spans="1:2" x14ac:dyDescent="0.3">
      <c r="A7886" s="19"/>
      <c r="B7886" s="36"/>
    </row>
    <row r="7887" spans="1:2" x14ac:dyDescent="0.3">
      <c r="A7887" s="19"/>
      <c r="B7887" s="36"/>
    </row>
    <row r="7888" spans="1:2" x14ac:dyDescent="0.3">
      <c r="A7888" s="19"/>
      <c r="B7888" s="36"/>
    </row>
    <row r="7889" spans="1:2" x14ac:dyDescent="0.3">
      <c r="A7889" s="19"/>
      <c r="B7889" s="36"/>
    </row>
    <row r="7890" spans="1:2" x14ac:dyDescent="0.3">
      <c r="A7890" s="19"/>
      <c r="B7890" s="36"/>
    </row>
    <row r="7891" spans="1:2" x14ac:dyDescent="0.3">
      <c r="A7891" s="19"/>
      <c r="B7891" s="36"/>
    </row>
    <row r="7892" spans="1:2" x14ac:dyDescent="0.3">
      <c r="A7892" s="19"/>
      <c r="B7892" s="36"/>
    </row>
    <row r="7893" spans="1:2" x14ac:dyDescent="0.3">
      <c r="A7893" s="19"/>
      <c r="B7893" s="36"/>
    </row>
    <row r="7894" spans="1:2" x14ac:dyDescent="0.3">
      <c r="A7894" s="19"/>
      <c r="B7894" s="36"/>
    </row>
    <row r="7895" spans="1:2" x14ac:dyDescent="0.3">
      <c r="A7895" s="19"/>
      <c r="B7895" s="36"/>
    </row>
    <row r="7896" spans="1:2" x14ac:dyDescent="0.3">
      <c r="A7896" s="19"/>
      <c r="B7896" s="36"/>
    </row>
    <row r="7897" spans="1:2" x14ac:dyDescent="0.3">
      <c r="A7897" s="19"/>
      <c r="B7897" s="36"/>
    </row>
    <row r="7898" spans="1:2" x14ac:dyDescent="0.3">
      <c r="A7898" s="19"/>
      <c r="B7898" s="36"/>
    </row>
    <row r="7899" spans="1:2" x14ac:dyDescent="0.3">
      <c r="A7899" s="19"/>
      <c r="B7899" s="36"/>
    </row>
    <row r="7900" spans="1:2" x14ac:dyDescent="0.3">
      <c r="A7900" s="19"/>
      <c r="B7900" s="36"/>
    </row>
    <row r="7901" spans="1:2" x14ac:dyDescent="0.3">
      <c r="A7901" s="19"/>
      <c r="B7901" s="36"/>
    </row>
    <row r="7902" spans="1:2" x14ac:dyDescent="0.3">
      <c r="A7902" s="19"/>
      <c r="B7902" s="36"/>
    </row>
    <row r="7903" spans="1:2" x14ac:dyDescent="0.3">
      <c r="A7903" s="19"/>
      <c r="B7903" s="36"/>
    </row>
    <row r="7904" spans="1:2" x14ac:dyDescent="0.3">
      <c r="A7904" s="19"/>
      <c r="B7904" s="36"/>
    </row>
    <row r="7905" spans="1:2" x14ac:dyDescent="0.3">
      <c r="A7905" s="19"/>
      <c r="B7905" s="36"/>
    </row>
    <row r="7906" spans="1:2" x14ac:dyDescent="0.3">
      <c r="A7906" s="19"/>
      <c r="B7906" s="36"/>
    </row>
    <row r="7907" spans="1:2" x14ac:dyDescent="0.3">
      <c r="A7907" s="19"/>
      <c r="B7907" s="36"/>
    </row>
    <row r="7908" spans="1:2" x14ac:dyDescent="0.3">
      <c r="A7908" s="19"/>
      <c r="B7908" s="36"/>
    </row>
    <row r="7909" spans="1:2" x14ac:dyDescent="0.3">
      <c r="A7909" s="19"/>
      <c r="B7909" s="36"/>
    </row>
    <row r="7910" spans="1:2" x14ac:dyDescent="0.3">
      <c r="A7910" s="19"/>
      <c r="B7910" s="36"/>
    </row>
    <row r="7911" spans="1:2" x14ac:dyDescent="0.3">
      <c r="A7911" s="19"/>
      <c r="B7911" s="36"/>
    </row>
    <row r="7912" spans="1:2" x14ac:dyDescent="0.3">
      <c r="A7912" s="19"/>
      <c r="B7912" s="36"/>
    </row>
    <row r="7913" spans="1:2" x14ac:dyDescent="0.3">
      <c r="A7913" s="19"/>
      <c r="B7913" s="36"/>
    </row>
    <row r="7914" spans="1:2" x14ac:dyDescent="0.3">
      <c r="A7914" s="19"/>
      <c r="B7914" s="36"/>
    </row>
    <row r="7915" spans="1:2" x14ac:dyDescent="0.3">
      <c r="A7915" s="19"/>
      <c r="B7915" s="36"/>
    </row>
    <row r="7916" spans="1:2" x14ac:dyDescent="0.3">
      <c r="A7916" s="19"/>
      <c r="B7916" s="36"/>
    </row>
    <row r="7917" spans="1:2" x14ac:dyDescent="0.3">
      <c r="A7917" s="19"/>
      <c r="B7917" s="36"/>
    </row>
    <row r="7918" spans="1:2" x14ac:dyDescent="0.3">
      <c r="A7918" s="19"/>
      <c r="B7918" s="36"/>
    </row>
    <row r="7919" spans="1:2" x14ac:dyDescent="0.3">
      <c r="A7919" s="19"/>
      <c r="B7919" s="36"/>
    </row>
    <row r="7920" spans="1:2" x14ac:dyDescent="0.3">
      <c r="A7920" s="19"/>
      <c r="B7920" s="36"/>
    </row>
    <row r="7921" spans="1:2" x14ac:dyDescent="0.3">
      <c r="A7921" s="19"/>
      <c r="B7921" s="36"/>
    </row>
    <row r="7922" spans="1:2" x14ac:dyDescent="0.3">
      <c r="A7922" s="19"/>
      <c r="B7922" s="36"/>
    </row>
    <row r="7923" spans="1:2" x14ac:dyDescent="0.3">
      <c r="A7923" s="19"/>
      <c r="B7923" s="36"/>
    </row>
    <row r="7924" spans="1:2" x14ac:dyDescent="0.3">
      <c r="A7924" s="19"/>
      <c r="B7924" s="36"/>
    </row>
    <row r="7925" spans="1:2" x14ac:dyDescent="0.3">
      <c r="A7925" s="19"/>
      <c r="B7925" s="36"/>
    </row>
    <row r="7926" spans="1:2" x14ac:dyDescent="0.3">
      <c r="A7926" s="19"/>
      <c r="B7926" s="36"/>
    </row>
    <row r="7927" spans="1:2" x14ac:dyDescent="0.3">
      <c r="A7927" s="19"/>
      <c r="B7927" s="36"/>
    </row>
    <row r="7928" spans="1:2" x14ac:dyDescent="0.3">
      <c r="A7928" s="19"/>
      <c r="B7928" s="36"/>
    </row>
    <row r="7929" spans="1:2" x14ac:dyDescent="0.3">
      <c r="A7929" s="19"/>
      <c r="B7929" s="36"/>
    </row>
    <row r="7930" spans="1:2" x14ac:dyDescent="0.3">
      <c r="A7930" s="19"/>
      <c r="B7930" s="36"/>
    </row>
    <row r="7931" spans="1:2" x14ac:dyDescent="0.3">
      <c r="A7931" s="19"/>
      <c r="B7931" s="36"/>
    </row>
    <row r="7932" spans="1:2" x14ac:dyDescent="0.3">
      <c r="A7932" s="19"/>
      <c r="B7932" s="36"/>
    </row>
    <row r="7933" spans="1:2" x14ac:dyDescent="0.3">
      <c r="A7933" s="19"/>
      <c r="B7933" s="36"/>
    </row>
    <row r="7934" spans="1:2" x14ac:dyDescent="0.3">
      <c r="A7934" s="19"/>
      <c r="B7934" s="36"/>
    </row>
    <row r="7935" spans="1:2" x14ac:dyDescent="0.3">
      <c r="A7935" s="19"/>
      <c r="B7935" s="36"/>
    </row>
    <row r="7936" spans="1:2" x14ac:dyDescent="0.3">
      <c r="A7936" s="19"/>
      <c r="B7936" s="36"/>
    </row>
    <row r="7937" spans="1:2" x14ac:dyDescent="0.3">
      <c r="A7937" s="19"/>
      <c r="B7937" s="36"/>
    </row>
    <row r="7938" spans="1:2" x14ac:dyDescent="0.3">
      <c r="A7938" s="19"/>
      <c r="B7938" s="36"/>
    </row>
    <row r="7939" spans="1:2" x14ac:dyDescent="0.3">
      <c r="A7939" s="19"/>
      <c r="B7939" s="36"/>
    </row>
    <row r="7940" spans="1:2" x14ac:dyDescent="0.3">
      <c r="A7940" s="19"/>
      <c r="B7940" s="36"/>
    </row>
    <row r="7941" spans="1:2" x14ac:dyDescent="0.3">
      <c r="A7941" s="19"/>
      <c r="B7941" s="36"/>
    </row>
    <row r="7942" spans="1:2" x14ac:dyDescent="0.3">
      <c r="A7942" s="19"/>
      <c r="B7942" s="36"/>
    </row>
    <row r="7943" spans="1:2" x14ac:dyDescent="0.3">
      <c r="A7943" s="19"/>
      <c r="B7943" s="36"/>
    </row>
    <row r="7944" spans="1:2" x14ac:dyDescent="0.3">
      <c r="A7944" s="19"/>
      <c r="B7944" s="36"/>
    </row>
    <row r="7945" spans="1:2" x14ac:dyDescent="0.3">
      <c r="A7945" s="19"/>
      <c r="B7945" s="36"/>
    </row>
    <row r="7946" spans="1:2" x14ac:dyDescent="0.3">
      <c r="A7946" s="19"/>
      <c r="B7946" s="36"/>
    </row>
    <row r="7947" spans="1:2" x14ac:dyDescent="0.3">
      <c r="A7947" s="19"/>
      <c r="B7947" s="36"/>
    </row>
    <row r="7948" spans="1:2" x14ac:dyDescent="0.3">
      <c r="A7948" s="19"/>
      <c r="B7948" s="36"/>
    </row>
    <row r="7949" spans="1:2" x14ac:dyDescent="0.3">
      <c r="A7949" s="19"/>
      <c r="B7949" s="36"/>
    </row>
    <row r="7950" spans="1:2" x14ac:dyDescent="0.3">
      <c r="A7950" s="19"/>
      <c r="B7950" s="36"/>
    </row>
    <row r="7951" spans="1:2" x14ac:dyDescent="0.3">
      <c r="A7951" s="19"/>
      <c r="B7951" s="36"/>
    </row>
    <row r="7952" spans="1:2" x14ac:dyDescent="0.3">
      <c r="A7952" s="19"/>
      <c r="B7952" s="36"/>
    </row>
    <row r="7953" spans="1:2" x14ac:dyDescent="0.3">
      <c r="A7953" s="19"/>
      <c r="B7953" s="36"/>
    </row>
    <row r="7954" spans="1:2" x14ac:dyDescent="0.3">
      <c r="A7954" s="19"/>
      <c r="B7954" s="36"/>
    </row>
    <row r="7955" spans="1:2" x14ac:dyDescent="0.3">
      <c r="A7955" s="19"/>
      <c r="B7955" s="36"/>
    </row>
    <row r="7956" spans="1:2" x14ac:dyDescent="0.3">
      <c r="A7956" s="19"/>
      <c r="B7956" s="36"/>
    </row>
    <row r="7957" spans="1:2" x14ac:dyDescent="0.3">
      <c r="A7957" s="19"/>
      <c r="B7957" s="36"/>
    </row>
    <row r="7958" spans="1:2" x14ac:dyDescent="0.3">
      <c r="A7958" s="19"/>
      <c r="B7958" s="36"/>
    </row>
    <row r="7959" spans="1:2" x14ac:dyDescent="0.3">
      <c r="A7959" s="19"/>
      <c r="B7959" s="36"/>
    </row>
    <row r="7960" spans="1:2" x14ac:dyDescent="0.3">
      <c r="A7960" s="19"/>
      <c r="B7960" s="36"/>
    </row>
    <row r="7961" spans="1:2" x14ac:dyDescent="0.3">
      <c r="A7961" s="19"/>
      <c r="B7961" s="36"/>
    </row>
    <row r="7962" spans="1:2" x14ac:dyDescent="0.3">
      <c r="A7962" s="19"/>
      <c r="B7962" s="36"/>
    </row>
    <row r="7963" spans="1:2" x14ac:dyDescent="0.3">
      <c r="A7963" s="19"/>
      <c r="B7963" s="36"/>
    </row>
    <row r="7964" spans="1:2" x14ac:dyDescent="0.3">
      <c r="A7964" s="19"/>
      <c r="B7964" s="36"/>
    </row>
    <row r="7965" spans="1:2" x14ac:dyDescent="0.3">
      <c r="A7965" s="19"/>
      <c r="B7965" s="36"/>
    </row>
    <row r="7966" spans="1:2" x14ac:dyDescent="0.3">
      <c r="A7966" s="19"/>
      <c r="B7966" s="36"/>
    </row>
    <row r="7967" spans="1:2" x14ac:dyDescent="0.3">
      <c r="A7967" s="19"/>
      <c r="B7967" s="36"/>
    </row>
    <row r="7968" spans="1:2" x14ac:dyDescent="0.3">
      <c r="A7968" s="19"/>
      <c r="B7968" s="36"/>
    </row>
    <row r="7969" spans="1:2" x14ac:dyDescent="0.3">
      <c r="A7969" s="19"/>
      <c r="B7969" s="36"/>
    </row>
    <row r="7970" spans="1:2" x14ac:dyDescent="0.3">
      <c r="A7970" s="19"/>
      <c r="B7970" s="36"/>
    </row>
    <row r="7971" spans="1:2" x14ac:dyDescent="0.3">
      <c r="A7971" s="19"/>
      <c r="B7971" s="36"/>
    </row>
    <row r="7972" spans="1:2" x14ac:dyDescent="0.3">
      <c r="A7972" s="19"/>
      <c r="B7972" s="36"/>
    </row>
    <row r="7973" spans="1:2" x14ac:dyDescent="0.3">
      <c r="A7973" s="19"/>
      <c r="B7973" s="36"/>
    </row>
    <row r="7974" spans="1:2" x14ac:dyDescent="0.3">
      <c r="A7974" s="19"/>
      <c r="B7974" s="36"/>
    </row>
    <row r="7975" spans="1:2" x14ac:dyDescent="0.3">
      <c r="A7975" s="19"/>
      <c r="B7975" s="36"/>
    </row>
    <row r="7976" spans="1:2" x14ac:dyDescent="0.3">
      <c r="A7976" s="19"/>
      <c r="B7976" s="36"/>
    </row>
    <row r="7977" spans="1:2" x14ac:dyDescent="0.3">
      <c r="A7977" s="19"/>
      <c r="B7977" s="36"/>
    </row>
    <row r="7978" spans="1:2" x14ac:dyDescent="0.3">
      <c r="A7978" s="19"/>
      <c r="B7978" s="36"/>
    </row>
    <row r="7979" spans="1:2" x14ac:dyDescent="0.3">
      <c r="A7979" s="19"/>
      <c r="B7979" s="36"/>
    </row>
    <row r="7980" spans="1:2" x14ac:dyDescent="0.3">
      <c r="A7980" s="19"/>
      <c r="B7980" s="36"/>
    </row>
    <row r="7981" spans="1:2" x14ac:dyDescent="0.3">
      <c r="A7981" s="19"/>
      <c r="B7981" s="36"/>
    </row>
    <row r="7982" spans="1:2" x14ac:dyDescent="0.3">
      <c r="A7982" s="19"/>
      <c r="B7982" s="36"/>
    </row>
    <row r="7983" spans="1:2" x14ac:dyDescent="0.3">
      <c r="A7983" s="19"/>
      <c r="B7983" s="36"/>
    </row>
    <row r="7984" spans="1:2" x14ac:dyDescent="0.3">
      <c r="A7984" s="19"/>
      <c r="B7984" s="36"/>
    </row>
    <row r="7985" spans="1:2" x14ac:dyDescent="0.3">
      <c r="A7985" s="19"/>
      <c r="B7985" s="36"/>
    </row>
    <row r="7986" spans="1:2" x14ac:dyDescent="0.3">
      <c r="A7986" s="19"/>
      <c r="B7986" s="36"/>
    </row>
    <row r="7987" spans="1:2" x14ac:dyDescent="0.3">
      <c r="A7987" s="19"/>
      <c r="B7987" s="36"/>
    </row>
    <row r="7988" spans="1:2" x14ac:dyDescent="0.3">
      <c r="A7988" s="19"/>
      <c r="B7988" s="36"/>
    </row>
    <row r="7989" spans="1:2" x14ac:dyDescent="0.3">
      <c r="A7989" s="19"/>
      <c r="B7989" s="36"/>
    </row>
    <row r="7990" spans="1:2" x14ac:dyDescent="0.3">
      <c r="A7990" s="19"/>
      <c r="B7990" s="36"/>
    </row>
    <row r="7991" spans="1:2" x14ac:dyDescent="0.3">
      <c r="A7991" s="19"/>
      <c r="B7991" s="36"/>
    </row>
    <row r="7992" spans="1:2" x14ac:dyDescent="0.3">
      <c r="A7992" s="19"/>
      <c r="B7992" s="36"/>
    </row>
    <row r="7993" spans="1:2" x14ac:dyDescent="0.3">
      <c r="A7993" s="19"/>
      <c r="B7993" s="36"/>
    </row>
    <row r="7994" spans="1:2" x14ac:dyDescent="0.3">
      <c r="A7994" s="19"/>
      <c r="B7994" s="36"/>
    </row>
    <row r="7995" spans="1:2" x14ac:dyDescent="0.3">
      <c r="A7995" s="19"/>
      <c r="B7995" s="36"/>
    </row>
    <row r="7996" spans="1:2" x14ac:dyDescent="0.3">
      <c r="A7996" s="19"/>
      <c r="B7996" s="36"/>
    </row>
    <row r="7997" spans="1:2" x14ac:dyDescent="0.3">
      <c r="A7997" s="19"/>
      <c r="B7997" s="36"/>
    </row>
    <row r="7998" spans="1:2" x14ac:dyDescent="0.3">
      <c r="A7998" s="19"/>
      <c r="B7998" s="36"/>
    </row>
    <row r="7999" spans="1:2" x14ac:dyDescent="0.3">
      <c r="A7999" s="19"/>
      <c r="B7999" s="36"/>
    </row>
    <row r="8000" spans="1:2" x14ac:dyDescent="0.3">
      <c r="A8000" s="19"/>
      <c r="B8000" s="36"/>
    </row>
    <row r="8001" spans="1:2" x14ac:dyDescent="0.3">
      <c r="A8001" s="19"/>
      <c r="B8001" s="36"/>
    </row>
    <row r="8002" spans="1:2" x14ac:dyDescent="0.3">
      <c r="A8002" s="19"/>
      <c r="B8002" s="36"/>
    </row>
    <row r="8003" spans="1:2" x14ac:dyDescent="0.3">
      <c r="A8003" s="19"/>
      <c r="B8003" s="36"/>
    </row>
    <row r="8004" spans="1:2" x14ac:dyDescent="0.3">
      <c r="A8004" s="19"/>
      <c r="B8004" s="36"/>
    </row>
    <row r="8005" spans="1:2" x14ac:dyDescent="0.3">
      <c r="A8005" s="19"/>
      <c r="B8005" s="36"/>
    </row>
    <row r="8006" spans="1:2" x14ac:dyDescent="0.3">
      <c r="A8006" s="19"/>
      <c r="B8006" s="36"/>
    </row>
    <row r="8007" spans="1:2" x14ac:dyDescent="0.3">
      <c r="A8007" s="19"/>
      <c r="B8007" s="36"/>
    </row>
    <row r="8008" spans="1:2" x14ac:dyDescent="0.3">
      <c r="A8008" s="19"/>
      <c r="B8008" s="36"/>
    </row>
    <row r="8009" spans="1:2" x14ac:dyDescent="0.3">
      <c r="A8009" s="19"/>
      <c r="B8009" s="36"/>
    </row>
    <row r="8010" spans="1:2" x14ac:dyDescent="0.3">
      <c r="A8010" s="19"/>
      <c r="B8010" s="36"/>
    </row>
    <row r="8011" spans="1:2" x14ac:dyDescent="0.3">
      <c r="A8011" s="19"/>
      <c r="B8011" s="36"/>
    </row>
    <row r="8012" spans="1:2" x14ac:dyDescent="0.3">
      <c r="A8012" s="19"/>
      <c r="B8012" s="36"/>
    </row>
    <row r="8013" spans="1:2" x14ac:dyDescent="0.3">
      <c r="A8013" s="19"/>
      <c r="B8013" s="36"/>
    </row>
    <row r="8014" spans="1:2" x14ac:dyDescent="0.3">
      <c r="A8014" s="19"/>
      <c r="B8014" s="36"/>
    </row>
    <row r="8015" spans="1:2" x14ac:dyDescent="0.3">
      <c r="A8015" s="19"/>
      <c r="B8015" s="36"/>
    </row>
    <row r="8016" spans="1:2" x14ac:dyDescent="0.3">
      <c r="A8016" s="19"/>
      <c r="B8016" s="36"/>
    </row>
    <row r="8017" spans="1:2" x14ac:dyDescent="0.3">
      <c r="A8017" s="19"/>
      <c r="B8017" s="36"/>
    </row>
    <row r="8018" spans="1:2" x14ac:dyDescent="0.3">
      <c r="A8018" s="19"/>
      <c r="B8018" s="36"/>
    </row>
    <row r="8019" spans="1:2" x14ac:dyDescent="0.3">
      <c r="A8019" s="19"/>
      <c r="B8019" s="36"/>
    </row>
    <row r="8020" spans="1:2" x14ac:dyDescent="0.3">
      <c r="A8020" s="19"/>
      <c r="B8020" s="36"/>
    </row>
    <row r="8021" spans="1:2" x14ac:dyDescent="0.3">
      <c r="A8021" s="19"/>
      <c r="B8021" s="36"/>
    </row>
    <row r="8022" spans="1:2" x14ac:dyDescent="0.3">
      <c r="A8022" s="19"/>
      <c r="B8022" s="36"/>
    </row>
    <row r="8023" spans="1:2" x14ac:dyDescent="0.3">
      <c r="A8023" s="19"/>
      <c r="B8023" s="36"/>
    </row>
    <row r="8024" spans="1:2" x14ac:dyDescent="0.3">
      <c r="A8024" s="19"/>
      <c r="B8024" s="36"/>
    </row>
    <row r="8025" spans="1:2" x14ac:dyDescent="0.3">
      <c r="A8025" s="19"/>
      <c r="B8025" s="36"/>
    </row>
    <row r="8026" spans="1:2" x14ac:dyDescent="0.3">
      <c r="A8026" s="19"/>
      <c r="B8026" s="36"/>
    </row>
    <row r="8027" spans="1:2" x14ac:dyDescent="0.3">
      <c r="A8027" s="19"/>
      <c r="B8027" s="36"/>
    </row>
    <row r="8028" spans="1:2" x14ac:dyDescent="0.3">
      <c r="A8028" s="19"/>
      <c r="B8028" s="36"/>
    </row>
    <row r="8029" spans="1:2" x14ac:dyDescent="0.3">
      <c r="A8029" s="19"/>
      <c r="B8029" s="36"/>
    </row>
    <row r="8030" spans="1:2" x14ac:dyDescent="0.3">
      <c r="A8030" s="19"/>
      <c r="B8030" s="36"/>
    </row>
    <row r="8031" spans="1:2" x14ac:dyDescent="0.3">
      <c r="A8031" s="19"/>
      <c r="B8031" s="36"/>
    </row>
    <row r="8032" spans="1:2" x14ac:dyDescent="0.3">
      <c r="A8032" s="19"/>
      <c r="B8032" s="36"/>
    </row>
    <row r="8033" spans="1:2" x14ac:dyDescent="0.3">
      <c r="A8033" s="19"/>
      <c r="B8033" s="36"/>
    </row>
    <row r="8034" spans="1:2" x14ac:dyDescent="0.3">
      <c r="A8034" s="19"/>
      <c r="B8034" s="36"/>
    </row>
    <row r="8035" spans="1:2" x14ac:dyDescent="0.3">
      <c r="A8035" s="19"/>
      <c r="B8035" s="36"/>
    </row>
    <row r="8036" spans="1:2" x14ac:dyDescent="0.3">
      <c r="A8036" s="19"/>
      <c r="B8036" s="36"/>
    </row>
    <row r="8037" spans="1:2" x14ac:dyDescent="0.3">
      <c r="A8037" s="19"/>
      <c r="B8037" s="36"/>
    </row>
    <row r="8038" spans="1:2" x14ac:dyDescent="0.3">
      <c r="A8038" s="19"/>
      <c r="B8038" s="36"/>
    </row>
    <row r="8039" spans="1:2" x14ac:dyDescent="0.3">
      <c r="A8039" s="19"/>
      <c r="B8039" s="36"/>
    </row>
    <row r="8040" spans="1:2" x14ac:dyDescent="0.3">
      <c r="A8040" s="19"/>
      <c r="B8040" s="36"/>
    </row>
    <row r="8041" spans="1:2" x14ac:dyDescent="0.3">
      <c r="A8041" s="19"/>
      <c r="B8041" s="36"/>
    </row>
    <row r="8042" spans="1:2" x14ac:dyDescent="0.3">
      <c r="A8042" s="19"/>
      <c r="B8042" s="36"/>
    </row>
    <row r="8043" spans="1:2" x14ac:dyDescent="0.3">
      <c r="A8043" s="19"/>
      <c r="B8043" s="36"/>
    </row>
    <row r="8044" spans="1:2" x14ac:dyDescent="0.3">
      <c r="A8044" s="19"/>
      <c r="B8044" s="36"/>
    </row>
    <row r="8045" spans="1:2" x14ac:dyDescent="0.3">
      <c r="A8045" s="19"/>
      <c r="B8045" s="36"/>
    </row>
    <row r="8046" spans="1:2" x14ac:dyDescent="0.3">
      <c r="A8046" s="19"/>
      <c r="B8046" s="36"/>
    </row>
    <row r="8047" spans="1:2" x14ac:dyDescent="0.3">
      <c r="A8047" s="19"/>
      <c r="B8047" s="36"/>
    </row>
    <row r="8048" spans="1:2" x14ac:dyDescent="0.3">
      <c r="A8048" s="19"/>
      <c r="B8048" s="36"/>
    </row>
    <row r="8049" spans="1:2" x14ac:dyDescent="0.3">
      <c r="A8049" s="19"/>
      <c r="B8049" s="36"/>
    </row>
    <row r="8050" spans="1:2" x14ac:dyDescent="0.3">
      <c r="A8050" s="19"/>
      <c r="B8050" s="36"/>
    </row>
    <row r="8051" spans="1:2" x14ac:dyDescent="0.3">
      <c r="A8051" s="19"/>
      <c r="B8051" s="36"/>
    </row>
    <row r="8052" spans="1:2" x14ac:dyDescent="0.3">
      <c r="A8052" s="19"/>
      <c r="B8052" s="36"/>
    </row>
    <row r="8053" spans="1:2" x14ac:dyDescent="0.3">
      <c r="A8053" s="19"/>
      <c r="B8053" s="36"/>
    </row>
    <row r="8054" spans="1:2" x14ac:dyDescent="0.3">
      <c r="A8054" s="19"/>
      <c r="B8054" s="36"/>
    </row>
    <row r="8055" spans="1:2" x14ac:dyDescent="0.3">
      <c r="A8055" s="19"/>
      <c r="B8055" s="36"/>
    </row>
    <row r="8056" spans="1:2" x14ac:dyDescent="0.3">
      <c r="A8056" s="19"/>
      <c r="B8056" s="36"/>
    </row>
    <row r="8057" spans="1:2" x14ac:dyDescent="0.3">
      <c r="A8057" s="19"/>
      <c r="B8057" s="36"/>
    </row>
    <row r="8058" spans="1:2" x14ac:dyDescent="0.3">
      <c r="A8058" s="19"/>
      <c r="B8058" s="36"/>
    </row>
    <row r="8059" spans="1:2" x14ac:dyDescent="0.3">
      <c r="A8059" s="19"/>
      <c r="B8059" s="36"/>
    </row>
    <row r="8060" spans="1:2" x14ac:dyDescent="0.3">
      <c r="A8060" s="19"/>
      <c r="B8060" s="36"/>
    </row>
    <row r="8061" spans="1:2" x14ac:dyDescent="0.3">
      <c r="A8061" s="19"/>
      <c r="B8061" s="36"/>
    </row>
    <row r="8062" spans="1:2" x14ac:dyDescent="0.3">
      <c r="A8062" s="19"/>
      <c r="B8062" s="36"/>
    </row>
    <row r="8063" spans="1:2" x14ac:dyDescent="0.3">
      <c r="A8063" s="19"/>
      <c r="B8063" s="36"/>
    </row>
    <row r="8064" spans="1:2" x14ac:dyDescent="0.3">
      <c r="A8064" s="19"/>
      <c r="B8064" s="36"/>
    </row>
    <row r="8065" spans="1:2" x14ac:dyDescent="0.3">
      <c r="A8065" s="19"/>
      <c r="B8065" s="36"/>
    </row>
    <row r="8066" spans="1:2" x14ac:dyDescent="0.3">
      <c r="A8066" s="19"/>
      <c r="B8066" s="36"/>
    </row>
    <row r="8067" spans="1:2" x14ac:dyDescent="0.3">
      <c r="A8067" s="19"/>
      <c r="B8067" s="36"/>
    </row>
    <row r="8068" spans="1:2" x14ac:dyDescent="0.3">
      <c r="A8068" s="19"/>
      <c r="B8068" s="36"/>
    </row>
    <row r="8069" spans="1:2" x14ac:dyDescent="0.3">
      <c r="A8069" s="19"/>
      <c r="B8069" s="36"/>
    </row>
    <row r="8070" spans="1:2" x14ac:dyDescent="0.3">
      <c r="A8070" s="19"/>
      <c r="B8070" s="36"/>
    </row>
    <row r="8071" spans="1:2" x14ac:dyDescent="0.3">
      <c r="A8071" s="19"/>
      <c r="B8071" s="36"/>
    </row>
    <row r="8072" spans="1:2" x14ac:dyDescent="0.3">
      <c r="A8072" s="19"/>
      <c r="B8072" s="36"/>
    </row>
    <row r="8073" spans="1:2" x14ac:dyDescent="0.3">
      <c r="A8073" s="19"/>
      <c r="B8073" s="36"/>
    </row>
    <row r="8074" spans="1:2" x14ac:dyDescent="0.3">
      <c r="A8074" s="19"/>
      <c r="B8074" s="36"/>
    </row>
    <row r="8075" spans="1:2" x14ac:dyDescent="0.3">
      <c r="A8075" s="19"/>
      <c r="B8075" s="36"/>
    </row>
    <row r="8076" spans="1:2" x14ac:dyDescent="0.3">
      <c r="A8076" s="19"/>
      <c r="B8076" s="36"/>
    </row>
    <row r="8077" spans="1:2" x14ac:dyDescent="0.3">
      <c r="A8077" s="19"/>
      <c r="B8077" s="36"/>
    </row>
    <row r="8078" spans="1:2" x14ac:dyDescent="0.3">
      <c r="A8078" s="19"/>
      <c r="B8078" s="36"/>
    </row>
    <row r="8079" spans="1:2" x14ac:dyDescent="0.3">
      <c r="A8079" s="19"/>
      <c r="B8079" s="36"/>
    </row>
    <row r="8080" spans="1:2" x14ac:dyDescent="0.3">
      <c r="A8080" s="19"/>
      <c r="B8080" s="36"/>
    </row>
    <row r="8081" spans="1:2" x14ac:dyDescent="0.3">
      <c r="A8081" s="19"/>
      <c r="B8081" s="36"/>
    </row>
    <row r="8082" spans="1:2" x14ac:dyDescent="0.3">
      <c r="A8082" s="19"/>
      <c r="B8082" s="36"/>
    </row>
    <row r="8083" spans="1:2" x14ac:dyDescent="0.3">
      <c r="A8083" s="19"/>
      <c r="B8083" s="36"/>
    </row>
    <row r="8084" spans="1:2" x14ac:dyDescent="0.3">
      <c r="A8084" s="19"/>
      <c r="B8084" s="36"/>
    </row>
    <row r="8085" spans="1:2" x14ac:dyDescent="0.3">
      <c r="A8085" s="19"/>
      <c r="B8085" s="36"/>
    </row>
    <row r="8086" spans="1:2" x14ac:dyDescent="0.3">
      <c r="A8086" s="19"/>
      <c r="B8086" s="36"/>
    </row>
    <row r="8087" spans="1:2" x14ac:dyDescent="0.3">
      <c r="A8087" s="19"/>
      <c r="B8087" s="36"/>
    </row>
    <row r="8088" spans="1:2" x14ac:dyDescent="0.3">
      <c r="A8088" s="19"/>
      <c r="B8088" s="36"/>
    </row>
    <row r="8089" spans="1:2" x14ac:dyDescent="0.3">
      <c r="A8089" s="19"/>
      <c r="B8089" s="36"/>
    </row>
    <row r="8090" spans="1:2" x14ac:dyDescent="0.3">
      <c r="A8090" s="19"/>
      <c r="B8090" s="36"/>
    </row>
    <row r="8091" spans="1:2" x14ac:dyDescent="0.3">
      <c r="A8091" s="19"/>
      <c r="B8091" s="36"/>
    </row>
    <row r="8092" spans="1:2" x14ac:dyDescent="0.3">
      <c r="A8092" s="19"/>
      <c r="B8092" s="36"/>
    </row>
    <row r="8093" spans="1:2" x14ac:dyDescent="0.3">
      <c r="A8093" s="19"/>
      <c r="B8093" s="36"/>
    </row>
    <row r="8094" spans="1:2" x14ac:dyDescent="0.3">
      <c r="A8094" s="19"/>
      <c r="B8094" s="36"/>
    </row>
    <row r="8095" spans="1:2" x14ac:dyDescent="0.3">
      <c r="A8095" s="19"/>
      <c r="B8095" s="36"/>
    </row>
    <row r="8096" spans="1:2" x14ac:dyDescent="0.3">
      <c r="A8096" s="19"/>
      <c r="B8096" s="36"/>
    </row>
    <row r="8097" spans="1:2" x14ac:dyDescent="0.3">
      <c r="A8097" s="19"/>
      <c r="B8097" s="36"/>
    </row>
    <row r="8098" spans="1:2" x14ac:dyDescent="0.3">
      <c r="A8098" s="19"/>
      <c r="B8098" s="36"/>
    </row>
    <row r="8099" spans="1:2" x14ac:dyDescent="0.3">
      <c r="A8099" s="19"/>
      <c r="B8099" s="36"/>
    </row>
    <row r="8100" spans="1:2" x14ac:dyDescent="0.3">
      <c r="A8100" s="19"/>
      <c r="B8100" s="36"/>
    </row>
    <row r="8101" spans="1:2" x14ac:dyDescent="0.3">
      <c r="A8101" s="19"/>
      <c r="B8101" s="36"/>
    </row>
    <row r="8102" spans="1:2" x14ac:dyDescent="0.3">
      <c r="A8102" s="19"/>
      <c r="B8102" s="36"/>
    </row>
    <row r="8103" spans="1:2" x14ac:dyDescent="0.3">
      <c r="A8103" s="19"/>
      <c r="B8103" s="36"/>
    </row>
    <row r="8104" spans="1:2" x14ac:dyDescent="0.3">
      <c r="A8104" s="19"/>
      <c r="B8104" s="36"/>
    </row>
    <row r="8105" spans="1:2" x14ac:dyDescent="0.3">
      <c r="A8105" s="19"/>
      <c r="B8105" s="36"/>
    </row>
    <row r="8106" spans="1:2" x14ac:dyDescent="0.3">
      <c r="A8106" s="19"/>
      <c r="B8106" s="36"/>
    </row>
    <row r="8107" spans="1:2" x14ac:dyDescent="0.3">
      <c r="A8107" s="19"/>
      <c r="B8107" s="36"/>
    </row>
    <row r="8108" spans="1:2" x14ac:dyDescent="0.3">
      <c r="A8108" s="19"/>
      <c r="B8108" s="36"/>
    </row>
    <row r="8109" spans="1:2" x14ac:dyDescent="0.3">
      <c r="A8109" s="19"/>
      <c r="B8109" s="36"/>
    </row>
    <row r="8110" spans="1:2" x14ac:dyDescent="0.3">
      <c r="A8110" s="19"/>
      <c r="B8110" s="36"/>
    </row>
    <row r="8111" spans="1:2" x14ac:dyDescent="0.3">
      <c r="A8111" s="19"/>
      <c r="B8111" s="36"/>
    </row>
    <row r="8112" spans="1:2" x14ac:dyDescent="0.3">
      <c r="A8112" s="19"/>
      <c r="B8112" s="36"/>
    </row>
    <row r="8113" spans="1:2" x14ac:dyDescent="0.3">
      <c r="A8113" s="19"/>
      <c r="B8113" s="36"/>
    </row>
    <row r="8114" spans="1:2" x14ac:dyDescent="0.3">
      <c r="A8114" s="19"/>
      <c r="B8114" s="36"/>
    </row>
    <row r="8115" spans="1:2" x14ac:dyDescent="0.3">
      <c r="A8115" s="19"/>
      <c r="B8115" s="36"/>
    </row>
    <row r="8116" spans="1:2" x14ac:dyDescent="0.3">
      <c r="A8116" s="19"/>
      <c r="B8116" s="36"/>
    </row>
    <row r="8117" spans="1:2" x14ac:dyDescent="0.3">
      <c r="A8117" s="19"/>
      <c r="B8117" s="36"/>
    </row>
    <row r="8118" spans="1:2" x14ac:dyDescent="0.3">
      <c r="A8118" s="19"/>
      <c r="B8118" s="36"/>
    </row>
    <row r="8119" spans="1:2" x14ac:dyDescent="0.3">
      <c r="A8119" s="19"/>
      <c r="B8119" s="36"/>
    </row>
    <row r="8120" spans="1:2" x14ac:dyDescent="0.3">
      <c r="A8120" s="19"/>
      <c r="B8120" s="36"/>
    </row>
    <row r="8121" spans="1:2" x14ac:dyDescent="0.3">
      <c r="A8121" s="19"/>
      <c r="B8121" s="36"/>
    </row>
    <row r="8122" spans="1:2" x14ac:dyDescent="0.3">
      <c r="A8122" s="19"/>
      <c r="B8122" s="36"/>
    </row>
    <row r="8123" spans="1:2" x14ac:dyDescent="0.3">
      <c r="A8123" s="19"/>
      <c r="B8123" s="36"/>
    </row>
    <row r="8124" spans="1:2" x14ac:dyDescent="0.3">
      <c r="A8124" s="19"/>
      <c r="B8124" s="36"/>
    </row>
    <row r="8125" spans="1:2" x14ac:dyDescent="0.3">
      <c r="A8125" s="19"/>
      <c r="B8125" s="36"/>
    </row>
    <row r="8126" spans="1:2" x14ac:dyDescent="0.3">
      <c r="A8126" s="19"/>
      <c r="B8126" s="36"/>
    </row>
    <row r="8127" spans="1:2" x14ac:dyDescent="0.3">
      <c r="A8127" s="19"/>
      <c r="B8127" s="36"/>
    </row>
    <row r="8128" spans="1:2" x14ac:dyDescent="0.3">
      <c r="A8128" s="19"/>
      <c r="B8128" s="36"/>
    </row>
    <row r="8129" spans="1:2" x14ac:dyDescent="0.3">
      <c r="A8129" s="19"/>
      <c r="B8129" s="36"/>
    </row>
    <row r="8130" spans="1:2" x14ac:dyDescent="0.3">
      <c r="A8130" s="19"/>
      <c r="B8130" s="36"/>
    </row>
    <row r="8131" spans="1:2" x14ac:dyDescent="0.3">
      <c r="A8131" s="19"/>
      <c r="B8131" s="36"/>
    </row>
    <row r="8132" spans="1:2" x14ac:dyDescent="0.3">
      <c r="A8132" s="19"/>
      <c r="B8132" s="36"/>
    </row>
    <row r="8133" spans="1:2" x14ac:dyDescent="0.3">
      <c r="A8133" s="19"/>
      <c r="B8133" s="36"/>
    </row>
    <row r="8134" spans="1:2" x14ac:dyDescent="0.3">
      <c r="A8134" s="19"/>
      <c r="B8134" s="36"/>
    </row>
    <row r="8135" spans="1:2" x14ac:dyDescent="0.3">
      <c r="A8135" s="19"/>
      <c r="B8135" s="36"/>
    </row>
    <row r="8136" spans="1:2" x14ac:dyDescent="0.3">
      <c r="A8136" s="19"/>
      <c r="B8136" s="36"/>
    </row>
    <row r="8137" spans="1:2" x14ac:dyDescent="0.3">
      <c r="A8137" s="19"/>
      <c r="B8137" s="36"/>
    </row>
    <row r="8138" spans="1:2" x14ac:dyDescent="0.3">
      <c r="A8138" s="19"/>
      <c r="B8138" s="36"/>
    </row>
    <row r="8139" spans="1:2" x14ac:dyDescent="0.3">
      <c r="A8139" s="19"/>
      <c r="B8139" s="36"/>
    </row>
    <row r="8140" spans="1:2" x14ac:dyDescent="0.3">
      <c r="A8140" s="19"/>
      <c r="B8140" s="36"/>
    </row>
    <row r="8141" spans="1:2" x14ac:dyDescent="0.3">
      <c r="A8141" s="19"/>
      <c r="B8141" s="36"/>
    </row>
    <row r="8142" spans="1:2" x14ac:dyDescent="0.3">
      <c r="A8142" s="19"/>
      <c r="B8142" s="36"/>
    </row>
    <row r="8143" spans="1:2" x14ac:dyDescent="0.3">
      <c r="A8143" s="19"/>
      <c r="B8143" s="36"/>
    </row>
    <row r="8144" spans="1:2" x14ac:dyDescent="0.3">
      <c r="A8144" s="19"/>
      <c r="B8144" s="36"/>
    </row>
    <row r="8145" spans="1:2" x14ac:dyDescent="0.3">
      <c r="A8145" s="19"/>
      <c r="B8145" s="36"/>
    </row>
    <row r="8146" spans="1:2" x14ac:dyDescent="0.3">
      <c r="A8146" s="19"/>
      <c r="B8146" s="36"/>
    </row>
    <row r="8147" spans="1:2" x14ac:dyDescent="0.3">
      <c r="A8147" s="19"/>
      <c r="B8147" s="36"/>
    </row>
    <row r="8148" spans="1:2" x14ac:dyDescent="0.3">
      <c r="A8148" s="19"/>
      <c r="B8148" s="36"/>
    </row>
    <row r="8149" spans="1:2" x14ac:dyDescent="0.3">
      <c r="A8149" s="19"/>
      <c r="B8149" s="36"/>
    </row>
    <row r="8150" spans="1:2" x14ac:dyDescent="0.3">
      <c r="A8150" s="19"/>
      <c r="B8150" s="36"/>
    </row>
    <row r="8151" spans="1:2" x14ac:dyDescent="0.3">
      <c r="A8151" s="19"/>
      <c r="B8151" s="36"/>
    </row>
    <row r="8152" spans="1:2" x14ac:dyDescent="0.3">
      <c r="A8152" s="19"/>
      <c r="B8152" s="36"/>
    </row>
    <row r="8153" spans="1:2" x14ac:dyDescent="0.3">
      <c r="A8153" s="19"/>
      <c r="B8153" s="36"/>
    </row>
    <row r="8154" spans="1:2" x14ac:dyDescent="0.3">
      <c r="A8154" s="19"/>
      <c r="B8154" s="36"/>
    </row>
    <row r="8155" spans="1:2" x14ac:dyDescent="0.3">
      <c r="A8155" s="19"/>
      <c r="B8155" s="36"/>
    </row>
    <row r="8156" spans="1:2" x14ac:dyDescent="0.3">
      <c r="A8156" s="19"/>
      <c r="B8156" s="36"/>
    </row>
    <row r="8157" spans="1:2" x14ac:dyDescent="0.3">
      <c r="A8157" s="19"/>
      <c r="B8157" s="36"/>
    </row>
    <row r="8158" spans="1:2" x14ac:dyDescent="0.3">
      <c r="A8158" s="19"/>
      <c r="B8158" s="36"/>
    </row>
    <row r="8159" spans="1:2" x14ac:dyDescent="0.3">
      <c r="A8159" s="19"/>
      <c r="B8159" s="36"/>
    </row>
    <row r="8160" spans="1:2" x14ac:dyDescent="0.3">
      <c r="A8160" s="19"/>
      <c r="B8160" s="36"/>
    </row>
    <row r="8161" spans="1:2" x14ac:dyDescent="0.3">
      <c r="A8161" s="19"/>
      <c r="B8161" s="36"/>
    </row>
    <row r="8162" spans="1:2" x14ac:dyDescent="0.3">
      <c r="A8162" s="19"/>
      <c r="B8162" s="36"/>
    </row>
    <row r="8163" spans="1:2" x14ac:dyDescent="0.3">
      <c r="A8163" s="19"/>
      <c r="B8163" s="36"/>
    </row>
    <row r="8164" spans="1:2" x14ac:dyDescent="0.3">
      <c r="A8164" s="19"/>
      <c r="B8164" s="36"/>
    </row>
    <row r="8165" spans="1:2" x14ac:dyDescent="0.3">
      <c r="A8165" s="19"/>
      <c r="B8165" s="36"/>
    </row>
    <row r="8166" spans="1:2" x14ac:dyDescent="0.3">
      <c r="A8166" s="19"/>
      <c r="B8166" s="36"/>
    </row>
    <row r="8167" spans="1:2" x14ac:dyDescent="0.3">
      <c r="A8167" s="19"/>
      <c r="B8167" s="36"/>
    </row>
    <row r="8168" spans="1:2" x14ac:dyDescent="0.3">
      <c r="A8168" s="19"/>
      <c r="B8168" s="36"/>
    </row>
    <row r="8169" spans="1:2" x14ac:dyDescent="0.3">
      <c r="A8169" s="19"/>
      <c r="B8169" s="36"/>
    </row>
    <row r="8170" spans="1:2" x14ac:dyDescent="0.3">
      <c r="A8170" s="19"/>
      <c r="B8170" s="36"/>
    </row>
    <row r="8171" spans="1:2" x14ac:dyDescent="0.3">
      <c r="A8171" s="19"/>
      <c r="B8171" s="36"/>
    </row>
    <row r="8172" spans="1:2" x14ac:dyDescent="0.3">
      <c r="A8172" s="19"/>
      <c r="B8172" s="36"/>
    </row>
    <row r="8173" spans="1:2" x14ac:dyDescent="0.3">
      <c r="A8173" s="19"/>
      <c r="B8173" s="36"/>
    </row>
    <row r="8174" spans="1:2" x14ac:dyDescent="0.3">
      <c r="A8174" s="19"/>
      <c r="B8174" s="36"/>
    </row>
    <row r="8175" spans="1:2" x14ac:dyDescent="0.3">
      <c r="A8175" s="19"/>
      <c r="B8175" s="36"/>
    </row>
    <row r="8176" spans="1:2" x14ac:dyDescent="0.3">
      <c r="A8176" s="19"/>
      <c r="B8176" s="36"/>
    </row>
    <row r="8177" spans="1:2" x14ac:dyDescent="0.3">
      <c r="A8177" s="19"/>
      <c r="B8177" s="36"/>
    </row>
    <row r="8178" spans="1:2" x14ac:dyDescent="0.3">
      <c r="A8178" s="19"/>
      <c r="B8178" s="36"/>
    </row>
    <row r="8179" spans="1:2" x14ac:dyDescent="0.3">
      <c r="A8179" s="19"/>
      <c r="B8179" s="36"/>
    </row>
    <row r="8180" spans="1:2" x14ac:dyDescent="0.3">
      <c r="A8180" s="19"/>
      <c r="B8180" s="36"/>
    </row>
    <row r="8181" spans="1:2" x14ac:dyDescent="0.3">
      <c r="A8181" s="19"/>
      <c r="B8181" s="36"/>
    </row>
    <row r="8182" spans="1:2" x14ac:dyDescent="0.3">
      <c r="A8182" s="19"/>
      <c r="B8182" s="36"/>
    </row>
    <row r="8183" spans="1:2" x14ac:dyDescent="0.3">
      <c r="A8183" s="19"/>
      <c r="B8183" s="36"/>
    </row>
    <row r="8184" spans="1:2" x14ac:dyDescent="0.3">
      <c r="A8184" s="19"/>
      <c r="B8184" s="36"/>
    </row>
    <row r="8185" spans="1:2" x14ac:dyDescent="0.3">
      <c r="A8185" s="19"/>
      <c r="B8185" s="36"/>
    </row>
    <row r="8186" spans="1:2" x14ac:dyDescent="0.3">
      <c r="A8186" s="19"/>
      <c r="B8186" s="36"/>
    </row>
    <row r="8187" spans="1:2" x14ac:dyDescent="0.3">
      <c r="A8187" s="19"/>
      <c r="B8187" s="36"/>
    </row>
    <row r="8188" spans="1:2" x14ac:dyDescent="0.3">
      <c r="A8188" s="19"/>
      <c r="B8188" s="36"/>
    </row>
    <row r="8189" spans="1:2" x14ac:dyDescent="0.3">
      <c r="A8189" s="19"/>
      <c r="B8189" s="36"/>
    </row>
    <row r="8190" spans="1:2" x14ac:dyDescent="0.3">
      <c r="A8190" s="19"/>
      <c r="B8190" s="36"/>
    </row>
    <row r="8191" spans="1:2" x14ac:dyDescent="0.3">
      <c r="A8191" s="19"/>
      <c r="B8191" s="36"/>
    </row>
    <row r="8192" spans="1:2" x14ac:dyDescent="0.3">
      <c r="A8192" s="19"/>
      <c r="B8192" s="36"/>
    </row>
    <row r="8193" spans="1:2" x14ac:dyDescent="0.3">
      <c r="A8193" s="19"/>
      <c r="B8193" s="36"/>
    </row>
    <row r="8194" spans="1:2" x14ac:dyDescent="0.3">
      <c r="A8194" s="19"/>
      <c r="B8194" s="36"/>
    </row>
    <row r="8195" spans="1:2" x14ac:dyDescent="0.3">
      <c r="A8195" s="19"/>
      <c r="B8195" s="36"/>
    </row>
    <row r="8196" spans="1:2" x14ac:dyDescent="0.3">
      <c r="A8196" s="19"/>
      <c r="B8196" s="36"/>
    </row>
    <row r="8197" spans="1:2" x14ac:dyDescent="0.3">
      <c r="A8197" s="19"/>
      <c r="B8197" s="36"/>
    </row>
    <row r="8198" spans="1:2" x14ac:dyDescent="0.3">
      <c r="A8198" s="19"/>
      <c r="B8198" s="36"/>
    </row>
    <row r="8199" spans="1:2" x14ac:dyDescent="0.3">
      <c r="A8199" s="19"/>
      <c r="B8199" s="36"/>
    </row>
    <row r="8200" spans="1:2" x14ac:dyDescent="0.3">
      <c r="A8200" s="19"/>
      <c r="B8200" s="36"/>
    </row>
    <row r="8201" spans="1:2" x14ac:dyDescent="0.3">
      <c r="A8201" s="19"/>
      <c r="B8201" s="36"/>
    </row>
    <row r="8202" spans="1:2" x14ac:dyDescent="0.3">
      <c r="A8202" s="19"/>
      <c r="B8202" s="36"/>
    </row>
    <row r="8203" spans="1:2" x14ac:dyDescent="0.3">
      <c r="A8203" s="19"/>
      <c r="B8203" s="36"/>
    </row>
    <row r="8204" spans="1:2" x14ac:dyDescent="0.3">
      <c r="A8204" s="19"/>
      <c r="B8204" s="36"/>
    </row>
    <row r="8205" spans="1:2" x14ac:dyDescent="0.3">
      <c r="A8205" s="19"/>
      <c r="B8205" s="36"/>
    </row>
    <row r="8206" spans="1:2" x14ac:dyDescent="0.3">
      <c r="A8206" s="19"/>
      <c r="B8206" s="36"/>
    </row>
    <row r="8207" spans="1:2" x14ac:dyDescent="0.3">
      <c r="A8207" s="19"/>
      <c r="B8207" s="36"/>
    </row>
    <row r="8208" spans="1:2" x14ac:dyDescent="0.3">
      <c r="A8208" s="19"/>
      <c r="B8208" s="36"/>
    </row>
    <row r="8209" spans="1:2" x14ac:dyDescent="0.3">
      <c r="A8209" s="19"/>
      <c r="B8209" s="36"/>
    </row>
    <row r="8210" spans="1:2" x14ac:dyDescent="0.3">
      <c r="A8210" s="19"/>
      <c r="B8210" s="36"/>
    </row>
    <row r="8211" spans="1:2" x14ac:dyDescent="0.3">
      <c r="A8211" s="19"/>
      <c r="B8211" s="36"/>
    </row>
    <row r="8212" spans="1:2" x14ac:dyDescent="0.3">
      <c r="A8212" s="19"/>
      <c r="B8212" s="36"/>
    </row>
    <row r="8213" spans="1:2" x14ac:dyDescent="0.3">
      <c r="A8213" s="19"/>
      <c r="B8213" s="36"/>
    </row>
    <row r="8214" spans="1:2" x14ac:dyDescent="0.3">
      <c r="A8214" s="19"/>
      <c r="B8214" s="36"/>
    </row>
    <row r="8215" spans="1:2" x14ac:dyDescent="0.3">
      <c r="A8215" s="19"/>
      <c r="B8215" s="36"/>
    </row>
    <row r="8216" spans="1:2" x14ac:dyDescent="0.3">
      <c r="A8216" s="19"/>
      <c r="B8216" s="36"/>
    </row>
    <row r="8217" spans="1:2" x14ac:dyDescent="0.3">
      <c r="A8217" s="19"/>
      <c r="B8217" s="36"/>
    </row>
    <row r="8218" spans="1:2" x14ac:dyDescent="0.3">
      <c r="A8218" s="19"/>
      <c r="B8218" s="36"/>
    </row>
    <row r="8219" spans="1:2" x14ac:dyDescent="0.3">
      <c r="A8219" s="19"/>
      <c r="B8219" s="36"/>
    </row>
    <row r="8220" spans="1:2" x14ac:dyDescent="0.3">
      <c r="A8220" s="19"/>
      <c r="B8220" s="36"/>
    </row>
    <row r="8221" spans="1:2" x14ac:dyDescent="0.3">
      <c r="A8221" s="19"/>
      <c r="B8221" s="36"/>
    </row>
    <row r="8222" spans="1:2" x14ac:dyDescent="0.3">
      <c r="A8222" s="19"/>
      <c r="B8222" s="36"/>
    </row>
    <row r="8223" spans="1:2" x14ac:dyDescent="0.3">
      <c r="A8223" s="19"/>
      <c r="B8223" s="36"/>
    </row>
    <row r="8224" spans="1:2" x14ac:dyDescent="0.3">
      <c r="A8224" s="19"/>
      <c r="B8224" s="36"/>
    </row>
    <row r="8225" spans="1:2" x14ac:dyDescent="0.3">
      <c r="A8225" s="19"/>
      <c r="B8225" s="36"/>
    </row>
    <row r="8226" spans="1:2" x14ac:dyDescent="0.3">
      <c r="A8226" s="19"/>
      <c r="B8226" s="36"/>
    </row>
    <row r="8227" spans="1:2" x14ac:dyDescent="0.3">
      <c r="A8227" s="19"/>
      <c r="B8227" s="36"/>
    </row>
    <row r="8228" spans="1:2" x14ac:dyDescent="0.3">
      <c r="A8228" s="19"/>
      <c r="B8228" s="36"/>
    </row>
    <row r="8229" spans="1:2" x14ac:dyDescent="0.3">
      <c r="A8229" s="19"/>
      <c r="B8229" s="36"/>
    </row>
    <row r="8230" spans="1:2" x14ac:dyDescent="0.3">
      <c r="A8230" s="19"/>
      <c r="B8230" s="36"/>
    </row>
    <row r="8231" spans="1:2" x14ac:dyDescent="0.3">
      <c r="A8231" s="19"/>
      <c r="B8231" s="36"/>
    </row>
    <row r="8232" spans="1:2" x14ac:dyDescent="0.3">
      <c r="A8232" s="19"/>
      <c r="B8232" s="36"/>
    </row>
    <row r="8233" spans="1:2" x14ac:dyDescent="0.3">
      <c r="A8233" s="19"/>
      <c r="B8233" s="36"/>
    </row>
    <row r="8234" spans="1:2" x14ac:dyDescent="0.3">
      <c r="A8234" s="19"/>
      <c r="B8234" s="36"/>
    </row>
    <row r="8235" spans="1:2" x14ac:dyDescent="0.3">
      <c r="A8235" s="19"/>
      <c r="B8235" s="36"/>
    </row>
    <row r="8236" spans="1:2" x14ac:dyDescent="0.3">
      <c r="A8236" s="19"/>
      <c r="B8236" s="36"/>
    </row>
    <row r="8237" spans="1:2" x14ac:dyDescent="0.3">
      <c r="A8237" s="19"/>
      <c r="B8237" s="36"/>
    </row>
    <row r="8238" spans="1:2" x14ac:dyDescent="0.3">
      <c r="A8238" s="19"/>
      <c r="B8238" s="36"/>
    </row>
    <row r="8239" spans="1:2" x14ac:dyDescent="0.3">
      <c r="A8239" s="19"/>
      <c r="B8239" s="36"/>
    </row>
    <row r="8240" spans="1:2" x14ac:dyDescent="0.3">
      <c r="A8240" s="19"/>
      <c r="B8240" s="36"/>
    </row>
    <row r="8241" spans="1:2" x14ac:dyDescent="0.3">
      <c r="A8241" s="19"/>
      <c r="B8241" s="36"/>
    </row>
    <row r="8242" spans="1:2" x14ac:dyDescent="0.3">
      <c r="A8242" s="19"/>
      <c r="B8242" s="36"/>
    </row>
    <row r="8243" spans="1:2" x14ac:dyDescent="0.3">
      <c r="A8243" s="19"/>
      <c r="B8243" s="36"/>
    </row>
    <row r="8244" spans="1:2" x14ac:dyDescent="0.3">
      <c r="A8244" s="19"/>
      <c r="B8244" s="36"/>
    </row>
    <row r="8245" spans="1:2" x14ac:dyDescent="0.3">
      <c r="A8245" s="19"/>
      <c r="B8245" s="36"/>
    </row>
    <row r="8246" spans="1:2" x14ac:dyDescent="0.3">
      <c r="A8246" s="19"/>
      <c r="B8246" s="36"/>
    </row>
    <row r="8247" spans="1:2" x14ac:dyDescent="0.3">
      <c r="A8247" s="19"/>
      <c r="B8247" s="36"/>
    </row>
    <row r="8248" spans="1:2" x14ac:dyDescent="0.3">
      <c r="A8248" s="19"/>
      <c r="B8248" s="36"/>
    </row>
    <row r="8249" spans="1:2" x14ac:dyDescent="0.3">
      <c r="A8249" s="19"/>
      <c r="B8249" s="36"/>
    </row>
    <row r="8250" spans="1:2" x14ac:dyDescent="0.3">
      <c r="A8250" s="19"/>
      <c r="B8250" s="36"/>
    </row>
    <row r="8251" spans="1:2" x14ac:dyDescent="0.3">
      <c r="A8251" s="19"/>
      <c r="B8251" s="36"/>
    </row>
    <row r="8252" spans="1:2" x14ac:dyDescent="0.3">
      <c r="A8252" s="19"/>
      <c r="B8252" s="36"/>
    </row>
    <row r="8253" spans="1:2" x14ac:dyDescent="0.3">
      <c r="A8253" s="19"/>
      <c r="B8253" s="36"/>
    </row>
    <row r="8254" spans="1:2" x14ac:dyDescent="0.3">
      <c r="A8254" s="19"/>
      <c r="B8254" s="36"/>
    </row>
    <row r="8255" spans="1:2" x14ac:dyDescent="0.3">
      <c r="A8255" s="19"/>
      <c r="B8255" s="36"/>
    </row>
    <row r="8256" spans="1:2" x14ac:dyDescent="0.3">
      <c r="A8256" s="19"/>
      <c r="B8256" s="36"/>
    </row>
    <row r="8257" spans="1:2" x14ac:dyDescent="0.3">
      <c r="A8257" s="19"/>
      <c r="B8257" s="36"/>
    </row>
    <row r="8258" spans="1:2" x14ac:dyDescent="0.3">
      <c r="A8258" s="19"/>
      <c r="B8258" s="36"/>
    </row>
    <row r="8259" spans="1:2" x14ac:dyDescent="0.3">
      <c r="A8259" s="19"/>
      <c r="B8259" s="36"/>
    </row>
    <row r="8260" spans="1:2" x14ac:dyDescent="0.3">
      <c r="A8260" s="19"/>
      <c r="B8260" s="36"/>
    </row>
    <row r="8261" spans="1:2" x14ac:dyDescent="0.3">
      <c r="A8261" s="19"/>
      <c r="B8261" s="36"/>
    </row>
    <row r="8262" spans="1:2" x14ac:dyDescent="0.3">
      <c r="A8262" s="19"/>
      <c r="B8262" s="36"/>
    </row>
    <row r="8263" spans="1:2" x14ac:dyDescent="0.3">
      <c r="A8263" s="19"/>
      <c r="B8263" s="36"/>
    </row>
    <row r="8264" spans="1:2" x14ac:dyDescent="0.3">
      <c r="A8264" s="19"/>
      <c r="B8264" s="36"/>
    </row>
    <row r="8265" spans="1:2" x14ac:dyDescent="0.3">
      <c r="A8265" s="19"/>
      <c r="B8265" s="36"/>
    </row>
    <row r="8266" spans="1:2" x14ac:dyDescent="0.3">
      <c r="A8266" s="19"/>
      <c r="B8266" s="36"/>
    </row>
    <row r="8267" spans="1:2" x14ac:dyDescent="0.3">
      <c r="A8267" s="19"/>
      <c r="B8267" s="36"/>
    </row>
    <row r="8268" spans="1:2" x14ac:dyDescent="0.3">
      <c r="A8268" s="19"/>
      <c r="B8268" s="36"/>
    </row>
    <row r="8269" spans="1:2" x14ac:dyDescent="0.3">
      <c r="A8269" s="19"/>
      <c r="B8269" s="36"/>
    </row>
    <row r="8270" spans="1:2" x14ac:dyDescent="0.3">
      <c r="A8270" s="19"/>
      <c r="B8270" s="36"/>
    </row>
    <row r="8271" spans="1:2" x14ac:dyDescent="0.3">
      <c r="A8271" s="19"/>
      <c r="B8271" s="36"/>
    </row>
    <row r="8272" spans="1:2" x14ac:dyDescent="0.3">
      <c r="A8272" s="19"/>
      <c r="B8272" s="36"/>
    </row>
    <row r="8273" spans="1:2" x14ac:dyDescent="0.3">
      <c r="A8273" s="19"/>
      <c r="B8273" s="36"/>
    </row>
    <row r="8274" spans="1:2" x14ac:dyDescent="0.3">
      <c r="A8274" s="19"/>
      <c r="B8274" s="36"/>
    </row>
    <row r="8275" spans="1:2" x14ac:dyDescent="0.3">
      <c r="A8275" s="19"/>
      <c r="B8275" s="36"/>
    </row>
    <row r="8276" spans="1:2" x14ac:dyDescent="0.3">
      <c r="A8276" s="19"/>
      <c r="B8276" s="36"/>
    </row>
    <row r="8277" spans="1:2" x14ac:dyDescent="0.3">
      <c r="A8277" s="19"/>
      <c r="B8277" s="36"/>
    </row>
    <row r="8278" spans="1:2" x14ac:dyDescent="0.3">
      <c r="A8278" s="19"/>
      <c r="B8278" s="36"/>
    </row>
    <row r="8279" spans="1:2" x14ac:dyDescent="0.3">
      <c r="A8279" s="19"/>
      <c r="B8279" s="36"/>
    </row>
    <row r="8280" spans="1:2" x14ac:dyDescent="0.3">
      <c r="A8280" s="19"/>
      <c r="B8280" s="36"/>
    </row>
    <row r="8281" spans="1:2" x14ac:dyDescent="0.3">
      <c r="A8281" s="19"/>
      <c r="B8281" s="36"/>
    </row>
    <row r="8282" spans="1:2" x14ac:dyDescent="0.3">
      <c r="A8282" s="19"/>
      <c r="B8282" s="36"/>
    </row>
    <row r="8283" spans="1:2" x14ac:dyDescent="0.3">
      <c r="A8283" s="19"/>
      <c r="B8283" s="36"/>
    </row>
    <row r="8284" spans="1:2" x14ac:dyDescent="0.3">
      <c r="A8284" s="19"/>
      <c r="B8284" s="36"/>
    </row>
    <row r="8285" spans="1:2" x14ac:dyDescent="0.3">
      <c r="A8285" s="19"/>
      <c r="B8285" s="36"/>
    </row>
    <row r="8286" spans="1:2" x14ac:dyDescent="0.3">
      <c r="A8286" s="19"/>
      <c r="B8286" s="36"/>
    </row>
    <row r="8287" spans="1:2" x14ac:dyDescent="0.3">
      <c r="A8287" s="19"/>
      <c r="B8287" s="36"/>
    </row>
    <row r="8288" spans="1:2" x14ac:dyDescent="0.3">
      <c r="A8288" s="19"/>
      <c r="B8288" s="36"/>
    </row>
    <row r="8289" spans="1:2" x14ac:dyDescent="0.3">
      <c r="A8289" s="19"/>
      <c r="B8289" s="36"/>
    </row>
    <row r="8290" spans="1:2" x14ac:dyDescent="0.3">
      <c r="A8290" s="19"/>
      <c r="B8290" s="36"/>
    </row>
    <row r="8291" spans="1:2" x14ac:dyDescent="0.3">
      <c r="A8291" s="19"/>
      <c r="B8291" s="36"/>
    </row>
    <row r="8292" spans="1:2" x14ac:dyDescent="0.3">
      <c r="A8292" s="19"/>
      <c r="B8292" s="36"/>
    </row>
    <row r="8293" spans="1:2" x14ac:dyDescent="0.3">
      <c r="A8293" s="19"/>
      <c r="B8293" s="36"/>
    </row>
    <row r="8294" spans="1:2" x14ac:dyDescent="0.3">
      <c r="A8294" s="19"/>
      <c r="B8294" s="36"/>
    </row>
    <row r="8295" spans="1:2" x14ac:dyDescent="0.3">
      <c r="A8295" s="19"/>
      <c r="B8295" s="36"/>
    </row>
    <row r="8296" spans="1:2" x14ac:dyDescent="0.3">
      <c r="A8296" s="19"/>
      <c r="B8296" s="36"/>
    </row>
    <row r="8297" spans="1:2" x14ac:dyDescent="0.3">
      <c r="A8297" s="19"/>
      <c r="B8297" s="36"/>
    </row>
    <row r="8298" spans="1:2" x14ac:dyDescent="0.3">
      <c r="A8298" s="19"/>
      <c r="B8298" s="36"/>
    </row>
    <row r="8299" spans="1:2" x14ac:dyDescent="0.3">
      <c r="A8299" s="19"/>
      <c r="B8299" s="36"/>
    </row>
    <row r="8300" spans="1:2" x14ac:dyDescent="0.3">
      <c r="A8300" s="19"/>
      <c r="B8300" s="36"/>
    </row>
    <row r="8301" spans="1:2" x14ac:dyDescent="0.3">
      <c r="A8301" s="19"/>
      <c r="B8301" s="36"/>
    </row>
    <row r="8302" spans="1:2" x14ac:dyDescent="0.3">
      <c r="A8302" s="19"/>
      <c r="B8302" s="36"/>
    </row>
    <row r="8303" spans="1:2" x14ac:dyDescent="0.3">
      <c r="A8303" s="19"/>
      <c r="B8303" s="36"/>
    </row>
    <row r="8304" spans="1:2" x14ac:dyDescent="0.3">
      <c r="A8304" s="19"/>
      <c r="B8304" s="36"/>
    </row>
    <row r="8305" spans="1:2" x14ac:dyDescent="0.3">
      <c r="A8305" s="19"/>
      <c r="B8305" s="36"/>
    </row>
    <row r="8306" spans="1:2" x14ac:dyDescent="0.3">
      <c r="A8306" s="19"/>
      <c r="B8306" s="36"/>
    </row>
    <row r="8307" spans="1:2" x14ac:dyDescent="0.3">
      <c r="A8307" s="19"/>
      <c r="B8307" s="36"/>
    </row>
    <row r="8308" spans="1:2" x14ac:dyDescent="0.3">
      <c r="A8308" s="19"/>
      <c r="B8308" s="36"/>
    </row>
    <row r="8309" spans="1:2" x14ac:dyDescent="0.3">
      <c r="A8309" s="19"/>
      <c r="B8309" s="36"/>
    </row>
    <row r="8310" spans="1:2" x14ac:dyDescent="0.3">
      <c r="A8310" s="19"/>
      <c r="B8310" s="36"/>
    </row>
    <row r="8311" spans="1:2" x14ac:dyDescent="0.3">
      <c r="A8311" s="19"/>
      <c r="B8311" s="36"/>
    </row>
    <row r="8312" spans="1:2" x14ac:dyDescent="0.3">
      <c r="A8312" s="19"/>
      <c r="B8312" s="36"/>
    </row>
    <row r="8313" spans="1:2" x14ac:dyDescent="0.3">
      <c r="A8313" s="19"/>
      <c r="B8313" s="36"/>
    </row>
    <row r="8314" spans="1:2" x14ac:dyDescent="0.3">
      <c r="A8314" s="19"/>
      <c r="B8314" s="36"/>
    </row>
    <row r="8315" spans="1:2" x14ac:dyDescent="0.3">
      <c r="A8315" s="19"/>
      <c r="B8315" s="36"/>
    </row>
    <row r="8316" spans="1:2" x14ac:dyDescent="0.3">
      <c r="A8316" s="19"/>
      <c r="B8316" s="36"/>
    </row>
    <row r="8317" spans="1:2" x14ac:dyDescent="0.3">
      <c r="A8317" s="19"/>
      <c r="B8317" s="36"/>
    </row>
    <row r="8318" spans="1:2" x14ac:dyDescent="0.3">
      <c r="A8318" s="19"/>
      <c r="B8318" s="36"/>
    </row>
    <row r="8319" spans="1:2" x14ac:dyDescent="0.3">
      <c r="A8319" s="19"/>
      <c r="B8319" s="36"/>
    </row>
    <row r="8320" spans="1:2" x14ac:dyDescent="0.3">
      <c r="A8320" s="19"/>
      <c r="B8320" s="36"/>
    </row>
    <row r="8321" spans="1:2" x14ac:dyDescent="0.3">
      <c r="A8321" s="19"/>
      <c r="B8321" s="36"/>
    </row>
    <row r="8322" spans="1:2" x14ac:dyDescent="0.3">
      <c r="A8322" s="19"/>
      <c r="B8322" s="36"/>
    </row>
    <row r="8323" spans="1:2" x14ac:dyDescent="0.3">
      <c r="A8323" s="19"/>
      <c r="B8323" s="36"/>
    </row>
    <row r="8324" spans="1:2" x14ac:dyDescent="0.3">
      <c r="A8324" s="19"/>
      <c r="B8324" s="36"/>
    </row>
    <row r="8325" spans="1:2" x14ac:dyDescent="0.3">
      <c r="A8325" s="19"/>
      <c r="B8325" s="36"/>
    </row>
    <row r="8326" spans="1:2" x14ac:dyDescent="0.3">
      <c r="A8326" s="19"/>
      <c r="B8326" s="36"/>
    </row>
    <row r="8327" spans="1:2" x14ac:dyDescent="0.3">
      <c r="A8327" s="19"/>
      <c r="B8327" s="36"/>
    </row>
    <row r="8328" spans="1:2" x14ac:dyDescent="0.3">
      <c r="A8328" s="19"/>
      <c r="B8328" s="36"/>
    </row>
    <row r="8329" spans="1:2" x14ac:dyDescent="0.3">
      <c r="A8329" s="19"/>
      <c r="B8329" s="36"/>
    </row>
    <row r="8330" spans="1:2" x14ac:dyDescent="0.3">
      <c r="A8330" s="19"/>
      <c r="B8330" s="36"/>
    </row>
    <row r="8331" spans="1:2" x14ac:dyDescent="0.3">
      <c r="A8331" s="19"/>
      <c r="B8331" s="36"/>
    </row>
    <row r="8332" spans="1:2" x14ac:dyDescent="0.3">
      <c r="A8332" s="19"/>
      <c r="B8332" s="36"/>
    </row>
    <row r="8333" spans="1:2" x14ac:dyDescent="0.3">
      <c r="A8333" s="19"/>
      <c r="B8333" s="36"/>
    </row>
    <row r="8334" spans="1:2" x14ac:dyDescent="0.3">
      <c r="A8334" s="19"/>
      <c r="B8334" s="36"/>
    </row>
    <row r="8335" spans="1:2" x14ac:dyDescent="0.3">
      <c r="A8335" s="19"/>
      <c r="B8335" s="36"/>
    </row>
    <row r="8336" spans="1:2" x14ac:dyDescent="0.3">
      <c r="A8336" s="19"/>
      <c r="B8336" s="36"/>
    </row>
    <row r="8337" spans="1:2" x14ac:dyDescent="0.3">
      <c r="A8337" s="19"/>
      <c r="B8337" s="36"/>
    </row>
    <row r="8338" spans="1:2" x14ac:dyDescent="0.3">
      <c r="A8338" s="19"/>
      <c r="B8338" s="36"/>
    </row>
    <row r="8339" spans="1:2" x14ac:dyDescent="0.3">
      <c r="A8339" s="19"/>
      <c r="B8339" s="36"/>
    </row>
    <row r="8340" spans="1:2" x14ac:dyDescent="0.3">
      <c r="A8340" s="19"/>
      <c r="B8340" s="36"/>
    </row>
    <row r="8341" spans="1:2" x14ac:dyDescent="0.3">
      <c r="A8341" s="19"/>
      <c r="B8341" s="36"/>
    </row>
    <row r="8342" spans="1:2" x14ac:dyDescent="0.3">
      <c r="A8342" s="19"/>
      <c r="B8342" s="36"/>
    </row>
    <row r="8343" spans="1:2" x14ac:dyDescent="0.3">
      <c r="A8343" s="19"/>
      <c r="B8343" s="36"/>
    </row>
    <row r="8344" spans="1:2" x14ac:dyDescent="0.3">
      <c r="A8344" s="19"/>
      <c r="B8344" s="36"/>
    </row>
    <row r="8345" spans="1:2" x14ac:dyDescent="0.3">
      <c r="A8345" s="19"/>
      <c r="B8345" s="36"/>
    </row>
    <row r="8346" spans="1:2" x14ac:dyDescent="0.3">
      <c r="A8346" s="19"/>
      <c r="B8346" s="36"/>
    </row>
    <row r="8347" spans="1:2" x14ac:dyDescent="0.3">
      <c r="A8347" s="19"/>
      <c r="B8347" s="36"/>
    </row>
    <row r="8348" spans="1:2" x14ac:dyDescent="0.3">
      <c r="A8348" s="19"/>
      <c r="B8348" s="36"/>
    </row>
    <row r="8349" spans="1:2" x14ac:dyDescent="0.3">
      <c r="A8349" s="19"/>
      <c r="B8349" s="36"/>
    </row>
    <row r="8350" spans="1:2" x14ac:dyDescent="0.3">
      <c r="A8350" s="19"/>
      <c r="B8350" s="36"/>
    </row>
    <row r="8351" spans="1:2" x14ac:dyDescent="0.3">
      <c r="A8351" s="19"/>
      <c r="B8351" s="36"/>
    </row>
    <row r="8352" spans="1:2" x14ac:dyDescent="0.3">
      <c r="A8352" s="19"/>
      <c r="B8352" s="36"/>
    </row>
    <row r="8353" spans="1:2" x14ac:dyDescent="0.3">
      <c r="A8353" s="19"/>
      <c r="B8353" s="36"/>
    </row>
    <row r="8354" spans="1:2" x14ac:dyDescent="0.3">
      <c r="A8354" s="19"/>
      <c r="B8354" s="36"/>
    </row>
    <row r="8355" spans="1:2" x14ac:dyDescent="0.3">
      <c r="A8355" s="19"/>
      <c r="B8355" s="36"/>
    </row>
    <row r="8356" spans="1:2" x14ac:dyDescent="0.3">
      <c r="A8356" s="19"/>
      <c r="B8356" s="36"/>
    </row>
    <row r="8357" spans="1:2" x14ac:dyDescent="0.3">
      <c r="A8357" s="19"/>
      <c r="B8357" s="36"/>
    </row>
    <row r="8358" spans="1:2" x14ac:dyDescent="0.3">
      <c r="A8358" s="19"/>
      <c r="B8358" s="36"/>
    </row>
    <row r="8359" spans="1:2" x14ac:dyDescent="0.3">
      <c r="A8359" s="19"/>
      <c r="B8359" s="36"/>
    </row>
    <row r="8360" spans="1:2" x14ac:dyDescent="0.3">
      <c r="A8360" s="19"/>
      <c r="B8360" s="36"/>
    </row>
    <row r="8361" spans="1:2" x14ac:dyDescent="0.3">
      <c r="A8361" s="19"/>
      <c r="B8361" s="36"/>
    </row>
    <row r="8362" spans="1:2" x14ac:dyDescent="0.3">
      <c r="A8362" s="19"/>
      <c r="B8362" s="36"/>
    </row>
    <row r="8363" spans="1:2" x14ac:dyDescent="0.3">
      <c r="A8363" s="19"/>
      <c r="B8363" s="36"/>
    </row>
    <row r="8364" spans="1:2" x14ac:dyDescent="0.3">
      <c r="A8364" s="19"/>
      <c r="B8364" s="36"/>
    </row>
    <row r="8365" spans="1:2" x14ac:dyDescent="0.3">
      <c r="A8365" s="19"/>
      <c r="B8365" s="36"/>
    </row>
    <row r="8366" spans="1:2" x14ac:dyDescent="0.3">
      <c r="A8366" s="19"/>
      <c r="B8366" s="36"/>
    </row>
    <row r="8367" spans="1:2" x14ac:dyDescent="0.3">
      <c r="A8367" s="19"/>
      <c r="B8367" s="36"/>
    </row>
    <row r="8368" spans="1:2" x14ac:dyDescent="0.3">
      <c r="A8368" s="19"/>
      <c r="B8368" s="36"/>
    </row>
    <row r="8369" spans="1:2" x14ac:dyDescent="0.3">
      <c r="A8369" s="19"/>
      <c r="B8369" s="36"/>
    </row>
    <row r="8370" spans="1:2" x14ac:dyDescent="0.3">
      <c r="A8370" s="19"/>
      <c r="B8370" s="36"/>
    </row>
    <row r="8371" spans="1:2" x14ac:dyDescent="0.3">
      <c r="A8371" s="19"/>
      <c r="B8371" s="36"/>
    </row>
    <row r="8372" spans="1:2" x14ac:dyDescent="0.3">
      <c r="A8372" s="19"/>
      <c r="B8372" s="36"/>
    </row>
    <row r="8373" spans="1:2" x14ac:dyDescent="0.3">
      <c r="A8373" s="19"/>
      <c r="B8373" s="36"/>
    </row>
    <row r="8374" spans="1:2" x14ac:dyDescent="0.3">
      <c r="A8374" s="19"/>
      <c r="B8374" s="36"/>
    </row>
    <row r="8375" spans="1:2" x14ac:dyDescent="0.3">
      <c r="A8375" s="19"/>
      <c r="B8375" s="36"/>
    </row>
    <row r="8376" spans="1:2" x14ac:dyDescent="0.3">
      <c r="A8376" s="19"/>
      <c r="B8376" s="36"/>
    </row>
    <row r="8377" spans="1:2" x14ac:dyDescent="0.3">
      <c r="A8377" s="19"/>
      <c r="B8377" s="36"/>
    </row>
    <row r="8378" spans="1:2" x14ac:dyDescent="0.3">
      <c r="A8378" s="19"/>
      <c r="B8378" s="36"/>
    </row>
    <row r="8379" spans="1:2" x14ac:dyDescent="0.3">
      <c r="A8379" s="19"/>
      <c r="B8379" s="36"/>
    </row>
    <row r="8380" spans="1:2" x14ac:dyDescent="0.3">
      <c r="A8380" s="19"/>
      <c r="B8380" s="36"/>
    </row>
    <row r="8381" spans="1:2" x14ac:dyDescent="0.3">
      <c r="A8381" s="19"/>
      <c r="B8381" s="36"/>
    </row>
    <row r="8382" spans="1:2" x14ac:dyDescent="0.3">
      <c r="A8382" s="19"/>
      <c r="B8382" s="36"/>
    </row>
    <row r="8383" spans="1:2" x14ac:dyDescent="0.3">
      <c r="A8383" s="19"/>
      <c r="B8383" s="36"/>
    </row>
    <row r="8384" spans="1:2" x14ac:dyDescent="0.3">
      <c r="A8384" s="19"/>
      <c r="B8384" s="36"/>
    </row>
    <row r="8385" spans="1:2" x14ac:dyDescent="0.3">
      <c r="A8385" s="19"/>
      <c r="B8385" s="36"/>
    </row>
    <row r="8386" spans="1:2" x14ac:dyDescent="0.3">
      <c r="A8386" s="19"/>
      <c r="B8386" s="36"/>
    </row>
    <row r="8387" spans="1:2" x14ac:dyDescent="0.3">
      <c r="A8387" s="19"/>
      <c r="B8387" s="36"/>
    </row>
    <row r="8388" spans="1:2" x14ac:dyDescent="0.3">
      <c r="A8388" s="19"/>
      <c r="B8388" s="36"/>
    </row>
    <row r="8389" spans="1:2" x14ac:dyDescent="0.3">
      <c r="A8389" s="19"/>
      <c r="B8389" s="36"/>
    </row>
    <row r="8390" spans="1:2" x14ac:dyDescent="0.3">
      <c r="A8390" s="19"/>
      <c r="B8390" s="36"/>
    </row>
    <row r="8391" spans="1:2" x14ac:dyDescent="0.3">
      <c r="A8391" s="19"/>
      <c r="B8391" s="36"/>
    </row>
    <row r="8392" spans="1:2" x14ac:dyDescent="0.3">
      <c r="A8392" s="19"/>
      <c r="B8392" s="36"/>
    </row>
    <row r="8393" spans="1:2" x14ac:dyDescent="0.3">
      <c r="A8393" s="19"/>
      <c r="B8393" s="36"/>
    </row>
    <row r="8394" spans="1:2" x14ac:dyDescent="0.3">
      <c r="A8394" s="19"/>
      <c r="B8394" s="36"/>
    </row>
    <row r="8395" spans="1:2" x14ac:dyDescent="0.3">
      <c r="A8395" s="19"/>
      <c r="B8395" s="36"/>
    </row>
    <row r="8396" spans="1:2" x14ac:dyDescent="0.3">
      <c r="A8396" s="19"/>
      <c r="B8396" s="36"/>
    </row>
    <row r="8397" spans="1:2" x14ac:dyDescent="0.3">
      <c r="A8397" s="19"/>
      <c r="B8397" s="36"/>
    </row>
    <row r="8398" spans="1:2" x14ac:dyDescent="0.3">
      <c r="A8398" s="19"/>
      <c r="B8398" s="36"/>
    </row>
    <row r="8399" spans="1:2" x14ac:dyDescent="0.3">
      <c r="A8399" s="19"/>
      <c r="B8399" s="36"/>
    </row>
    <row r="8400" spans="1:2" x14ac:dyDescent="0.3">
      <c r="A8400" s="19"/>
      <c r="B8400" s="36"/>
    </row>
    <row r="8401" spans="1:2" x14ac:dyDescent="0.3">
      <c r="A8401" s="19"/>
      <c r="B8401" s="36"/>
    </row>
    <row r="8402" spans="1:2" x14ac:dyDescent="0.3">
      <c r="A8402" s="19"/>
      <c r="B8402" s="36"/>
    </row>
    <row r="8403" spans="1:2" x14ac:dyDescent="0.3">
      <c r="A8403" s="19"/>
      <c r="B8403" s="36"/>
    </row>
    <row r="8404" spans="1:2" x14ac:dyDescent="0.3">
      <c r="A8404" s="19"/>
      <c r="B8404" s="36"/>
    </row>
    <row r="8405" spans="1:2" x14ac:dyDescent="0.3">
      <c r="A8405" s="19"/>
      <c r="B8405" s="36"/>
    </row>
    <row r="8406" spans="1:2" x14ac:dyDescent="0.3">
      <c r="A8406" s="19"/>
      <c r="B8406" s="36"/>
    </row>
    <row r="8407" spans="1:2" x14ac:dyDescent="0.3">
      <c r="A8407" s="19"/>
      <c r="B8407" s="36"/>
    </row>
    <row r="8408" spans="1:2" x14ac:dyDescent="0.3">
      <c r="A8408" s="19"/>
      <c r="B8408" s="36"/>
    </row>
    <row r="8409" spans="1:2" x14ac:dyDescent="0.3">
      <c r="A8409" s="19"/>
      <c r="B8409" s="36"/>
    </row>
    <row r="8410" spans="1:2" x14ac:dyDescent="0.3">
      <c r="A8410" s="19"/>
      <c r="B8410" s="36"/>
    </row>
    <row r="8411" spans="1:2" x14ac:dyDescent="0.3">
      <c r="A8411" s="19"/>
      <c r="B8411" s="36"/>
    </row>
    <row r="8412" spans="1:2" x14ac:dyDescent="0.3">
      <c r="A8412" s="19"/>
      <c r="B8412" s="36"/>
    </row>
    <row r="8413" spans="1:2" x14ac:dyDescent="0.3">
      <c r="A8413" s="19"/>
      <c r="B8413" s="36"/>
    </row>
    <row r="8414" spans="1:2" x14ac:dyDescent="0.3">
      <c r="A8414" s="19"/>
      <c r="B8414" s="36"/>
    </row>
    <row r="8415" spans="1:2" x14ac:dyDescent="0.3">
      <c r="A8415" s="19"/>
      <c r="B8415" s="36"/>
    </row>
    <row r="8416" spans="1:2" x14ac:dyDescent="0.3">
      <c r="A8416" s="19"/>
      <c r="B8416" s="36"/>
    </row>
    <row r="8417" spans="1:2" x14ac:dyDescent="0.3">
      <c r="A8417" s="19"/>
      <c r="B8417" s="36"/>
    </row>
    <row r="8418" spans="1:2" x14ac:dyDescent="0.3">
      <c r="A8418" s="19"/>
      <c r="B8418" s="36"/>
    </row>
    <row r="8419" spans="1:2" x14ac:dyDescent="0.3">
      <c r="A8419" s="19"/>
      <c r="B8419" s="36"/>
    </row>
    <row r="8420" spans="1:2" x14ac:dyDescent="0.3">
      <c r="A8420" s="19"/>
      <c r="B8420" s="36"/>
    </row>
    <row r="8421" spans="1:2" x14ac:dyDescent="0.3">
      <c r="A8421" s="19"/>
      <c r="B8421" s="36"/>
    </row>
    <row r="8422" spans="1:2" x14ac:dyDescent="0.3">
      <c r="A8422" s="19"/>
      <c r="B8422" s="36"/>
    </row>
    <row r="8423" spans="1:2" x14ac:dyDescent="0.3">
      <c r="A8423" s="19"/>
      <c r="B8423" s="36"/>
    </row>
    <row r="8424" spans="1:2" x14ac:dyDescent="0.3">
      <c r="A8424" s="19"/>
      <c r="B8424" s="36"/>
    </row>
    <row r="8425" spans="1:2" x14ac:dyDescent="0.3">
      <c r="A8425" s="19"/>
      <c r="B8425" s="36"/>
    </row>
    <row r="8426" spans="1:2" x14ac:dyDescent="0.3">
      <c r="A8426" s="19"/>
      <c r="B8426" s="36"/>
    </row>
    <row r="8427" spans="1:2" x14ac:dyDescent="0.3">
      <c r="A8427" s="19"/>
      <c r="B8427" s="36"/>
    </row>
    <row r="8428" spans="1:2" x14ac:dyDescent="0.3">
      <c r="A8428" s="19"/>
      <c r="B8428" s="36"/>
    </row>
    <row r="8429" spans="1:2" x14ac:dyDescent="0.3">
      <c r="A8429" s="19"/>
      <c r="B8429" s="36"/>
    </row>
    <row r="8430" spans="1:2" x14ac:dyDescent="0.3">
      <c r="A8430" s="19"/>
      <c r="B8430" s="36"/>
    </row>
    <row r="8431" spans="1:2" x14ac:dyDescent="0.3">
      <c r="A8431" s="19"/>
      <c r="B8431" s="36"/>
    </row>
    <row r="8432" spans="1:2" x14ac:dyDescent="0.3">
      <c r="A8432" s="19"/>
      <c r="B8432" s="36"/>
    </row>
    <row r="8433" spans="1:2" x14ac:dyDescent="0.3">
      <c r="A8433" s="19"/>
      <c r="B8433" s="36"/>
    </row>
    <row r="8434" spans="1:2" x14ac:dyDescent="0.3">
      <c r="A8434" s="19"/>
      <c r="B8434" s="36"/>
    </row>
    <row r="8435" spans="1:2" x14ac:dyDescent="0.3">
      <c r="A8435" s="19"/>
      <c r="B8435" s="36"/>
    </row>
    <row r="8436" spans="1:2" x14ac:dyDescent="0.3">
      <c r="A8436" s="19"/>
      <c r="B8436" s="36"/>
    </row>
    <row r="8437" spans="1:2" x14ac:dyDescent="0.3">
      <c r="A8437" s="19"/>
      <c r="B8437" s="36"/>
    </row>
    <row r="8438" spans="1:2" x14ac:dyDescent="0.3">
      <c r="A8438" s="19"/>
      <c r="B8438" s="36"/>
    </row>
    <row r="8439" spans="1:2" x14ac:dyDescent="0.3">
      <c r="A8439" s="19"/>
      <c r="B8439" s="36"/>
    </row>
    <row r="8440" spans="1:2" x14ac:dyDescent="0.3">
      <c r="A8440" s="19"/>
      <c r="B8440" s="36"/>
    </row>
    <row r="8441" spans="1:2" x14ac:dyDescent="0.3">
      <c r="A8441" s="19"/>
      <c r="B8441" s="36"/>
    </row>
    <row r="8442" spans="1:2" x14ac:dyDescent="0.3">
      <c r="A8442" s="19"/>
      <c r="B8442" s="36"/>
    </row>
    <row r="8443" spans="1:2" x14ac:dyDescent="0.3">
      <c r="A8443" s="19"/>
      <c r="B8443" s="36"/>
    </row>
    <row r="8444" spans="1:2" x14ac:dyDescent="0.3">
      <c r="A8444" s="19"/>
      <c r="B8444" s="36"/>
    </row>
    <row r="8445" spans="1:2" x14ac:dyDescent="0.3">
      <c r="A8445" s="19"/>
      <c r="B8445" s="36"/>
    </row>
    <row r="8446" spans="1:2" x14ac:dyDescent="0.3">
      <c r="A8446" s="19"/>
      <c r="B8446" s="36"/>
    </row>
    <row r="8447" spans="1:2" x14ac:dyDescent="0.3">
      <c r="A8447" s="19"/>
      <c r="B8447" s="36"/>
    </row>
    <row r="8448" spans="1:2" x14ac:dyDescent="0.3">
      <c r="A8448" s="19"/>
      <c r="B8448" s="36"/>
    </row>
    <row r="8449" spans="1:2" x14ac:dyDescent="0.3">
      <c r="A8449" s="19"/>
      <c r="B8449" s="36"/>
    </row>
    <row r="8450" spans="1:2" x14ac:dyDescent="0.3">
      <c r="A8450" s="19"/>
      <c r="B8450" s="36"/>
    </row>
    <row r="8451" spans="1:2" x14ac:dyDescent="0.3">
      <c r="A8451" s="19"/>
      <c r="B8451" s="36"/>
    </row>
    <row r="8452" spans="1:2" x14ac:dyDescent="0.3">
      <c r="A8452" s="19"/>
      <c r="B8452" s="36"/>
    </row>
    <row r="8453" spans="1:2" x14ac:dyDescent="0.3">
      <c r="A8453" s="19"/>
      <c r="B8453" s="36"/>
    </row>
    <row r="8454" spans="1:2" x14ac:dyDescent="0.3">
      <c r="A8454" s="19"/>
      <c r="B8454" s="36"/>
    </row>
    <row r="8455" spans="1:2" x14ac:dyDescent="0.3">
      <c r="A8455" s="19"/>
      <c r="B8455" s="36"/>
    </row>
    <row r="8456" spans="1:2" x14ac:dyDescent="0.3">
      <c r="A8456" s="19"/>
      <c r="B8456" s="36"/>
    </row>
    <row r="8457" spans="1:2" x14ac:dyDescent="0.3">
      <c r="A8457" s="19"/>
      <c r="B8457" s="36"/>
    </row>
    <row r="8458" spans="1:2" x14ac:dyDescent="0.3">
      <c r="A8458" s="19"/>
      <c r="B8458" s="36"/>
    </row>
    <row r="8459" spans="1:2" x14ac:dyDescent="0.3">
      <c r="A8459" s="19"/>
      <c r="B8459" s="36"/>
    </row>
    <row r="8460" spans="1:2" x14ac:dyDescent="0.3">
      <c r="A8460" s="19"/>
      <c r="B8460" s="36"/>
    </row>
    <row r="8461" spans="1:2" x14ac:dyDescent="0.3">
      <c r="A8461" s="19"/>
      <c r="B8461" s="36"/>
    </row>
    <row r="8462" spans="1:2" x14ac:dyDescent="0.3">
      <c r="A8462" s="19"/>
      <c r="B8462" s="36"/>
    </row>
    <row r="8463" spans="1:2" x14ac:dyDescent="0.3">
      <c r="A8463" s="19"/>
      <c r="B8463" s="36"/>
    </row>
    <row r="8464" spans="1:2" x14ac:dyDescent="0.3">
      <c r="A8464" s="19"/>
      <c r="B8464" s="36"/>
    </row>
    <row r="8465" spans="1:2" x14ac:dyDescent="0.3">
      <c r="A8465" s="19"/>
      <c r="B8465" s="36"/>
    </row>
    <row r="8466" spans="1:2" x14ac:dyDescent="0.3">
      <c r="A8466" s="19"/>
      <c r="B8466" s="36"/>
    </row>
    <row r="8467" spans="1:2" x14ac:dyDescent="0.3">
      <c r="A8467" s="19"/>
      <c r="B8467" s="36"/>
    </row>
    <row r="8468" spans="1:2" x14ac:dyDescent="0.3">
      <c r="A8468" s="19"/>
      <c r="B8468" s="36"/>
    </row>
    <row r="8469" spans="1:2" x14ac:dyDescent="0.3">
      <c r="A8469" s="19"/>
      <c r="B8469" s="36"/>
    </row>
    <row r="8470" spans="1:2" x14ac:dyDescent="0.3">
      <c r="A8470" s="19"/>
      <c r="B8470" s="36"/>
    </row>
    <row r="8471" spans="1:2" x14ac:dyDescent="0.3">
      <c r="A8471" s="19"/>
      <c r="B8471" s="36"/>
    </row>
    <row r="8472" spans="1:2" x14ac:dyDescent="0.3">
      <c r="A8472" s="19"/>
      <c r="B8472" s="36"/>
    </row>
    <row r="8473" spans="1:2" x14ac:dyDescent="0.3">
      <c r="A8473" s="19"/>
      <c r="B8473" s="36"/>
    </row>
    <row r="8474" spans="1:2" x14ac:dyDescent="0.3">
      <c r="A8474" s="19"/>
      <c r="B8474" s="36"/>
    </row>
    <row r="8475" spans="1:2" x14ac:dyDescent="0.3">
      <c r="A8475" s="19"/>
      <c r="B8475" s="36"/>
    </row>
    <row r="8476" spans="1:2" x14ac:dyDescent="0.3">
      <c r="A8476" s="19"/>
      <c r="B8476" s="36"/>
    </row>
    <row r="8477" spans="1:2" x14ac:dyDescent="0.3">
      <c r="A8477" s="19"/>
      <c r="B8477" s="36"/>
    </row>
    <row r="8478" spans="1:2" x14ac:dyDescent="0.3">
      <c r="A8478" s="19"/>
      <c r="B8478" s="36"/>
    </row>
    <row r="8479" spans="1:2" x14ac:dyDescent="0.3">
      <c r="A8479" s="19"/>
      <c r="B8479" s="36"/>
    </row>
    <row r="8480" spans="1:2" x14ac:dyDescent="0.3">
      <c r="A8480" s="19"/>
      <c r="B8480" s="36"/>
    </row>
    <row r="8481" spans="1:2" x14ac:dyDescent="0.3">
      <c r="A8481" s="19"/>
      <c r="B8481" s="36"/>
    </row>
    <row r="8482" spans="1:2" x14ac:dyDescent="0.3">
      <c r="A8482" s="19"/>
      <c r="B8482" s="36"/>
    </row>
    <row r="8483" spans="1:2" x14ac:dyDescent="0.3">
      <c r="A8483" s="19"/>
      <c r="B8483" s="36"/>
    </row>
    <row r="8484" spans="1:2" x14ac:dyDescent="0.3">
      <c r="A8484" s="19"/>
      <c r="B8484" s="36"/>
    </row>
    <row r="8485" spans="1:2" x14ac:dyDescent="0.3">
      <c r="A8485" s="19"/>
      <c r="B8485" s="36"/>
    </row>
    <row r="8486" spans="1:2" x14ac:dyDescent="0.3">
      <c r="A8486" s="19"/>
      <c r="B8486" s="36"/>
    </row>
    <row r="8487" spans="1:2" x14ac:dyDescent="0.3">
      <c r="A8487" s="19"/>
      <c r="B8487" s="36"/>
    </row>
    <row r="8488" spans="1:2" x14ac:dyDescent="0.3">
      <c r="A8488" s="19"/>
      <c r="B8488" s="36"/>
    </row>
    <row r="8489" spans="1:2" x14ac:dyDescent="0.3">
      <c r="A8489" s="19"/>
      <c r="B8489" s="36"/>
    </row>
    <row r="8490" spans="1:2" x14ac:dyDescent="0.3">
      <c r="A8490" s="19"/>
      <c r="B8490" s="36"/>
    </row>
    <row r="8491" spans="1:2" x14ac:dyDescent="0.3">
      <c r="A8491" s="19"/>
      <c r="B8491" s="36"/>
    </row>
    <row r="8492" spans="1:2" x14ac:dyDescent="0.3">
      <c r="A8492" s="19"/>
      <c r="B8492" s="36"/>
    </row>
    <row r="8493" spans="1:2" x14ac:dyDescent="0.3">
      <c r="A8493" s="19"/>
      <c r="B8493" s="36"/>
    </row>
    <row r="8494" spans="1:2" x14ac:dyDescent="0.3">
      <c r="A8494" s="19"/>
      <c r="B8494" s="36"/>
    </row>
    <row r="8495" spans="1:2" x14ac:dyDescent="0.3">
      <c r="A8495" s="19"/>
      <c r="B8495" s="36"/>
    </row>
    <row r="8496" spans="1:2" x14ac:dyDescent="0.3">
      <c r="A8496" s="19"/>
      <c r="B8496" s="36"/>
    </row>
    <row r="8497" spans="1:2" x14ac:dyDescent="0.3">
      <c r="A8497" s="19"/>
      <c r="B8497" s="36"/>
    </row>
    <row r="8498" spans="1:2" x14ac:dyDescent="0.3">
      <c r="A8498" s="19"/>
      <c r="B8498" s="36"/>
    </row>
    <row r="8499" spans="1:2" x14ac:dyDescent="0.3">
      <c r="A8499" s="19"/>
      <c r="B8499" s="36"/>
    </row>
    <row r="8500" spans="1:2" x14ac:dyDescent="0.3">
      <c r="A8500" s="19"/>
      <c r="B8500" s="36"/>
    </row>
    <row r="8501" spans="1:2" x14ac:dyDescent="0.3">
      <c r="A8501" s="19"/>
      <c r="B8501" s="36"/>
    </row>
    <row r="8502" spans="1:2" x14ac:dyDescent="0.3">
      <c r="A8502" s="19"/>
      <c r="B8502" s="36"/>
    </row>
    <row r="8503" spans="1:2" x14ac:dyDescent="0.3">
      <c r="A8503" s="19"/>
      <c r="B8503" s="36"/>
    </row>
    <row r="8504" spans="1:2" x14ac:dyDescent="0.3">
      <c r="A8504" s="19"/>
      <c r="B8504" s="36"/>
    </row>
    <row r="8505" spans="1:2" x14ac:dyDescent="0.3">
      <c r="A8505" s="19"/>
      <c r="B8505" s="36"/>
    </row>
    <row r="8506" spans="1:2" x14ac:dyDescent="0.3">
      <c r="A8506" s="19"/>
      <c r="B8506" s="36"/>
    </row>
    <row r="8507" spans="1:2" x14ac:dyDescent="0.3">
      <c r="A8507" s="19"/>
      <c r="B8507" s="36"/>
    </row>
    <row r="8508" spans="1:2" x14ac:dyDescent="0.3">
      <c r="A8508" s="19"/>
      <c r="B8508" s="36"/>
    </row>
    <row r="8509" spans="1:2" x14ac:dyDescent="0.3">
      <c r="A8509" s="19"/>
      <c r="B8509" s="36"/>
    </row>
    <row r="8510" spans="1:2" x14ac:dyDescent="0.3">
      <c r="A8510" s="19"/>
      <c r="B8510" s="36"/>
    </row>
    <row r="8511" spans="1:2" x14ac:dyDescent="0.3">
      <c r="A8511" s="19"/>
      <c r="B8511" s="36"/>
    </row>
    <row r="8512" spans="1:2" x14ac:dyDescent="0.3">
      <c r="A8512" s="19"/>
      <c r="B8512" s="36"/>
    </row>
    <row r="8513" spans="1:2" x14ac:dyDescent="0.3">
      <c r="A8513" s="19"/>
      <c r="B8513" s="36"/>
    </row>
    <row r="8514" spans="1:2" x14ac:dyDescent="0.3">
      <c r="A8514" s="19"/>
      <c r="B8514" s="36"/>
    </row>
    <row r="8515" spans="1:2" x14ac:dyDescent="0.3">
      <c r="A8515" s="19"/>
      <c r="B8515" s="36"/>
    </row>
    <row r="8516" spans="1:2" x14ac:dyDescent="0.3">
      <c r="A8516" s="19"/>
      <c r="B8516" s="36"/>
    </row>
    <row r="8517" spans="1:2" x14ac:dyDescent="0.3">
      <c r="A8517" s="19"/>
      <c r="B8517" s="36"/>
    </row>
    <row r="8518" spans="1:2" x14ac:dyDescent="0.3">
      <c r="A8518" s="19"/>
      <c r="B8518" s="36"/>
    </row>
    <row r="8519" spans="1:2" x14ac:dyDescent="0.3">
      <c r="A8519" s="19"/>
      <c r="B8519" s="36"/>
    </row>
    <row r="8520" spans="1:2" x14ac:dyDescent="0.3">
      <c r="A8520" s="19"/>
      <c r="B8520" s="36"/>
    </row>
    <row r="8521" spans="1:2" x14ac:dyDescent="0.3">
      <c r="A8521" s="19"/>
      <c r="B8521" s="36"/>
    </row>
    <row r="8522" spans="1:2" x14ac:dyDescent="0.3">
      <c r="A8522" s="19"/>
      <c r="B8522" s="36"/>
    </row>
    <row r="8523" spans="1:2" x14ac:dyDescent="0.3">
      <c r="A8523" s="19"/>
      <c r="B8523" s="36"/>
    </row>
    <row r="8524" spans="1:2" x14ac:dyDescent="0.3">
      <c r="A8524" s="19"/>
      <c r="B8524" s="36"/>
    </row>
    <row r="8525" spans="1:2" x14ac:dyDescent="0.3">
      <c r="A8525" s="19"/>
      <c r="B8525" s="36"/>
    </row>
    <row r="8526" spans="1:2" x14ac:dyDescent="0.3">
      <c r="A8526" s="19"/>
      <c r="B8526" s="36"/>
    </row>
    <row r="8527" spans="1:2" x14ac:dyDescent="0.3">
      <c r="A8527" s="19"/>
      <c r="B8527" s="36"/>
    </row>
    <row r="8528" spans="1:2" x14ac:dyDescent="0.3">
      <c r="A8528" s="19"/>
      <c r="B8528" s="36"/>
    </row>
    <row r="8529" spans="1:2" x14ac:dyDescent="0.3">
      <c r="A8529" s="19"/>
      <c r="B8529" s="36"/>
    </row>
    <row r="8530" spans="1:2" x14ac:dyDescent="0.3">
      <c r="A8530" s="19"/>
      <c r="B8530" s="36"/>
    </row>
    <row r="8531" spans="1:2" x14ac:dyDescent="0.3">
      <c r="A8531" s="19"/>
      <c r="B8531" s="36"/>
    </row>
    <row r="8532" spans="1:2" x14ac:dyDescent="0.3">
      <c r="A8532" s="19"/>
      <c r="B8532" s="36"/>
    </row>
    <row r="8533" spans="1:2" x14ac:dyDescent="0.3">
      <c r="A8533" s="19"/>
      <c r="B8533" s="36"/>
    </row>
    <row r="8534" spans="1:2" x14ac:dyDescent="0.3">
      <c r="A8534" s="19"/>
      <c r="B8534" s="36"/>
    </row>
    <row r="8535" spans="1:2" x14ac:dyDescent="0.3">
      <c r="A8535" s="19"/>
      <c r="B8535" s="36"/>
    </row>
    <row r="8536" spans="1:2" x14ac:dyDescent="0.3">
      <c r="A8536" s="19"/>
      <c r="B8536" s="36"/>
    </row>
    <row r="8537" spans="1:2" x14ac:dyDescent="0.3">
      <c r="A8537" s="19"/>
      <c r="B8537" s="36"/>
    </row>
    <row r="8538" spans="1:2" x14ac:dyDescent="0.3">
      <c r="A8538" s="19"/>
      <c r="B8538" s="36"/>
    </row>
    <row r="8539" spans="1:2" x14ac:dyDescent="0.3">
      <c r="A8539" s="19"/>
      <c r="B8539" s="36"/>
    </row>
    <row r="8540" spans="1:2" x14ac:dyDescent="0.3">
      <c r="A8540" s="19"/>
      <c r="B8540" s="36"/>
    </row>
    <row r="8541" spans="1:2" x14ac:dyDescent="0.3">
      <c r="A8541" s="19"/>
      <c r="B8541" s="36"/>
    </row>
    <row r="8542" spans="1:2" x14ac:dyDescent="0.3">
      <c r="A8542" s="19"/>
      <c r="B8542" s="36"/>
    </row>
    <row r="8543" spans="1:2" x14ac:dyDescent="0.3">
      <c r="A8543" s="19"/>
      <c r="B8543" s="36"/>
    </row>
    <row r="8544" spans="1:2" x14ac:dyDescent="0.3">
      <c r="A8544" s="19"/>
      <c r="B8544" s="36"/>
    </row>
    <row r="8545" spans="1:2" x14ac:dyDescent="0.3">
      <c r="A8545" s="19"/>
      <c r="B8545" s="36"/>
    </row>
    <row r="8546" spans="1:2" x14ac:dyDescent="0.3">
      <c r="A8546" s="19"/>
      <c r="B8546" s="36"/>
    </row>
    <row r="8547" spans="1:2" x14ac:dyDescent="0.3">
      <c r="A8547" s="19"/>
      <c r="B8547" s="36"/>
    </row>
    <row r="8548" spans="1:2" x14ac:dyDescent="0.3">
      <c r="A8548" s="19"/>
      <c r="B8548" s="36"/>
    </row>
    <row r="8549" spans="1:2" x14ac:dyDescent="0.3">
      <c r="A8549" s="19"/>
      <c r="B8549" s="36"/>
    </row>
    <row r="8550" spans="1:2" x14ac:dyDescent="0.3">
      <c r="A8550" s="19"/>
      <c r="B8550" s="36"/>
    </row>
    <row r="8551" spans="1:2" x14ac:dyDescent="0.3">
      <c r="A8551" s="19"/>
      <c r="B8551" s="36"/>
    </row>
    <row r="8552" spans="1:2" x14ac:dyDescent="0.3">
      <c r="A8552" s="19"/>
      <c r="B8552" s="36"/>
    </row>
    <row r="8553" spans="1:2" x14ac:dyDescent="0.3">
      <c r="A8553" s="19"/>
      <c r="B8553" s="36"/>
    </row>
    <row r="8554" spans="1:2" x14ac:dyDescent="0.3">
      <c r="A8554" s="19"/>
      <c r="B8554" s="36"/>
    </row>
    <row r="8555" spans="1:2" x14ac:dyDescent="0.3">
      <c r="A8555" s="19"/>
      <c r="B8555" s="36"/>
    </row>
    <row r="8556" spans="1:2" x14ac:dyDescent="0.3">
      <c r="A8556" s="19"/>
      <c r="B8556" s="36"/>
    </row>
    <row r="8557" spans="1:2" x14ac:dyDescent="0.3">
      <c r="A8557" s="19"/>
      <c r="B8557" s="36"/>
    </row>
    <row r="8558" spans="1:2" x14ac:dyDescent="0.3">
      <c r="A8558" s="19"/>
      <c r="B8558" s="36"/>
    </row>
    <row r="8559" spans="1:2" x14ac:dyDescent="0.3">
      <c r="A8559" s="19"/>
      <c r="B8559" s="36"/>
    </row>
    <row r="8560" spans="1:2" x14ac:dyDescent="0.3">
      <c r="A8560" s="19"/>
      <c r="B8560" s="36"/>
    </row>
    <row r="8561" spans="1:2" x14ac:dyDescent="0.3">
      <c r="A8561" s="19"/>
      <c r="B8561" s="36"/>
    </row>
    <row r="8562" spans="1:2" x14ac:dyDescent="0.3">
      <c r="A8562" s="19"/>
      <c r="B8562" s="36"/>
    </row>
    <row r="8563" spans="1:2" x14ac:dyDescent="0.3">
      <c r="A8563" s="19"/>
      <c r="B8563" s="36"/>
    </row>
    <row r="8564" spans="1:2" x14ac:dyDescent="0.3">
      <c r="A8564" s="19"/>
      <c r="B8564" s="36"/>
    </row>
    <row r="8565" spans="1:2" x14ac:dyDescent="0.3">
      <c r="A8565" s="19"/>
      <c r="B8565" s="36"/>
    </row>
    <row r="8566" spans="1:2" x14ac:dyDescent="0.3">
      <c r="A8566" s="19"/>
      <c r="B8566" s="36"/>
    </row>
    <row r="8567" spans="1:2" x14ac:dyDescent="0.3">
      <c r="A8567" s="19"/>
      <c r="B8567" s="36"/>
    </row>
    <row r="8568" spans="1:2" x14ac:dyDescent="0.3">
      <c r="A8568" s="19"/>
      <c r="B8568" s="36"/>
    </row>
    <row r="8569" spans="1:2" x14ac:dyDescent="0.3">
      <c r="A8569" s="19"/>
      <c r="B8569" s="36"/>
    </row>
    <row r="8570" spans="1:2" x14ac:dyDescent="0.3">
      <c r="A8570" s="19"/>
      <c r="B8570" s="36"/>
    </row>
    <row r="8571" spans="1:2" x14ac:dyDescent="0.3">
      <c r="A8571" s="19"/>
      <c r="B8571" s="36"/>
    </row>
    <row r="8572" spans="1:2" x14ac:dyDescent="0.3">
      <c r="A8572" s="19"/>
      <c r="B8572" s="36"/>
    </row>
    <row r="8573" spans="1:2" x14ac:dyDescent="0.3">
      <c r="A8573" s="19"/>
      <c r="B8573" s="36"/>
    </row>
    <row r="8574" spans="1:2" x14ac:dyDescent="0.3">
      <c r="A8574" s="19"/>
      <c r="B8574" s="36"/>
    </row>
    <row r="8575" spans="1:2" x14ac:dyDescent="0.3">
      <c r="A8575" s="19"/>
      <c r="B8575" s="36"/>
    </row>
    <row r="8576" spans="1:2" x14ac:dyDescent="0.3">
      <c r="A8576" s="19"/>
      <c r="B8576" s="36"/>
    </row>
    <row r="8577" spans="1:2" x14ac:dyDescent="0.3">
      <c r="A8577" s="19"/>
      <c r="B8577" s="36"/>
    </row>
    <row r="8578" spans="1:2" x14ac:dyDescent="0.3">
      <c r="A8578" s="19"/>
      <c r="B8578" s="36"/>
    </row>
    <row r="8579" spans="1:2" x14ac:dyDescent="0.3">
      <c r="A8579" s="19"/>
      <c r="B8579" s="36"/>
    </row>
    <row r="8580" spans="1:2" x14ac:dyDescent="0.3">
      <c r="A8580" s="19"/>
      <c r="B8580" s="36"/>
    </row>
    <row r="8581" spans="1:2" x14ac:dyDescent="0.3">
      <c r="A8581" s="19"/>
      <c r="B8581" s="36"/>
    </row>
    <row r="8582" spans="1:2" x14ac:dyDescent="0.3">
      <c r="A8582" s="19"/>
      <c r="B8582" s="36"/>
    </row>
    <row r="8583" spans="1:2" x14ac:dyDescent="0.3">
      <c r="A8583" s="19"/>
      <c r="B8583" s="36"/>
    </row>
    <row r="8584" spans="1:2" x14ac:dyDescent="0.3">
      <c r="A8584" s="19"/>
      <c r="B8584" s="36"/>
    </row>
    <row r="8585" spans="1:2" x14ac:dyDescent="0.3">
      <c r="A8585" s="19"/>
      <c r="B8585" s="36"/>
    </row>
    <row r="8586" spans="1:2" x14ac:dyDescent="0.3">
      <c r="A8586" s="19"/>
      <c r="B8586" s="36"/>
    </row>
    <row r="8587" spans="1:2" x14ac:dyDescent="0.3">
      <c r="A8587" s="19"/>
      <c r="B8587" s="36"/>
    </row>
    <row r="8588" spans="1:2" x14ac:dyDescent="0.3">
      <c r="A8588" s="19"/>
      <c r="B8588" s="36"/>
    </row>
    <row r="8589" spans="1:2" x14ac:dyDescent="0.3">
      <c r="A8589" s="19"/>
      <c r="B8589" s="36"/>
    </row>
    <row r="8590" spans="1:2" x14ac:dyDescent="0.3">
      <c r="A8590" s="19"/>
      <c r="B8590" s="36"/>
    </row>
    <row r="8591" spans="1:2" x14ac:dyDescent="0.3">
      <c r="A8591" s="19"/>
      <c r="B8591" s="36"/>
    </row>
    <row r="8592" spans="1:2" x14ac:dyDescent="0.3">
      <c r="A8592" s="19"/>
      <c r="B8592" s="36"/>
    </row>
    <row r="8593" spans="1:2" x14ac:dyDescent="0.3">
      <c r="A8593" s="19"/>
      <c r="B8593" s="36"/>
    </row>
    <row r="8594" spans="1:2" x14ac:dyDescent="0.3">
      <c r="A8594" s="19"/>
      <c r="B8594" s="36"/>
    </row>
    <row r="8595" spans="1:2" x14ac:dyDescent="0.3">
      <c r="A8595" s="19"/>
      <c r="B8595" s="36"/>
    </row>
    <row r="8596" spans="1:2" x14ac:dyDescent="0.3">
      <c r="A8596" s="19"/>
      <c r="B8596" s="36"/>
    </row>
    <row r="8597" spans="1:2" x14ac:dyDescent="0.3">
      <c r="A8597" s="19"/>
      <c r="B8597" s="36"/>
    </row>
    <row r="8598" spans="1:2" x14ac:dyDescent="0.3">
      <c r="A8598" s="19"/>
      <c r="B8598" s="36"/>
    </row>
    <row r="8599" spans="1:2" x14ac:dyDescent="0.3">
      <c r="A8599" s="19"/>
      <c r="B8599" s="36"/>
    </row>
    <row r="8600" spans="1:2" x14ac:dyDescent="0.3">
      <c r="A8600" s="19"/>
      <c r="B8600" s="36"/>
    </row>
    <row r="8601" spans="1:2" x14ac:dyDescent="0.3">
      <c r="A8601" s="19"/>
      <c r="B8601" s="36"/>
    </row>
    <row r="8602" spans="1:2" x14ac:dyDescent="0.3">
      <c r="A8602" s="19"/>
      <c r="B8602" s="36"/>
    </row>
    <row r="8603" spans="1:2" x14ac:dyDescent="0.3">
      <c r="A8603" s="19"/>
      <c r="B8603" s="36"/>
    </row>
    <row r="8604" spans="1:2" x14ac:dyDescent="0.3">
      <c r="A8604" s="19"/>
      <c r="B8604" s="36"/>
    </row>
    <row r="8605" spans="1:2" x14ac:dyDescent="0.3">
      <c r="A8605" s="19"/>
      <c r="B8605" s="36"/>
    </row>
    <row r="8606" spans="1:2" x14ac:dyDescent="0.3">
      <c r="A8606" s="19"/>
      <c r="B8606" s="36"/>
    </row>
    <row r="8607" spans="1:2" x14ac:dyDescent="0.3">
      <c r="A8607" s="19"/>
      <c r="B8607" s="36"/>
    </row>
    <row r="8608" spans="1:2" x14ac:dyDescent="0.3">
      <c r="A8608" s="19"/>
      <c r="B8608" s="36"/>
    </row>
    <row r="8609" spans="1:2" x14ac:dyDescent="0.3">
      <c r="A8609" s="19"/>
      <c r="B8609" s="36"/>
    </row>
    <row r="8610" spans="1:2" x14ac:dyDescent="0.3">
      <c r="A8610" s="19"/>
      <c r="B8610" s="36"/>
    </row>
    <row r="8611" spans="1:2" x14ac:dyDescent="0.3">
      <c r="A8611" s="19"/>
      <c r="B8611" s="36"/>
    </row>
    <row r="8612" spans="1:2" x14ac:dyDescent="0.3">
      <c r="A8612" s="19"/>
      <c r="B8612" s="36"/>
    </row>
    <row r="8613" spans="1:2" x14ac:dyDescent="0.3">
      <c r="A8613" s="19"/>
      <c r="B8613" s="36"/>
    </row>
    <row r="8614" spans="1:2" x14ac:dyDescent="0.3">
      <c r="A8614" s="19"/>
      <c r="B8614" s="36"/>
    </row>
    <row r="8615" spans="1:2" x14ac:dyDescent="0.3">
      <c r="A8615" s="19"/>
      <c r="B8615" s="36"/>
    </row>
    <row r="8616" spans="1:2" x14ac:dyDescent="0.3">
      <c r="A8616" s="19"/>
      <c r="B8616" s="36"/>
    </row>
    <row r="8617" spans="1:2" x14ac:dyDescent="0.3">
      <c r="A8617" s="19"/>
      <c r="B8617" s="36"/>
    </row>
    <row r="8618" spans="1:2" x14ac:dyDescent="0.3">
      <c r="A8618" s="19"/>
      <c r="B8618" s="36"/>
    </row>
    <row r="8619" spans="1:2" x14ac:dyDescent="0.3">
      <c r="A8619" s="19"/>
      <c r="B8619" s="36"/>
    </row>
    <row r="8620" spans="1:2" x14ac:dyDescent="0.3">
      <c r="A8620" s="19"/>
      <c r="B8620" s="36"/>
    </row>
    <row r="8621" spans="1:2" x14ac:dyDescent="0.3">
      <c r="A8621" s="19"/>
      <c r="B8621" s="36"/>
    </row>
    <row r="8622" spans="1:2" x14ac:dyDescent="0.3">
      <c r="A8622" s="19"/>
      <c r="B8622" s="36"/>
    </row>
    <row r="8623" spans="1:2" x14ac:dyDescent="0.3">
      <c r="A8623" s="19"/>
      <c r="B8623" s="36"/>
    </row>
    <row r="8624" spans="1:2" x14ac:dyDescent="0.3">
      <c r="A8624" s="19"/>
      <c r="B8624" s="36"/>
    </row>
    <row r="8625" spans="1:2" x14ac:dyDescent="0.3">
      <c r="A8625" s="19"/>
      <c r="B8625" s="36"/>
    </row>
    <row r="8626" spans="1:2" x14ac:dyDescent="0.3">
      <c r="A8626" s="19"/>
      <c r="B8626" s="36"/>
    </row>
    <row r="8627" spans="1:2" x14ac:dyDescent="0.3">
      <c r="A8627" s="19"/>
      <c r="B8627" s="36"/>
    </row>
    <row r="8628" spans="1:2" x14ac:dyDescent="0.3">
      <c r="A8628" s="19"/>
      <c r="B8628" s="36"/>
    </row>
    <row r="8629" spans="1:2" x14ac:dyDescent="0.3">
      <c r="A8629" s="19"/>
      <c r="B8629" s="36"/>
    </row>
    <row r="8630" spans="1:2" x14ac:dyDescent="0.3">
      <c r="A8630" s="19"/>
      <c r="B8630" s="36"/>
    </row>
    <row r="8631" spans="1:2" x14ac:dyDescent="0.3">
      <c r="A8631" s="19"/>
      <c r="B8631" s="36"/>
    </row>
    <row r="8632" spans="1:2" x14ac:dyDescent="0.3">
      <c r="A8632" s="19"/>
      <c r="B8632" s="36"/>
    </row>
    <row r="8633" spans="1:2" x14ac:dyDescent="0.3">
      <c r="A8633" s="19"/>
      <c r="B8633" s="36"/>
    </row>
    <row r="8634" spans="1:2" x14ac:dyDescent="0.3">
      <c r="A8634" s="19"/>
      <c r="B8634" s="36"/>
    </row>
    <row r="8635" spans="1:2" x14ac:dyDescent="0.3">
      <c r="A8635" s="19"/>
      <c r="B8635" s="36"/>
    </row>
    <row r="8636" spans="1:2" x14ac:dyDescent="0.3">
      <c r="A8636" s="19"/>
      <c r="B8636" s="36"/>
    </row>
    <row r="8637" spans="1:2" x14ac:dyDescent="0.3">
      <c r="A8637" s="19"/>
      <c r="B8637" s="36"/>
    </row>
    <row r="8638" spans="1:2" x14ac:dyDescent="0.3">
      <c r="A8638" s="19"/>
      <c r="B8638" s="36"/>
    </row>
    <row r="8639" spans="1:2" x14ac:dyDescent="0.3">
      <c r="A8639" s="19"/>
      <c r="B8639" s="36"/>
    </row>
    <row r="8640" spans="1:2" x14ac:dyDescent="0.3">
      <c r="A8640" s="19"/>
      <c r="B8640" s="36"/>
    </row>
    <row r="8641" spans="1:2" x14ac:dyDescent="0.3">
      <c r="A8641" s="19"/>
      <c r="B8641" s="36"/>
    </row>
    <row r="8642" spans="1:2" x14ac:dyDescent="0.3">
      <c r="A8642" s="19"/>
      <c r="B8642" s="36"/>
    </row>
    <row r="8643" spans="1:2" x14ac:dyDescent="0.3">
      <c r="A8643" s="19"/>
      <c r="B8643" s="36"/>
    </row>
    <row r="8644" spans="1:2" x14ac:dyDescent="0.3">
      <c r="A8644" s="19"/>
      <c r="B8644" s="36"/>
    </row>
    <row r="8645" spans="1:2" x14ac:dyDescent="0.3">
      <c r="A8645" s="19"/>
      <c r="B8645" s="36"/>
    </row>
    <row r="8646" spans="1:2" x14ac:dyDescent="0.3">
      <c r="A8646" s="19"/>
      <c r="B8646" s="36"/>
    </row>
    <row r="8647" spans="1:2" x14ac:dyDescent="0.3">
      <c r="A8647" s="19"/>
      <c r="B8647" s="36"/>
    </row>
    <row r="8648" spans="1:2" x14ac:dyDescent="0.3">
      <c r="A8648" s="19"/>
      <c r="B8648" s="36"/>
    </row>
    <row r="8649" spans="1:2" x14ac:dyDescent="0.3">
      <c r="A8649" s="19"/>
      <c r="B8649" s="36"/>
    </row>
    <row r="8650" spans="1:2" x14ac:dyDescent="0.3">
      <c r="A8650" s="19"/>
      <c r="B8650" s="36"/>
    </row>
    <row r="8651" spans="1:2" x14ac:dyDescent="0.3">
      <c r="A8651" s="19"/>
      <c r="B8651" s="36"/>
    </row>
    <row r="8652" spans="1:2" x14ac:dyDescent="0.3">
      <c r="A8652" s="19"/>
      <c r="B8652" s="36"/>
    </row>
    <row r="8653" spans="1:2" x14ac:dyDescent="0.3">
      <c r="A8653" s="19"/>
      <c r="B8653" s="36"/>
    </row>
    <row r="8654" spans="1:2" x14ac:dyDescent="0.3">
      <c r="A8654" s="19"/>
      <c r="B8654" s="36"/>
    </row>
    <row r="8655" spans="1:2" x14ac:dyDescent="0.3">
      <c r="A8655" s="19"/>
      <c r="B8655" s="36"/>
    </row>
    <row r="8656" spans="1:2" x14ac:dyDescent="0.3">
      <c r="A8656" s="19"/>
      <c r="B8656" s="36"/>
    </row>
    <row r="8657" spans="1:2" x14ac:dyDescent="0.3">
      <c r="A8657" s="19"/>
      <c r="B8657" s="36"/>
    </row>
    <row r="8658" spans="1:2" x14ac:dyDescent="0.3">
      <c r="A8658" s="19"/>
      <c r="B8658" s="36"/>
    </row>
    <row r="8659" spans="1:2" x14ac:dyDescent="0.3">
      <c r="A8659" s="19"/>
      <c r="B8659" s="36"/>
    </row>
    <row r="8660" spans="1:2" x14ac:dyDescent="0.3">
      <c r="A8660" s="19"/>
      <c r="B8660" s="36"/>
    </row>
    <row r="8661" spans="1:2" x14ac:dyDescent="0.3">
      <c r="A8661" s="19"/>
      <c r="B8661" s="36"/>
    </row>
    <row r="8662" spans="1:2" x14ac:dyDescent="0.3">
      <c r="A8662" s="19"/>
      <c r="B8662" s="36"/>
    </row>
    <row r="8663" spans="1:2" x14ac:dyDescent="0.3">
      <c r="A8663" s="19"/>
      <c r="B8663" s="36"/>
    </row>
    <row r="8664" spans="1:2" x14ac:dyDescent="0.3">
      <c r="A8664" s="19"/>
      <c r="B8664" s="36"/>
    </row>
    <row r="8665" spans="1:2" x14ac:dyDescent="0.3">
      <c r="A8665" s="19"/>
      <c r="B8665" s="36"/>
    </row>
    <row r="8666" spans="1:2" x14ac:dyDescent="0.3">
      <c r="A8666" s="19"/>
      <c r="B8666" s="36"/>
    </row>
    <row r="8667" spans="1:2" x14ac:dyDescent="0.3">
      <c r="A8667" s="19"/>
      <c r="B8667" s="36"/>
    </row>
    <row r="8668" spans="1:2" x14ac:dyDescent="0.3">
      <c r="A8668" s="19"/>
      <c r="B8668" s="36"/>
    </row>
    <row r="8669" spans="1:2" x14ac:dyDescent="0.3">
      <c r="A8669" s="19"/>
      <c r="B8669" s="36"/>
    </row>
    <row r="8670" spans="1:2" x14ac:dyDescent="0.3">
      <c r="A8670" s="19"/>
      <c r="B8670" s="36"/>
    </row>
    <row r="8671" spans="1:2" x14ac:dyDescent="0.3">
      <c r="A8671" s="19"/>
      <c r="B8671" s="36"/>
    </row>
    <row r="8672" spans="1:2" x14ac:dyDescent="0.3">
      <c r="A8672" s="19"/>
      <c r="B8672" s="36"/>
    </row>
    <row r="8673" spans="1:2" x14ac:dyDescent="0.3">
      <c r="A8673" s="19"/>
      <c r="B8673" s="36"/>
    </row>
    <row r="8674" spans="1:2" x14ac:dyDescent="0.3">
      <c r="A8674" s="19"/>
      <c r="B8674" s="36"/>
    </row>
    <row r="8675" spans="1:2" x14ac:dyDescent="0.3">
      <c r="A8675" s="19"/>
      <c r="B8675" s="36"/>
    </row>
    <row r="8676" spans="1:2" x14ac:dyDescent="0.3">
      <c r="A8676" s="19"/>
      <c r="B8676" s="36"/>
    </row>
    <row r="8677" spans="1:2" x14ac:dyDescent="0.3">
      <c r="A8677" s="19"/>
      <c r="B8677" s="36"/>
    </row>
    <row r="8678" spans="1:2" x14ac:dyDescent="0.3">
      <c r="A8678" s="19"/>
      <c r="B8678" s="36"/>
    </row>
    <row r="8679" spans="1:2" x14ac:dyDescent="0.3">
      <c r="A8679" s="19"/>
      <c r="B8679" s="36"/>
    </row>
    <row r="8680" spans="1:2" x14ac:dyDescent="0.3">
      <c r="A8680" s="19"/>
      <c r="B8680" s="36"/>
    </row>
    <row r="8681" spans="1:2" x14ac:dyDescent="0.3">
      <c r="A8681" s="19"/>
      <c r="B8681" s="36"/>
    </row>
    <row r="8682" spans="1:2" x14ac:dyDescent="0.3">
      <c r="A8682" s="19"/>
      <c r="B8682" s="36"/>
    </row>
    <row r="8683" spans="1:2" x14ac:dyDescent="0.3">
      <c r="A8683" s="19"/>
      <c r="B8683" s="36"/>
    </row>
    <row r="8684" spans="1:2" x14ac:dyDescent="0.3">
      <c r="A8684" s="19"/>
      <c r="B8684" s="36"/>
    </row>
    <row r="8685" spans="1:2" x14ac:dyDescent="0.3">
      <c r="A8685" s="19"/>
      <c r="B8685" s="36"/>
    </row>
    <row r="8686" spans="1:2" x14ac:dyDescent="0.3">
      <c r="A8686" s="19"/>
      <c r="B8686" s="36"/>
    </row>
    <row r="8687" spans="1:2" x14ac:dyDescent="0.3">
      <c r="A8687" s="19"/>
      <c r="B8687" s="36"/>
    </row>
    <row r="8688" spans="1:2" x14ac:dyDescent="0.3">
      <c r="A8688" s="19"/>
      <c r="B8688" s="36"/>
    </row>
    <row r="8689" spans="1:2" x14ac:dyDescent="0.3">
      <c r="A8689" s="19"/>
      <c r="B8689" s="36"/>
    </row>
    <row r="8690" spans="1:2" x14ac:dyDescent="0.3">
      <c r="A8690" s="19"/>
      <c r="B8690" s="36"/>
    </row>
    <row r="8691" spans="1:2" x14ac:dyDescent="0.3">
      <c r="A8691" s="19"/>
      <c r="B8691" s="36"/>
    </row>
    <row r="8692" spans="1:2" x14ac:dyDescent="0.3">
      <c r="A8692" s="19"/>
      <c r="B8692" s="36"/>
    </row>
    <row r="8693" spans="1:2" x14ac:dyDescent="0.3">
      <c r="A8693" s="19"/>
      <c r="B8693" s="36"/>
    </row>
    <row r="8694" spans="1:2" x14ac:dyDescent="0.3">
      <c r="A8694" s="19"/>
      <c r="B8694" s="36"/>
    </row>
    <row r="8695" spans="1:2" x14ac:dyDescent="0.3">
      <c r="A8695" s="19"/>
      <c r="B8695" s="36"/>
    </row>
    <row r="8696" spans="1:2" x14ac:dyDescent="0.3">
      <c r="A8696" s="19"/>
      <c r="B8696" s="36"/>
    </row>
    <row r="8697" spans="1:2" x14ac:dyDescent="0.3">
      <c r="A8697" s="19"/>
      <c r="B8697" s="36"/>
    </row>
    <row r="8698" spans="1:2" x14ac:dyDescent="0.3">
      <c r="A8698" s="19"/>
      <c r="B8698" s="36"/>
    </row>
    <row r="8699" spans="1:2" x14ac:dyDescent="0.3">
      <c r="A8699" s="19"/>
      <c r="B8699" s="36"/>
    </row>
    <row r="8700" spans="1:2" x14ac:dyDescent="0.3">
      <c r="A8700" s="19"/>
      <c r="B8700" s="36"/>
    </row>
    <row r="8701" spans="1:2" x14ac:dyDescent="0.3">
      <c r="A8701" s="19"/>
      <c r="B8701" s="36"/>
    </row>
    <row r="8702" spans="1:2" x14ac:dyDescent="0.3">
      <c r="A8702" s="19"/>
      <c r="B8702" s="36"/>
    </row>
    <row r="8703" spans="1:2" x14ac:dyDescent="0.3">
      <c r="A8703" s="19"/>
      <c r="B8703" s="36"/>
    </row>
    <row r="8704" spans="1:2" x14ac:dyDescent="0.3">
      <c r="A8704" s="19"/>
      <c r="B8704" s="36"/>
    </row>
    <row r="8705" spans="1:2" x14ac:dyDescent="0.3">
      <c r="A8705" s="19"/>
      <c r="B8705" s="36"/>
    </row>
    <row r="8706" spans="1:2" x14ac:dyDescent="0.3">
      <c r="A8706" s="19"/>
      <c r="B8706" s="36"/>
    </row>
    <row r="8707" spans="1:2" x14ac:dyDescent="0.3">
      <c r="A8707" s="19"/>
      <c r="B8707" s="36"/>
    </row>
    <row r="8708" spans="1:2" x14ac:dyDescent="0.3">
      <c r="A8708" s="19"/>
      <c r="B8708" s="36"/>
    </row>
    <row r="8709" spans="1:2" x14ac:dyDescent="0.3">
      <c r="A8709" s="19"/>
      <c r="B8709" s="36"/>
    </row>
    <row r="8710" spans="1:2" x14ac:dyDescent="0.3">
      <c r="A8710" s="19"/>
      <c r="B8710" s="36"/>
    </row>
    <row r="8711" spans="1:2" x14ac:dyDescent="0.3">
      <c r="A8711" s="19"/>
      <c r="B8711" s="36"/>
    </row>
    <row r="8712" spans="1:2" x14ac:dyDescent="0.3">
      <c r="A8712" s="19"/>
      <c r="B8712" s="36"/>
    </row>
    <row r="8713" spans="1:2" x14ac:dyDescent="0.3">
      <c r="A8713" s="19"/>
      <c r="B8713" s="36"/>
    </row>
    <row r="8714" spans="1:2" x14ac:dyDescent="0.3">
      <c r="A8714" s="19"/>
      <c r="B8714" s="36"/>
    </row>
    <row r="8715" spans="1:2" x14ac:dyDescent="0.3">
      <c r="A8715" s="19"/>
      <c r="B8715" s="36"/>
    </row>
    <row r="8716" spans="1:2" x14ac:dyDescent="0.3">
      <c r="A8716" s="19"/>
      <c r="B8716" s="36"/>
    </row>
    <row r="8717" spans="1:2" x14ac:dyDescent="0.3">
      <c r="A8717" s="19"/>
      <c r="B8717" s="36"/>
    </row>
    <row r="8718" spans="1:2" x14ac:dyDescent="0.3">
      <c r="A8718" s="19"/>
      <c r="B8718" s="36"/>
    </row>
    <row r="8719" spans="1:2" x14ac:dyDescent="0.3">
      <c r="A8719" s="19"/>
      <c r="B8719" s="36"/>
    </row>
    <row r="8720" spans="1:2" x14ac:dyDescent="0.3">
      <c r="A8720" s="19"/>
      <c r="B8720" s="36"/>
    </row>
    <row r="8721" spans="1:2" x14ac:dyDescent="0.3">
      <c r="A8721" s="19"/>
      <c r="B8721" s="36"/>
    </row>
    <row r="8722" spans="1:2" x14ac:dyDescent="0.3">
      <c r="A8722" s="19"/>
      <c r="B8722" s="36"/>
    </row>
    <row r="8723" spans="1:2" x14ac:dyDescent="0.3">
      <c r="A8723" s="19"/>
      <c r="B8723" s="36"/>
    </row>
    <row r="8724" spans="1:2" x14ac:dyDescent="0.3">
      <c r="A8724" s="19"/>
      <c r="B8724" s="36"/>
    </row>
    <row r="8725" spans="1:2" x14ac:dyDescent="0.3">
      <c r="A8725" s="19"/>
      <c r="B8725" s="36"/>
    </row>
    <row r="8726" spans="1:2" x14ac:dyDescent="0.3">
      <c r="A8726" s="19"/>
      <c r="B8726" s="36"/>
    </row>
    <row r="8727" spans="1:2" x14ac:dyDescent="0.3">
      <c r="A8727" s="19"/>
      <c r="B8727" s="36"/>
    </row>
    <row r="8728" spans="1:2" x14ac:dyDescent="0.3">
      <c r="A8728" s="19"/>
      <c r="B8728" s="36"/>
    </row>
    <row r="8729" spans="1:2" x14ac:dyDescent="0.3">
      <c r="A8729" s="19"/>
      <c r="B8729" s="36"/>
    </row>
    <row r="8730" spans="1:2" x14ac:dyDescent="0.3">
      <c r="A8730" s="19"/>
      <c r="B8730" s="36"/>
    </row>
    <row r="8731" spans="1:2" x14ac:dyDescent="0.3">
      <c r="A8731" s="19"/>
      <c r="B8731" s="36"/>
    </row>
    <row r="8732" spans="1:2" x14ac:dyDescent="0.3">
      <c r="A8732" s="19"/>
      <c r="B8732" s="36"/>
    </row>
    <row r="8733" spans="1:2" x14ac:dyDescent="0.3">
      <c r="A8733" s="19"/>
      <c r="B8733" s="36"/>
    </row>
    <row r="8734" spans="1:2" x14ac:dyDescent="0.3">
      <c r="A8734" s="19"/>
      <c r="B8734" s="36"/>
    </row>
    <row r="8735" spans="1:2" x14ac:dyDescent="0.3">
      <c r="A8735" s="19"/>
      <c r="B8735" s="36"/>
    </row>
    <row r="8736" spans="1:2" x14ac:dyDescent="0.3">
      <c r="A8736" s="19"/>
      <c r="B8736" s="36"/>
    </row>
    <row r="8737" spans="1:2" x14ac:dyDescent="0.3">
      <c r="A8737" s="19"/>
      <c r="B8737" s="36"/>
    </row>
    <row r="8738" spans="1:2" x14ac:dyDescent="0.3">
      <c r="A8738" s="19"/>
      <c r="B8738" s="36"/>
    </row>
    <row r="8739" spans="1:2" x14ac:dyDescent="0.3">
      <c r="A8739" s="19"/>
      <c r="B8739" s="36"/>
    </row>
    <row r="8740" spans="1:2" x14ac:dyDescent="0.3">
      <c r="A8740" s="19"/>
      <c r="B8740" s="36"/>
    </row>
    <row r="8741" spans="1:2" x14ac:dyDescent="0.3">
      <c r="A8741" s="19"/>
      <c r="B8741" s="36"/>
    </row>
    <row r="8742" spans="1:2" x14ac:dyDescent="0.3">
      <c r="A8742" s="19"/>
      <c r="B8742" s="36"/>
    </row>
    <row r="8743" spans="1:2" x14ac:dyDescent="0.3">
      <c r="A8743" s="19"/>
      <c r="B8743" s="36"/>
    </row>
    <row r="8744" spans="1:2" x14ac:dyDescent="0.3">
      <c r="A8744" s="19"/>
      <c r="B8744" s="36"/>
    </row>
    <row r="8745" spans="1:2" x14ac:dyDescent="0.3">
      <c r="A8745" s="19"/>
      <c r="B8745" s="36"/>
    </row>
    <row r="8746" spans="1:2" x14ac:dyDescent="0.3">
      <c r="A8746" s="19"/>
      <c r="B8746" s="36"/>
    </row>
    <row r="8747" spans="1:2" x14ac:dyDescent="0.3">
      <c r="A8747" s="19"/>
      <c r="B8747" s="36"/>
    </row>
    <row r="8748" spans="1:2" x14ac:dyDescent="0.3">
      <c r="A8748" s="19"/>
      <c r="B8748" s="36"/>
    </row>
    <row r="8749" spans="1:2" x14ac:dyDescent="0.3">
      <c r="A8749" s="19"/>
      <c r="B8749" s="36"/>
    </row>
    <row r="8750" spans="1:2" x14ac:dyDescent="0.3">
      <c r="A8750" s="19"/>
      <c r="B8750" s="36"/>
    </row>
    <row r="8751" spans="1:2" x14ac:dyDescent="0.3">
      <c r="A8751" s="19"/>
      <c r="B8751" s="36"/>
    </row>
    <row r="8752" spans="1:2" x14ac:dyDescent="0.3">
      <c r="A8752" s="19"/>
      <c r="B8752" s="36"/>
    </row>
    <row r="8753" spans="1:2" x14ac:dyDescent="0.3">
      <c r="A8753" s="19"/>
      <c r="B8753" s="36"/>
    </row>
    <row r="8754" spans="1:2" x14ac:dyDescent="0.3">
      <c r="A8754" s="19"/>
      <c r="B8754" s="36"/>
    </row>
    <row r="8755" spans="1:2" x14ac:dyDescent="0.3">
      <c r="A8755" s="19"/>
      <c r="B8755" s="36"/>
    </row>
    <row r="8756" spans="1:2" x14ac:dyDescent="0.3">
      <c r="A8756" s="19"/>
      <c r="B8756" s="36"/>
    </row>
    <row r="8757" spans="1:2" x14ac:dyDescent="0.3">
      <c r="A8757" s="19"/>
      <c r="B8757" s="36"/>
    </row>
    <row r="8758" spans="1:2" x14ac:dyDescent="0.3">
      <c r="A8758" s="19"/>
      <c r="B8758" s="36"/>
    </row>
    <row r="8759" spans="1:2" x14ac:dyDescent="0.3">
      <c r="A8759" s="19"/>
      <c r="B8759" s="36"/>
    </row>
    <row r="8760" spans="1:2" x14ac:dyDescent="0.3">
      <c r="A8760" s="19"/>
      <c r="B8760" s="36"/>
    </row>
    <row r="8761" spans="1:2" x14ac:dyDescent="0.3">
      <c r="A8761" s="19"/>
      <c r="B8761" s="36"/>
    </row>
    <row r="8762" spans="1:2" x14ac:dyDescent="0.3">
      <c r="A8762" s="19"/>
      <c r="B8762" s="36"/>
    </row>
    <row r="8763" spans="1:2" x14ac:dyDescent="0.3">
      <c r="A8763" s="19"/>
      <c r="B8763" s="36"/>
    </row>
    <row r="8764" spans="1:2" x14ac:dyDescent="0.3">
      <c r="A8764" s="19"/>
      <c r="B8764" s="36"/>
    </row>
    <row r="8765" spans="1:2" x14ac:dyDescent="0.3">
      <c r="A8765" s="19"/>
      <c r="B8765" s="36"/>
    </row>
    <row r="8766" spans="1:2" x14ac:dyDescent="0.3">
      <c r="A8766" s="19"/>
      <c r="B8766" s="36"/>
    </row>
    <row r="8767" spans="1:2" x14ac:dyDescent="0.3">
      <c r="A8767" s="19"/>
      <c r="B8767" s="36"/>
    </row>
    <row r="8768" spans="1:2" x14ac:dyDescent="0.3">
      <c r="A8768" s="19"/>
      <c r="B8768" s="36"/>
    </row>
    <row r="8769" spans="1:2" x14ac:dyDescent="0.3">
      <c r="A8769" s="19"/>
      <c r="B8769" s="36"/>
    </row>
    <row r="8770" spans="1:2" x14ac:dyDescent="0.3">
      <c r="A8770" s="19"/>
      <c r="B8770" s="36"/>
    </row>
    <row r="8771" spans="1:2" x14ac:dyDescent="0.3">
      <c r="A8771" s="19"/>
      <c r="B8771" s="36"/>
    </row>
    <row r="8772" spans="1:2" x14ac:dyDescent="0.3">
      <c r="A8772" s="19"/>
      <c r="B8772" s="36"/>
    </row>
    <row r="8773" spans="1:2" x14ac:dyDescent="0.3">
      <c r="A8773" s="19"/>
      <c r="B8773" s="36"/>
    </row>
    <row r="8774" spans="1:2" x14ac:dyDescent="0.3">
      <c r="A8774" s="19"/>
      <c r="B8774" s="36"/>
    </row>
    <row r="8775" spans="1:2" x14ac:dyDescent="0.3">
      <c r="A8775" s="19"/>
      <c r="B8775" s="36"/>
    </row>
    <row r="8776" spans="1:2" x14ac:dyDescent="0.3">
      <c r="A8776" s="19"/>
      <c r="B8776" s="36"/>
    </row>
    <row r="8777" spans="1:2" x14ac:dyDescent="0.3">
      <c r="A8777" s="19"/>
      <c r="B8777" s="36"/>
    </row>
    <row r="8778" spans="1:2" x14ac:dyDescent="0.3">
      <c r="A8778" s="19"/>
      <c r="B8778" s="36"/>
    </row>
    <row r="8779" spans="1:2" x14ac:dyDescent="0.3">
      <c r="A8779" s="19"/>
      <c r="B8779" s="36"/>
    </row>
    <row r="8780" spans="1:2" x14ac:dyDescent="0.3">
      <c r="A8780" s="19"/>
      <c r="B8780" s="36"/>
    </row>
    <row r="8781" spans="1:2" x14ac:dyDescent="0.3">
      <c r="A8781" s="19"/>
      <c r="B8781" s="36"/>
    </row>
    <row r="8782" spans="1:2" x14ac:dyDescent="0.3">
      <c r="A8782" s="19"/>
      <c r="B8782" s="36"/>
    </row>
    <row r="8783" spans="1:2" x14ac:dyDescent="0.3">
      <c r="A8783" s="19"/>
      <c r="B8783" s="36"/>
    </row>
    <row r="8784" spans="1:2" x14ac:dyDescent="0.3">
      <c r="A8784" s="19"/>
      <c r="B8784" s="36"/>
    </row>
    <row r="8785" spans="1:2" x14ac:dyDescent="0.3">
      <c r="A8785" s="19"/>
      <c r="B8785" s="36"/>
    </row>
    <row r="8786" spans="1:2" x14ac:dyDescent="0.3">
      <c r="A8786" s="19"/>
      <c r="B8786" s="36"/>
    </row>
    <row r="8787" spans="1:2" x14ac:dyDescent="0.3">
      <c r="A8787" s="19"/>
      <c r="B8787" s="36"/>
    </row>
    <row r="8788" spans="1:2" x14ac:dyDescent="0.3">
      <c r="A8788" s="19"/>
      <c r="B8788" s="36"/>
    </row>
    <row r="8789" spans="1:2" x14ac:dyDescent="0.3">
      <c r="A8789" s="19"/>
      <c r="B8789" s="36"/>
    </row>
    <row r="8790" spans="1:2" x14ac:dyDescent="0.3">
      <c r="A8790" s="19"/>
      <c r="B8790" s="36"/>
    </row>
    <row r="8791" spans="1:2" x14ac:dyDescent="0.3">
      <c r="A8791" s="19"/>
      <c r="B8791" s="36"/>
    </row>
    <row r="8792" spans="1:2" x14ac:dyDescent="0.3">
      <c r="A8792" s="19"/>
      <c r="B8792" s="36"/>
    </row>
    <row r="8793" spans="1:2" x14ac:dyDescent="0.3">
      <c r="A8793" s="19"/>
      <c r="B8793" s="36"/>
    </row>
    <row r="8794" spans="1:2" x14ac:dyDescent="0.3">
      <c r="A8794" s="19"/>
      <c r="B8794" s="36"/>
    </row>
    <row r="8795" spans="1:2" x14ac:dyDescent="0.3">
      <c r="A8795" s="19"/>
      <c r="B8795" s="36"/>
    </row>
    <row r="8796" spans="1:2" x14ac:dyDescent="0.3">
      <c r="A8796" s="19"/>
      <c r="B8796" s="36"/>
    </row>
    <row r="8797" spans="1:2" x14ac:dyDescent="0.3">
      <c r="A8797" s="19"/>
      <c r="B8797" s="36"/>
    </row>
    <row r="8798" spans="1:2" x14ac:dyDescent="0.3">
      <c r="A8798" s="19"/>
      <c r="B8798" s="36"/>
    </row>
    <row r="8799" spans="1:2" x14ac:dyDescent="0.3">
      <c r="A8799" s="19"/>
      <c r="B8799" s="36"/>
    </row>
    <row r="8800" spans="1:2" x14ac:dyDescent="0.3">
      <c r="A8800" s="19"/>
      <c r="B8800" s="36"/>
    </row>
    <row r="8801" spans="1:2" x14ac:dyDescent="0.3">
      <c r="A8801" s="19"/>
      <c r="B8801" s="36"/>
    </row>
    <row r="8802" spans="1:2" x14ac:dyDescent="0.3">
      <c r="A8802" s="19"/>
      <c r="B8802" s="36"/>
    </row>
    <row r="8803" spans="1:2" x14ac:dyDescent="0.3">
      <c r="A8803" s="19"/>
      <c r="B8803" s="36"/>
    </row>
    <row r="8804" spans="1:2" x14ac:dyDescent="0.3">
      <c r="A8804" s="19"/>
      <c r="B8804" s="36"/>
    </row>
    <row r="8805" spans="1:2" x14ac:dyDescent="0.3">
      <c r="A8805" s="19"/>
      <c r="B8805" s="36"/>
    </row>
    <row r="8806" spans="1:2" x14ac:dyDescent="0.3">
      <c r="A8806" s="19"/>
      <c r="B8806" s="36"/>
    </row>
    <row r="8807" spans="1:2" x14ac:dyDescent="0.3">
      <c r="A8807" s="19"/>
      <c r="B8807" s="36"/>
    </row>
    <row r="8808" spans="1:2" x14ac:dyDescent="0.3">
      <c r="A8808" s="19"/>
      <c r="B8808" s="36"/>
    </row>
    <row r="8809" spans="1:2" x14ac:dyDescent="0.3">
      <c r="A8809" s="19"/>
      <c r="B8809" s="36"/>
    </row>
    <row r="8810" spans="1:2" x14ac:dyDescent="0.3">
      <c r="A8810" s="19"/>
      <c r="B8810" s="36"/>
    </row>
    <row r="8811" spans="1:2" x14ac:dyDescent="0.3">
      <c r="A8811" s="19"/>
      <c r="B8811" s="36"/>
    </row>
    <row r="8812" spans="1:2" x14ac:dyDescent="0.3">
      <c r="A8812" s="19"/>
      <c r="B8812" s="36"/>
    </row>
    <row r="8813" spans="1:2" x14ac:dyDescent="0.3">
      <c r="A8813" s="19"/>
      <c r="B8813" s="36"/>
    </row>
    <row r="8814" spans="1:2" x14ac:dyDescent="0.3">
      <c r="A8814" s="19"/>
      <c r="B8814" s="36"/>
    </row>
    <row r="8815" spans="1:2" x14ac:dyDescent="0.3">
      <c r="A8815" s="19"/>
      <c r="B8815" s="36"/>
    </row>
    <row r="8816" spans="1:2" x14ac:dyDescent="0.3">
      <c r="A8816" s="19"/>
      <c r="B8816" s="36"/>
    </row>
    <row r="8817" spans="1:2" x14ac:dyDescent="0.3">
      <c r="A8817" s="19"/>
      <c r="B8817" s="36"/>
    </row>
    <row r="8818" spans="1:2" x14ac:dyDescent="0.3">
      <c r="A8818" s="19"/>
      <c r="B8818" s="36"/>
    </row>
    <row r="8819" spans="1:2" x14ac:dyDescent="0.3">
      <c r="A8819" s="19"/>
      <c r="B8819" s="36"/>
    </row>
    <row r="8820" spans="1:2" x14ac:dyDescent="0.3">
      <c r="A8820" s="19"/>
      <c r="B8820" s="36"/>
    </row>
    <row r="8821" spans="1:2" x14ac:dyDescent="0.3">
      <c r="A8821" s="19"/>
      <c r="B8821" s="36"/>
    </row>
    <row r="8822" spans="1:2" x14ac:dyDescent="0.3">
      <c r="A8822" s="19"/>
      <c r="B8822" s="36"/>
    </row>
    <row r="8823" spans="1:2" x14ac:dyDescent="0.3">
      <c r="A8823" s="19"/>
      <c r="B8823" s="36"/>
    </row>
    <row r="8824" spans="1:2" x14ac:dyDescent="0.3">
      <c r="A8824" s="19"/>
      <c r="B8824" s="36"/>
    </row>
    <row r="8825" spans="1:2" x14ac:dyDescent="0.3">
      <c r="A8825" s="19"/>
      <c r="B8825" s="36"/>
    </row>
    <row r="8826" spans="1:2" x14ac:dyDescent="0.3">
      <c r="A8826" s="19"/>
      <c r="B8826" s="36"/>
    </row>
    <row r="8827" spans="1:2" x14ac:dyDescent="0.3">
      <c r="A8827" s="19"/>
      <c r="B8827" s="36"/>
    </row>
    <row r="8828" spans="1:2" x14ac:dyDescent="0.3">
      <c r="A8828" s="19"/>
      <c r="B8828" s="36"/>
    </row>
    <row r="8829" spans="1:2" x14ac:dyDescent="0.3">
      <c r="A8829" s="19"/>
      <c r="B8829" s="36"/>
    </row>
    <row r="8830" spans="1:2" x14ac:dyDescent="0.3">
      <c r="A8830" s="19"/>
      <c r="B8830" s="36"/>
    </row>
    <row r="8831" spans="1:2" x14ac:dyDescent="0.3">
      <c r="A8831" s="19"/>
      <c r="B8831" s="36"/>
    </row>
    <row r="8832" spans="1:2" x14ac:dyDescent="0.3">
      <c r="A8832" s="19"/>
      <c r="B8832" s="36"/>
    </row>
    <row r="8833" spans="1:2" x14ac:dyDescent="0.3">
      <c r="A8833" s="19"/>
      <c r="B8833" s="36"/>
    </row>
    <row r="8834" spans="1:2" x14ac:dyDescent="0.3">
      <c r="A8834" s="19"/>
      <c r="B8834" s="36"/>
    </row>
    <row r="8835" spans="1:2" x14ac:dyDescent="0.3">
      <c r="A8835" s="19"/>
      <c r="B8835" s="36"/>
    </row>
    <row r="8836" spans="1:2" x14ac:dyDescent="0.3">
      <c r="A8836" s="19"/>
      <c r="B8836" s="36"/>
    </row>
    <row r="8837" spans="1:2" x14ac:dyDescent="0.3">
      <c r="A8837" s="19"/>
      <c r="B8837" s="36"/>
    </row>
    <row r="8838" spans="1:2" x14ac:dyDescent="0.3">
      <c r="A8838" s="19"/>
      <c r="B8838" s="36"/>
    </row>
    <row r="8839" spans="1:2" x14ac:dyDescent="0.3">
      <c r="A8839" s="19"/>
      <c r="B8839" s="36"/>
    </row>
    <row r="8840" spans="1:2" x14ac:dyDescent="0.3">
      <c r="A8840" s="19"/>
      <c r="B8840" s="36"/>
    </row>
    <row r="8841" spans="1:2" x14ac:dyDescent="0.3">
      <c r="A8841" s="19"/>
      <c r="B8841" s="36"/>
    </row>
    <row r="8842" spans="1:2" x14ac:dyDescent="0.3">
      <c r="A8842" s="19"/>
      <c r="B8842" s="36"/>
    </row>
    <row r="8843" spans="1:2" x14ac:dyDescent="0.3">
      <c r="A8843" s="19"/>
      <c r="B8843" s="36"/>
    </row>
    <row r="8844" spans="1:2" x14ac:dyDescent="0.3">
      <c r="A8844" s="19"/>
      <c r="B8844" s="36"/>
    </row>
    <row r="8845" spans="1:2" x14ac:dyDescent="0.3">
      <c r="A8845" s="19"/>
      <c r="B8845" s="36"/>
    </row>
    <row r="8846" spans="1:2" x14ac:dyDescent="0.3">
      <c r="A8846" s="19"/>
      <c r="B8846" s="36"/>
    </row>
    <row r="8847" spans="1:2" x14ac:dyDescent="0.3">
      <c r="A8847" s="19"/>
      <c r="B8847" s="36"/>
    </row>
    <row r="8848" spans="1:2" x14ac:dyDescent="0.3">
      <c r="A8848" s="19"/>
      <c r="B8848" s="36"/>
    </row>
    <row r="8849" spans="1:2" x14ac:dyDescent="0.3">
      <c r="A8849" s="19"/>
      <c r="B8849" s="36"/>
    </row>
    <row r="8850" spans="1:2" x14ac:dyDescent="0.3">
      <c r="A8850" s="19"/>
      <c r="B8850" s="36"/>
    </row>
    <row r="8851" spans="1:2" x14ac:dyDescent="0.3">
      <c r="A8851" s="19"/>
      <c r="B8851" s="36"/>
    </row>
    <row r="8852" spans="1:2" x14ac:dyDescent="0.3">
      <c r="A8852" s="19"/>
      <c r="B8852" s="36"/>
    </row>
    <row r="8853" spans="1:2" x14ac:dyDescent="0.3">
      <c r="A8853" s="19"/>
      <c r="B8853" s="36"/>
    </row>
    <row r="8854" spans="1:2" x14ac:dyDescent="0.3">
      <c r="A8854" s="19"/>
      <c r="B8854" s="36"/>
    </row>
    <row r="8855" spans="1:2" x14ac:dyDescent="0.3">
      <c r="A8855" s="19"/>
      <c r="B8855" s="36"/>
    </row>
    <row r="8856" spans="1:2" x14ac:dyDescent="0.3">
      <c r="A8856" s="19"/>
      <c r="B8856" s="36"/>
    </row>
    <row r="8857" spans="1:2" x14ac:dyDescent="0.3">
      <c r="A8857" s="19"/>
      <c r="B8857" s="36"/>
    </row>
    <row r="8858" spans="1:2" x14ac:dyDescent="0.3">
      <c r="A8858" s="19"/>
      <c r="B8858" s="36"/>
    </row>
    <row r="8859" spans="1:2" x14ac:dyDescent="0.3">
      <c r="A8859" s="19"/>
      <c r="B8859" s="36"/>
    </row>
    <row r="8860" spans="1:2" x14ac:dyDescent="0.3">
      <c r="A8860" s="19"/>
      <c r="B8860" s="36"/>
    </row>
    <row r="8861" spans="1:2" x14ac:dyDescent="0.3">
      <c r="A8861" s="19"/>
      <c r="B8861" s="36"/>
    </row>
    <row r="8862" spans="1:2" x14ac:dyDescent="0.3">
      <c r="A8862" s="19"/>
      <c r="B8862" s="36"/>
    </row>
    <row r="8863" spans="1:2" x14ac:dyDescent="0.3">
      <c r="A8863" s="19"/>
      <c r="B8863" s="36"/>
    </row>
    <row r="8864" spans="1:2" x14ac:dyDescent="0.3">
      <c r="A8864" s="19"/>
      <c r="B8864" s="36"/>
    </row>
    <row r="8865" spans="1:2" x14ac:dyDescent="0.3">
      <c r="A8865" s="19"/>
      <c r="B8865" s="36"/>
    </row>
    <row r="8866" spans="1:2" x14ac:dyDescent="0.3">
      <c r="A8866" s="19"/>
      <c r="B8866" s="36"/>
    </row>
    <row r="8867" spans="1:2" x14ac:dyDescent="0.3">
      <c r="A8867" s="19"/>
      <c r="B8867" s="36"/>
    </row>
    <row r="8868" spans="1:2" x14ac:dyDescent="0.3">
      <c r="A8868" s="19"/>
      <c r="B8868" s="36"/>
    </row>
    <row r="8869" spans="1:2" x14ac:dyDescent="0.3">
      <c r="A8869" s="19"/>
      <c r="B8869" s="36"/>
    </row>
    <row r="8870" spans="1:2" x14ac:dyDescent="0.3">
      <c r="A8870" s="19"/>
      <c r="B8870" s="36"/>
    </row>
    <row r="8871" spans="1:2" x14ac:dyDescent="0.3">
      <c r="A8871" s="19"/>
      <c r="B8871" s="36"/>
    </row>
    <row r="8872" spans="1:2" x14ac:dyDescent="0.3">
      <c r="A8872" s="19"/>
      <c r="B8872" s="36"/>
    </row>
    <row r="8873" spans="1:2" x14ac:dyDescent="0.3">
      <c r="A8873" s="19"/>
      <c r="B8873" s="36"/>
    </row>
    <row r="8874" spans="1:2" x14ac:dyDescent="0.3">
      <c r="A8874" s="19"/>
      <c r="B8874" s="36"/>
    </row>
    <row r="8875" spans="1:2" x14ac:dyDescent="0.3">
      <c r="A8875" s="19"/>
      <c r="B8875" s="36"/>
    </row>
    <row r="8876" spans="1:2" x14ac:dyDescent="0.3">
      <c r="A8876" s="19"/>
      <c r="B8876" s="36"/>
    </row>
    <row r="8877" spans="1:2" x14ac:dyDescent="0.3">
      <c r="A8877" s="19"/>
      <c r="B8877" s="36"/>
    </row>
    <row r="8878" spans="1:2" x14ac:dyDescent="0.3">
      <c r="A8878" s="19"/>
      <c r="B8878" s="36"/>
    </row>
    <row r="8879" spans="1:2" x14ac:dyDescent="0.3">
      <c r="A8879" s="19"/>
      <c r="B8879" s="36"/>
    </row>
    <row r="8880" spans="1:2" x14ac:dyDescent="0.3">
      <c r="A8880" s="19"/>
      <c r="B8880" s="36"/>
    </row>
    <row r="8881" spans="1:2" x14ac:dyDescent="0.3">
      <c r="A8881" s="19"/>
      <c r="B8881" s="36"/>
    </row>
    <row r="8882" spans="1:2" x14ac:dyDescent="0.3">
      <c r="A8882" s="19"/>
      <c r="B8882" s="36"/>
    </row>
    <row r="8883" spans="1:2" x14ac:dyDescent="0.3">
      <c r="A8883" s="19"/>
      <c r="B8883" s="36"/>
    </row>
    <row r="8884" spans="1:2" x14ac:dyDescent="0.3">
      <c r="A8884" s="19"/>
      <c r="B8884" s="36"/>
    </row>
    <row r="8885" spans="1:2" x14ac:dyDescent="0.3">
      <c r="A8885" s="19"/>
      <c r="B8885" s="36"/>
    </row>
    <row r="8886" spans="1:2" x14ac:dyDescent="0.3">
      <c r="A8886" s="19"/>
      <c r="B8886" s="36"/>
    </row>
    <row r="8887" spans="1:2" x14ac:dyDescent="0.3">
      <c r="A8887" s="19"/>
      <c r="B8887" s="36"/>
    </row>
    <row r="8888" spans="1:2" x14ac:dyDescent="0.3">
      <c r="A8888" s="19"/>
      <c r="B8888" s="36"/>
    </row>
    <row r="8889" spans="1:2" x14ac:dyDescent="0.3">
      <c r="A8889" s="19"/>
      <c r="B8889" s="36"/>
    </row>
    <row r="8890" spans="1:2" x14ac:dyDescent="0.3">
      <c r="A8890" s="19"/>
      <c r="B8890" s="36"/>
    </row>
    <row r="8891" spans="1:2" x14ac:dyDescent="0.3">
      <c r="A8891" s="19"/>
      <c r="B8891" s="36"/>
    </row>
    <row r="8892" spans="1:2" x14ac:dyDescent="0.3">
      <c r="A8892" s="19"/>
      <c r="B8892" s="36"/>
    </row>
    <row r="8893" spans="1:2" x14ac:dyDescent="0.3">
      <c r="A8893" s="19"/>
      <c r="B8893" s="36"/>
    </row>
    <row r="8894" spans="1:2" x14ac:dyDescent="0.3">
      <c r="A8894" s="19"/>
      <c r="B8894" s="36"/>
    </row>
    <row r="8895" spans="1:2" x14ac:dyDescent="0.3">
      <c r="A8895" s="19"/>
      <c r="B8895" s="36"/>
    </row>
    <row r="8896" spans="1:2" x14ac:dyDescent="0.3">
      <c r="A8896" s="19"/>
      <c r="B8896" s="36"/>
    </row>
    <row r="8897" spans="1:2" x14ac:dyDescent="0.3">
      <c r="A8897" s="19"/>
      <c r="B8897" s="36"/>
    </row>
    <row r="8898" spans="1:2" x14ac:dyDescent="0.3">
      <c r="A8898" s="19"/>
      <c r="B8898" s="36"/>
    </row>
    <row r="8899" spans="1:2" x14ac:dyDescent="0.3">
      <c r="A8899" s="19"/>
      <c r="B8899" s="36"/>
    </row>
    <row r="8900" spans="1:2" x14ac:dyDescent="0.3">
      <c r="A8900" s="19"/>
      <c r="B8900" s="36"/>
    </row>
    <row r="8901" spans="1:2" x14ac:dyDescent="0.3">
      <c r="A8901" s="19"/>
      <c r="B8901" s="36"/>
    </row>
    <row r="8902" spans="1:2" x14ac:dyDescent="0.3">
      <c r="A8902" s="19"/>
      <c r="B8902" s="36"/>
    </row>
    <row r="8903" spans="1:2" x14ac:dyDescent="0.3">
      <c r="A8903" s="19"/>
      <c r="B8903" s="36"/>
    </row>
    <row r="8904" spans="1:2" x14ac:dyDescent="0.3">
      <c r="A8904" s="19"/>
      <c r="B8904" s="36"/>
    </row>
    <row r="8905" spans="1:2" x14ac:dyDescent="0.3">
      <c r="A8905" s="19"/>
      <c r="B8905" s="36"/>
    </row>
    <row r="8906" spans="1:2" x14ac:dyDescent="0.3">
      <c r="A8906" s="19"/>
      <c r="B8906" s="36"/>
    </row>
    <row r="8907" spans="1:2" x14ac:dyDescent="0.3">
      <c r="A8907" s="19"/>
      <c r="B8907" s="36"/>
    </row>
    <row r="8908" spans="1:2" x14ac:dyDescent="0.3">
      <c r="A8908" s="19"/>
      <c r="B8908" s="36"/>
    </row>
    <row r="8909" spans="1:2" x14ac:dyDescent="0.3">
      <c r="A8909" s="19"/>
      <c r="B8909" s="36"/>
    </row>
    <row r="8910" spans="1:2" x14ac:dyDescent="0.3">
      <c r="A8910" s="19"/>
      <c r="B8910" s="36"/>
    </row>
    <row r="8911" spans="1:2" x14ac:dyDescent="0.3">
      <c r="A8911" s="19"/>
      <c r="B8911" s="36"/>
    </row>
    <row r="8912" spans="1:2" x14ac:dyDescent="0.3">
      <c r="A8912" s="19"/>
      <c r="B8912" s="36"/>
    </row>
    <row r="8913" spans="1:2" x14ac:dyDescent="0.3">
      <c r="A8913" s="19"/>
      <c r="B8913" s="36"/>
    </row>
    <row r="8914" spans="1:2" x14ac:dyDescent="0.3">
      <c r="A8914" s="19"/>
      <c r="B8914" s="36"/>
    </row>
    <row r="8915" spans="1:2" x14ac:dyDescent="0.3">
      <c r="A8915" s="19"/>
      <c r="B8915" s="36"/>
    </row>
    <row r="8916" spans="1:2" x14ac:dyDescent="0.3">
      <c r="A8916" s="19"/>
      <c r="B8916" s="36"/>
    </row>
    <row r="8917" spans="1:2" x14ac:dyDescent="0.3">
      <c r="A8917" s="19"/>
      <c r="B8917" s="36"/>
    </row>
    <row r="8918" spans="1:2" x14ac:dyDescent="0.3">
      <c r="A8918" s="19"/>
      <c r="B8918" s="36"/>
    </row>
    <row r="8919" spans="1:2" x14ac:dyDescent="0.3">
      <c r="A8919" s="19"/>
      <c r="B8919" s="36"/>
    </row>
    <row r="8920" spans="1:2" x14ac:dyDescent="0.3">
      <c r="A8920" s="19"/>
      <c r="B8920" s="36"/>
    </row>
    <row r="8921" spans="1:2" x14ac:dyDescent="0.3">
      <c r="A8921" s="19"/>
      <c r="B8921" s="36"/>
    </row>
    <row r="8922" spans="1:2" x14ac:dyDescent="0.3">
      <c r="A8922" s="19"/>
      <c r="B8922" s="36"/>
    </row>
    <row r="8923" spans="1:2" x14ac:dyDescent="0.3">
      <c r="A8923" s="19"/>
      <c r="B8923" s="36"/>
    </row>
    <row r="8924" spans="1:2" x14ac:dyDescent="0.3">
      <c r="A8924" s="19"/>
      <c r="B8924" s="36"/>
    </row>
    <row r="8925" spans="1:2" x14ac:dyDescent="0.3">
      <c r="A8925" s="19"/>
      <c r="B8925" s="36"/>
    </row>
    <row r="8926" spans="1:2" x14ac:dyDescent="0.3">
      <c r="A8926" s="19"/>
      <c r="B8926" s="36"/>
    </row>
    <row r="8927" spans="1:2" x14ac:dyDescent="0.3">
      <c r="A8927" s="19"/>
      <c r="B8927" s="36"/>
    </row>
    <row r="8928" spans="1:2" x14ac:dyDescent="0.3">
      <c r="A8928" s="19"/>
      <c r="B8928" s="36"/>
    </row>
    <row r="8929" spans="1:2" x14ac:dyDescent="0.3">
      <c r="A8929" s="19"/>
      <c r="B8929" s="36"/>
    </row>
    <row r="8930" spans="1:2" x14ac:dyDescent="0.3">
      <c r="A8930" s="19"/>
      <c r="B8930" s="36"/>
    </row>
    <row r="8931" spans="1:2" x14ac:dyDescent="0.3">
      <c r="A8931" s="19"/>
      <c r="B8931" s="36"/>
    </row>
    <row r="8932" spans="1:2" x14ac:dyDescent="0.3">
      <c r="A8932" s="19"/>
      <c r="B8932" s="36"/>
    </row>
    <row r="8933" spans="1:2" x14ac:dyDescent="0.3">
      <c r="A8933" s="19"/>
      <c r="B8933" s="36"/>
    </row>
    <row r="8934" spans="1:2" x14ac:dyDescent="0.3">
      <c r="A8934" s="19"/>
      <c r="B8934" s="36"/>
    </row>
    <row r="8935" spans="1:2" x14ac:dyDescent="0.3">
      <c r="A8935" s="19"/>
      <c r="B8935" s="36"/>
    </row>
    <row r="8936" spans="1:2" x14ac:dyDescent="0.3">
      <c r="A8936" s="19"/>
      <c r="B8936" s="36"/>
    </row>
    <row r="8937" spans="1:2" x14ac:dyDescent="0.3">
      <c r="A8937" s="19"/>
      <c r="B8937" s="36"/>
    </row>
    <row r="8938" spans="1:2" x14ac:dyDescent="0.3">
      <c r="A8938" s="19"/>
      <c r="B8938" s="36"/>
    </row>
    <row r="8939" spans="1:2" x14ac:dyDescent="0.3">
      <c r="A8939" s="19"/>
      <c r="B8939" s="36"/>
    </row>
    <row r="8940" spans="1:2" x14ac:dyDescent="0.3">
      <c r="A8940" s="19"/>
      <c r="B8940" s="36"/>
    </row>
    <row r="8941" spans="1:2" x14ac:dyDescent="0.3">
      <c r="A8941" s="19"/>
      <c r="B8941" s="36"/>
    </row>
    <row r="8942" spans="1:2" x14ac:dyDescent="0.3">
      <c r="A8942" s="19"/>
      <c r="B8942" s="36"/>
    </row>
    <row r="8943" spans="1:2" x14ac:dyDescent="0.3">
      <c r="A8943" s="19"/>
      <c r="B8943" s="36"/>
    </row>
    <row r="8944" spans="1:2" x14ac:dyDescent="0.3">
      <c r="A8944" s="19"/>
      <c r="B8944" s="36"/>
    </row>
    <row r="8945" spans="1:2" x14ac:dyDescent="0.3">
      <c r="A8945" s="19"/>
      <c r="B8945" s="36"/>
    </row>
    <row r="8946" spans="1:2" x14ac:dyDescent="0.3">
      <c r="A8946" s="19"/>
      <c r="B8946" s="36"/>
    </row>
    <row r="8947" spans="1:2" x14ac:dyDescent="0.3">
      <c r="A8947" s="19"/>
      <c r="B8947" s="36"/>
    </row>
    <row r="8948" spans="1:2" x14ac:dyDescent="0.3">
      <c r="A8948" s="19"/>
      <c r="B8948" s="36"/>
    </row>
    <row r="8949" spans="1:2" x14ac:dyDescent="0.3">
      <c r="A8949" s="19"/>
      <c r="B8949" s="36"/>
    </row>
    <row r="8950" spans="1:2" x14ac:dyDescent="0.3">
      <c r="A8950" s="19"/>
      <c r="B8950" s="36"/>
    </row>
    <row r="8951" spans="1:2" x14ac:dyDescent="0.3">
      <c r="A8951" s="19"/>
      <c r="B8951" s="36"/>
    </row>
    <row r="8952" spans="1:2" x14ac:dyDescent="0.3">
      <c r="A8952" s="19"/>
      <c r="B8952" s="36"/>
    </row>
    <row r="8953" spans="1:2" x14ac:dyDescent="0.3">
      <c r="A8953" s="19"/>
      <c r="B8953" s="36"/>
    </row>
    <row r="8954" spans="1:2" x14ac:dyDescent="0.3">
      <c r="A8954" s="19"/>
      <c r="B8954" s="36"/>
    </row>
    <row r="8955" spans="1:2" x14ac:dyDescent="0.3">
      <c r="A8955" s="19"/>
      <c r="B8955" s="36"/>
    </row>
    <row r="8956" spans="1:2" x14ac:dyDescent="0.3">
      <c r="A8956" s="19"/>
      <c r="B8956" s="36"/>
    </row>
    <row r="8957" spans="1:2" x14ac:dyDescent="0.3">
      <c r="A8957" s="19"/>
      <c r="B8957" s="36"/>
    </row>
    <row r="8958" spans="1:2" x14ac:dyDescent="0.3">
      <c r="A8958" s="19"/>
      <c r="B8958" s="36"/>
    </row>
    <row r="8959" spans="1:2" x14ac:dyDescent="0.3">
      <c r="A8959" s="19"/>
      <c r="B8959" s="36"/>
    </row>
    <row r="8960" spans="1:2" x14ac:dyDescent="0.3">
      <c r="A8960" s="19"/>
      <c r="B8960" s="36"/>
    </row>
    <row r="8961" spans="1:2" x14ac:dyDescent="0.3">
      <c r="A8961" s="19"/>
      <c r="B8961" s="36"/>
    </row>
    <row r="8962" spans="1:2" x14ac:dyDescent="0.3">
      <c r="A8962" s="19"/>
      <c r="B8962" s="36"/>
    </row>
    <row r="8963" spans="1:2" x14ac:dyDescent="0.3">
      <c r="A8963" s="19"/>
      <c r="B8963" s="36"/>
    </row>
    <row r="8964" spans="1:2" x14ac:dyDescent="0.3">
      <c r="A8964" s="19"/>
      <c r="B8964" s="36"/>
    </row>
    <row r="8965" spans="1:2" x14ac:dyDescent="0.3">
      <c r="A8965" s="19"/>
      <c r="B8965" s="36"/>
    </row>
    <row r="8966" spans="1:2" x14ac:dyDescent="0.3">
      <c r="A8966" s="19"/>
      <c r="B8966" s="36"/>
    </row>
    <row r="8967" spans="1:2" x14ac:dyDescent="0.3">
      <c r="A8967" s="19"/>
      <c r="B8967" s="36"/>
    </row>
    <row r="8968" spans="1:2" x14ac:dyDescent="0.3">
      <c r="A8968" s="19"/>
      <c r="B8968" s="36"/>
    </row>
    <row r="8969" spans="1:2" x14ac:dyDescent="0.3">
      <c r="A8969" s="19"/>
      <c r="B8969" s="36"/>
    </row>
    <row r="8970" spans="1:2" x14ac:dyDescent="0.3">
      <c r="A8970" s="19"/>
      <c r="B8970" s="36"/>
    </row>
    <row r="8971" spans="1:2" x14ac:dyDescent="0.3">
      <c r="A8971" s="19"/>
      <c r="B8971" s="36"/>
    </row>
    <row r="8972" spans="1:2" x14ac:dyDescent="0.3">
      <c r="A8972" s="19"/>
      <c r="B8972" s="36"/>
    </row>
    <row r="8973" spans="1:2" x14ac:dyDescent="0.3">
      <c r="A8973" s="19"/>
      <c r="B8973" s="36"/>
    </row>
    <row r="8974" spans="1:2" x14ac:dyDescent="0.3">
      <c r="A8974" s="19"/>
      <c r="B8974" s="36"/>
    </row>
    <row r="8975" spans="1:2" x14ac:dyDescent="0.3">
      <c r="A8975" s="19"/>
      <c r="B8975" s="36"/>
    </row>
    <row r="8976" spans="1:2" x14ac:dyDescent="0.3">
      <c r="A8976" s="19"/>
      <c r="B8976" s="36"/>
    </row>
    <row r="8977" spans="1:2" x14ac:dyDescent="0.3">
      <c r="A8977" s="19"/>
      <c r="B8977" s="36"/>
    </row>
    <row r="8978" spans="1:2" x14ac:dyDescent="0.3">
      <c r="A8978" s="19"/>
      <c r="B8978" s="36"/>
    </row>
    <row r="8979" spans="1:2" x14ac:dyDescent="0.3">
      <c r="A8979" s="19"/>
      <c r="B8979" s="36"/>
    </row>
    <row r="8980" spans="1:2" x14ac:dyDescent="0.3">
      <c r="A8980" s="19"/>
      <c r="B8980" s="36"/>
    </row>
    <row r="8981" spans="1:2" x14ac:dyDescent="0.3">
      <c r="A8981" s="19"/>
      <c r="B8981" s="36"/>
    </row>
    <row r="8982" spans="1:2" x14ac:dyDescent="0.3">
      <c r="A8982" s="19"/>
      <c r="B8982" s="36"/>
    </row>
    <row r="8983" spans="1:2" x14ac:dyDescent="0.3">
      <c r="A8983" s="19"/>
      <c r="B8983" s="36"/>
    </row>
    <row r="8984" spans="1:2" x14ac:dyDescent="0.3">
      <c r="A8984" s="19"/>
      <c r="B8984" s="36"/>
    </row>
    <row r="8985" spans="1:2" x14ac:dyDescent="0.3">
      <c r="A8985" s="19"/>
      <c r="B8985" s="36"/>
    </row>
    <row r="8986" spans="1:2" x14ac:dyDescent="0.3">
      <c r="A8986" s="19"/>
      <c r="B8986" s="36"/>
    </row>
    <row r="8987" spans="1:2" x14ac:dyDescent="0.3">
      <c r="A8987" s="19"/>
      <c r="B8987" s="36"/>
    </row>
    <row r="8988" spans="1:2" x14ac:dyDescent="0.3">
      <c r="A8988" s="19"/>
      <c r="B8988" s="36"/>
    </row>
    <row r="8989" spans="1:2" x14ac:dyDescent="0.3">
      <c r="A8989" s="19"/>
      <c r="B8989" s="36"/>
    </row>
    <row r="8990" spans="1:2" x14ac:dyDescent="0.3">
      <c r="A8990" s="19"/>
      <c r="B8990" s="36"/>
    </row>
    <row r="8991" spans="1:2" x14ac:dyDescent="0.3">
      <c r="A8991" s="19"/>
      <c r="B8991" s="36"/>
    </row>
    <row r="8992" spans="1:2" x14ac:dyDescent="0.3">
      <c r="A8992" s="19"/>
      <c r="B8992" s="36"/>
    </row>
    <row r="8993" spans="1:2" x14ac:dyDescent="0.3">
      <c r="A8993" s="19"/>
      <c r="B8993" s="36"/>
    </row>
    <row r="8994" spans="1:2" x14ac:dyDescent="0.3">
      <c r="A8994" s="19"/>
      <c r="B8994" s="36"/>
    </row>
    <row r="8995" spans="1:2" x14ac:dyDescent="0.3">
      <c r="A8995" s="19"/>
      <c r="B8995" s="36"/>
    </row>
    <row r="8996" spans="1:2" x14ac:dyDescent="0.3">
      <c r="A8996" s="19"/>
      <c r="B8996" s="36"/>
    </row>
    <row r="8997" spans="1:2" x14ac:dyDescent="0.3">
      <c r="A8997" s="19"/>
      <c r="B8997" s="36"/>
    </row>
    <row r="8998" spans="1:2" x14ac:dyDescent="0.3">
      <c r="A8998" s="19"/>
      <c r="B8998" s="36"/>
    </row>
    <row r="8999" spans="1:2" x14ac:dyDescent="0.3">
      <c r="A8999" s="19"/>
      <c r="B8999" s="36"/>
    </row>
    <row r="9000" spans="1:2" x14ac:dyDescent="0.3">
      <c r="A9000" s="19"/>
      <c r="B9000" s="36"/>
    </row>
    <row r="9001" spans="1:2" x14ac:dyDescent="0.3">
      <c r="A9001" s="19"/>
      <c r="B9001" s="36"/>
    </row>
    <row r="9002" spans="1:2" x14ac:dyDescent="0.3">
      <c r="A9002" s="19"/>
      <c r="B9002" s="36"/>
    </row>
    <row r="9003" spans="1:2" x14ac:dyDescent="0.3">
      <c r="A9003" s="19"/>
      <c r="B9003" s="36"/>
    </row>
    <row r="9004" spans="1:2" x14ac:dyDescent="0.3">
      <c r="A9004" s="19"/>
      <c r="B9004" s="36"/>
    </row>
    <row r="9005" spans="1:2" x14ac:dyDescent="0.3">
      <c r="A9005" s="19"/>
      <c r="B9005" s="36"/>
    </row>
    <row r="9006" spans="1:2" x14ac:dyDescent="0.3">
      <c r="A9006" s="19"/>
      <c r="B9006" s="36"/>
    </row>
    <row r="9007" spans="1:2" x14ac:dyDescent="0.3">
      <c r="A9007" s="19"/>
      <c r="B9007" s="36"/>
    </row>
    <row r="9008" spans="1:2" x14ac:dyDescent="0.3">
      <c r="A9008" s="19"/>
      <c r="B9008" s="36"/>
    </row>
    <row r="9009" spans="1:2" x14ac:dyDescent="0.3">
      <c r="A9009" s="19"/>
      <c r="B9009" s="36"/>
    </row>
    <row r="9010" spans="1:2" x14ac:dyDescent="0.3">
      <c r="A9010" s="19"/>
      <c r="B9010" s="36"/>
    </row>
    <row r="9011" spans="1:2" x14ac:dyDescent="0.3">
      <c r="A9011" s="19"/>
      <c r="B9011" s="36"/>
    </row>
    <row r="9012" spans="1:2" x14ac:dyDescent="0.3">
      <c r="A9012" s="19"/>
      <c r="B9012" s="36"/>
    </row>
    <row r="9013" spans="1:2" x14ac:dyDescent="0.3">
      <c r="A9013" s="19"/>
      <c r="B9013" s="36"/>
    </row>
    <row r="9014" spans="1:2" x14ac:dyDescent="0.3">
      <c r="A9014" s="19"/>
      <c r="B9014" s="36"/>
    </row>
    <row r="9015" spans="1:2" x14ac:dyDescent="0.3">
      <c r="A9015" s="19"/>
      <c r="B9015" s="36"/>
    </row>
    <row r="9016" spans="1:2" x14ac:dyDescent="0.3">
      <c r="A9016" s="19"/>
      <c r="B9016" s="36"/>
    </row>
    <row r="9017" spans="1:2" x14ac:dyDescent="0.3">
      <c r="A9017" s="19"/>
      <c r="B9017" s="36"/>
    </row>
    <row r="9018" spans="1:2" x14ac:dyDescent="0.3">
      <c r="A9018" s="19"/>
      <c r="B9018" s="36"/>
    </row>
    <row r="9019" spans="1:2" x14ac:dyDescent="0.3">
      <c r="A9019" s="19"/>
      <c r="B9019" s="36"/>
    </row>
    <row r="9020" spans="1:2" x14ac:dyDescent="0.3">
      <c r="A9020" s="19"/>
      <c r="B9020" s="36"/>
    </row>
    <row r="9021" spans="1:2" x14ac:dyDescent="0.3">
      <c r="A9021" s="19"/>
      <c r="B9021" s="36"/>
    </row>
    <row r="9022" spans="1:2" x14ac:dyDescent="0.3">
      <c r="A9022" s="19"/>
      <c r="B9022" s="36"/>
    </row>
    <row r="9023" spans="1:2" x14ac:dyDescent="0.3">
      <c r="A9023" s="19"/>
      <c r="B9023" s="36"/>
    </row>
    <row r="9024" spans="1:2" x14ac:dyDescent="0.3">
      <c r="A9024" s="19"/>
      <c r="B9024" s="36"/>
    </row>
    <row r="9025" spans="1:2" x14ac:dyDescent="0.3">
      <c r="A9025" s="19"/>
      <c r="B9025" s="36"/>
    </row>
    <row r="9026" spans="1:2" x14ac:dyDescent="0.3">
      <c r="A9026" s="19"/>
      <c r="B9026" s="36"/>
    </row>
    <row r="9027" spans="1:2" x14ac:dyDescent="0.3">
      <c r="A9027" s="19"/>
      <c r="B9027" s="36"/>
    </row>
    <row r="9028" spans="1:2" x14ac:dyDescent="0.3">
      <c r="A9028" s="19"/>
      <c r="B9028" s="36"/>
    </row>
    <row r="9029" spans="1:2" x14ac:dyDescent="0.3">
      <c r="A9029" s="19"/>
      <c r="B9029" s="36"/>
    </row>
    <row r="9030" spans="1:2" x14ac:dyDescent="0.3">
      <c r="A9030" s="19"/>
      <c r="B9030" s="36"/>
    </row>
    <row r="9031" spans="1:2" x14ac:dyDescent="0.3">
      <c r="A9031" s="19"/>
      <c r="B9031" s="36"/>
    </row>
    <row r="9032" spans="1:2" x14ac:dyDescent="0.3">
      <c r="A9032" s="19"/>
      <c r="B9032" s="36"/>
    </row>
    <row r="9033" spans="1:2" x14ac:dyDescent="0.3">
      <c r="A9033" s="19"/>
      <c r="B9033" s="36"/>
    </row>
    <row r="9034" spans="1:2" x14ac:dyDescent="0.3">
      <c r="A9034" s="19"/>
      <c r="B9034" s="36"/>
    </row>
    <row r="9035" spans="1:2" x14ac:dyDescent="0.3">
      <c r="A9035" s="19"/>
      <c r="B9035" s="36"/>
    </row>
    <row r="9036" spans="1:2" x14ac:dyDescent="0.3">
      <c r="A9036" s="19"/>
      <c r="B9036" s="36"/>
    </row>
    <row r="9037" spans="1:2" x14ac:dyDescent="0.3">
      <c r="A9037" s="19"/>
      <c r="B9037" s="36"/>
    </row>
    <row r="9038" spans="1:2" x14ac:dyDescent="0.3">
      <c r="A9038" s="19"/>
      <c r="B9038" s="36"/>
    </row>
    <row r="9039" spans="1:2" x14ac:dyDescent="0.3">
      <c r="A9039" s="19"/>
      <c r="B9039" s="36"/>
    </row>
    <row r="9040" spans="1:2" x14ac:dyDescent="0.3">
      <c r="A9040" s="19"/>
      <c r="B9040" s="36"/>
    </row>
    <row r="9041" spans="1:2" x14ac:dyDescent="0.3">
      <c r="A9041" s="19"/>
      <c r="B9041" s="36"/>
    </row>
    <row r="9042" spans="1:2" x14ac:dyDescent="0.3">
      <c r="A9042" s="19"/>
      <c r="B9042" s="36"/>
    </row>
    <row r="9043" spans="1:2" x14ac:dyDescent="0.3">
      <c r="A9043" s="19"/>
      <c r="B9043" s="36"/>
    </row>
    <row r="9044" spans="1:2" x14ac:dyDescent="0.3">
      <c r="A9044" s="19"/>
      <c r="B9044" s="36"/>
    </row>
    <row r="9045" spans="1:2" x14ac:dyDescent="0.3">
      <c r="A9045" s="19"/>
      <c r="B9045" s="36"/>
    </row>
    <row r="9046" spans="1:2" x14ac:dyDescent="0.3">
      <c r="A9046" s="19"/>
      <c r="B9046" s="36"/>
    </row>
    <row r="9047" spans="1:2" x14ac:dyDescent="0.3">
      <c r="A9047" s="19"/>
      <c r="B9047" s="36"/>
    </row>
    <row r="9048" spans="1:2" x14ac:dyDescent="0.3">
      <c r="A9048" s="19"/>
      <c r="B9048" s="36"/>
    </row>
    <row r="9049" spans="1:2" x14ac:dyDescent="0.3">
      <c r="A9049" s="19"/>
      <c r="B9049" s="36"/>
    </row>
    <row r="9050" spans="1:2" x14ac:dyDescent="0.3">
      <c r="A9050" s="19"/>
      <c r="B9050" s="36"/>
    </row>
    <row r="9051" spans="1:2" x14ac:dyDescent="0.3">
      <c r="A9051" s="19"/>
      <c r="B9051" s="36"/>
    </row>
    <row r="9052" spans="1:2" x14ac:dyDescent="0.3">
      <c r="A9052" s="19"/>
      <c r="B9052" s="36"/>
    </row>
    <row r="9053" spans="1:2" x14ac:dyDescent="0.3">
      <c r="A9053" s="19"/>
      <c r="B9053" s="36"/>
    </row>
    <row r="9054" spans="1:2" x14ac:dyDescent="0.3">
      <c r="A9054" s="19"/>
      <c r="B9054" s="36"/>
    </row>
    <row r="9055" spans="1:2" x14ac:dyDescent="0.3">
      <c r="A9055" s="19"/>
      <c r="B9055" s="36"/>
    </row>
    <row r="9056" spans="1:2" x14ac:dyDescent="0.3">
      <c r="A9056" s="19"/>
      <c r="B9056" s="36"/>
    </row>
    <row r="9057" spans="1:2" x14ac:dyDescent="0.3">
      <c r="A9057" s="19"/>
      <c r="B9057" s="36"/>
    </row>
    <row r="9058" spans="1:2" x14ac:dyDescent="0.3">
      <c r="A9058" s="19"/>
      <c r="B9058" s="36"/>
    </row>
    <row r="9059" spans="1:2" x14ac:dyDescent="0.3">
      <c r="A9059" s="19"/>
      <c r="B9059" s="36"/>
    </row>
    <row r="9060" spans="1:2" x14ac:dyDescent="0.3">
      <c r="A9060" s="19"/>
      <c r="B9060" s="36"/>
    </row>
    <row r="9061" spans="1:2" x14ac:dyDescent="0.3">
      <c r="A9061" s="19"/>
      <c r="B9061" s="36"/>
    </row>
    <row r="9062" spans="1:2" x14ac:dyDescent="0.3">
      <c r="A9062" s="19"/>
      <c r="B9062" s="36"/>
    </row>
    <row r="9063" spans="1:2" x14ac:dyDescent="0.3">
      <c r="A9063" s="19"/>
      <c r="B9063" s="36"/>
    </row>
    <row r="9064" spans="1:2" x14ac:dyDescent="0.3">
      <c r="A9064" s="19"/>
      <c r="B9064" s="36"/>
    </row>
    <row r="9065" spans="1:2" x14ac:dyDescent="0.3">
      <c r="A9065" s="19"/>
      <c r="B9065" s="36"/>
    </row>
    <row r="9066" spans="1:2" x14ac:dyDescent="0.3">
      <c r="A9066" s="19"/>
      <c r="B9066" s="36"/>
    </row>
    <row r="9067" spans="1:2" x14ac:dyDescent="0.3">
      <c r="A9067" s="19"/>
      <c r="B9067" s="36"/>
    </row>
    <row r="9068" spans="1:2" x14ac:dyDescent="0.3">
      <c r="A9068" s="19"/>
      <c r="B9068" s="36"/>
    </row>
    <row r="9069" spans="1:2" x14ac:dyDescent="0.3">
      <c r="A9069" s="19"/>
      <c r="B9069" s="36"/>
    </row>
    <row r="9070" spans="1:2" x14ac:dyDescent="0.3">
      <c r="A9070" s="19"/>
      <c r="B9070" s="36"/>
    </row>
    <row r="9071" spans="1:2" x14ac:dyDescent="0.3">
      <c r="A9071" s="19"/>
      <c r="B9071" s="36"/>
    </row>
    <row r="9072" spans="1:2" x14ac:dyDescent="0.3">
      <c r="A9072" s="19"/>
      <c r="B9072" s="36"/>
    </row>
    <row r="9073" spans="1:2" x14ac:dyDescent="0.3">
      <c r="A9073" s="19"/>
      <c r="B9073" s="36"/>
    </row>
    <row r="9074" spans="1:2" x14ac:dyDescent="0.3">
      <c r="A9074" s="19"/>
      <c r="B9074" s="36"/>
    </row>
    <row r="9075" spans="1:2" x14ac:dyDescent="0.3">
      <c r="A9075" s="19"/>
      <c r="B9075" s="36"/>
    </row>
    <row r="9076" spans="1:2" x14ac:dyDescent="0.3">
      <c r="A9076" s="19"/>
      <c r="B9076" s="36"/>
    </row>
    <row r="9077" spans="1:2" x14ac:dyDescent="0.3">
      <c r="A9077" s="19"/>
      <c r="B9077" s="36"/>
    </row>
    <row r="9078" spans="1:2" x14ac:dyDescent="0.3">
      <c r="A9078" s="19"/>
      <c r="B9078" s="36"/>
    </row>
    <row r="9079" spans="1:2" x14ac:dyDescent="0.3">
      <c r="A9079" s="19"/>
      <c r="B9079" s="36"/>
    </row>
    <row r="9080" spans="1:2" x14ac:dyDescent="0.3">
      <c r="A9080" s="19"/>
      <c r="B9080" s="36"/>
    </row>
    <row r="9081" spans="1:2" x14ac:dyDescent="0.3">
      <c r="A9081" s="19"/>
      <c r="B9081" s="36"/>
    </row>
    <row r="9082" spans="1:2" x14ac:dyDescent="0.3">
      <c r="A9082" s="19"/>
      <c r="B9082" s="36"/>
    </row>
    <row r="9083" spans="1:2" x14ac:dyDescent="0.3">
      <c r="A9083" s="19"/>
      <c r="B9083" s="36"/>
    </row>
    <row r="9084" spans="1:2" x14ac:dyDescent="0.3">
      <c r="A9084" s="19"/>
      <c r="B9084" s="36"/>
    </row>
    <row r="9085" spans="1:2" x14ac:dyDescent="0.3">
      <c r="A9085" s="19"/>
      <c r="B9085" s="36"/>
    </row>
    <row r="9086" spans="1:2" x14ac:dyDescent="0.3">
      <c r="A9086" s="19"/>
      <c r="B9086" s="36"/>
    </row>
    <row r="9087" spans="1:2" x14ac:dyDescent="0.3">
      <c r="A9087" s="19"/>
      <c r="B9087" s="36"/>
    </row>
    <row r="9088" spans="1:2" x14ac:dyDescent="0.3">
      <c r="A9088" s="19"/>
      <c r="B9088" s="36"/>
    </row>
    <row r="9089" spans="1:2" x14ac:dyDescent="0.3">
      <c r="A9089" s="19"/>
      <c r="B9089" s="36"/>
    </row>
    <row r="9090" spans="1:2" x14ac:dyDescent="0.3">
      <c r="A9090" s="19"/>
      <c r="B9090" s="36"/>
    </row>
    <row r="9091" spans="1:2" x14ac:dyDescent="0.3">
      <c r="A9091" s="19"/>
      <c r="B9091" s="36"/>
    </row>
    <row r="9092" spans="1:2" x14ac:dyDescent="0.3">
      <c r="A9092" s="19"/>
      <c r="B9092" s="36"/>
    </row>
    <row r="9093" spans="1:2" x14ac:dyDescent="0.3">
      <c r="A9093" s="19"/>
      <c r="B9093" s="36"/>
    </row>
    <row r="9094" spans="1:2" x14ac:dyDescent="0.3">
      <c r="A9094" s="19"/>
      <c r="B9094" s="36"/>
    </row>
    <row r="9095" spans="1:2" x14ac:dyDescent="0.3">
      <c r="A9095" s="19"/>
      <c r="B9095" s="36"/>
    </row>
    <row r="9096" spans="1:2" x14ac:dyDescent="0.3">
      <c r="A9096" s="19"/>
      <c r="B9096" s="36"/>
    </row>
    <row r="9097" spans="1:2" x14ac:dyDescent="0.3">
      <c r="A9097" s="19"/>
      <c r="B9097" s="36"/>
    </row>
    <row r="9098" spans="1:2" x14ac:dyDescent="0.3">
      <c r="A9098" s="19"/>
      <c r="B9098" s="36"/>
    </row>
    <row r="9099" spans="1:2" x14ac:dyDescent="0.3">
      <c r="A9099" s="19"/>
      <c r="B9099" s="36"/>
    </row>
    <row r="9100" spans="1:2" x14ac:dyDescent="0.3">
      <c r="A9100" s="19"/>
      <c r="B9100" s="36"/>
    </row>
    <row r="9101" spans="1:2" x14ac:dyDescent="0.3">
      <c r="A9101" s="19"/>
      <c r="B9101" s="36"/>
    </row>
    <row r="9102" spans="1:2" x14ac:dyDescent="0.3">
      <c r="A9102" s="19"/>
      <c r="B9102" s="36"/>
    </row>
    <row r="9103" spans="1:2" x14ac:dyDescent="0.3">
      <c r="A9103" s="19"/>
      <c r="B9103" s="36"/>
    </row>
    <row r="9104" spans="1:2" x14ac:dyDescent="0.3">
      <c r="A9104" s="19"/>
      <c r="B9104" s="36"/>
    </row>
    <row r="9105" spans="1:2" x14ac:dyDescent="0.3">
      <c r="A9105" s="19"/>
      <c r="B9105" s="36"/>
    </row>
    <row r="9106" spans="1:2" x14ac:dyDescent="0.3">
      <c r="A9106" s="19"/>
      <c r="B9106" s="36"/>
    </row>
    <row r="9107" spans="1:2" x14ac:dyDescent="0.3">
      <c r="A9107" s="19"/>
      <c r="B9107" s="36"/>
    </row>
    <row r="9108" spans="1:2" x14ac:dyDescent="0.3">
      <c r="A9108" s="19"/>
      <c r="B9108" s="36"/>
    </row>
    <row r="9109" spans="1:2" x14ac:dyDescent="0.3">
      <c r="A9109" s="19"/>
      <c r="B9109" s="36"/>
    </row>
    <row r="9110" spans="1:2" x14ac:dyDescent="0.3">
      <c r="A9110" s="19"/>
      <c r="B9110" s="36"/>
    </row>
    <row r="9111" spans="1:2" x14ac:dyDescent="0.3">
      <c r="A9111" s="19"/>
      <c r="B9111" s="36"/>
    </row>
    <row r="9112" spans="1:2" x14ac:dyDescent="0.3">
      <c r="A9112" s="19"/>
      <c r="B9112" s="36"/>
    </row>
    <row r="9113" spans="1:2" x14ac:dyDescent="0.3">
      <c r="A9113" s="19"/>
      <c r="B9113" s="36"/>
    </row>
    <row r="9114" spans="1:2" x14ac:dyDescent="0.3">
      <c r="A9114" s="19"/>
      <c r="B9114" s="36"/>
    </row>
    <row r="9115" spans="1:2" x14ac:dyDescent="0.3">
      <c r="A9115" s="19"/>
      <c r="B9115" s="36"/>
    </row>
    <row r="9116" spans="1:2" x14ac:dyDescent="0.3">
      <c r="A9116" s="19"/>
      <c r="B9116" s="36"/>
    </row>
    <row r="9117" spans="1:2" x14ac:dyDescent="0.3">
      <c r="A9117" s="19"/>
      <c r="B9117" s="36"/>
    </row>
    <row r="9118" spans="1:2" x14ac:dyDescent="0.3">
      <c r="A9118" s="19"/>
      <c r="B9118" s="36"/>
    </row>
    <row r="9119" spans="1:2" x14ac:dyDescent="0.3">
      <c r="A9119" s="19"/>
      <c r="B9119" s="36"/>
    </row>
    <row r="9120" spans="1:2" x14ac:dyDescent="0.3">
      <c r="A9120" s="19"/>
      <c r="B9120" s="36"/>
    </row>
    <row r="9121" spans="1:2" x14ac:dyDescent="0.3">
      <c r="A9121" s="19"/>
      <c r="B9121" s="36"/>
    </row>
    <row r="9122" spans="1:2" x14ac:dyDescent="0.3">
      <c r="A9122" s="19"/>
      <c r="B9122" s="36"/>
    </row>
    <row r="9123" spans="1:2" x14ac:dyDescent="0.3">
      <c r="A9123" s="19"/>
      <c r="B9123" s="36"/>
    </row>
    <row r="9124" spans="1:2" x14ac:dyDescent="0.3">
      <c r="A9124" s="19"/>
      <c r="B9124" s="36"/>
    </row>
    <row r="9125" spans="1:2" x14ac:dyDescent="0.3">
      <c r="A9125" s="19"/>
      <c r="B9125" s="36"/>
    </row>
    <row r="9126" spans="1:2" x14ac:dyDescent="0.3">
      <c r="A9126" s="19"/>
      <c r="B9126" s="36"/>
    </row>
    <row r="9127" spans="1:2" x14ac:dyDescent="0.3">
      <c r="A9127" s="19"/>
      <c r="B9127" s="36"/>
    </row>
    <row r="9128" spans="1:2" x14ac:dyDescent="0.3">
      <c r="A9128" s="19"/>
      <c r="B9128" s="36"/>
    </row>
    <row r="9129" spans="1:2" x14ac:dyDescent="0.3">
      <c r="A9129" s="19"/>
      <c r="B9129" s="36"/>
    </row>
    <row r="9130" spans="1:2" x14ac:dyDescent="0.3">
      <c r="A9130" s="19"/>
      <c r="B9130" s="36"/>
    </row>
    <row r="9131" spans="1:2" x14ac:dyDescent="0.3">
      <c r="A9131" s="19"/>
      <c r="B9131" s="36"/>
    </row>
    <row r="9132" spans="1:2" x14ac:dyDescent="0.3">
      <c r="A9132" s="19"/>
      <c r="B9132" s="36"/>
    </row>
    <row r="9133" spans="1:2" x14ac:dyDescent="0.3">
      <c r="A9133" s="19"/>
      <c r="B9133" s="36"/>
    </row>
    <row r="9134" spans="1:2" x14ac:dyDescent="0.3">
      <c r="A9134" s="19"/>
      <c r="B9134" s="36"/>
    </row>
    <row r="9135" spans="1:2" x14ac:dyDescent="0.3">
      <c r="A9135" s="19"/>
      <c r="B9135" s="36"/>
    </row>
    <row r="9136" spans="1:2" x14ac:dyDescent="0.3">
      <c r="A9136" s="19"/>
      <c r="B9136" s="36"/>
    </row>
    <row r="9137" spans="1:2" x14ac:dyDescent="0.3">
      <c r="A9137" s="19"/>
      <c r="B9137" s="36"/>
    </row>
    <row r="9138" spans="1:2" x14ac:dyDescent="0.3">
      <c r="A9138" s="19"/>
      <c r="B9138" s="36"/>
    </row>
    <row r="9139" spans="1:2" x14ac:dyDescent="0.3">
      <c r="A9139" s="19"/>
      <c r="B9139" s="36"/>
    </row>
    <row r="9140" spans="1:2" x14ac:dyDescent="0.3">
      <c r="A9140" s="19"/>
      <c r="B9140" s="36"/>
    </row>
    <row r="9141" spans="1:2" x14ac:dyDescent="0.3">
      <c r="A9141" s="19"/>
      <c r="B9141" s="36"/>
    </row>
    <row r="9142" spans="1:2" x14ac:dyDescent="0.3">
      <c r="A9142" s="19"/>
      <c r="B9142" s="36"/>
    </row>
    <row r="9143" spans="1:2" x14ac:dyDescent="0.3">
      <c r="A9143" s="19"/>
      <c r="B9143" s="36"/>
    </row>
    <row r="9144" spans="1:2" x14ac:dyDescent="0.3">
      <c r="A9144" s="19"/>
      <c r="B9144" s="36"/>
    </row>
    <row r="9145" spans="1:2" x14ac:dyDescent="0.3">
      <c r="A9145" s="19"/>
      <c r="B9145" s="36"/>
    </row>
    <row r="9146" spans="1:2" x14ac:dyDescent="0.3">
      <c r="A9146" s="19"/>
      <c r="B9146" s="36"/>
    </row>
    <row r="9147" spans="1:2" x14ac:dyDescent="0.3">
      <c r="A9147" s="19"/>
      <c r="B9147" s="36"/>
    </row>
    <row r="9148" spans="1:2" x14ac:dyDescent="0.3">
      <c r="A9148" s="19"/>
      <c r="B9148" s="36"/>
    </row>
    <row r="9149" spans="1:2" x14ac:dyDescent="0.3">
      <c r="A9149" s="19"/>
      <c r="B9149" s="36"/>
    </row>
    <row r="9150" spans="1:2" x14ac:dyDescent="0.3">
      <c r="A9150" s="19"/>
      <c r="B9150" s="36"/>
    </row>
    <row r="9151" spans="1:2" x14ac:dyDescent="0.3">
      <c r="A9151" s="19"/>
      <c r="B9151" s="36"/>
    </row>
    <row r="9152" spans="1:2" x14ac:dyDescent="0.3">
      <c r="A9152" s="19"/>
      <c r="B9152" s="36"/>
    </row>
    <row r="9153" spans="1:2" x14ac:dyDescent="0.3">
      <c r="A9153" s="19"/>
      <c r="B9153" s="36"/>
    </row>
    <row r="9154" spans="1:2" x14ac:dyDescent="0.3">
      <c r="A9154" s="19"/>
      <c r="B9154" s="36"/>
    </row>
    <row r="9155" spans="1:2" x14ac:dyDescent="0.3">
      <c r="A9155" s="19"/>
      <c r="B9155" s="36"/>
    </row>
    <row r="9156" spans="1:2" x14ac:dyDescent="0.3">
      <c r="A9156" s="19"/>
      <c r="B9156" s="36"/>
    </row>
    <row r="9157" spans="1:2" x14ac:dyDescent="0.3">
      <c r="A9157" s="19"/>
      <c r="B9157" s="36"/>
    </row>
    <row r="9158" spans="1:2" x14ac:dyDescent="0.3">
      <c r="A9158" s="19"/>
      <c r="B9158" s="36"/>
    </row>
    <row r="9159" spans="1:2" x14ac:dyDescent="0.3">
      <c r="A9159" s="19"/>
      <c r="B9159" s="36"/>
    </row>
    <row r="9160" spans="1:2" x14ac:dyDescent="0.3">
      <c r="A9160" s="19"/>
      <c r="B9160" s="36"/>
    </row>
    <row r="9161" spans="1:2" x14ac:dyDescent="0.3">
      <c r="A9161" s="19"/>
      <c r="B9161" s="36"/>
    </row>
    <row r="9162" spans="1:2" x14ac:dyDescent="0.3">
      <c r="A9162" s="19"/>
      <c r="B9162" s="36"/>
    </row>
    <row r="9163" spans="1:2" x14ac:dyDescent="0.3">
      <c r="A9163" s="19"/>
      <c r="B9163" s="36"/>
    </row>
    <row r="9164" spans="1:2" x14ac:dyDescent="0.3">
      <c r="A9164" s="19"/>
      <c r="B9164" s="36"/>
    </row>
    <row r="9165" spans="1:2" x14ac:dyDescent="0.3">
      <c r="A9165" s="19"/>
      <c r="B9165" s="36"/>
    </row>
    <row r="9166" spans="1:2" x14ac:dyDescent="0.3">
      <c r="A9166" s="19"/>
      <c r="B9166" s="36"/>
    </row>
    <row r="9167" spans="1:2" x14ac:dyDescent="0.3">
      <c r="A9167" s="19"/>
      <c r="B9167" s="36"/>
    </row>
    <row r="9168" spans="1:2" x14ac:dyDescent="0.3">
      <c r="A9168" s="19"/>
      <c r="B9168" s="36"/>
    </row>
    <row r="9169" spans="1:2" x14ac:dyDescent="0.3">
      <c r="A9169" s="19"/>
      <c r="B9169" s="36"/>
    </row>
    <row r="9170" spans="1:2" x14ac:dyDescent="0.3">
      <c r="A9170" s="19"/>
      <c r="B9170" s="36"/>
    </row>
    <row r="9171" spans="1:2" x14ac:dyDescent="0.3">
      <c r="A9171" s="19"/>
      <c r="B9171" s="36"/>
    </row>
    <row r="9172" spans="1:2" x14ac:dyDescent="0.3">
      <c r="A9172" s="19"/>
      <c r="B9172" s="36"/>
    </row>
    <row r="9173" spans="1:2" x14ac:dyDescent="0.3">
      <c r="A9173" s="19"/>
      <c r="B9173" s="36"/>
    </row>
    <row r="9174" spans="1:2" x14ac:dyDescent="0.3">
      <c r="A9174" s="19"/>
      <c r="B9174" s="36"/>
    </row>
    <row r="9175" spans="1:2" x14ac:dyDescent="0.3">
      <c r="A9175" s="19"/>
      <c r="B9175" s="36"/>
    </row>
    <row r="9176" spans="1:2" x14ac:dyDescent="0.3">
      <c r="A9176" s="19"/>
      <c r="B9176" s="36"/>
    </row>
    <row r="9177" spans="1:2" x14ac:dyDescent="0.3">
      <c r="A9177" s="19"/>
      <c r="B9177" s="36"/>
    </row>
    <row r="9178" spans="1:2" x14ac:dyDescent="0.3">
      <c r="A9178" s="19"/>
      <c r="B9178" s="36"/>
    </row>
    <row r="9179" spans="1:2" x14ac:dyDescent="0.3">
      <c r="A9179" s="19"/>
      <c r="B9179" s="36"/>
    </row>
    <row r="9180" spans="1:2" x14ac:dyDescent="0.3">
      <c r="A9180" s="19"/>
      <c r="B9180" s="36"/>
    </row>
    <row r="9181" spans="1:2" x14ac:dyDescent="0.3">
      <c r="A9181" s="19"/>
      <c r="B9181" s="36"/>
    </row>
    <row r="9182" spans="1:2" x14ac:dyDescent="0.3">
      <c r="A9182" s="19"/>
      <c r="B9182" s="36"/>
    </row>
    <row r="9183" spans="1:2" x14ac:dyDescent="0.3">
      <c r="A9183" s="19"/>
      <c r="B9183" s="36"/>
    </row>
    <row r="9184" spans="1:2" x14ac:dyDescent="0.3">
      <c r="A9184" s="19"/>
      <c r="B9184" s="36"/>
    </row>
    <row r="9185" spans="1:2" x14ac:dyDescent="0.3">
      <c r="A9185" s="19"/>
      <c r="B9185" s="36"/>
    </row>
    <row r="9186" spans="1:2" x14ac:dyDescent="0.3">
      <c r="A9186" s="19"/>
      <c r="B9186" s="36"/>
    </row>
    <row r="9187" spans="1:2" x14ac:dyDescent="0.3">
      <c r="A9187" s="19"/>
      <c r="B9187" s="36"/>
    </row>
    <row r="9188" spans="1:2" x14ac:dyDescent="0.3">
      <c r="A9188" s="19"/>
      <c r="B9188" s="36"/>
    </row>
    <row r="9189" spans="1:2" x14ac:dyDescent="0.3">
      <c r="A9189" s="19"/>
      <c r="B9189" s="36"/>
    </row>
    <row r="9190" spans="1:2" x14ac:dyDescent="0.3">
      <c r="A9190" s="19"/>
      <c r="B9190" s="36"/>
    </row>
    <row r="9191" spans="1:2" x14ac:dyDescent="0.3">
      <c r="A9191" s="19"/>
      <c r="B9191" s="36"/>
    </row>
    <row r="9192" spans="1:2" x14ac:dyDescent="0.3">
      <c r="A9192" s="19"/>
      <c r="B9192" s="36"/>
    </row>
    <row r="9193" spans="1:2" x14ac:dyDescent="0.3">
      <c r="A9193" s="19"/>
      <c r="B9193" s="36"/>
    </row>
    <row r="9194" spans="1:2" x14ac:dyDescent="0.3">
      <c r="A9194" s="19"/>
      <c r="B9194" s="36"/>
    </row>
    <row r="9195" spans="1:2" x14ac:dyDescent="0.3">
      <c r="A9195" s="19"/>
      <c r="B9195" s="36"/>
    </row>
    <row r="9196" spans="1:2" x14ac:dyDescent="0.3">
      <c r="A9196" s="19"/>
      <c r="B9196" s="36"/>
    </row>
    <row r="9197" spans="1:2" x14ac:dyDescent="0.3">
      <c r="A9197" s="19"/>
      <c r="B9197" s="36"/>
    </row>
    <row r="9198" spans="1:2" x14ac:dyDescent="0.3">
      <c r="A9198" s="19"/>
      <c r="B9198" s="36"/>
    </row>
    <row r="9199" spans="1:2" x14ac:dyDescent="0.3">
      <c r="A9199" s="19"/>
      <c r="B9199" s="36"/>
    </row>
    <row r="9200" spans="1:2" x14ac:dyDescent="0.3">
      <c r="A9200" s="19"/>
      <c r="B9200" s="36"/>
    </row>
    <row r="9201" spans="1:2" x14ac:dyDescent="0.3">
      <c r="A9201" s="19"/>
      <c r="B9201" s="36"/>
    </row>
    <row r="9202" spans="1:2" x14ac:dyDescent="0.3">
      <c r="A9202" s="19"/>
      <c r="B9202" s="36"/>
    </row>
    <row r="9203" spans="1:2" x14ac:dyDescent="0.3">
      <c r="A9203" s="19"/>
      <c r="B9203" s="36"/>
    </row>
    <row r="9204" spans="1:2" x14ac:dyDescent="0.3">
      <c r="A9204" s="19"/>
      <c r="B9204" s="36"/>
    </row>
    <row r="9205" spans="1:2" x14ac:dyDescent="0.3">
      <c r="A9205" s="19"/>
      <c r="B9205" s="36"/>
    </row>
    <row r="9206" spans="1:2" x14ac:dyDescent="0.3">
      <c r="A9206" s="19"/>
      <c r="B9206" s="36"/>
    </row>
    <row r="9207" spans="1:2" x14ac:dyDescent="0.3">
      <c r="A9207" s="19"/>
      <c r="B9207" s="36"/>
    </row>
    <row r="9208" spans="1:2" x14ac:dyDescent="0.3">
      <c r="A9208" s="19"/>
      <c r="B9208" s="36"/>
    </row>
    <row r="9209" spans="1:2" x14ac:dyDescent="0.3">
      <c r="A9209" s="19"/>
      <c r="B9209" s="36"/>
    </row>
    <row r="9210" spans="1:2" x14ac:dyDescent="0.3">
      <c r="A9210" s="19"/>
      <c r="B9210" s="36"/>
    </row>
    <row r="9211" spans="1:2" x14ac:dyDescent="0.3">
      <c r="A9211" s="19"/>
      <c r="B9211" s="36"/>
    </row>
    <row r="9212" spans="1:2" x14ac:dyDescent="0.3">
      <c r="A9212" s="19"/>
      <c r="B9212" s="36"/>
    </row>
    <row r="9213" spans="1:2" x14ac:dyDescent="0.3">
      <c r="A9213" s="19"/>
      <c r="B9213" s="36"/>
    </row>
    <row r="9214" spans="1:2" x14ac:dyDescent="0.3">
      <c r="A9214" s="19"/>
      <c r="B9214" s="36"/>
    </row>
    <row r="9215" spans="1:2" x14ac:dyDescent="0.3">
      <c r="A9215" s="19"/>
      <c r="B9215" s="36"/>
    </row>
    <row r="9216" spans="1:2" x14ac:dyDescent="0.3">
      <c r="A9216" s="19"/>
      <c r="B9216" s="36"/>
    </row>
    <row r="9217" spans="1:2" x14ac:dyDescent="0.3">
      <c r="A9217" s="19"/>
      <c r="B9217" s="36"/>
    </row>
    <row r="9218" spans="1:2" x14ac:dyDescent="0.3">
      <c r="A9218" s="19"/>
      <c r="B9218" s="36"/>
    </row>
    <row r="9219" spans="1:2" x14ac:dyDescent="0.3">
      <c r="A9219" s="19"/>
      <c r="B9219" s="36"/>
    </row>
    <row r="9220" spans="1:2" x14ac:dyDescent="0.3">
      <c r="A9220" s="19"/>
      <c r="B9220" s="36"/>
    </row>
    <row r="9221" spans="1:2" x14ac:dyDescent="0.3">
      <c r="A9221" s="19"/>
      <c r="B9221" s="36"/>
    </row>
    <row r="9222" spans="1:2" x14ac:dyDescent="0.3">
      <c r="A9222" s="19"/>
      <c r="B9222" s="36"/>
    </row>
    <row r="9223" spans="1:2" x14ac:dyDescent="0.3">
      <c r="A9223" s="19"/>
      <c r="B9223" s="36"/>
    </row>
    <row r="9224" spans="1:2" x14ac:dyDescent="0.3">
      <c r="A9224" s="19"/>
      <c r="B9224" s="36"/>
    </row>
    <row r="9225" spans="1:2" x14ac:dyDescent="0.3">
      <c r="A9225" s="19"/>
      <c r="B9225" s="36"/>
    </row>
    <row r="9226" spans="1:2" x14ac:dyDescent="0.3">
      <c r="A9226" s="19"/>
      <c r="B9226" s="36"/>
    </row>
    <row r="9227" spans="1:2" x14ac:dyDescent="0.3">
      <c r="A9227" s="19"/>
      <c r="B9227" s="36"/>
    </row>
    <row r="9228" spans="1:2" x14ac:dyDescent="0.3">
      <c r="A9228" s="19"/>
      <c r="B9228" s="36"/>
    </row>
    <row r="9229" spans="1:2" x14ac:dyDescent="0.3">
      <c r="A9229" s="19"/>
      <c r="B9229" s="36"/>
    </row>
    <row r="9230" spans="1:2" x14ac:dyDescent="0.3">
      <c r="A9230" s="19"/>
      <c r="B9230" s="36"/>
    </row>
    <row r="9231" spans="1:2" x14ac:dyDescent="0.3">
      <c r="A9231" s="19"/>
      <c r="B9231" s="36"/>
    </row>
    <row r="9232" spans="1:2" x14ac:dyDescent="0.3">
      <c r="A9232" s="19"/>
      <c r="B9232" s="36"/>
    </row>
    <row r="9233" spans="1:2" x14ac:dyDescent="0.3">
      <c r="A9233" s="19"/>
      <c r="B9233" s="36"/>
    </row>
    <row r="9234" spans="1:2" x14ac:dyDescent="0.3">
      <c r="A9234" s="19"/>
      <c r="B9234" s="36"/>
    </row>
    <row r="9235" spans="1:2" x14ac:dyDescent="0.3">
      <c r="A9235" s="19"/>
      <c r="B9235" s="36"/>
    </row>
    <row r="9236" spans="1:2" x14ac:dyDescent="0.3">
      <c r="A9236" s="19"/>
      <c r="B9236" s="36"/>
    </row>
    <row r="9237" spans="1:2" x14ac:dyDescent="0.3">
      <c r="A9237" s="19"/>
      <c r="B9237" s="36"/>
    </row>
    <row r="9238" spans="1:2" x14ac:dyDescent="0.3">
      <c r="A9238" s="19"/>
      <c r="B9238" s="36"/>
    </row>
    <row r="9239" spans="1:2" x14ac:dyDescent="0.3">
      <c r="A9239" s="19"/>
      <c r="B9239" s="36"/>
    </row>
    <row r="9240" spans="1:2" x14ac:dyDescent="0.3">
      <c r="A9240" s="19"/>
      <c r="B9240" s="36"/>
    </row>
    <row r="9241" spans="1:2" x14ac:dyDescent="0.3">
      <c r="A9241" s="19"/>
      <c r="B9241" s="36"/>
    </row>
    <row r="9242" spans="1:2" x14ac:dyDescent="0.3">
      <c r="A9242" s="19"/>
      <c r="B9242" s="36"/>
    </row>
    <row r="9243" spans="1:2" x14ac:dyDescent="0.3">
      <c r="A9243" s="19"/>
      <c r="B9243" s="36"/>
    </row>
    <row r="9244" spans="1:2" x14ac:dyDescent="0.3">
      <c r="A9244" s="19"/>
      <c r="B9244" s="36"/>
    </row>
    <row r="9245" spans="1:2" x14ac:dyDescent="0.3">
      <c r="A9245" s="19"/>
      <c r="B9245" s="36"/>
    </row>
    <row r="9246" spans="1:2" x14ac:dyDescent="0.3">
      <c r="A9246" s="19"/>
      <c r="B9246" s="36"/>
    </row>
    <row r="9247" spans="1:2" x14ac:dyDescent="0.3">
      <c r="A9247" s="19"/>
      <c r="B9247" s="36"/>
    </row>
    <row r="9248" spans="1:2" x14ac:dyDescent="0.3">
      <c r="A9248" s="19"/>
      <c r="B9248" s="36"/>
    </row>
    <row r="9249" spans="1:2" x14ac:dyDescent="0.3">
      <c r="A9249" s="19"/>
      <c r="B9249" s="36"/>
    </row>
    <row r="9250" spans="1:2" x14ac:dyDescent="0.3">
      <c r="A9250" s="19"/>
      <c r="B9250" s="36"/>
    </row>
    <row r="9251" spans="1:2" x14ac:dyDescent="0.3">
      <c r="A9251" s="19"/>
      <c r="B9251" s="36"/>
    </row>
    <row r="9252" spans="1:2" x14ac:dyDescent="0.3">
      <c r="A9252" s="19"/>
      <c r="B9252" s="36"/>
    </row>
    <row r="9253" spans="1:2" x14ac:dyDescent="0.3">
      <c r="A9253" s="19"/>
      <c r="B9253" s="36"/>
    </row>
    <row r="9254" spans="1:2" x14ac:dyDescent="0.3">
      <c r="A9254" s="19"/>
      <c r="B9254" s="36"/>
    </row>
    <row r="9255" spans="1:2" x14ac:dyDescent="0.3">
      <c r="A9255" s="19"/>
      <c r="B9255" s="36"/>
    </row>
    <row r="9256" spans="1:2" x14ac:dyDescent="0.3">
      <c r="A9256" s="19"/>
      <c r="B9256" s="36"/>
    </row>
    <row r="9257" spans="1:2" x14ac:dyDescent="0.3">
      <c r="A9257" s="19"/>
      <c r="B9257" s="36"/>
    </row>
    <row r="9258" spans="1:2" x14ac:dyDescent="0.3">
      <c r="A9258" s="19"/>
      <c r="B9258" s="36"/>
    </row>
    <row r="9259" spans="1:2" x14ac:dyDescent="0.3">
      <c r="A9259" s="19"/>
      <c r="B9259" s="36"/>
    </row>
    <row r="9260" spans="1:2" x14ac:dyDescent="0.3">
      <c r="A9260" s="19"/>
      <c r="B9260" s="36"/>
    </row>
    <row r="9261" spans="1:2" x14ac:dyDescent="0.3">
      <c r="A9261" s="19"/>
      <c r="B9261" s="36"/>
    </row>
    <row r="9262" spans="1:2" x14ac:dyDescent="0.3">
      <c r="A9262" s="19"/>
      <c r="B9262" s="36"/>
    </row>
    <row r="9263" spans="1:2" x14ac:dyDescent="0.3">
      <c r="A9263" s="19"/>
      <c r="B9263" s="36"/>
    </row>
    <row r="9264" spans="1:2" x14ac:dyDescent="0.3">
      <c r="A9264" s="19"/>
      <c r="B9264" s="36"/>
    </row>
    <row r="9265" spans="1:2" x14ac:dyDescent="0.3">
      <c r="A9265" s="19"/>
      <c r="B9265" s="36"/>
    </row>
    <row r="9266" spans="1:2" x14ac:dyDescent="0.3">
      <c r="A9266" s="19"/>
      <c r="B9266" s="36"/>
    </row>
    <row r="9267" spans="1:2" x14ac:dyDescent="0.3">
      <c r="A9267" s="19"/>
      <c r="B9267" s="36"/>
    </row>
    <row r="9268" spans="1:2" x14ac:dyDescent="0.3">
      <c r="A9268" s="19"/>
      <c r="B9268" s="36"/>
    </row>
    <row r="9269" spans="1:2" x14ac:dyDescent="0.3">
      <c r="A9269" s="19"/>
      <c r="B9269" s="36"/>
    </row>
    <row r="9270" spans="1:2" x14ac:dyDescent="0.3">
      <c r="A9270" s="19"/>
      <c r="B9270" s="36"/>
    </row>
    <row r="9271" spans="1:2" x14ac:dyDescent="0.3">
      <c r="A9271" s="19"/>
      <c r="B9271" s="36"/>
    </row>
    <row r="9272" spans="1:2" x14ac:dyDescent="0.3">
      <c r="A9272" s="19"/>
      <c r="B9272" s="36"/>
    </row>
    <row r="9273" spans="1:2" x14ac:dyDescent="0.3">
      <c r="A9273" s="19"/>
      <c r="B9273" s="36"/>
    </row>
    <row r="9274" spans="1:2" x14ac:dyDescent="0.3">
      <c r="A9274" s="19"/>
      <c r="B9274" s="36"/>
    </row>
    <row r="9275" spans="1:2" x14ac:dyDescent="0.3">
      <c r="A9275" s="19"/>
      <c r="B9275" s="36"/>
    </row>
    <row r="9276" spans="1:2" x14ac:dyDescent="0.3">
      <c r="A9276" s="19"/>
      <c r="B9276" s="36"/>
    </row>
    <row r="9277" spans="1:2" x14ac:dyDescent="0.3">
      <c r="A9277" s="19"/>
      <c r="B9277" s="36"/>
    </row>
    <row r="9278" spans="1:2" x14ac:dyDescent="0.3">
      <c r="A9278" s="19"/>
      <c r="B9278" s="36"/>
    </row>
    <row r="9279" spans="1:2" x14ac:dyDescent="0.3">
      <c r="A9279" s="19"/>
      <c r="B9279" s="36"/>
    </row>
    <row r="9280" spans="1:2" x14ac:dyDescent="0.3">
      <c r="A9280" s="19"/>
      <c r="B9280" s="36"/>
    </row>
    <row r="9281" spans="1:2" x14ac:dyDescent="0.3">
      <c r="A9281" s="19"/>
      <c r="B9281" s="36"/>
    </row>
    <row r="9282" spans="1:2" x14ac:dyDescent="0.3">
      <c r="A9282" s="19"/>
      <c r="B9282" s="36"/>
    </row>
    <row r="9283" spans="1:2" x14ac:dyDescent="0.3">
      <c r="A9283" s="19"/>
      <c r="B9283" s="36"/>
    </row>
    <row r="9284" spans="1:2" x14ac:dyDescent="0.3">
      <c r="A9284" s="19"/>
      <c r="B9284" s="36"/>
    </row>
    <row r="9285" spans="1:2" x14ac:dyDescent="0.3">
      <c r="A9285" s="19"/>
      <c r="B9285" s="36"/>
    </row>
    <row r="9286" spans="1:2" x14ac:dyDescent="0.3">
      <c r="A9286" s="19"/>
      <c r="B9286" s="36"/>
    </row>
    <row r="9287" spans="1:2" x14ac:dyDescent="0.3">
      <c r="A9287" s="19"/>
      <c r="B9287" s="36"/>
    </row>
    <row r="9288" spans="1:2" x14ac:dyDescent="0.3">
      <c r="A9288" s="19"/>
      <c r="B9288" s="36"/>
    </row>
    <row r="9289" spans="1:2" x14ac:dyDescent="0.3">
      <c r="A9289" s="19"/>
      <c r="B9289" s="36"/>
    </row>
    <row r="9290" spans="1:2" x14ac:dyDescent="0.3">
      <c r="A9290" s="19"/>
      <c r="B9290" s="36"/>
    </row>
    <row r="9291" spans="1:2" x14ac:dyDescent="0.3">
      <c r="A9291" s="19"/>
      <c r="B9291" s="36"/>
    </row>
    <row r="9292" spans="1:2" x14ac:dyDescent="0.3">
      <c r="A9292" s="19"/>
      <c r="B9292" s="36"/>
    </row>
    <row r="9293" spans="1:2" x14ac:dyDescent="0.3">
      <c r="A9293" s="19"/>
      <c r="B9293" s="36"/>
    </row>
    <row r="9294" spans="1:2" x14ac:dyDescent="0.3">
      <c r="A9294" s="19"/>
      <c r="B9294" s="36"/>
    </row>
    <row r="9295" spans="1:2" x14ac:dyDescent="0.3">
      <c r="A9295" s="19"/>
      <c r="B9295" s="36"/>
    </row>
    <row r="9296" spans="1:2" x14ac:dyDescent="0.3">
      <c r="A9296" s="19"/>
      <c r="B9296" s="36"/>
    </row>
    <row r="9297" spans="1:2" x14ac:dyDescent="0.3">
      <c r="A9297" s="19"/>
      <c r="B9297" s="36"/>
    </row>
    <row r="9298" spans="1:2" x14ac:dyDescent="0.3">
      <c r="A9298" s="19"/>
      <c r="B9298" s="36"/>
    </row>
    <row r="9299" spans="1:2" x14ac:dyDescent="0.3">
      <c r="A9299" s="19"/>
      <c r="B9299" s="36"/>
    </row>
    <row r="9300" spans="1:2" x14ac:dyDescent="0.3">
      <c r="A9300" s="19"/>
      <c r="B9300" s="36"/>
    </row>
    <row r="9301" spans="1:2" x14ac:dyDescent="0.3">
      <c r="A9301" s="19"/>
      <c r="B9301" s="36"/>
    </row>
    <row r="9302" spans="1:2" x14ac:dyDescent="0.3">
      <c r="A9302" s="19"/>
      <c r="B9302" s="36"/>
    </row>
    <row r="9303" spans="1:2" x14ac:dyDescent="0.3">
      <c r="A9303" s="19"/>
      <c r="B9303" s="36"/>
    </row>
    <row r="9304" spans="1:2" x14ac:dyDescent="0.3">
      <c r="A9304" s="19"/>
      <c r="B9304" s="36"/>
    </row>
    <row r="9305" spans="1:2" x14ac:dyDescent="0.3">
      <c r="A9305" s="19"/>
      <c r="B9305" s="36"/>
    </row>
    <row r="9306" spans="1:2" x14ac:dyDescent="0.3">
      <c r="A9306" s="19"/>
      <c r="B9306" s="36"/>
    </row>
    <row r="9307" spans="1:2" x14ac:dyDescent="0.3">
      <c r="A9307" s="19"/>
      <c r="B9307" s="36"/>
    </row>
    <row r="9308" spans="1:2" x14ac:dyDescent="0.3">
      <c r="A9308" s="19"/>
      <c r="B9308" s="36"/>
    </row>
    <row r="9309" spans="1:2" x14ac:dyDescent="0.3">
      <c r="A9309" s="19"/>
      <c r="B9309" s="36"/>
    </row>
    <row r="9310" spans="1:2" x14ac:dyDescent="0.3">
      <c r="A9310" s="19"/>
      <c r="B9310" s="36"/>
    </row>
    <row r="9311" spans="1:2" x14ac:dyDescent="0.3">
      <c r="A9311" s="19"/>
      <c r="B9311" s="36"/>
    </row>
    <row r="9312" spans="1:2" x14ac:dyDescent="0.3">
      <c r="A9312" s="19"/>
      <c r="B9312" s="36"/>
    </row>
    <row r="9313" spans="1:2" x14ac:dyDescent="0.3">
      <c r="A9313" s="19"/>
      <c r="B9313" s="36"/>
    </row>
    <row r="9314" spans="1:2" x14ac:dyDescent="0.3">
      <c r="A9314" s="19"/>
      <c r="B9314" s="36"/>
    </row>
    <row r="9315" spans="1:2" x14ac:dyDescent="0.3">
      <c r="A9315" s="19"/>
      <c r="B9315" s="36"/>
    </row>
    <row r="9316" spans="1:2" x14ac:dyDescent="0.3">
      <c r="A9316" s="19"/>
      <c r="B9316" s="36"/>
    </row>
    <row r="9317" spans="1:2" x14ac:dyDescent="0.3">
      <c r="A9317" s="19"/>
      <c r="B9317" s="36"/>
    </row>
    <row r="9318" spans="1:2" x14ac:dyDescent="0.3">
      <c r="A9318" s="19"/>
      <c r="B9318" s="36"/>
    </row>
    <row r="9319" spans="1:2" x14ac:dyDescent="0.3">
      <c r="A9319" s="19"/>
      <c r="B9319" s="36"/>
    </row>
    <row r="9320" spans="1:2" x14ac:dyDescent="0.3">
      <c r="A9320" s="19"/>
      <c r="B9320" s="36"/>
    </row>
    <row r="9321" spans="1:2" x14ac:dyDescent="0.3">
      <c r="A9321" s="19"/>
      <c r="B9321" s="36"/>
    </row>
    <row r="9322" spans="1:2" x14ac:dyDescent="0.3">
      <c r="A9322" s="19"/>
      <c r="B9322" s="36"/>
    </row>
    <row r="9323" spans="1:2" x14ac:dyDescent="0.3">
      <c r="A9323" s="19"/>
      <c r="B9323" s="36"/>
    </row>
    <row r="9324" spans="1:2" x14ac:dyDescent="0.3">
      <c r="A9324" s="19"/>
      <c r="B9324" s="36"/>
    </row>
    <row r="9325" spans="1:2" x14ac:dyDescent="0.3">
      <c r="A9325" s="19"/>
      <c r="B9325" s="36"/>
    </row>
    <row r="9326" spans="1:2" x14ac:dyDescent="0.3">
      <c r="A9326" s="19"/>
      <c r="B9326" s="36"/>
    </row>
    <row r="9327" spans="1:2" x14ac:dyDescent="0.3">
      <c r="A9327" s="19"/>
      <c r="B9327" s="36"/>
    </row>
    <row r="9328" spans="1:2" x14ac:dyDescent="0.3">
      <c r="A9328" s="19"/>
      <c r="B9328" s="36"/>
    </row>
    <row r="9329" spans="1:2" x14ac:dyDescent="0.3">
      <c r="A9329" s="19"/>
      <c r="B9329" s="36"/>
    </row>
    <row r="9330" spans="1:2" x14ac:dyDescent="0.3">
      <c r="A9330" s="19"/>
      <c r="B9330" s="36"/>
    </row>
    <row r="9331" spans="1:2" x14ac:dyDescent="0.3">
      <c r="A9331" s="19"/>
      <c r="B9331" s="36"/>
    </row>
    <row r="9332" spans="1:2" x14ac:dyDescent="0.3">
      <c r="A9332" s="19"/>
      <c r="B9332" s="36"/>
    </row>
    <row r="9333" spans="1:2" x14ac:dyDescent="0.3">
      <c r="A9333" s="19"/>
      <c r="B9333" s="36"/>
    </row>
    <row r="9334" spans="1:2" x14ac:dyDescent="0.3">
      <c r="A9334" s="19"/>
      <c r="B9334" s="36"/>
    </row>
    <row r="9335" spans="1:2" x14ac:dyDescent="0.3">
      <c r="A9335" s="19"/>
      <c r="B9335" s="36"/>
    </row>
    <row r="9336" spans="1:2" x14ac:dyDescent="0.3">
      <c r="A9336" s="19"/>
      <c r="B9336" s="36"/>
    </row>
    <row r="9337" spans="1:2" x14ac:dyDescent="0.3">
      <c r="A9337" s="19"/>
      <c r="B9337" s="36"/>
    </row>
    <row r="9338" spans="1:2" x14ac:dyDescent="0.3">
      <c r="A9338" s="19"/>
      <c r="B9338" s="36"/>
    </row>
    <row r="9339" spans="1:2" x14ac:dyDescent="0.3">
      <c r="A9339" s="19"/>
      <c r="B9339" s="36"/>
    </row>
    <row r="9340" spans="1:2" x14ac:dyDescent="0.3">
      <c r="A9340" s="19"/>
      <c r="B9340" s="36"/>
    </row>
    <row r="9341" spans="1:2" x14ac:dyDescent="0.3">
      <c r="A9341" s="19"/>
      <c r="B9341" s="36"/>
    </row>
    <row r="9342" spans="1:2" x14ac:dyDescent="0.3">
      <c r="A9342" s="19"/>
      <c r="B9342" s="36"/>
    </row>
    <row r="9343" spans="1:2" x14ac:dyDescent="0.3">
      <c r="A9343" s="19"/>
      <c r="B9343" s="36"/>
    </row>
    <row r="9344" spans="1:2" x14ac:dyDescent="0.3">
      <c r="A9344" s="19"/>
      <c r="B9344" s="36"/>
    </row>
    <row r="9345" spans="1:2" x14ac:dyDescent="0.3">
      <c r="A9345" s="19"/>
      <c r="B9345" s="36"/>
    </row>
    <row r="9346" spans="1:2" x14ac:dyDescent="0.3">
      <c r="A9346" s="19"/>
      <c r="B9346" s="36"/>
    </row>
    <row r="9347" spans="1:2" x14ac:dyDescent="0.3">
      <c r="A9347" s="19"/>
      <c r="B9347" s="36"/>
    </row>
    <row r="9348" spans="1:2" x14ac:dyDescent="0.3">
      <c r="A9348" s="19"/>
      <c r="B9348" s="36"/>
    </row>
    <row r="9349" spans="1:2" x14ac:dyDescent="0.3">
      <c r="A9349" s="19"/>
      <c r="B9349" s="36"/>
    </row>
    <row r="9350" spans="1:2" x14ac:dyDescent="0.3">
      <c r="A9350" s="19"/>
      <c r="B9350" s="36"/>
    </row>
    <row r="9351" spans="1:2" x14ac:dyDescent="0.3">
      <c r="A9351" s="19"/>
      <c r="B9351" s="36"/>
    </row>
    <row r="9352" spans="1:2" x14ac:dyDescent="0.3">
      <c r="A9352" s="19"/>
      <c r="B9352" s="36"/>
    </row>
    <row r="9353" spans="1:2" x14ac:dyDescent="0.3">
      <c r="A9353" s="19"/>
      <c r="B9353" s="36"/>
    </row>
    <row r="9354" spans="1:2" x14ac:dyDescent="0.3">
      <c r="A9354" s="19"/>
      <c r="B9354" s="36"/>
    </row>
    <row r="9355" spans="1:2" x14ac:dyDescent="0.3">
      <c r="A9355" s="19"/>
      <c r="B9355" s="36"/>
    </row>
    <row r="9356" spans="1:2" x14ac:dyDescent="0.3">
      <c r="A9356" s="19"/>
      <c r="B9356" s="36"/>
    </row>
    <row r="9357" spans="1:2" x14ac:dyDescent="0.3">
      <c r="A9357" s="19"/>
      <c r="B9357" s="36"/>
    </row>
    <row r="9358" spans="1:2" x14ac:dyDescent="0.3">
      <c r="A9358" s="19"/>
      <c r="B9358" s="36"/>
    </row>
    <row r="9359" spans="1:2" x14ac:dyDescent="0.3">
      <c r="A9359" s="19"/>
      <c r="B9359" s="36"/>
    </row>
    <row r="9360" spans="1:2" x14ac:dyDescent="0.3">
      <c r="A9360" s="19"/>
      <c r="B9360" s="36"/>
    </row>
    <row r="9361" spans="1:2" x14ac:dyDescent="0.3">
      <c r="A9361" s="19"/>
      <c r="B9361" s="36"/>
    </row>
    <row r="9362" spans="1:2" x14ac:dyDescent="0.3">
      <c r="A9362" s="19"/>
      <c r="B9362" s="36"/>
    </row>
    <row r="9363" spans="1:2" x14ac:dyDescent="0.3">
      <c r="A9363" s="19"/>
      <c r="B9363" s="36"/>
    </row>
    <row r="9364" spans="1:2" x14ac:dyDescent="0.3">
      <c r="A9364" s="19"/>
      <c r="B9364" s="36"/>
    </row>
    <row r="9365" spans="1:2" x14ac:dyDescent="0.3">
      <c r="A9365" s="19"/>
      <c r="B9365" s="36"/>
    </row>
    <row r="9366" spans="1:2" x14ac:dyDescent="0.3">
      <c r="A9366" s="19"/>
      <c r="B9366" s="36"/>
    </row>
    <row r="9367" spans="1:2" x14ac:dyDescent="0.3">
      <c r="A9367" s="19"/>
      <c r="B9367" s="36"/>
    </row>
    <row r="9368" spans="1:2" x14ac:dyDescent="0.3">
      <c r="A9368" s="19"/>
      <c r="B9368" s="36"/>
    </row>
    <row r="9369" spans="1:2" x14ac:dyDescent="0.3">
      <c r="A9369" s="19"/>
      <c r="B9369" s="36"/>
    </row>
    <row r="9370" spans="1:2" x14ac:dyDescent="0.3">
      <c r="A9370" s="19"/>
      <c r="B9370" s="36"/>
    </row>
    <row r="9371" spans="1:2" x14ac:dyDescent="0.3">
      <c r="A9371" s="19"/>
      <c r="B9371" s="36"/>
    </row>
    <row r="9372" spans="1:2" x14ac:dyDescent="0.3">
      <c r="A9372" s="19"/>
      <c r="B9372" s="36"/>
    </row>
    <row r="9373" spans="1:2" x14ac:dyDescent="0.3">
      <c r="A9373" s="19"/>
      <c r="B9373" s="36"/>
    </row>
    <row r="9374" spans="1:2" x14ac:dyDescent="0.3">
      <c r="A9374" s="19"/>
      <c r="B9374" s="36"/>
    </row>
    <row r="9375" spans="1:2" x14ac:dyDescent="0.3">
      <c r="A9375" s="19"/>
      <c r="B9375" s="36"/>
    </row>
    <row r="9376" spans="1:2" x14ac:dyDescent="0.3">
      <c r="A9376" s="19"/>
      <c r="B9376" s="36"/>
    </row>
    <row r="9377" spans="1:2" x14ac:dyDescent="0.3">
      <c r="A9377" s="19"/>
      <c r="B9377" s="36"/>
    </row>
    <row r="9378" spans="1:2" x14ac:dyDescent="0.3">
      <c r="A9378" s="19"/>
      <c r="B9378" s="36"/>
    </row>
    <row r="9379" spans="1:2" x14ac:dyDescent="0.3">
      <c r="A9379" s="19"/>
      <c r="B9379" s="36"/>
    </row>
    <row r="9380" spans="1:2" x14ac:dyDescent="0.3">
      <c r="A9380" s="19"/>
      <c r="B9380" s="36"/>
    </row>
    <row r="9381" spans="1:2" x14ac:dyDescent="0.3">
      <c r="A9381" s="19"/>
      <c r="B9381" s="36"/>
    </row>
    <row r="9382" spans="1:2" x14ac:dyDescent="0.3">
      <c r="A9382" s="19"/>
      <c r="B9382" s="36"/>
    </row>
    <row r="9383" spans="1:2" x14ac:dyDescent="0.3">
      <c r="A9383" s="19"/>
      <c r="B9383" s="36"/>
    </row>
    <row r="9384" spans="1:2" x14ac:dyDescent="0.3">
      <c r="A9384" s="19"/>
      <c r="B9384" s="36"/>
    </row>
    <row r="9385" spans="1:2" x14ac:dyDescent="0.3">
      <c r="A9385" s="19"/>
      <c r="B9385" s="36"/>
    </row>
    <row r="9386" spans="1:2" x14ac:dyDescent="0.3">
      <c r="A9386" s="19"/>
      <c r="B9386" s="36"/>
    </row>
    <row r="9387" spans="1:2" x14ac:dyDescent="0.3">
      <c r="A9387" s="19"/>
      <c r="B9387" s="36"/>
    </row>
    <row r="9388" spans="1:2" x14ac:dyDescent="0.3">
      <c r="A9388" s="19"/>
      <c r="B9388" s="36"/>
    </row>
    <row r="9389" spans="1:2" x14ac:dyDescent="0.3">
      <c r="A9389" s="19"/>
      <c r="B9389" s="36"/>
    </row>
    <row r="9390" spans="1:2" x14ac:dyDescent="0.3">
      <c r="A9390" s="19"/>
      <c r="B9390" s="36"/>
    </row>
    <row r="9391" spans="1:2" x14ac:dyDescent="0.3">
      <c r="A9391" s="19"/>
      <c r="B9391" s="36"/>
    </row>
    <row r="9392" spans="1:2" x14ac:dyDescent="0.3">
      <c r="A9392" s="19"/>
      <c r="B9392" s="36"/>
    </row>
    <row r="9393" spans="1:2" x14ac:dyDescent="0.3">
      <c r="A9393" s="19"/>
      <c r="B9393" s="36"/>
    </row>
    <row r="9394" spans="1:2" x14ac:dyDescent="0.3">
      <c r="A9394" s="19"/>
      <c r="B9394" s="36"/>
    </row>
    <row r="9395" spans="1:2" x14ac:dyDescent="0.3">
      <c r="A9395" s="19"/>
      <c r="B9395" s="36"/>
    </row>
    <row r="9396" spans="1:2" x14ac:dyDescent="0.3">
      <c r="A9396" s="19"/>
      <c r="B9396" s="36"/>
    </row>
    <row r="9397" spans="1:2" x14ac:dyDescent="0.3">
      <c r="A9397" s="19"/>
      <c r="B9397" s="36"/>
    </row>
    <row r="9398" spans="1:2" x14ac:dyDescent="0.3">
      <c r="A9398" s="19"/>
      <c r="B9398" s="36"/>
    </row>
    <row r="9399" spans="1:2" x14ac:dyDescent="0.3">
      <c r="A9399" s="19"/>
      <c r="B9399" s="36"/>
    </row>
    <row r="9400" spans="1:2" x14ac:dyDescent="0.3">
      <c r="A9400" s="19"/>
      <c r="B9400" s="36"/>
    </row>
    <row r="9401" spans="1:2" x14ac:dyDescent="0.3">
      <c r="A9401" s="19"/>
      <c r="B9401" s="36"/>
    </row>
    <row r="9402" spans="1:2" x14ac:dyDescent="0.3">
      <c r="A9402" s="19"/>
      <c r="B9402" s="36"/>
    </row>
    <row r="9403" spans="1:2" x14ac:dyDescent="0.3">
      <c r="A9403" s="19"/>
      <c r="B9403" s="36"/>
    </row>
    <row r="9404" spans="1:2" x14ac:dyDescent="0.3">
      <c r="A9404" s="19"/>
      <c r="B9404" s="36"/>
    </row>
    <row r="9405" spans="1:2" x14ac:dyDescent="0.3">
      <c r="A9405" s="19"/>
      <c r="B9405" s="36"/>
    </row>
    <row r="9406" spans="1:2" x14ac:dyDescent="0.3">
      <c r="A9406" s="19"/>
      <c r="B9406" s="36"/>
    </row>
    <row r="9407" spans="1:2" x14ac:dyDescent="0.3">
      <c r="A9407" s="19"/>
      <c r="B9407" s="36"/>
    </row>
    <row r="9408" spans="1:2" x14ac:dyDescent="0.3">
      <c r="A9408" s="19"/>
      <c r="B9408" s="36"/>
    </row>
    <row r="9409" spans="1:2" x14ac:dyDescent="0.3">
      <c r="A9409" s="19"/>
      <c r="B9409" s="36"/>
    </row>
    <row r="9410" spans="1:2" x14ac:dyDescent="0.3">
      <c r="A9410" s="19"/>
      <c r="B9410" s="36"/>
    </row>
    <row r="9411" spans="1:2" x14ac:dyDescent="0.3">
      <c r="A9411" s="19"/>
      <c r="B9411" s="36"/>
    </row>
    <row r="9412" spans="1:2" x14ac:dyDescent="0.3">
      <c r="A9412" s="19"/>
      <c r="B9412" s="36"/>
    </row>
    <row r="9413" spans="1:2" x14ac:dyDescent="0.3">
      <c r="A9413" s="19"/>
      <c r="B9413" s="36"/>
    </row>
    <row r="9414" spans="1:2" x14ac:dyDescent="0.3">
      <c r="A9414" s="19"/>
      <c r="B9414" s="36"/>
    </row>
    <row r="9415" spans="1:2" x14ac:dyDescent="0.3">
      <c r="A9415" s="19"/>
      <c r="B9415" s="36"/>
    </row>
    <row r="9416" spans="1:2" x14ac:dyDescent="0.3">
      <c r="A9416" s="19"/>
      <c r="B9416" s="36"/>
    </row>
    <row r="9417" spans="1:2" x14ac:dyDescent="0.3">
      <c r="A9417" s="19"/>
      <c r="B9417" s="36"/>
    </row>
    <row r="9418" spans="1:2" x14ac:dyDescent="0.3">
      <c r="A9418" s="19"/>
      <c r="B9418" s="36"/>
    </row>
    <row r="9419" spans="1:2" x14ac:dyDescent="0.3">
      <c r="A9419" s="19"/>
      <c r="B9419" s="36"/>
    </row>
    <row r="9420" spans="1:2" x14ac:dyDescent="0.3">
      <c r="A9420" s="19"/>
      <c r="B9420" s="36"/>
    </row>
    <row r="9421" spans="1:2" x14ac:dyDescent="0.3">
      <c r="A9421" s="19"/>
      <c r="B9421" s="36"/>
    </row>
    <row r="9422" spans="1:2" x14ac:dyDescent="0.3">
      <c r="A9422" s="19"/>
      <c r="B9422" s="36"/>
    </row>
    <row r="9423" spans="1:2" x14ac:dyDescent="0.3">
      <c r="A9423" s="19"/>
      <c r="B9423" s="36"/>
    </row>
    <row r="9424" spans="1:2" x14ac:dyDescent="0.3">
      <c r="A9424" s="19"/>
      <c r="B9424" s="36"/>
    </row>
    <row r="9425" spans="1:2" x14ac:dyDescent="0.3">
      <c r="A9425" s="19"/>
      <c r="B9425" s="36"/>
    </row>
    <row r="9426" spans="1:2" x14ac:dyDescent="0.3">
      <c r="A9426" s="19"/>
      <c r="B9426" s="36"/>
    </row>
    <row r="9427" spans="1:2" x14ac:dyDescent="0.3">
      <c r="A9427" s="19"/>
      <c r="B9427" s="36"/>
    </row>
    <row r="9428" spans="1:2" x14ac:dyDescent="0.3">
      <c r="A9428" s="19"/>
      <c r="B9428" s="36"/>
    </row>
    <row r="9429" spans="1:2" x14ac:dyDescent="0.3">
      <c r="A9429" s="19"/>
      <c r="B9429" s="36"/>
    </row>
    <row r="9430" spans="1:2" x14ac:dyDescent="0.3">
      <c r="A9430" s="19"/>
      <c r="B9430" s="36"/>
    </row>
    <row r="9431" spans="1:2" x14ac:dyDescent="0.3">
      <c r="A9431" s="19"/>
      <c r="B9431" s="36"/>
    </row>
    <row r="9432" spans="1:2" x14ac:dyDescent="0.3">
      <c r="A9432" s="19"/>
      <c r="B9432" s="36"/>
    </row>
    <row r="9433" spans="1:2" x14ac:dyDescent="0.3">
      <c r="A9433" s="19"/>
      <c r="B9433" s="36"/>
    </row>
    <row r="9434" spans="1:2" x14ac:dyDescent="0.3">
      <c r="A9434" s="19"/>
      <c r="B9434" s="36"/>
    </row>
    <row r="9435" spans="1:2" x14ac:dyDescent="0.3">
      <c r="A9435" s="19"/>
      <c r="B9435" s="36"/>
    </row>
    <row r="9436" spans="1:2" x14ac:dyDescent="0.3">
      <c r="A9436" s="19"/>
      <c r="B9436" s="36"/>
    </row>
    <row r="9437" spans="1:2" x14ac:dyDescent="0.3">
      <c r="A9437" s="19"/>
      <c r="B9437" s="36"/>
    </row>
    <row r="9438" spans="1:2" x14ac:dyDescent="0.3">
      <c r="A9438" s="19"/>
      <c r="B9438" s="36"/>
    </row>
    <row r="9439" spans="1:2" x14ac:dyDescent="0.3">
      <c r="A9439" s="19"/>
      <c r="B9439" s="36"/>
    </row>
    <row r="9440" spans="1:2" x14ac:dyDescent="0.3">
      <c r="A9440" s="19"/>
      <c r="B9440" s="36"/>
    </row>
    <row r="9441" spans="1:2" x14ac:dyDescent="0.3">
      <c r="A9441" s="19"/>
      <c r="B9441" s="36"/>
    </row>
    <row r="9442" spans="1:2" x14ac:dyDescent="0.3">
      <c r="A9442" s="19"/>
      <c r="B9442" s="36"/>
    </row>
    <row r="9443" spans="1:2" x14ac:dyDescent="0.3">
      <c r="A9443" s="19"/>
      <c r="B9443" s="36"/>
    </row>
    <row r="9444" spans="1:2" x14ac:dyDescent="0.3">
      <c r="A9444" s="19"/>
      <c r="B9444" s="36"/>
    </row>
    <row r="9445" spans="1:2" x14ac:dyDescent="0.3">
      <c r="A9445" s="19"/>
      <c r="B9445" s="36"/>
    </row>
    <row r="9446" spans="1:2" x14ac:dyDescent="0.3">
      <c r="A9446" s="19"/>
      <c r="B9446" s="36"/>
    </row>
    <row r="9447" spans="1:2" x14ac:dyDescent="0.3">
      <c r="A9447" s="19"/>
      <c r="B9447" s="36"/>
    </row>
    <row r="9448" spans="1:2" x14ac:dyDescent="0.3">
      <c r="A9448" s="19"/>
      <c r="B9448" s="36"/>
    </row>
    <row r="9449" spans="1:2" x14ac:dyDescent="0.3">
      <c r="A9449" s="19"/>
      <c r="B9449" s="36"/>
    </row>
    <row r="9450" spans="1:2" x14ac:dyDescent="0.3">
      <c r="A9450" s="19"/>
      <c r="B9450" s="36"/>
    </row>
    <row r="9451" spans="1:2" x14ac:dyDescent="0.3">
      <c r="A9451" s="19"/>
      <c r="B9451" s="36"/>
    </row>
    <row r="9452" spans="1:2" x14ac:dyDescent="0.3">
      <c r="A9452" s="19"/>
      <c r="B9452" s="36"/>
    </row>
    <row r="9453" spans="1:2" x14ac:dyDescent="0.3">
      <c r="A9453" s="19"/>
      <c r="B9453" s="36"/>
    </row>
    <row r="9454" spans="1:2" x14ac:dyDescent="0.3">
      <c r="A9454" s="19"/>
      <c r="B9454" s="36"/>
    </row>
    <row r="9455" spans="1:2" x14ac:dyDescent="0.3">
      <c r="A9455" s="19"/>
      <c r="B9455" s="36"/>
    </row>
    <row r="9456" spans="1:2" x14ac:dyDescent="0.3">
      <c r="A9456" s="19"/>
      <c r="B9456" s="36"/>
    </row>
    <row r="9457" spans="1:2" x14ac:dyDescent="0.3">
      <c r="A9457" s="19"/>
      <c r="B9457" s="36"/>
    </row>
    <row r="9458" spans="1:2" x14ac:dyDescent="0.3">
      <c r="A9458" s="19"/>
      <c r="B9458" s="36"/>
    </row>
    <row r="9459" spans="1:2" x14ac:dyDescent="0.3">
      <c r="A9459" s="19"/>
      <c r="B9459" s="36"/>
    </row>
    <row r="9460" spans="1:2" x14ac:dyDescent="0.3">
      <c r="A9460" s="19"/>
      <c r="B9460" s="36"/>
    </row>
    <row r="9461" spans="1:2" x14ac:dyDescent="0.3">
      <c r="A9461" s="19"/>
      <c r="B9461" s="36"/>
    </row>
    <row r="9462" spans="1:2" x14ac:dyDescent="0.3">
      <c r="A9462" s="19"/>
      <c r="B9462" s="36"/>
    </row>
    <row r="9463" spans="1:2" x14ac:dyDescent="0.3">
      <c r="A9463" s="19"/>
      <c r="B9463" s="36"/>
    </row>
    <row r="9464" spans="1:2" x14ac:dyDescent="0.3">
      <c r="A9464" s="19"/>
      <c r="B9464" s="36"/>
    </row>
    <row r="9465" spans="1:2" x14ac:dyDescent="0.3">
      <c r="A9465" s="19"/>
      <c r="B9465" s="36"/>
    </row>
    <row r="9466" spans="1:2" x14ac:dyDescent="0.3">
      <c r="A9466" s="19"/>
      <c r="B9466" s="36"/>
    </row>
    <row r="9467" spans="1:2" x14ac:dyDescent="0.3">
      <c r="A9467" s="19"/>
      <c r="B9467" s="36"/>
    </row>
    <row r="9468" spans="1:2" x14ac:dyDescent="0.3">
      <c r="A9468" s="19"/>
      <c r="B9468" s="36"/>
    </row>
    <row r="9469" spans="1:2" x14ac:dyDescent="0.3">
      <c r="A9469" s="19"/>
      <c r="B9469" s="36"/>
    </row>
    <row r="9470" spans="1:2" x14ac:dyDescent="0.3">
      <c r="A9470" s="19"/>
      <c r="B9470" s="36"/>
    </row>
    <row r="9471" spans="1:2" x14ac:dyDescent="0.3">
      <c r="A9471" s="19"/>
      <c r="B9471" s="36"/>
    </row>
    <row r="9472" spans="1:2" x14ac:dyDescent="0.3">
      <c r="A9472" s="19"/>
      <c r="B9472" s="36"/>
    </row>
    <row r="9473" spans="1:2" x14ac:dyDescent="0.3">
      <c r="A9473" s="19"/>
      <c r="B9473" s="36"/>
    </row>
    <row r="9474" spans="1:2" x14ac:dyDescent="0.3">
      <c r="A9474" s="19"/>
      <c r="B9474" s="36"/>
    </row>
    <row r="9475" spans="1:2" x14ac:dyDescent="0.3">
      <c r="A9475" s="19"/>
      <c r="B9475" s="36"/>
    </row>
    <row r="9476" spans="1:2" x14ac:dyDescent="0.3">
      <c r="A9476" s="19"/>
      <c r="B9476" s="36"/>
    </row>
    <row r="9477" spans="1:2" x14ac:dyDescent="0.3">
      <c r="A9477" s="19"/>
      <c r="B9477" s="36"/>
    </row>
    <row r="9478" spans="1:2" x14ac:dyDescent="0.3">
      <c r="A9478" s="19"/>
      <c r="B9478" s="36"/>
    </row>
    <row r="9479" spans="1:2" x14ac:dyDescent="0.3">
      <c r="A9479" s="19"/>
      <c r="B9479" s="36"/>
    </row>
    <row r="9480" spans="1:2" x14ac:dyDescent="0.3">
      <c r="A9480" s="19"/>
      <c r="B9480" s="36"/>
    </row>
    <row r="9481" spans="1:2" x14ac:dyDescent="0.3">
      <c r="A9481" s="19"/>
      <c r="B9481" s="36"/>
    </row>
    <row r="9482" spans="1:2" x14ac:dyDescent="0.3">
      <c r="A9482" s="19"/>
      <c r="B9482" s="36"/>
    </row>
    <row r="9483" spans="1:2" x14ac:dyDescent="0.3">
      <c r="A9483" s="19"/>
      <c r="B9483" s="36"/>
    </row>
    <row r="9484" spans="1:2" x14ac:dyDescent="0.3">
      <c r="A9484" s="19"/>
      <c r="B9484" s="36"/>
    </row>
    <row r="9485" spans="1:2" x14ac:dyDescent="0.3">
      <c r="A9485" s="19"/>
      <c r="B9485" s="36"/>
    </row>
    <row r="9486" spans="1:2" x14ac:dyDescent="0.3">
      <c r="A9486" s="19"/>
      <c r="B9486" s="36"/>
    </row>
    <row r="9487" spans="1:2" x14ac:dyDescent="0.3">
      <c r="A9487" s="19"/>
      <c r="B9487" s="36"/>
    </row>
    <row r="9488" spans="1:2" x14ac:dyDescent="0.3">
      <c r="A9488" s="19"/>
      <c r="B9488" s="36"/>
    </row>
    <row r="9489" spans="1:2" x14ac:dyDescent="0.3">
      <c r="A9489" s="19"/>
      <c r="B9489" s="36"/>
    </row>
    <row r="9490" spans="1:2" x14ac:dyDescent="0.3">
      <c r="A9490" s="19"/>
      <c r="B9490" s="36"/>
    </row>
    <row r="9491" spans="1:2" x14ac:dyDescent="0.3">
      <c r="A9491" s="19"/>
      <c r="B9491" s="36"/>
    </row>
    <row r="9492" spans="1:2" x14ac:dyDescent="0.3">
      <c r="A9492" s="19"/>
      <c r="B9492" s="36"/>
    </row>
    <row r="9493" spans="1:2" x14ac:dyDescent="0.3">
      <c r="A9493" s="19"/>
      <c r="B9493" s="36"/>
    </row>
    <row r="9494" spans="1:2" x14ac:dyDescent="0.3">
      <c r="A9494" s="19"/>
      <c r="B9494" s="36"/>
    </row>
    <row r="9495" spans="1:2" x14ac:dyDescent="0.3">
      <c r="A9495" s="19"/>
      <c r="B9495" s="36"/>
    </row>
    <row r="9496" spans="1:2" x14ac:dyDescent="0.3">
      <c r="A9496" s="19"/>
      <c r="B9496" s="36"/>
    </row>
    <row r="9497" spans="1:2" x14ac:dyDescent="0.3">
      <c r="A9497" s="19"/>
      <c r="B9497" s="36"/>
    </row>
    <row r="9498" spans="1:2" x14ac:dyDescent="0.3">
      <c r="A9498" s="19"/>
      <c r="B9498" s="36"/>
    </row>
    <row r="9499" spans="1:2" x14ac:dyDescent="0.3">
      <c r="A9499" s="19"/>
      <c r="B9499" s="36"/>
    </row>
    <row r="9500" spans="1:2" x14ac:dyDescent="0.3">
      <c r="A9500" s="19"/>
      <c r="B9500" s="36"/>
    </row>
    <row r="9501" spans="1:2" x14ac:dyDescent="0.3">
      <c r="A9501" s="19"/>
      <c r="B9501" s="36"/>
    </row>
    <row r="9502" spans="1:2" x14ac:dyDescent="0.3">
      <c r="A9502" s="19"/>
      <c r="B9502" s="36"/>
    </row>
    <row r="9503" spans="1:2" x14ac:dyDescent="0.3">
      <c r="A9503" s="19"/>
      <c r="B9503" s="36"/>
    </row>
    <row r="9504" spans="1:2" x14ac:dyDescent="0.3">
      <c r="A9504" s="19"/>
      <c r="B9504" s="36"/>
    </row>
    <row r="9505" spans="1:2" x14ac:dyDescent="0.3">
      <c r="A9505" s="19"/>
      <c r="B9505" s="36"/>
    </row>
    <row r="9506" spans="1:2" x14ac:dyDescent="0.3">
      <c r="A9506" s="19"/>
      <c r="B9506" s="36"/>
    </row>
    <row r="9507" spans="1:2" x14ac:dyDescent="0.3">
      <c r="A9507" s="19"/>
      <c r="B9507" s="36"/>
    </row>
    <row r="9508" spans="1:2" x14ac:dyDescent="0.3">
      <c r="A9508" s="19"/>
      <c r="B9508" s="36"/>
    </row>
    <row r="9509" spans="1:2" x14ac:dyDescent="0.3">
      <c r="A9509" s="19"/>
      <c r="B9509" s="36"/>
    </row>
    <row r="9510" spans="1:2" x14ac:dyDescent="0.3">
      <c r="A9510" s="19"/>
      <c r="B9510" s="36"/>
    </row>
    <row r="9511" spans="1:2" x14ac:dyDescent="0.3">
      <c r="A9511" s="19"/>
      <c r="B9511" s="36"/>
    </row>
    <row r="9512" spans="1:2" x14ac:dyDescent="0.3">
      <c r="A9512" s="19"/>
      <c r="B9512" s="36"/>
    </row>
    <row r="9513" spans="1:2" x14ac:dyDescent="0.3">
      <c r="A9513" s="19"/>
      <c r="B9513" s="36"/>
    </row>
    <row r="9514" spans="1:2" x14ac:dyDescent="0.3">
      <c r="A9514" s="19"/>
      <c r="B9514" s="36"/>
    </row>
    <row r="9515" spans="1:2" x14ac:dyDescent="0.3">
      <c r="A9515" s="19"/>
      <c r="B9515" s="36"/>
    </row>
    <row r="9516" spans="1:2" x14ac:dyDescent="0.3">
      <c r="A9516" s="19"/>
      <c r="B9516" s="36"/>
    </row>
    <row r="9517" spans="1:2" x14ac:dyDescent="0.3">
      <c r="A9517" s="19"/>
      <c r="B9517" s="36"/>
    </row>
    <row r="9518" spans="1:2" x14ac:dyDescent="0.3">
      <c r="A9518" s="19"/>
      <c r="B9518" s="36"/>
    </row>
    <row r="9519" spans="1:2" x14ac:dyDescent="0.3">
      <c r="A9519" s="19"/>
      <c r="B9519" s="36"/>
    </row>
    <row r="9520" spans="1:2" x14ac:dyDescent="0.3">
      <c r="A9520" s="19"/>
      <c r="B9520" s="36"/>
    </row>
    <row r="9521" spans="1:2" x14ac:dyDescent="0.3">
      <c r="A9521" s="19"/>
      <c r="B9521" s="36"/>
    </row>
    <row r="9522" spans="1:2" x14ac:dyDescent="0.3">
      <c r="A9522" s="19"/>
      <c r="B9522" s="36"/>
    </row>
    <row r="9523" spans="1:2" x14ac:dyDescent="0.3">
      <c r="A9523" s="19"/>
      <c r="B9523" s="36"/>
    </row>
    <row r="9524" spans="1:2" x14ac:dyDescent="0.3">
      <c r="A9524" s="19"/>
      <c r="B9524" s="36"/>
    </row>
    <row r="9525" spans="1:2" x14ac:dyDescent="0.3">
      <c r="A9525" s="19"/>
      <c r="B9525" s="36"/>
    </row>
    <row r="9526" spans="1:2" x14ac:dyDescent="0.3">
      <c r="A9526" s="19"/>
      <c r="B9526" s="36"/>
    </row>
    <row r="9527" spans="1:2" x14ac:dyDescent="0.3">
      <c r="A9527" s="19"/>
      <c r="B9527" s="36"/>
    </row>
    <row r="9528" spans="1:2" x14ac:dyDescent="0.3">
      <c r="A9528" s="19"/>
      <c r="B9528" s="36"/>
    </row>
    <row r="9529" spans="1:2" x14ac:dyDescent="0.3">
      <c r="A9529" s="19"/>
      <c r="B9529" s="36"/>
    </row>
    <row r="9530" spans="1:2" x14ac:dyDescent="0.3">
      <c r="A9530" s="19"/>
      <c r="B9530" s="36"/>
    </row>
    <row r="9531" spans="1:2" x14ac:dyDescent="0.3">
      <c r="A9531" s="19"/>
      <c r="B9531" s="36"/>
    </row>
    <row r="9532" spans="1:2" x14ac:dyDescent="0.3">
      <c r="A9532" s="19"/>
      <c r="B9532" s="36"/>
    </row>
    <row r="9533" spans="1:2" x14ac:dyDescent="0.3">
      <c r="A9533" s="19"/>
      <c r="B9533" s="36"/>
    </row>
    <row r="9534" spans="1:2" x14ac:dyDescent="0.3">
      <c r="A9534" s="19"/>
      <c r="B9534" s="36"/>
    </row>
    <row r="9535" spans="1:2" x14ac:dyDescent="0.3">
      <c r="A9535" s="19"/>
      <c r="B9535" s="36"/>
    </row>
    <row r="9536" spans="1:2" x14ac:dyDescent="0.3">
      <c r="A9536" s="19"/>
      <c r="B9536" s="36"/>
    </row>
    <row r="9537" spans="1:2" x14ac:dyDescent="0.3">
      <c r="A9537" s="19"/>
      <c r="B9537" s="36"/>
    </row>
    <row r="9538" spans="1:2" x14ac:dyDescent="0.3">
      <c r="A9538" s="19"/>
      <c r="B9538" s="36"/>
    </row>
    <row r="9539" spans="1:2" x14ac:dyDescent="0.3">
      <c r="A9539" s="19"/>
      <c r="B9539" s="36"/>
    </row>
    <row r="9540" spans="1:2" x14ac:dyDescent="0.3">
      <c r="A9540" s="19"/>
      <c r="B9540" s="36"/>
    </row>
    <row r="9541" spans="1:2" x14ac:dyDescent="0.3">
      <c r="A9541" s="19"/>
      <c r="B9541" s="36"/>
    </row>
    <row r="9542" spans="1:2" x14ac:dyDescent="0.3">
      <c r="A9542" s="19"/>
      <c r="B9542" s="36"/>
    </row>
    <row r="9543" spans="1:2" x14ac:dyDescent="0.3">
      <c r="A9543" s="19"/>
      <c r="B9543" s="36"/>
    </row>
    <row r="9544" spans="1:2" x14ac:dyDescent="0.3">
      <c r="A9544" s="19"/>
      <c r="B9544" s="36"/>
    </row>
    <row r="9545" spans="1:2" x14ac:dyDescent="0.3">
      <c r="A9545" s="19"/>
      <c r="B9545" s="36"/>
    </row>
    <row r="9546" spans="1:2" x14ac:dyDescent="0.3">
      <c r="A9546" s="19"/>
      <c r="B9546" s="36"/>
    </row>
    <row r="9547" spans="1:2" x14ac:dyDescent="0.3">
      <c r="A9547" s="19"/>
      <c r="B9547" s="36"/>
    </row>
    <row r="9548" spans="1:2" x14ac:dyDescent="0.3">
      <c r="A9548" s="19"/>
      <c r="B9548" s="36"/>
    </row>
    <row r="9549" spans="1:2" x14ac:dyDescent="0.3">
      <c r="A9549" s="19"/>
      <c r="B9549" s="36"/>
    </row>
    <row r="9550" spans="1:2" x14ac:dyDescent="0.3">
      <c r="A9550" s="19"/>
      <c r="B9550" s="36"/>
    </row>
    <row r="9551" spans="1:2" x14ac:dyDescent="0.3">
      <c r="A9551" s="19"/>
      <c r="B9551" s="36"/>
    </row>
    <row r="9552" spans="1:2" x14ac:dyDescent="0.3">
      <c r="A9552" s="19"/>
      <c r="B9552" s="36"/>
    </row>
    <row r="9553" spans="1:2" x14ac:dyDescent="0.3">
      <c r="A9553" s="19"/>
      <c r="B9553" s="36"/>
    </row>
    <row r="9554" spans="1:2" x14ac:dyDescent="0.3">
      <c r="A9554" s="19"/>
      <c r="B9554" s="36"/>
    </row>
    <row r="9555" spans="1:2" x14ac:dyDescent="0.3">
      <c r="A9555" s="19"/>
      <c r="B9555" s="36"/>
    </row>
    <row r="9556" spans="1:2" x14ac:dyDescent="0.3">
      <c r="A9556" s="19"/>
      <c r="B9556" s="36"/>
    </row>
    <row r="9557" spans="1:2" x14ac:dyDescent="0.3">
      <c r="A9557" s="19"/>
      <c r="B9557" s="36"/>
    </row>
    <row r="9558" spans="1:2" x14ac:dyDescent="0.3">
      <c r="A9558" s="19"/>
      <c r="B9558" s="36"/>
    </row>
    <row r="9559" spans="1:2" x14ac:dyDescent="0.3">
      <c r="A9559" s="19"/>
      <c r="B9559" s="36"/>
    </row>
    <row r="9560" spans="1:2" x14ac:dyDescent="0.3">
      <c r="A9560" s="19"/>
      <c r="B9560" s="36"/>
    </row>
    <row r="9561" spans="1:2" x14ac:dyDescent="0.3">
      <c r="A9561" s="19"/>
      <c r="B9561" s="36"/>
    </row>
    <row r="9562" spans="1:2" x14ac:dyDescent="0.3">
      <c r="A9562" s="19"/>
      <c r="B9562" s="36"/>
    </row>
    <row r="9563" spans="1:2" x14ac:dyDescent="0.3">
      <c r="A9563" s="19"/>
      <c r="B9563" s="36"/>
    </row>
    <row r="9564" spans="1:2" x14ac:dyDescent="0.3">
      <c r="A9564" s="19"/>
      <c r="B9564" s="36"/>
    </row>
    <row r="9565" spans="1:2" x14ac:dyDescent="0.3">
      <c r="A9565" s="19"/>
      <c r="B9565" s="36"/>
    </row>
    <row r="9566" spans="1:2" x14ac:dyDescent="0.3">
      <c r="A9566" s="19"/>
      <c r="B9566" s="36"/>
    </row>
    <row r="9567" spans="1:2" x14ac:dyDescent="0.3">
      <c r="A9567" s="19"/>
      <c r="B9567" s="36"/>
    </row>
    <row r="9568" spans="1:2" x14ac:dyDescent="0.3">
      <c r="A9568" s="19"/>
      <c r="B9568" s="36"/>
    </row>
    <row r="9569" spans="1:2" x14ac:dyDescent="0.3">
      <c r="A9569" s="19"/>
      <c r="B9569" s="36"/>
    </row>
    <row r="9570" spans="1:2" x14ac:dyDescent="0.3">
      <c r="A9570" s="19"/>
      <c r="B9570" s="36"/>
    </row>
    <row r="9571" spans="1:2" x14ac:dyDescent="0.3">
      <c r="A9571" s="19"/>
      <c r="B9571" s="36"/>
    </row>
    <row r="9572" spans="1:2" x14ac:dyDescent="0.3">
      <c r="A9572" s="19"/>
      <c r="B9572" s="36"/>
    </row>
    <row r="9573" spans="1:2" x14ac:dyDescent="0.3">
      <c r="A9573" s="19"/>
      <c r="B9573" s="36"/>
    </row>
    <row r="9574" spans="1:2" x14ac:dyDescent="0.3">
      <c r="A9574" s="19"/>
      <c r="B9574" s="36"/>
    </row>
    <row r="9575" spans="1:2" x14ac:dyDescent="0.3">
      <c r="A9575" s="19"/>
      <c r="B9575" s="36"/>
    </row>
    <row r="9576" spans="1:2" x14ac:dyDescent="0.3">
      <c r="A9576" s="19"/>
      <c r="B9576" s="36"/>
    </row>
    <row r="9577" spans="1:2" x14ac:dyDescent="0.3">
      <c r="A9577" s="19"/>
      <c r="B9577" s="36"/>
    </row>
    <row r="9578" spans="1:2" x14ac:dyDescent="0.3">
      <c r="A9578" s="19"/>
      <c r="B9578" s="36"/>
    </row>
    <row r="9579" spans="1:2" x14ac:dyDescent="0.3">
      <c r="A9579" s="19"/>
      <c r="B9579" s="36"/>
    </row>
    <row r="9580" spans="1:2" x14ac:dyDescent="0.3">
      <c r="A9580" s="19"/>
      <c r="B9580" s="36"/>
    </row>
    <row r="9581" spans="1:2" x14ac:dyDescent="0.3">
      <c r="A9581" s="19"/>
      <c r="B9581" s="36"/>
    </row>
    <row r="9582" spans="1:2" x14ac:dyDescent="0.3">
      <c r="A9582" s="19"/>
      <c r="B9582" s="36"/>
    </row>
    <row r="9583" spans="1:2" x14ac:dyDescent="0.3">
      <c r="A9583" s="19"/>
      <c r="B9583" s="36"/>
    </row>
    <row r="9584" spans="1:2" x14ac:dyDescent="0.3">
      <c r="A9584" s="19"/>
      <c r="B9584" s="36"/>
    </row>
    <row r="9585" spans="1:2" x14ac:dyDescent="0.3">
      <c r="A9585" s="19"/>
      <c r="B9585" s="36"/>
    </row>
    <row r="9586" spans="1:2" x14ac:dyDescent="0.3">
      <c r="A9586" s="19"/>
      <c r="B9586" s="36"/>
    </row>
    <row r="9587" spans="1:2" x14ac:dyDescent="0.3">
      <c r="A9587" s="19"/>
      <c r="B9587" s="36"/>
    </row>
    <row r="9588" spans="1:2" x14ac:dyDescent="0.3">
      <c r="A9588" s="19"/>
      <c r="B9588" s="36"/>
    </row>
    <row r="9589" spans="1:2" x14ac:dyDescent="0.3">
      <c r="A9589" s="19"/>
      <c r="B9589" s="36"/>
    </row>
    <row r="9590" spans="1:2" x14ac:dyDescent="0.3">
      <c r="A9590" s="19"/>
      <c r="B9590" s="36"/>
    </row>
    <row r="9591" spans="1:2" x14ac:dyDescent="0.3">
      <c r="A9591" s="19"/>
      <c r="B9591" s="36"/>
    </row>
    <row r="9592" spans="1:2" x14ac:dyDescent="0.3">
      <c r="A9592" s="19"/>
      <c r="B9592" s="36"/>
    </row>
    <row r="9593" spans="1:2" x14ac:dyDescent="0.3">
      <c r="A9593" s="19"/>
      <c r="B9593" s="36"/>
    </row>
    <row r="9594" spans="1:2" x14ac:dyDescent="0.3">
      <c r="A9594" s="19"/>
      <c r="B9594" s="36"/>
    </row>
    <row r="9595" spans="1:2" x14ac:dyDescent="0.3">
      <c r="A9595" s="19"/>
      <c r="B9595" s="36"/>
    </row>
    <row r="9596" spans="1:2" x14ac:dyDescent="0.3">
      <c r="A9596" s="19"/>
      <c r="B9596" s="36"/>
    </row>
    <row r="9597" spans="1:2" x14ac:dyDescent="0.3">
      <c r="A9597" s="19"/>
      <c r="B9597" s="36"/>
    </row>
    <row r="9598" spans="1:2" x14ac:dyDescent="0.3">
      <c r="A9598" s="19"/>
      <c r="B9598" s="36"/>
    </row>
    <row r="9599" spans="1:2" x14ac:dyDescent="0.3">
      <c r="A9599" s="19"/>
      <c r="B9599" s="36"/>
    </row>
    <row r="9600" spans="1:2" x14ac:dyDescent="0.3">
      <c r="A9600" s="19"/>
      <c r="B9600" s="36"/>
    </row>
    <row r="9601" spans="1:2" x14ac:dyDescent="0.3">
      <c r="A9601" s="19"/>
      <c r="B9601" s="36"/>
    </row>
    <row r="9602" spans="1:2" x14ac:dyDescent="0.3">
      <c r="A9602" s="19"/>
      <c r="B9602" s="36"/>
    </row>
    <row r="9603" spans="1:2" x14ac:dyDescent="0.3">
      <c r="A9603" s="19"/>
      <c r="B9603" s="36"/>
    </row>
    <row r="9604" spans="1:2" x14ac:dyDescent="0.3">
      <c r="A9604" s="19"/>
      <c r="B9604" s="36"/>
    </row>
    <row r="9605" spans="1:2" x14ac:dyDescent="0.3">
      <c r="A9605" s="19"/>
      <c r="B9605" s="36"/>
    </row>
    <row r="9606" spans="1:2" x14ac:dyDescent="0.3">
      <c r="A9606" s="19"/>
      <c r="B9606" s="36"/>
    </row>
    <row r="9607" spans="1:2" x14ac:dyDescent="0.3">
      <c r="A9607" s="19"/>
      <c r="B9607" s="36"/>
    </row>
    <row r="9608" spans="1:2" x14ac:dyDescent="0.3">
      <c r="A9608" s="19"/>
      <c r="B9608" s="36"/>
    </row>
    <row r="9609" spans="1:2" x14ac:dyDescent="0.3">
      <c r="A9609" s="19"/>
      <c r="B9609" s="36"/>
    </row>
    <row r="9610" spans="1:2" x14ac:dyDescent="0.3">
      <c r="A9610" s="19"/>
      <c r="B9610" s="36"/>
    </row>
    <row r="9611" spans="1:2" x14ac:dyDescent="0.3">
      <c r="A9611" s="19"/>
      <c r="B9611" s="36"/>
    </row>
    <row r="9612" spans="1:2" x14ac:dyDescent="0.3">
      <c r="A9612" s="19"/>
      <c r="B9612" s="36"/>
    </row>
    <row r="9613" spans="1:2" x14ac:dyDescent="0.3">
      <c r="A9613" s="19"/>
      <c r="B9613" s="36"/>
    </row>
    <row r="9614" spans="1:2" x14ac:dyDescent="0.3">
      <c r="A9614" s="19"/>
      <c r="B9614" s="36"/>
    </row>
    <row r="9615" spans="1:2" x14ac:dyDescent="0.3">
      <c r="A9615" s="19"/>
      <c r="B9615" s="36"/>
    </row>
    <row r="9616" spans="1:2" x14ac:dyDescent="0.3">
      <c r="A9616" s="19"/>
      <c r="B9616" s="36"/>
    </row>
    <row r="9617" spans="1:2" x14ac:dyDescent="0.3">
      <c r="A9617" s="19"/>
      <c r="B9617" s="36"/>
    </row>
    <row r="9618" spans="1:2" x14ac:dyDescent="0.3">
      <c r="A9618" s="19"/>
      <c r="B9618" s="36"/>
    </row>
    <row r="9619" spans="1:2" x14ac:dyDescent="0.3">
      <c r="A9619" s="19"/>
      <c r="B9619" s="36"/>
    </row>
    <row r="9620" spans="1:2" x14ac:dyDescent="0.3">
      <c r="A9620" s="19"/>
      <c r="B9620" s="36"/>
    </row>
    <row r="9621" spans="1:2" x14ac:dyDescent="0.3">
      <c r="A9621" s="19"/>
      <c r="B9621" s="36"/>
    </row>
    <row r="9622" spans="1:2" x14ac:dyDescent="0.3">
      <c r="A9622" s="19"/>
      <c r="B9622" s="36"/>
    </row>
    <row r="9623" spans="1:2" x14ac:dyDescent="0.3">
      <c r="A9623" s="19"/>
      <c r="B9623" s="36"/>
    </row>
    <row r="9624" spans="1:2" x14ac:dyDescent="0.3">
      <c r="A9624" s="19"/>
      <c r="B9624" s="36"/>
    </row>
    <row r="9625" spans="1:2" x14ac:dyDescent="0.3">
      <c r="A9625" s="19"/>
      <c r="B9625" s="36"/>
    </row>
    <row r="9626" spans="1:2" x14ac:dyDescent="0.3">
      <c r="A9626" s="19"/>
      <c r="B9626" s="36"/>
    </row>
    <row r="9627" spans="1:2" x14ac:dyDescent="0.3">
      <c r="A9627" s="19"/>
      <c r="B9627" s="36"/>
    </row>
    <row r="9628" spans="1:2" x14ac:dyDescent="0.3">
      <c r="A9628" s="19"/>
      <c r="B9628" s="36"/>
    </row>
    <row r="9629" spans="1:2" x14ac:dyDescent="0.3">
      <c r="A9629" s="19"/>
      <c r="B9629" s="36"/>
    </row>
    <row r="9630" spans="1:2" x14ac:dyDescent="0.3">
      <c r="A9630" s="19"/>
      <c r="B9630" s="36"/>
    </row>
    <row r="9631" spans="1:2" x14ac:dyDescent="0.3">
      <c r="A9631" s="19"/>
      <c r="B9631" s="36"/>
    </row>
    <row r="9632" spans="1:2" x14ac:dyDescent="0.3">
      <c r="A9632" s="19"/>
      <c r="B9632" s="36"/>
    </row>
    <row r="9633" spans="1:2" x14ac:dyDescent="0.3">
      <c r="A9633" s="19"/>
      <c r="B9633" s="36"/>
    </row>
    <row r="9634" spans="1:2" x14ac:dyDescent="0.3">
      <c r="A9634" s="19"/>
      <c r="B9634" s="36"/>
    </row>
    <row r="9635" spans="1:2" x14ac:dyDescent="0.3">
      <c r="A9635" s="19"/>
      <c r="B9635" s="36"/>
    </row>
    <row r="9636" spans="1:2" x14ac:dyDescent="0.3">
      <c r="A9636" s="19"/>
      <c r="B9636" s="36"/>
    </row>
    <row r="9637" spans="1:2" x14ac:dyDescent="0.3">
      <c r="A9637" s="19"/>
      <c r="B9637" s="36"/>
    </row>
    <row r="9638" spans="1:2" x14ac:dyDescent="0.3">
      <c r="A9638" s="19"/>
      <c r="B9638" s="36"/>
    </row>
    <row r="9639" spans="1:2" x14ac:dyDescent="0.3">
      <c r="A9639" s="19"/>
      <c r="B9639" s="36"/>
    </row>
    <row r="9640" spans="1:2" x14ac:dyDescent="0.3">
      <c r="A9640" s="19"/>
      <c r="B9640" s="36"/>
    </row>
    <row r="9641" spans="1:2" x14ac:dyDescent="0.3">
      <c r="A9641" s="19"/>
      <c r="B9641" s="36"/>
    </row>
    <row r="9642" spans="1:2" x14ac:dyDescent="0.3">
      <c r="A9642" s="19"/>
      <c r="B9642" s="36"/>
    </row>
    <row r="9643" spans="1:2" x14ac:dyDescent="0.3">
      <c r="A9643" s="19"/>
      <c r="B9643" s="36"/>
    </row>
    <row r="9644" spans="1:2" x14ac:dyDescent="0.3">
      <c r="A9644" s="19"/>
      <c r="B9644" s="36"/>
    </row>
    <row r="9645" spans="1:2" x14ac:dyDescent="0.3">
      <c r="A9645" s="19"/>
      <c r="B9645" s="36"/>
    </row>
    <row r="9646" spans="1:2" x14ac:dyDescent="0.3">
      <c r="A9646" s="19"/>
      <c r="B9646" s="36"/>
    </row>
    <row r="9647" spans="1:2" x14ac:dyDescent="0.3">
      <c r="A9647" s="19"/>
      <c r="B9647" s="36"/>
    </row>
    <row r="9648" spans="1:2" x14ac:dyDescent="0.3">
      <c r="A9648" s="19"/>
      <c r="B9648" s="36"/>
    </row>
    <row r="9649" spans="1:2" x14ac:dyDescent="0.3">
      <c r="A9649" s="19"/>
      <c r="B9649" s="36"/>
    </row>
    <row r="9650" spans="1:2" x14ac:dyDescent="0.3">
      <c r="A9650" s="19"/>
      <c r="B9650" s="36"/>
    </row>
    <row r="9651" spans="1:2" x14ac:dyDescent="0.3">
      <c r="A9651" s="19"/>
      <c r="B9651" s="36"/>
    </row>
    <row r="9652" spans="1:2" x14ac:dyDescent="0.3">
      <c r="A9652" s="19"/>
      <c r="B9652" s="36"/>
    </row>
    <row r="9653" spans="1:2" x14ac:dyDescent="0.3">
      <c r="A9653" s="19"/>
      <c r="B9653" s="36"/>
    </row>
    <row r="9654" spans="1:2" x14ac:dyDescent="0.3">
      <c r="A9654" s="19"/>
      <c r="B9654" s="36"/>
    </row>
    <row r="9655" spans="1:2" x14ac:dyDescent="0.3">
      <c r="A9655" s="19"/>
      <c r="B9655" s="36"/>
    </row>
    <row r="9656" spans="1:2" x14ac:dyDescent="0.3">
      <c r="A9656" s="19"/>
      <c r="B9656" s="36"/>
    </row>
    <row r="9657" spans="1:2" x14ac:dyDescent="0.3">
      <c r="A9657" s="19"/>
      <c r="B9657" s="36"/>
    </row>
    <row r="9658" spans="1:2" x14ac:dyDescent="0.3">
      <c r="A9658" s="19"/>
      <c r="B9658" s="36"/>
    </row>
    <row r="9659" spans="1:2" x14ac:dyDescent="0.3">
      <c r="A9659" s="19"/>
      <c r="B9659" s="36"/>
    </row>
    <row r="9660" spans="1:2" x14ac:dyDescent="0.3">
      <c r="A9660" s="19"/>
      <c r="B9660" s="36"/>
    </row>
    <row r="9661" spans="1:2" x14ac:dyDescent="0.3">
      <c r="A9661" s="19"/>
      <c r="B9661" s="36"/>
    </row>
    <row r="9662" spans="1:2" x14ac:dyDescent="0.3">
      <c r="A9662" s="19"/>
      <c r="B9662" s="36"/>
    </row>
    <row r="9663" spans="1:2" x14ac:dyDescent="0.3">
      <c r="A9663" s="19"/>
      <c r="B9663" s="36"/>
    </row>
    <row r="9664" spans="1:2" x14ac:dyDescent="0.3">
      <c r="A9664" s="19"/>
      <c r="B9664" s="36"/>
    </row>
    <row r="9665" spans="1:2" x14ac:dyDescent="0.3">
      <c r="A9665" s="19"/>
      <c r="B9665" s="36"/>
    </row>
    <row r="9666" spans="1:2" x14ac:dyDescent="0.3">
      <c r="A9666" s="19"/>
      <c r="B9666" s="36"/>
    </row>
    <row r="9667" spans="1:2" x14ac:dyDescent="0.3">
      <c r="A9667" s="19"/>
      <c r="B9667" s="36"/>
    </row>
    <row r="9668" spans="1:2" x14ac:dyDescent="0.3">
      <c r="A9668" s="19"/>
      <c r="B9668" s="36"/>
    </row>
    <row r="9669" spans="1:2" x14ac:dyDescent="0.3">
      <c r="A9669" s="19"/>
      <c r="B9669" s="36"/>
    </row>
    <row r="9670" spans="1:2" x14ac:dyDescent="0.3">
      <c r="A9670" s="19"/>
      <c r="B9670" s="36"/>
    </row>
    <row r="9671" spans="1:2" x14ac:dyDescent="0.3">
      <c r="A9671" s="19"/>
      <c r="B9671" s="36"/>
    </row>
    <row r="9672" spans="1:2" x14ac:dyDescent="0.3">
      <c r="A9672" s="19"/>
      <c r="B9672" s="36"/>
    </row>
    <row r="9673" spans="1:2" x14ac:dyDescent="0.3">
      <c r="A9673" s="19"/>
      <c r="B9673" s="36"/>
    </row>
    <row r="9674" spans="1:2" x14ac:dyDescent="0.3">
      <c r="A9674" s="19"/>
      <c r="B9674" s="36"/>
    </row>
    <row r="9675" spans="1:2" x14ac:dyDescent="0.3">
      <c r="A9675" s="19"/>
      <c r="B9675" s="36"/>
    </row>
    <row r="9676" spans="1:2" x14ac:dyDescent="0.3">
      <c r="A9676" s="19"/>
      <c r="B9676" s="36"/>
    </row>
    <row r="9677" spans="1:2" x14ac:dyDescent="0.3">
      <c r="A9677" s="19"/>
      <c r="B9677" s="36"/>
    </row>
    <row r="9678" spans="1:2" x14ac:dyDescent="0.3">
      <c r="A9678" s="19"/>
      <c r="B9678" s="36"/>
    </row>
    <row r="9679" spans="1:2" x14ac:dyDescent="0.3">
      <c r="A9679" s="19"/>
      <c r="B9679" s="36"/>
    </row>
    <row r="9680" spans="1:2" x14ac:dyDescent="0.3">
      <c r="A9680" s="19"/>
      <c r="B9680" s="36"/>
    </row>
    <row r="9681" spans="1:2" x14ac:dyDescent="0.3">
      <c r="A9681" s="19"/>
      <c r="B9681" s="36"/>
    </row>
    <row r="9682" spans="1:2" x14ac:dyDescent="0.3">
      <c r="A9682" s="19"/>
      <c r="B9682" s="36"/>
    </row>
    <row r="9683" spans="1:2" x14ac:dyDescent="0.3">
      <c r="A9683" s="19"/>
      <c r="B9683" s="36"/>
    </row>
    <row r="9684" spans="1:2" x14ac:dyDescent="0.3">
      <c r="A9684" s="19"/>
      <c r="B9684" s="36"/>
    </row>
    <row r="9685" spans="1:2" x14ac:dyDescent="0.3">
      <c r="A9685" s="19"/>
      <c r="B9685" s="36"/>
    </row>
    <row r="9686" spans="1:2" x14ac:dyDescent="0.3">
      <c r="A9686" s="19"/>
      <c r="B9686" s="36"/>
    </row>
    <row r="9687" spans="1:2" x14ac:dyDescent="0.3">
      <c r="A9687" s="19"/>
      <c r="B9687" s="36"/>
    </row>
    <row r="9688" spans="1:2" x14ac:dyDescent="0.3">
      <c r="A9688" s="19"/>
      <c r="B9688" s="36"/>
    </row>
    <row r="9689" spans="1:2" x14ac:dyDescent="0.3">
      <c r="A9689" s="19"/>
      <c r="B9689" s="36"/>
    </row>
    <row r="9690" spans="1:2" x14ac:dyDescent="0.3">
      <c r="A9690" s="19"/>
      <c r="B9690" s="36"/>
    </row>
    <row r="9691" spans="1:2" x14ac:dyDescent="0.3">
      <c r="A9691" s="19"/>
      <c r="B9691" s="36"/>
    </row>
    <row r="9692" spans="1:2" x14ac:dyDescent="0.3">
      <c r="A9692" s="19"/>
      <c r="B9692" s="36"/>
    </row>
    <row r="9693" spans="1:2" x14ac:dyDescent="0.3">
      <c r="A9693" s="19"/>
      <c r="B9693" s="36"/>
    </row>
    <row r="9694" spans="1:2" x14ac:dyDescent="0.3">
      <c r="A9694" s="19"/>
      <c r="B9694" s="36"/>
    </row>
    <row r="9695" spans="1:2" x14ac:dyDescent="0.3">
      <c r="A9695" s="19"/>
      <c r="B9695" s="36"/>
    </row>
    <row r="9696" spans="1:2" x14ac:dyDescent="0.3">
      <c r="A9696" s="19"/>
      <c r="B9696" s="36"/>
    </row>
    <row r="9697" spans="1:2" x14ac:dyDescent="0.3">
      <c r="A9697" s="19"/>
      <c r="B9697" s="36"/>
    </row>
    <row r="9698" spans="1:2" x14ac:dyDescent="0.3">
      <c r="A9698" s="19"/>
      <c r="B9698" s="36"/>
    </row>
    <row r="9699" spans="1:2" x14ac:dyDescent="0.3">
      <c r="A9699" s="19"/>
      <c r="B9699" s="36"/>
    </row>
    <row r="9700" spans="1:2" x14ac:dyDescent="0.3">
      <c r="A9700" s="19"/>
      <c r="B9700" s="36"/>
    </row>
    <row r="9701" spans="1:2" x14ac:dyDescent="0.3">
      <c r="A9701" s="19"/>
      <c r="B9701" s="36"/>
    </row>
    <row r="9702" spans="1:2" x14ac:dyDescent="0.3">
      <c r="A9702" s="19"/>
      <c r="B9702" s="36"/>
    </row>
    <row r="9703" spans="1:2" x14ac:dyDescent="0.3">
      <c r="A9703" s="19"/>
      <c r="B9703" s="36"/>
    </row>
    <row r="9704" spans="1:2" x14ac:dyDescent="0.3">
      <c r="A9704" s="19"/>
      <c r="B9704" s="36"/>
    </row>
    <row r="9705" spans="1:2" x14ac:dyDescent="0.3">
      <c r="A9705" s="19"/>
      <c r="B9705" s="36"/>
    </row>
    <row r="9706" spans="1:2" x14ac:dyDescent="0.3">
      <c r="A9706" s="19"/>
      <c r="B9706" s="36"/>
    </row>
    <row r="9707" spans="1:2" x14ac:dyDescent="0.3">
      <c r="A9707" s="19"/>
      <c r="B9707" s="36"/>
    </row>
    <row r="9708" spans="1:2" x14ac:dyDescent="0.3">
      <c r="A9708" s="19"/>
      <c r="B9708" s="36"/>
    </row>
    <row r="9709" spans="1:2" x14ac:dyDescent="0.3">
      <c r="A9709" s="19"/>
      <c r="B9709" s="36"/>
    </row>
    <row r="9710" spans="1:2" x14ac:dyDescent="0.3">
      <c r="A9710" s="19"/>
      <c r="B9710" s="36"/>
    </row>
    <row r="9711" spans="1:2" x14ac:dyDescent="0.3">
      <c r="A9711" s="19"/>
      <c r="B9711" s="36"/>
    </row>
    <row r="9712" spans="1:2" x14ac:dyDescent="0.3">
      <c r="A9712" s="19"/>
      <c r="B9712" s="36"/>
    </row>
    <row r="9713" spans="1:2" x14ac:dyDescent="0.3">
      <c r="A9713" s="19"/>
      <c r="B9713" s="36"/>
    </row>
    <row r="9714" spans="1:2" x14ac:dyDescent="0.3">
      <c r="A9714" s="19"/>
      <c r="B9714" s="36"/>
    </row>
    <row r="9715" spans="1:2" x14ac:dyDescent="0.3">
      <c r="A9715" s="19"/>
      <c r="B9715" s="36"/>
    </row>
    <row r="9716" spans="1:2" x14ac:dyDescent="0.3">
      <c r="A9716" s="19"/>
      <c r="B9716" s="36"/>
    </row>
    <row r="9717" spans="1:2" x14ac:dyDescent="0.3">
      <c r="A9717" s="19"/>
      <c r="B9717" s="36"/>
    </row>
    <row r="9718" spans="1:2" x14ac:dyDescent="0.3">
      <c r="A9718" s="19"/>
      <c r="B9718" s="36"/>
    </row>
    <row r="9719" spans="1:2" x14ac:dyDescent="0.3">
      <c r="A9719" s="19"/>
      <c r="B9719" s="36"/>
    </row>
    <row r="9720" spans="1:2" x14ac:dyDescent="0.3">
      <c r="A9720" s="19"/>
      <c r="B9720" s="36"/>
    </row>
    <row r="9721" spans="1:2" x14ac:dyDescent="0.3">
      <c r="A9721" s="19"/>
      <c r="B9721" s="36"/>
    </row>
    <row r="9722" spans="1:2" x14ac:dyDescent="0.3">
      <c r="A9722" s="19"/>
      <c r="B9722" s="36"/>
    </row>
    <row r="9723" spans="1:2" x14ac:dyDescent="0.3">
      <c r="A9723" s="19"/>
      <c r="B9723" s="36"/>
    </row>
    <row r="9724" spans="1:2" x14ac:dyDescent="0.3">
      <c r="A9724" s="19"/>
      <c r="B9724" s="36"/>
    </row>
    <row r="9725" spans="1:2" x14ac:dyDescent="0.3">
      <c r="A9725" s="19"/>
      <c r="B9725" s="36"/>
    </row>
    <row r="9726" spans="1:2" x14ac:dyDescent="0.3">
      <c r="A9726" s="19"/>
      <c r="B9726" s="36"/>
    </row>
    <row r="9727" spans="1:2" x14ac:dyDescent="0.3">
      <c r="A9727" s="19"/>
      <c r="B9727" s="36"/>
    </row>
    <row r="9728" spans="1:2" x14ac:dyDescent="0.3">
      <c r="A9728" s="19"/>
      <c r="B9728" s="36"/>
    </row>
    <row r="9729" spans="1:2" x14ac:dyDescent="0.3">
      <c r="A9729" s="19"/>
      <c r="B9729" s="36"/>
    </row>
    <row r="9730" spans="1:2" x14ac:dyDescent="0.3">
      <c r="A9730" s="19"/>
      <c r="B9730" s="36"/>
    </row>
    <row r="9731" spans="1:2" x14ac:dyDescent="0.3">
      <c r="A9731" s="19"/>
      <c r="B9731" s="36"/>
    </row>
    <row r="9732" spans="1:2" x14ac:dyDescent="0.3">
      <c r="A9732" s="19"/>
      <c r="B9732" s="36"/>
    </row>
    <row r="9733" spans="1:2" x14ac:dyDescent="0.3">
      <c r="A9733" s="19"/>
      <c r="B9733" s="36"/>
    </row>
    <row r="9734" spans="1:2" x14ac:dyDescent="0.3">
      <c r="A9734" s="19"/>
      <c r="B9734" s="36"/>
    </row>
    <row r="9735" spans="1:2" x14ac:dyDescent="0.3">
      <c r="A9735" s="19"/>
      <c r="B9735" s="36"/>
    </row>
    <row r="9736" spans="1:2" x14ac:dyDescent="0.3">
      <c r="A9736" s="19"/>
      <c r="B9736" s="36"/>
    </row>
    <row r="9737" spans="1:2" x14ac:dyDescent="0.3">
      <c r="A9737" s="19"/>
      <c r="B9737" s="36"/>
    </row>
    <row r="9738" spans="1:2" x14ac:dyDescent="0.3">
      <c r="A9738" s="19"/>
      <c r="B9738" s="36"/>
    </row>
    <row r="9739" spans="1:2" x14ac:dyDescent="0.3">
      <c r="A9739" s="19"/>
      <c r="B9739" s="36"/>
    </row>
    <row r="9740" spans="1:2" x14ac:dyDescent="0.3">
      <c r="A9740" s="19"/>
      <c r="B9740" s="36"/>
    </row>
    <row r="9741" spans="1:2" x14ac:dyDescent="0.3">
      <c r="A9741" s="19"/>
      <c r="B9741" s="36"/>
    </row>
    <row r="9742" spans="1:2" x14ac:dyDescent="0.3">
      <c r="A9742" s="19"/>
      <c r="B9742" s="36"/>
    </row>
    <row r="9743" spans="1:2" x14ac:dyDescent="0.3">
      <c r="A9743" s="19"/>
      <c r="B9743" s="36"/>
    </row>
    <row r="9744" spans="1:2" x14ac:dyDescent="0.3">
      <c r="A9744" s="19"/>
      <c r="B9744" s="36"/>
    </row>
    <row r="9745" spans="1:2" x14ac:dyDescent="0.3">
      <c r="A9745" s="19"/>
      <c r="B9745" s="36"/>
    </row>
    <row r="9746" spans="1:2" x14ac:dyDescent="0.3">
      <c r="A9746" s="19"/>
      <c r="B9746" s="36"/>
    </row>
    <row r="9747" spans="1:2" x14ac:dyDescent="0.3">
      <c r="A9747" s="19"/>
      <c r="B9747" s="36"/>
    </row>
    <row r="9748" spans="1:2" x14ac:dyDescent="0.3">
      <c r="A9748" s="19"/>
      <c r="B9748" s="36"/>
    </row>
    <row r="9749" spans="1:2" x14ac:dyDescent="0.3">
      <c r="A9749" s="19"/>
      <c r="B9749" s="36"/>
    </row>
    <row r="9750" spans="1:2" x14ac:dyDescent="0.3">
      <c r="A9750" s="19"/>
      <c r="B9750" s="36"/>
    </row>
    <row r="9751" spans="1:2" x14ac:dyDescent="0.3">
      <c r="A9751" s="19"/>
      <c r="B9751" s="36"/>
    </row>
    <row r="9752" spans="1:2" x14ac:dyDescent="0.3">
      <c r="A9752" s="19"/>
      <c r="B9752" s="36"/>
    </row>
    <row r="9753" spans="1:2" x14ac:dyDescent="0.3">
      <c r="A9753" s="19"/>
      <c r="B9753" s="36"/>
    </row>
    <row r="9754" spans="1:2" x14ac:dyDescent="0.3">
      <c r="A9754" s="19"/>
      <c r="B9754" s="36"/>
    </row>
    <row r="9755" spans="1:2" x14ac:dyDescent="0.3">
      <c r="A9755" s="19"/>
      <c r="B9755" s="36"/>
    </row>
    <row r="9756" spans="1:2" x14ac:dyDescent="0.3">
      <c r="A9756" s="19"/>
      <c r="B9756" s="36"/>
    </row>
    <row r="9757" spans="1:2" x14ac:dyDescent="0.3">
      <c r="A9757" s="19"/>
      <c r="B9757" s="36"/>
    </row>
    <row r="9758" spans="1:2" x14ac:dyDescent="0.3">
      <c r="A9758" s="19"/>
      <c r="B9758" s="36"/>
    </row>
    <row r="9759" spans="1:2" x14ac:dyDescent="0.3">
      <c r="A9759" s="19"/>
      <c r="B9759" s="36"/>
    </row>
    <row r="9760" spans="1:2" x14ac:dyDescent="0.3">
      <c r="A9760" s="19"/>
      <c r="B9760" s="36"/>
    </row>
    <row r="9761" spans="1:2" x14ac:dyDescent="0.3">
      <c r="A9761" s="19"/>
      <c r="B9761" s="36"/>
    </row>
    <row r="9762" spans="1:2" x14ac:dyDescent="0.3">
      <c r="A9762" s="19"/>
      <c r="B9762" s="36"/>
    </row>
    <row r="9763" spans="1:2" x14ac:dyDescent="0.3">
      <c r="A9763" s="19"/>
      <c r="B9763" s="36"/>
    </row>
    <row r="9764" spans="1:2" x14ac:dyDescent="0.3">
      <c r="A9764" s="19"/>
      <c r="B9764" s="36"/>
    </row>
    <row r="9765" spans="1:2" x14ac:dyDescent="0.3">
      <c r="A9765" s="19"/>
      <c r="B9765" s="36"/>
    </row>
    <row r="9766" spans="1:2" x14ac:dyDescent="0.3">
      <c r="A9766" s="19"/>
      <c r="B9766" s="36"/>
    </row>
    <row r="9767" spans="1:2" x14ac:dyDescent="0.3">
      <c r="A9767" s="19"/>
      <c r="B9767" s="36"/>
    </row>
    <row r="9768" spans="1:2" x14ac:dyDescent="0.3">
      <c r="A9768" s="19"/>
      <c r="B9768" s="36"/>
    </row>
    <row r="9769" spans="1:2" x14ac:dyDescent="0.3">
      <c r="A9769" s="19"/>
      <c r="B9769" s="36"/>
    </row>
    <row r="9770" spans="1:2" x14ac:dyDescent="0.3">
      <c r="A9770" s="19"/>
      <c r="B9770" s="36"/>
    </row>
    <row r="9771" spans="1:2" x14ac:dyDescent="0.3">
      <c r="A9771" s="19"/>
      <c r="B9771" s="36"/>
    </row>
    <row r="9772" spans="1:2" x14ac:dyDescent="0.3">
      <c r="A9772" s="19"/>
      <c r="B9772" s="36"/>
    </row>
    <row r="9773" spans="1:2" x14ac:dyDescent="0.3">
      <c r="A9773" s="19"/>
      <c r="B9773" s="36"/>
    </row>
    <row r="9774" spans="1:2" x14ac:dyDescent="0.3">
      <c r="A9774" s="19"/>
      <c r="B9774" s="36"/>
    </row>
    <row r="9775" spans="1:2" x14ac:dyDescent="0.3">
      <c r="A9775" s="19"/>
      <c r="B9775" s="36"/>
    </row>
    <row r="9776" spans="1:2" x14ac:dyDescent="0.3">
      <c r="A9776" s="19"/>
      <c r="B9776" s="36"/>
    </row>
    <row r="9777" spans="1:2" x14ac:dyDescent="0.3">
      <c r="A9777" s="19"/>
      <c r="B9777" s="36"/>
    </row>
    <row r="9778" spans="1:2" x14ac:dyDescent="0.3">
      <c r="A9778" s="19"/>
      <c r="B9778" s="36"/>
    </row>
    <row r="9779" spans="1:2" x14ac:dyDescent="0.3">
      <c r="A9779" s="19"/>
      <c r="B9779" s="36"/>
    </row>
    <row r="9780" spans="1:2" x14ac:dyDescent="0.3">
      <c r="A9780" s="19"/>
      <c r="B9780" s="36"/>
    </row>
    <row r="9781" spans="1:2" x14ac:dyDescent="0.3">
      <c r="A9781" s="19"/>
      <c r="B9781" s="36"/>
    </row>
    <row r="9782" spans="1:2" x14ac:dyDescent="0.3">
      <c r="A9782" s="19"/>
      <c r="B9782" s="36"/>
    </row>
    <row r="9783" spans="1:2" x14ac:dyDescent="0.3">
      <c r="A9783" s="19"/>
      <c r="B9783" s="36"/>
    </row>
    <row r="9784" spans="1:2" x14ac:dyDescent="0.3">
      <c r="A9784" s="19"/>
      <c r="B9784" s="36"/>
    </row>
    <row r="9785" spans="1:2" x14ac:dyDescent="0.3">
      <c r="A9785" s="19"/>
      <c r="B9785" s="36"/>
    </row>
    <row r="9786" spans="1:2" x14ac:dyDescent="0.3">
      <c r="A9786" s="19"/>
      <c r="B9786" s="36"/>
    </row>
    <row r="9787" spans="1:2" x14ac:dyDescent="0.3">
      <c r="A9787" s="19"/>
      <c r="B9787" s="36"/>
    </row>
    <row r="9788" spans="1:2" x14ac:dyDescent="0.3">
      <c r="A9788" s="19"/>
      <c r="B9788" s="36"/>
    </row>
    <row r="9789" spans="1:2" x14ac:dyDescent="0.3">
      <c r="A9789" s="19"/>
      <c r="B9789" s="36"/>
    </row>
    <row r="9790" spans="1:2" x14ac:dyDescent="0.3">
      <c r="A9790" s="19"/>
      <c r="B9790" s="36"/>
    </row>
    <row r="9791" spans="1:2" x14ac:dyDescent="0.3">
      <c r="A9791" s="19"/>
      <c r="B9791" s="36"/>
    </row>
    <row r="9792" spans="1:2" x14ac:dyDescent="0.3">
      <c r="A9792" s="19"/>
      <c r="B9792" s="36"/>
    </row>
    <row r="9793" spans="1:2" x14ac:dyDescent="0.3">
      <c r="A9793" s="19"/>
      <c r="B9793" s="36"/>
    </row>
    <row r="9794" spans="1:2" x14ac:dyDescent="0.3">
      <c r="A9794" s="19"/>
      <c r="B9794" s="36"/>
    </row>
    <row r="9795" spans="1:2" x14ac:dyDescent="0.3">
      <c r="A9795" s="19"/>
      <c r="B9795" s="36"/>
    </row>
    <row r="9796" spans="1:2" x14ac:dyDescent="0.3">
      <c r="A9796" s="19"/>
      <c r="B9796" s="36"/>
    </row>
    <row r="9797" spans="1:2" x14ac:dyDescent="0.3">
      <c r="A9797" s="19"/>
      <c r="B9797" s="36"/>
    </row>
    <row r="9798" spans="1:2" x14ac:dyDescent="0.3">
      <c r="A9798" s="19"/>
      <c r="B9798" s="36"/>
    </row>
    <row r="9799" spans="1:2" x14ac:dyDescent="0.3">
      <c r="A9799" s="19"/>
      <c r="B9799" s="36"/>
    </row>
    <row r="9800" spans="1:2" x14ac:dyDescent="0.3">
      <c r="A9800" s="19"/>
      <c r="B9800" s="36"/>
    </row>
    <row r="9801" spans="1:2" x14ac:dyDescent="0.3">
      <c r="A9801" s="19"/>
      <c r="B9801" s="36"/>
    </row>
    <row r="9802" spans="1:2" x14ac:dyDescent="0.3">
      <c r="A9802" s="19"/>
      <c r="B9802" s="36"/>
    </row>
    <row r="9803" spans="1:2" x14ac:dyDescent="0.3">
      <c r="A9803" s="19"/>
      <c r="B9803" s="36"/>
    </row>
    <row r="9804" spans="1:2" x14ac:dyDescent="0.3">
      <c r="A9804" s="19"/>
      <c r="B9804" s="36"/>
    </row>
    <row r="9805" spans="1:2" x14ac:dyDescent="0.3">
      <c r="A9805" s="19"/>
      <c r="B9805" s="36"/>
    </row>
    <row r="9806" spans="1:2" x14ac:dyDescent="0.3">
      <c r="A9806" s="19"/>
      <c r="B9806" s="36"/>
    </row>
    <row r="9807" spans="1:2" x14ac:dyDescent="0.3">
      <c r="A9807" s="19"/>
      <c r="B9807" s="36"/>
    </row>
    <row r="9808" spans="1:2" x14ac:dyDescent="0.3">
      <c r="A9808" s="19"/>
      <c r="B9808" s="36"/>
    </row>
    <row r="9809" spans="1:2" x14ac:dyDescent="0.3">
      <c r="A9809" s="19"/>
      <c r="B9809" s="36"/>
    </row>
    <row r="9810" spans="1:2" x14ac:dyDescent="0.3">
      <c r="A9810" s="19"/>
      <c r="B9810" s="36"/>
    </row>
    <row r="9811" spans="1:2" x14ac:dyDescent="0.3">
      <c r="A9811" s="19"/>
      <c r="B9811" s="36"/>
    </row>
    <row r="9812" spans="1:2" x14ac:dyDescent="0.3">
      <c r="A9812" s="19"/>
      <c r="B9812" s="36"/>
    </row>
    <row r="9813" spans="1:2" x14ac:dyDescent="0.3">
      <c r="A9813" s="19"/>
      <c r="B9813" s="36"/>
    </row>
    <row r="9814" spans="1:2" x14ac:dyDescent="0.3">
      <c r="A9814" s="19"/>
      <c r="B9814" s="36"/>
    </row>
    <row r="9815" spans="1:2" x14ac:dyDescent="0.3">
      <c r="A9815" s="19"/>
      <c r="B9815" s="36"/>
    </row>
    <row r="9816" spans="1:2" x14ac:dyDescent="0.3">
      <c r="A9816" s="19"/>
      <c r="B9816" s="36"/>
    </row>
    <row r="9817" spans="1:2" x14ac:dyDescent="0.3">
      <c r="A9817" s="19"/>
      <c r="B9817" s="36"/>
    </row>
    <row r="9818" spans="1:2" x14ac:dyDescent="0.3">
      <c r="A9818" s="19"/>
      <c r="B9818" s="36"/>
    </row>
    <row r="9819" spans="1:2" x14ac:dyDescent="0.3">
      <c r="A9819" s="19"/>
      <c r="B9819" s="36"/>
    </row>
    <row r="9820" spans="1:2" x14ac:dyDescent="0.3">
      <c r="A9820" s="19"/>
      <c r="B9820" s="36"/>
    </row>
    <row r="9821" spans="1:2" x14ac:dyDescent="0.3">
      <c r="A9821" s="19"/>
      <c r="B9821" s="36"/>
    </row>
    <row r="9822" spans="1:2" x14ac:dyDescent="0.3">
      <c r="A9822" s="19"/>
      <c r="B9822" s="36"/>
    </row>
    <row r="9823" spans="1:2" x14ac:dyDescent="0.3">
      <c r="A9823" s="19"/>
      <c r="B9823" s="36"/>
    </row>
    <row r="9824" spans="1:2" x14ac:dyDescent="0.3">
      <c r="A9824" s="19"/>
      <c r="B9824" s="36"/>
    </row>
    <row r="9825" spans="1:2" x14ac:dyDescent="0.3">
      <c r="A9825" s="19"/>
      <c r="B9825" s="36"/>
    </row>
    <row r="9826" spans="1:2" x14ac:dyDescent="0.3">
      <c r="A9826" s="19"/>
      <c r="B9826" s="36"/>
    </row>
    <row r="9827" spans="1:2" x14ac:dyDescent="0.3">
      <c r="A9827" s="19"/>
      <c r="B9827" s="36"/>
    </row>
    <row r="9828" spans="1:2" x14ac:dyDescent="0.3">
      <c r="A9828" s="19"/>
      <c r="B9828" s="36"/>
    </row>
    <row r="9829" spans="1:2" x14ac:dyDescent="0.3">
      <c r="A9829" s="19"/>
      <c r="B9829" s="36"/>
    </row>
    <row r="9830" spans="1:2" x14ac:dyDescent="0.3">
      <c r="A9830" s="19"/>
      <c r="B9830" s="36"/>
    </row>
    <row r="9831" spans="1:2" x14ac:dyDescent="0.3">
      <c r="A9831" s="19"/>
      <c r="B9831" s="36"/>
    </row>
    <row r="9832" spans="1:2" x14ac:dyDescent="0.3">
      <c r="A9832" s="19"/>
      <c r="B9832" s="36"/>
    </row>
    <row r="9833" spans="1:2" x14ac:dyDescent="0.3">
      <c r="A9833" s="19"/>
      <c r="B9833" s="36"/>
    </row>
    <row r="9834" spans="1:2" x14ac:dyDescent="0.3">
      <c r="A9834" s="19"/>
      <c r="B9834" s="36"/>
    </row>
    <row r="9835" spans="1:2" x14ac:dyDescent="0.3">
      <c r="A9835" s="19"/>
      <c r="B9835" s="36"/>
    </row>
    <row r="9836" spans="1:2" x14ac:dyDescent="0.3">
      <c r="A9836" s="19"/>
      <c r="B9836" s="36"/>
    </row>
    <row r="9837" spans="1:2" x14ac:dyDescent="0.3">
      <c r="A9837" s="19"/>
      <c r="B9837" s="36"/>
    </row>
    <row r="9838" spans="1:2" x14ac:dyDescent="0.3">
      <c r="A9838" s="19"/>
      <c r="B9838" s="36"/>
    </row>
    <row r="9839" spans="1:2" x14ac:dyDescent="0.3">
      <c r="A9839" s="19"/>
      <c r="B9839" s="36"/>
    </row>
    <row r="9840" spans="1:2" x14ac:dyDescent="0.3">
      <c r="A9840" s="19"/>
      <c r="B9840" s="36"/>
    </row>
    <row r="9841" spans="1:2" x14ac:dyDescent="0.3">
      <c r="A9841" s="19"/>
      <c r="B9841" s="36"/>
    </row>
    <row r="9842" spans="1:2" x14ac:dyDescent="0.3">
      <c r="A9842" s="19"/>
      <c r="B9842" s="36"/>
    </row>
    <row r="9843" spans="1:2" x14ac:dyDescent="0.3">
      <c r="A9843" s="19"/>
      <c r="B9843" s="36"/>
    </row>
    <row r="9844" spans="1:2" x14ac:dyDescent="0.3">
      <c r="A9844" s="19"/>
      <c r="B9844" s="36"/>
    </row>
    <row r="9845" spans="1:2" x14ac:dyDescent="0.3">
      <c r="A9845" s="19"/>
      <c r="B9845" s="36"/>
    </row>
    <row r="9846" spans="1:2" x14ac:dyDescent="0.3">
      <c r="A9846" s="19"/>
      <c r="B9846" s="36"/>
    </row>
    <row r="9847" spans="1:2" x14ac:dyDescent="0.3">
      <c r="A9847" s="19"/>
      <c r="B9847" s="36"/>
    </row>
    <row r="9848" spans="1:2" x14ac:dyDescent="0.3">
      <c r="A9848" s="19"/>
      <c r="B9848" s="36"/>
    </row>
    <row r="9849" spans="1:2" x14ac:dyDescent="0.3">
      <c r="A9849" s="19"/>
      <c r="B9849" s="36"/>
    </row>
    <row r="9850" spans="1:2" x14ac:dyDescent="0.3">
      <c r="A9850" s="19"/>
      <c r="B9850" s="36"/>
    </row>
    <row r="9851" spans="1:2" x14ac:dyDescent="0.3">
      <c r="A9851" s="19"/>
      <c r="B9851" s="36"/>
    </row>
    <row r="9852" spans="1:2" x14ac:dyDescent="0.3">
      <c r="A9852" s="19"/>
      <c r="B9852" s="36"/>
    </row>
    <row r="9853" spans="1:2" x14ac:dyDescent="0.3">
      <c r="A9853" s="19"/>
      <c r="B9853" s="36"/>
    </row>
    <row r="9854" spans="1:2" x14ac:dyDescent="0.3">
      <c r="A9854" s="19"/>
      <c r="B9854" s="36"/>
    </row>
    <row r="9855" spans="1:2" x14ac:dyDescent="0.3">
      <c r="A9855" s="19"/>
      <c r="B9855" s="36"/>
    </row>
    <row r="9856" spans="1:2" x14ac:dyDescent="0.3">
      <c r="A9856" s="19"/>
      <c r="B9856" s="36"/>
    </row>
    <row r="9857" spans="1:2" x14ac:dyDescent="0.3">
      <c r="A9857" s="19"/>
      <c r="B9857" s="36"/>
    </row>
    <row r="9858" spans="1:2" x14ac:dyDescent="0.3">
      <c r="A9858" s="19"/>
      <c r="B9858" s="36"/>
    </row>
    <row r="9859" spans="1:2" x14ac:dyDescent="0.3">
      <c r="A9859" s="19"/>
      <c r="B9859" s="36"/>
    </row>
    <row r="9860" spans="1:2" x14ac:dyDescent="0.3">
      <c r="A9860" s="19"/>
      <c r="B9860" s="36"/>
    </row>
    <row r="9861" spans="1:2" x14ac:dyDescent="0.3">
      <c r="A9861" s="19"/>
      <c r="B9861" s="36"/>
    </row>
    <row r="9862" spans="1:2" x14ac:dyDescent="0.3">
      <c r="A9862" s="19"/>
      <c r="B9862" s="36"/>
    </row>
    <row r="9863" spans="1:2" x14ac:dyDescent="0.3">
      <c r="A9863" s="19"/>
      <c r="B9863" s="36"/>
    </row>
    <row r="9864" spans="1:2" x14ac:dyDescent="0.3">
      <c r="A9864" s="19"/>
      <c r="B9864" s="36"/>
    </row>
    <row r="9865" spans="1:2" x14ac:dyDescent="0.3">
      <c r="A9865" s="19"/>
      <c r="B9865" s="36"/>
    </row>
    <row r="9866" spans="1:2" x14ac:dyDescent="0.3">
      <c r="A9866" s="19"/>
      <c r="B9866" s="36"/>
    </row>
    <row r="9867" spans="1:2" x14ac:dyDescent="0.3">
      <c r="A9867" s="19"/>
      <c r="B9867" s="36"/>
    </row>
    <row r="9868" spans="1:2" x14ac:dyDescent="0.3">
      <c r="A9868" s="19"/>
      <c r="B9868" s="36"/>
    </row>
    <row r="9869" spans="1:2" x14ac:dyDescent="0.3">
      <c r="A9869" s="19"/>
      <c r="B9869" s="36"/>
    </row>
    <row r="9870" spans="1:2" x14ac:dyDescent="0.3">
      <c r="A9870" s="19"/>
      <c r="B9870" s="36"/>
    </row>
    <row r="9871" spans="1:2" x14ac:dyDescent="0.3">
      <c r="A9871" s="19"/>
      <c r="B9871" s="36"/>
    </row>
    <row r="9872" spans="1:2" x14ac:dyDescent="0.3">
      <c r="A9872" s="19"/>
      <c r="B9872" s="36"/>
    </row>
    <row r="9873" spans="1:2" x14ac:dyDescent="0.3">
      <c r="A9873" s="19"/>
      <c r="B9873" s="36"/>
    </row>
    <row r="9874" spans="1:2" x14ac:dyDescent="0.3">
      <c r="A9874" s="19"/>
      <c r="B9874" s="36"/>
    </row>
    <row r="9875" spans="1:2" x14ac:dyDescent="0.3">
      <c r="A9875" s="19"/>
      <c r="B9875" s="36"/>
    </row>
    <row r="9876" spans="1:2" x14ac:dyDescent="0.3">
      <c r="A9876" s="19"/>
      <c r="B9876" s="36"/>
    </row>
    <row r="9877" spans="1:2" x14ac:dyDescent="0.3">
      <c r="A9877" s="19"/>
      <c r="B9877" s="36"/>
    </row>
    <row r="9878" spans="1:2" x14ac:dyDescent="0.3">
      <c r="A9878" s="19"/>
      <c r="B9878" s="36"/>
    </row>
    <row r="9879" spans="1:2" x14ac:dyDescent="0.3">
      <c r="A9879" s="19"/>
      <c r="B9879" s="36"/>
    </row>
    <row r="9880" spans="1:2" x14ac:dyDescent="0.3">
      <c r="A9880" s="19"/>
      <c r="B9880" s="36"/>
    </row>
    <row r="9881" spans="1:2" x14ac:dyDescent="0.3">
      <c r="A9881" s="19"/>
      <c r="B9881" s="36"/>
    </row>
    <row r="9882" spans="1:2" x14ac:dyDescent="0.3">
      <c r="A9882" s="19"/>
      <c r="B9882" s="36"/>
    </row>
    <row r="9883" spans="1:2" x14ac:dyDescent="0.3">
      <c r="A9883" s="19"/>
      <c r="B9883" s="36"/>
    </row>
    <row r="9884" spans="1:2" x14ac:dyDescent="0.3">
      <c r="A9884" s="19"/>
      <c r="B9884" s="36"/>
    </row>
    <row r="9885" spans="1:2" x14ac:dyDescent="0.3">
      <c r="A9885" s="19"/>
      <c r="B9885" s="36"/>
    </row>
    <row r="9886" spans="1:2" x14ac:dyDescent="0.3">
      <c r="A9886" s="19"/>
      <c r="B9886" s="36"/>
    </row>
    <row r="9887" spans="1:2" x14ac:dyDescent="0.3">
      <c r="A9887" s="19"/>
      <c r="B9887" s="36"/>
    </row>
    <row r="9888" spans="1:2" x14ac:dyDescent="0.3">
      <c r="A9888" s="19"/>
      <c r="B9888" s="36"/>
    </row>
    <row r="9889" spans="1:2" x14ac:dyDescent="0.3">
      <c r="A9889" s="19"/>
      <c r="B9889" s="36"/>
    </row>
    <row r="9890" spans="1:2" x14ac:dyDescent="0.3">
      <c r="A9890" s="19"/>
      <c r="B9890" s="36"/>
    </row>
    <row r="9891" spans="1:2" x14ac:dyDescent="0.3">
      <c r="A9891" s="19"/>
      <c r="B9891" s="36"/>
    </row>
    <row r="9892" spans="1:2" x14ac:dyDescent="0.3">
      <c r="A9892" s="19"/>
      <c r="B9892" s="36"/>
    </row>
    <row r="9893" spans="1:2" x14ac:dyDescent="0.3">
      <c r="A9893" s="19"/>
      <c r="B9893" s="36"/>
    </row>
    <row r="9894" spans="1:2" x14ac:dyDescent="0.3">
      <c r="A9894" s="19"/>
      <c r="B9894" s="36"/>
    </row>
    <row r="9895" spans="1:2" x14ac:dyDescent="0.3">
      <c r="A9895" s="19"/>
      <c r="B9895" s="36"/>
    </row>
    <row r="9896" spans="1:2" x14ac:dyDescent="0.3">
      <c r="A9896" s="19"/>
      <c r="B9896" s="36"/>
    </row>
    <row r="9897" spans="1:2" x14ac:dyDescent="0.3">
      <c r="A9897" s="19"/>
      <c r="B9897" s="36"/>
    </row>
    <row r="9898" spans="1:2" x14ac:dyDescent="0.3">
      <c r="A9898" s="19"/>
      <c r="B9898" s="36"/>
    </row>
    <row r="9899" spans="1:2" x14ac:dyDescent="0.3">
      <c r="A9899" s="19"/>
      <c r="B9899" s="36"/>
    </row>
    <row r="9900" spans="1:2" x14ac:dyDescent="0.3">
      <c r="A9900" s="19"/>
      <c r="B9900" s="36"/>
    </row>
    <row r="9901" spans="1:2" x14ac:dyDescent="0.3">
      <c r="A9901" s="19"/>
      <c r="B9901" s="36"/>
    </row>
    <row r="9902" spans="1:2" x14ac:dyDescent="0.3">
      <c r="A9902" s="19"/>
      <c r="B9902" s="36"/>
    </row>
    <row r="9903" spans="1:2" x14ac:dyDescent="0.3">
      <c r="A9903" s="19"/>
      <c r="B9903" s="36"/>
    </row>
    <row r="9904" spans="1:2" x14ac:dyDescent="0.3">
      <c r="A9904" s="19"/>
      <c r="B9904" s="36"/>
    </row>
    <row r="9905" spans="1:2" x14ac:dyDescent="0.3">
      <c r="A9905" s="19"/>
      <c r="B9905" s="36"/>
    </row>
    <row r="9906" spans="1:2" x14ac:dyDescent="0.3">
      <c r="A9906" s="19"/>
      <c r="B9906" s="36"/>
    </row>
    <row r="9907" spans="1:2" x14ac:dyDescent="0.3">
      <c r="A9907" s="19"/>
      <c r="B9907" s="36"/>
    </row>
    <row r="9908" spans="1:2" x14ac:dyDescent="0.3">
      <c r="A9908" s="19"/>
      <c r="B9908" s="36"/>
    </row>
    <row r="9909" spans="1:2" x14ac:dyDescent="0.3">
      <c r="A9909" s="19"/>
      <c r="B9909" s="36"/>
    </row>
    <row r="9910" spans="1:2" x14ac:dyDescent="0.3">
      <c r="A9910" s="19"/>
      <c r="B9910" s="36"/>
    </row>
    <row r="9911" spans="1:2" x14ac:dyDescent="0.3">
      <c r="A9911" s="19"/>
      <c r="B9911" s="36"/>
    </row>
    <row r="9912" spans="1:2" x14ac:dyDescent="0.3">
      <c r="A9912" s="19"/>
      <c r="B9912" s="36"/>
    </row>
    <row r="9913" spans="1:2" x14ac:dyDescent="0.3">
      <c r="A9913" s="19"/>
      <c r="B9913" s="36"/>
    </row>
    <row r="9914" spans="1:2" x14ac:dyDescent="0.3">
      <c r="A9914" s="19"/>
      <c r="B9914" s="36"/>
    </row>
    <row r="9915" spans="1:2" x14ac:dyDescent="0.3">
      <c r="A9915" s="19"/>
      <c r="B9915" s="36"/>
    </row>
    <row r="9916" spans="1:2" x14ac:dyDescent="0.3">
      <c r="A9916" s="19"/>
      <c r="B9916" s="36"/>
    </row>
    <row r="9917" spans="1:2" x14ac:dyDescent="0.3">
      <c r="A9917" s="19"/>
      <c r="B9917" s="36"/>
    </row>
    <row r="9918" spans="1:2" x14ac:dyDescent="0.3">
      <c r="A9918" s="19"/>
      <c r="B9918" s="36"/>
    </row>
    <row r="9919" spans="1:2" x14ac:dyDescent="0.3">
      <c r="A9919" s="19"/>
      <c r="B9919" s="36"/>
    </row>
    <row r="9920" spans="1:2" x14ac:dyDescent="0.3">
      <c r="A9920" s="19"/>
      <c r="B9920" s="36"/>
    </row>
    <row r="9921" spans="1:2" x14ac:dyDescent="0.3">
      <c r="A9921" s="19"/>
      <c r="B9921" s="36"/>
    </row>
    <row r="9922" spans="1:2" x14ac:dyDescent="0.3">
      <c r="A9922" s="19"/>
      <c r="B9922" s="36"/>
    </row>
    <row r="9923" spans="1:2" x14ac:dyDescent="0.3">
      <c r="A9923" s="19"/>
      <c r="B9923" s="36"/>
    </row>
    <row r="9924" spans="1:2" x14ac:dyDescent="0.3">
      <c r="A9924" s="19"/>
      <c r="B9924" s="36"/>
    </row>
    <row r="9925" spans="1:2" x14ac:dyDescent="0.3">
      <c r="A9925" s="19"/>
      <c r="B9925" s="36"/>
    </row>
    <row r="9926" spans="1:2" x14ac:dyDescent="0.3">
      <c r="A9926" s="19"/>
      <c r="B9926" s="36"/>
    </row>
    <row r="9927" spans="1:2" x14ac:dyDescent="0.3">
      <c r="A9927" s="19"/>
      <c r="B9927" s="36"/>
    </row>
    <row r="9928" spans="1:2" x14ac:dyDescent="0.3">
      <c r="A9928" s="19"/>
      <c r="B9928" s="36"/>
    </row>
    <row r="9929" spans="1:2" x14ac:dyDescent="0.3">
      <c r="A9929" s="19"/>
      <c r="B9929" s="36"/>
    </row>
    <row r="9930" spans="1:2" x14ac:dyDescent="0.3">
      <c r="A9930" s="19"/>
      <c r="B9930" s="36"/>
    </row>
    <row r="9931" spans="1:2" x14ac:dyDescent="0.3">
      <c r="A9931" s="19"/>
      <c r="B9931" s="36"/>
    </row>
    <row r="9932" spans="1:2" x14ac:dyDescent="0.3">
      <c r="A9932" s="19"/>
      <c r="B9932" s="36"/>
    </row>
    <row r="9933" spans="1:2" x14ac:dyDescent="0.3">
      <c r="A9933" s="19"/>
      <c r="B9933" s="36"/>
    </row>
    <row r="9934" spans="1:2" x14ac:dyDescent="0.3">
      <c r="A9934" s="19"/>
      <c r="B9934" s="36"/>
    </row>
    <row r="9935" spans="1:2" x14ac:dyDescent="0.3">
      <c r="A9935" s="19"/>
      <c r="B9935" s="36"/>
    </row>
    <row r="9936" spans="1:2" x14ac:dyDescent="0.3">
      <c r="A9936" s="19"/>
      <c r="B9936" s="36"/>
    </row>
    <row r="9937" spans="1:2" x14ac:dyDescent="0.3">
      <c r="A9937" s="19"/>
      <c r="B9937" s="36"/>
    </row>
    <row r="9938" spans="1:2" x14ac:dyDescent="0.3">
      <c r="A9938" s="19"/>
      <c r="B9938" s="36"/>
    </row>
    <row r="9939" spans="1:2" x14ac:dyDescent="0.3">
      <c r="A9939" s="19"/>
      <c r="B9939" s="36"/>
    </row>
    <row r="9940" spans="1:2" x14ac:dyDescent="0.3">
      <c r="A9940" s="19"/>
      <c r="B9940" s="36"/>
    </row>
    <row r="9941" spans="1:2" x14ac:dyDescent="0.3">
      <c r="A9941" s="19"/>
      <c r="B9941" s="36"/>
    </row>
    <row r="9942" spans="1:2" x14ac:dyDescent="0.3">
      <c r="A9942" s="19"/>
      <c r="B9942" s="36"/>
    </row>
    <row r="9943" spans="1:2" x14ac:dyDescent="0.3">
      <c r="A9943" s="19"/>
      <c r="B9943" s="36"/>
    </row>
    <row r="9944" spans="1:2" x14ac:dyDescent="0.3">
      <c r="A9944" s="19"/>
      <c r="B9944" s="36"/>
    </row>
    <row r="9945" spans="1:2" x14ac:dyDescent="0.3">
      <c r="A9945" s="19"/>
      <c r="B9945" s="36"/>
    </row>
    <row r="9946" spans="1:2" x14ac:dyDescent="0.3">
      <c r="A9946" s="19"/>
      <c r="B9946" s="36"/>
    </row>
    <row r="9947" spans="1:2" x14ac:dyDescent="0.3">
      <c r="A9947" s="19"/>
      <c r="B9947" s="36"/>
    </row>
    <row r="9948" spans="1:2" x14ac:dyDescent="0.3">
      <c r="A9948" s="19"/>
      <c r="B9948" s="36"/>
    </row>
    <row r="9949" spans="1:2" x14ac:dyDescent="0.3">
      <c r="A9949" s="19"/>
      <c r="B9949" s="36"/>
    </row>
    <row r="9950" spans="1:2" x14ac:dyDescent="0.3">
      <c r="A9950" s="19"/>
      <c r="B9950" s="36"/>
    </row>
    <row r="9951" spans="1:2" x14ac:dyDescent="0.3">
      <c r="A9951" s="19"/>
      <c r="B9951" s="36"/>
    </row>
    <row r="9952" spans="1:2" x14ac:dyDescent="0.3">
      <c r="A9952" s="19"/>
      <c r="B9952" s="36"/>
    </row>
    <row r="9953" spans="1:2" x14ac:dyDescent="0.3">
      <c r="A9953" s="19"/>
      <c r="B9953" s="36"/>
    </row>
    <row r="9954" spans="1:2" x14ac:dyDescent="0.3">
      <c r="A9954" s="19"/>
      <c r="B9954" s="36"/>
    </row>
    <row r="9955" spans="1:2" x14ac:dyDescent="0.3">
      <c r="A9955" s="19"/>
      <c r="B9955" s="36"/>
    </row>
    <row r="9956" spans="1:2" x14ac:dyDescent="0.3">
      <c r="A9956" s="19"/>
      <c r="B9956" s="36"/>
    </row>
    <row r="9957" spans="1:2" x14ac:dyDescent="0.3">
      <c r="A9957" s="19"/>
      <c r="B9957" s="36"/>
    </row>
    <row r="9958" spans="1:2" x14ac:dyDescent="0.3">
      <c r="A9958" s="19"/>
      <c r="B9958" s="36"/>
    </row>
    <row r="9959" spans="1:2" x14ac:dyDescent="0.3">
      <c r="A9959" s="19"/>
      <c r="B9959" s="36"/>
    </row>
    <row r="9960" spans="1:2" x14ac:dyDescent="0.3">
      <c r="A9960" s="19"/>
      <c r="B9960" s="36"/>
    </row>
    <row r="9961" spans="1:2" x14ac:dyDescent="0.3">
      <c r="A9961" s="19"/>
      <c r="B9961" s="36"/>
    </row>
    <row r="9962" spans="1:2" x14ac:dyDescent="0.3">
      <c r="A9962" s="19"/>
      <c r="B9962" s="36"/>
    </row>
    <row r="9963" spans="1:2" x14ac:dyDescent="0.3">
      <c r="A9963" s="19"/>
      <c r="B9963" s="36"/>
    </row>
    <row r="9964" spans="1:2" x14ac:dyDescent="0.3">
      <c r="A9964" s="19"/>
      <c r="B9964" s="36"/>
    </row>
    <row r="9965" spans="1:2" x14ac:dyDescent="0.3">
      <c r="A9965" s="19"/>
      <c r="B9965" s="36"/>
    </row>
    <row r="9966" spans="1:2" x14ac:dyDescent="0.3">
      <c r="A9966" s="19"/>
      <c r="B9966" s="36"/>
    </row>
    <row r="9967" spans="1:2" x14ac:dyDescent="0.3">
      <c r="A9967" s="19"/>
      <c r="B9967" s="36"/>
    </row>
    <row r="9968" spans="1:2" x14ac:dyDescent="0.3">
      <c r="A9968" s="19"/>
      <c r="B9968" s="36"/>
    </row>
    <row r="9969" spans="1:2" x14ac:dyDescent="0.3">
      <c r="A9969" s="19"/>
      <c r="B9969" s="36"/>
    </row>
    <row r="9970" spans="1:2" x14ac:dyDescent="0.3">
      <c r="A9970" s="19"/>
      <c r="B9970" s="36"/>
    </row>
    <row r="9971" spans="1:2" x14ac:dyDescent="0.3">
      <c r="A9971" s="19"/>
      <c r="B9971" s="36"/>
    </row>
    <row r="9972" spans="1:2" x14ac:dyDescent="0.3">
      <c r="A9972" s="19"/>
      <c r="B9972" s="36"/>
    </row>
    <row r="9973" spans="1:2" x14ac:dyDescent="0.3">
      <c r="A9973" s="19"/>
      <c r="B9973" s="36"/>
    </row>
    <row r="9974" spans="1:2" x14ac:dyDescent="0.3">
      <c r="A9974" s="19"/>
      <c r="B9974" s="36"/>
    </row>
    <row r="9975" spans="1:2" x14ac:dyDescent="0.3">
      <c r="A9975" s="19"/>
      <c r="B9975" s="36"/>
    </row>
    <row r="9976" spans="1:2" x14ac:dyDescent="0.3">
      <c r="A9976" s="19"/>
      <c r="B9976" s="36"/>
    </row>
    <row r="9977" spans="1:2" x14ac:dyDescent="0.3">
      <c r="A9977" s="19"/>
      <c r="B9977" s="36"/>
    </row>
    <row r="9978" spans="1:2" x14ac:dyDescent="0.3">
      <c r="A9978" s="19"/>
      <c r="B9978" s="36"/>
    </row>
    <row r="9979" spans="1:2" x14ac:dyDescent="0.3">
      <c r="A9979" s="19"/>
      <c r="B9979" s="36"/>
    </row>
    <row r="9980" spans="1:2" x14ac:dyDescent="0.3">
      <c r="A9980" s="19"/>
      <c r="B9980" s="36"/>
    </row>
    <row r="9981" spans="1:2" x14ac:dyDescent="0.3">
      <c r="A9981" s="19"/>
      <c r="B9981" s="36"/>
    </row>
    <row r="9982" spans="1:2" x14ac:dyDescent="0.3">
      <c r="A9982" s="19"/>
      <c r="B9982" s="36"/>
    </row>
    <row r="9983" spans="1:2" x14ac:dyDescent="0.3">
      <c r="A9983" s="19"/>
      <c r="B9983" s="36"/>
    </row>
    <row r="9984" spans="1:2" x14ac:dyDescent="0.3">
      <c r="A9984" s="19"/>
      <c r="B9984" s="36"/>
    </row>
    <row r="9985" spans="1:2" x14ac:dyDescent="0.3">
      <c r="A9985" s="19"/>
      <c r="B9985" s="36"/>
    </row>
    <row r="9986" spans="1:2" x14ac:dyDescent="0.3">
      <c r="A9986" s="19"/>
      <c r="B9986" s="36"/>
    </row>
    <row r="9987" spans="1:2" x14ac:dyDescent="0.3">
      <c r="A9987" s="19"/>
      <c r="B9987" s="36"/>
    </row>
    <row r="9988" spans="1:2" x14ac:dyDescent="0.3">
      <c r="A9988" s="19"/>
      <c r="B9988" s="36"/>
    </row>
    <row r="9989" spans="1:2" x14ac:dyDescent="0.3">
      <c r="A9989" s="19"/>
      <c r="B9989" s="36"/>
    </row>
    <row r="9990" spans="1:2" x14ac:dyDescent="0.3">
      <c r="A9990" s="19"/>
      <c r="B9990" s="36"/>
    </row>
    <row r="9991" spans="1:2" x14ac:dyDescent="0.3">
      <c r="A9991" s="19"/>
      <c r="B9991" s="36"/>
    </row>
    <row r="9992" spans="1:2" x14ac:dyDescent="0.3">
      <c r="A9992" s="19"/>
      <c r="B9992" s="36"/>
    </row>
    <row r="9993" spans="1:2" x14ac:dyDescent="0.3">
      <c r="A9993" s="19"/>
      <c r="B9993" s="36"/>
    </row>
    <row r="9994" spans="1:2" x14ac:dyDescent="0.3">
      <c r="A9994" s="19"/>
      <c r="B9994" s="36"/>
    </row>
    <row r="9995" spans="1:2" x14ac:dyDescent="0.3">
      <c r="A9995" s="19"/>
      <c r="B9995" s="36"/>
    </row>
    <row r="9996" spans="1:2" x14ac:dyDescent="0.3">
      <c r="A9996" s="19"/>
      <c r="B9996" s="36"/>
    </row>
    <row r="9997" spans="1:2" x14ac:dyDescent="0.3">
      <c r="A9997" s="19"/>
      <c r="B9997" s="36"/>
    </row>
    <row r="9998" spans="1:2" x14ac:dyDescent="0.3">
      <c r="A9998" s="19"/>
      <c r="B9998" s="36"/>
    </row>
    <row r="9999" spans="1:2" x14ac:dyDescent="0.3">
      <c r="A9999" s="19"/>
      <c r="B9999" s="36"/>
    </row>
    <row r="10000" spans="1:2" x14ac:dyDescent="0.3">
      <c r="A10000" s="19"/>
      <c r="B10000" s="36"/>
    </row>
    <row r="10001" spans="1:2" x14ac:dyDescent="0.3">
      <c r="A10001" s="19"/>
      <c r="B10001" s="36"/>
    </row>
    <row r="10002" spans="1:2" x14ac:dyDescent="0.3">
      <c r="A10002" s="19"/>
      <c r="B10002" s="36"/>
    </row>
    <row r="10003" spans="1:2" x14ac:dyDescent="0.3">
      <c r="A10003" s="19"/>
      <c r="B10003" s="36"/>
    </row>
    <row r="10004" spans="1:2" x14ac:dyDescent="0.3">
      <c r="A10004" s="19"/>
      <c r="B10004" s="36"/>
    </row>
    <row r="10005" spans="1:2" x14ac:dyDescent="0.3">
      <c r="A10005" s="19"/>
      <c r="B10005" s="36"/>
    </row>
    <row r="10006" spans="1:2" x14ac:dyDescent="0.3">
      <c r="A10006" s="19"/>
      <c r="B10006" s="36"/>
    </row>
    <row r="10007" spans="1:2" x14ac:dyDescent="0.3">
      <c r="A10007" s="19"/>
      <c r="B10007" s="36"/>
    </row>
    <row r="10008" spans="1:2" x14ac:dyDescent="0.3">
      <c r="A10008" s="19"/>
      <c r="B10008" s="36"/>
    </row>
    <row r="10009" spans="1:2" x14ac:dyDescent="0.3">
      <c r="A10009" s="19"/>
      <c r="B10009" s="36"/>
    </row>
    <row r="10010" spans="1:2" x14ac:dyDescent="0.3">
      <c r="A10010" s="19"/>
      <c r="B10010" s="36"/>
    </row>
    <row r="10011" spans="1:2" x14ac:dyDescent="0.3">
      <c r="A10011" s="19"/>
      <c r="B10011" s="36"/>
    </row>
    <row r="10012" spans="1:2" x14ac:dyDescent="0.3">
      <c r="A10012" s="19"/>
      <c r="B10012" s="36"/>
    </row>
    <row r="10013" spans="1:2" x14ac:dyDescent="0.3">
      <c r="A10013" s="19"/>
      <c r="B10013" s="36"/>
    </row>
    <row r="10014" spans="1:2" x14ac:dyDescent="0.3">
      <c r="A10014" s="19"/>
      <c r="B10014" s="36"/>
    </row>
    <row r="10015" spans="1:2" x14ac:dyDescent="0.3">
      <c r="A10015" s="19"/>
      <c r="B10015" s="36"/>
    </row>
    <row r="10016" spans="1:2" x14ac:dyDescent="0.3">
      <c r="A10016" s="19"/>
      <c r="B10016" s="36"/>
    </row>
    <row r="10017" spans="1:2" x14ac:dyDescent="0.3">
      <c r="A10017" s="19"/>
      <c r="B10017" s="36"/>
    </row>
    <row r="10018" spans="1:2" x14ac:dyDescent="0.3">
      <c r="A10018" s="19"/>
      <c r="B10018" s="36"/>
    </row>
    <row r="10019" spans="1:2" x14ac:dyDescent="0.3">
      <c r="A10019" s="19"/>
      <c r="B10019" s="36"/>
    </row>
    <row r="10020" spans="1:2" x14ac:dyDescent="0.3">
      <c r="A10020" s="19"/>
      <c r="B10020" s="36"/>
    </row>
    <row r="10021" spans="1:2" x14ac:dyDescent="0.3">
      <c r="A10021" s="19"/>
      <c r="B10021" s="36"/>
    </row>
    <row r="10022" spans="1:2" x14ac:dyDescent="0.3">
      <c r="A10022" s="19"/>
      <c r="B10022" s="36"/>
    </row>
    <row r="10023" spans="1:2" x14ac:dyDescent="0.3">
      <c r="A10023" s="19"/>
      <c r="B10023" s="36"/>
    </row>
    <row r="10024" spans="1:2" x14ac:dyDescent="0.3">
      <c r="A10024" s="19"/>
      <c r="B10024" s="36"/>
    </row>
    <row r="10025" spans="1:2" x14ac:dyDescent="0.3">
      <c r="A10025" s="19"/>
      <c r="B10025" s="36"/>
    </row>
    <row r="10026" spans="1:2" x14ac:dyDescent="0.3">
      <c r="A10026" s="19"/>
      <c r="B10026" s="36"/>
    </row>
    <row r="10027" spans="1:2" x14ac:dyDescent="0.3">
      <c r="A10027" s="19"/>
      <c r="B10027" s="36"/>
    </row>
    <row r="10028" spans="1:2" x14ac:dyDescent="0.3">
      <c r="A10028" s="19"/>
      <c r="B10028" s="36"/>
    </row>
    <row r="10029" spans="1:2" x14ac:dyDescent="0.3">
      <c r="A10029" s="19"/>
      <c r="B10029" s="36"/>
    </row>
    <row r="10030" spans="1:2" x14ac:dyDescent="0.3">
      <c r="A10030" s="19"/>
      <c r="B10030" s="36"/>
    </row>
    <row r="10031" spans="1:2" x14ac:dyDescent="0.3">
      <c r="A10031" s="19"/>
      <c r="B10031" s="36"/>
    </row>
    <row r="10032" spans="1:2" x14ac:dyDescent="0.3">
      <c r="A10032" s="19"/>
      <c r="B10032" s="36"/>
    </row>
    <row r="10033" spans="1:2" x14ac:dyDescent="0.3">
      <c r="A10033" s="19"/>
      <c r="B10033" s="36"/>
    </row>
    <row r="10034" spans="1:2" x14ac:dyDescent="0.3">
      <c r="A10034" s="19"/>
      <c r="B10034" s="36"/>
    </row>
    <row r="10035" spans="1:2" x14ac:dyDescent="0.3">
      <c r="A10035" s="19"/>
      <c r="B10035" s="36"/>
    </row>
    <row r="10036" spans="1:2" x14ac:dyDescent="0.3">
      <c r="A10036" s="19"/>
      <c r="B10036" s="36"/>
    </row>
    <row r="10037" spans="1:2" x14ac:dyDescent="0.3">
      <c r="A10037" s="19"/>
      <c r="B10037" s="36"/>
    </row>
    <row r="10038" spans="1:2" x14ac:dyDescent="0.3">
      <c r="A10038" s="19"/>
      <c r="B10038" s="36"/>
    </row>
    <row r="10039" spans="1:2" x14ac:dyDescent="0.3">
      <c r="A10039" s="19"/>
      <c r="B10039" s="36"/>
    </row>
    <row r="10040" spans="1:2" x14ac:dyDescent="0.3">
      <c r="A10040" s="19"/>
      <c r="B10040" s="36"/>
    </row>
    <row r="10041" spans="1:2" x14ac:dyDescent="0.3">
      <c r="A10041" s="19"/>
      <c r="B10041" s="36"/>
    </row>
    <row r="10042" spans="1:2" x14ac:dyDescent="0.3">
      <c r="A10042" s="19"/>
      <c r="B10042" s="36"/>
    </row>
    <row r="10043" spans="1:2" x14ac:dyDescent="0.3">
      <c r="A10043" s="19"/>
      <c r="B10043" s="36"/>
    </row>
    <row r="10044" spans="1:2" x14ac:dyDescent="0.3">
      <c r="A10044" s="19"/>
      <c r="B10044" s="36"/>
    </row>
    <row r="10045" spans="1:2" x14ac:dyDescent="0.3">
      <c r="A10045" s="19"/>
      <c r="B10045" s="36"/>
    </row>
    <row r="10046" spans="1:2" x14ac:dyDescent="0.3">
      <c r="A10046" s="19"/>
      <c r="B10046" s="36"/>
    </row>
    <row r="10047" spans="1:2" x14ac:dyDescent="0.3">
      <c r="A10047" s="19"/>
      <c r="B10047" s="36"/>
    </row>
    <row r="10048" spans="1:2" x14ac:dyDescent="0.3">
      <c r="A10048" s="19"/>
      <c r="B10048" s="36"/>
    </row>
    <row r="10049" spans="1:2" x14ac:dyDescent="0.3">
      <c r="A10049" s="19"/>
      <c r="B10049" s="36"/>
    </row>
    <row r="10050" spans="1:2" x14ac:dyDescent="0.3">
      <c r="A10050" s="19"/>
      <c r="B10050" s="36"/>
    </row>
    <row r="10051" spans="1:2" x14ac:dyDescent="0.3">
      <c r="A10051" s="19"/>
      <c r="B10051" s="36"/>
    </row>
    <row r="10052" spans="1:2" x14ac:dyDescent="0.3">
      <c r="A10052" s="19"/>
      <c r="B10052" s="36"/>
    </row>
    <row r="10053" spans="1:2" x14ac:dyDescent="0.3">
      <c r="A10053" s="19"/>
      <c r="B10053" s="36"/>
    </row>
    <row r="10054" spans="1:2" x14ac:dyDescent="0.3">
      <c r="A10054" s="19"/>
      <c r="B10054" s="36"/>
    </row>
    <row r="10055" spans="1:2" x14ac:dyDescent="0.3">
      <c r="A10055" s="19"/>
      <c r="B10055" s="36"/>
    </row>
    <row r="10056" spans="1:2" x14ac:dyDescent="0.3">
      <c r="A10056" s="19"/>
      <c r="B10056" s="36"/>
    </row>
    <row r="10057" spans="1:2" x14ac:dyDescent="0.3">
      <c r="A10057" s="19"/>
      <c r="B10057" s="36"/>
    </row>
    <row r="10058" spans="1:2" x14ac:dyDescent="0.3">
      <c r="A10058" s="19"/>
      <c r="B10058" s="36"/>
    </row>
    <row r="10059" spans="1:2" x14ac:dyDescent="0.3">
      <c r="A10059" s="19"/>
      <c r="B10059" s="36"/>
    </row>
    <row r="10060" spans="1:2" x14ac:dyDescent="0.3">
      <c r="A10060" s="19"/>
      <c r="B10060" s="36"/>
    </row>
    <row r="10061" spans="1:2" x14ac:dyDescent="0.3">
      <c r="A10061" s="19"/>
      <c r="B10061" s="36"/>
    </row>
    <row r="10062" spans="1:2" x14ac:dyDescent="0.3">
      <c r="A10062" s="19"/>
      <c r="B10062" s="36"/>
    </row>
    <row r="10063" spans="1:2" x14ac:dyDescent="0.3">
      <c r="A10063" s="19"/>
      <c r="B10063" s="36"/>
    </row>
    <row r="10064" spans="1:2" x14ac:dyDescent="0.3">
      <c r="A10064" s="19"/>
      <c r="B10064" s="36"/>
    </row>
    <row r="10065" spans="1:2" x14ac:dyDescent="0.3">
      <c r="A10065" s="19"/>
      <c r="B10065" s="36"/>
    </row>
    <row r="10066" spans="1:2" x14ac:dyDescent="0.3">
      <c r="A10066" s="19"/>
      <c r="B10066" s="36"/>
    </row>
    <row r="10067" spans="1:2" x14ac:dyDescent="0.3">
      <c r="A10067" s="19"/>
      <c r="B10067" s="36"/>
    </row>
    <row r="10068" spans="1:2" x14ac:dyDescent="0.3">
      <c r="A10068" s="19"/>
      <c r="B10068" s="36"/>
    </row>
    <row r="10069" spans="1:2" x14ac:dyDescent="0.3">
      <c r="A10069" s="19"/>
      <c r="B10069" s="36"/>
    </row>
    <row r="10070" spans="1:2" x14ac:dyDescent="0.3">
      <c r="A10070" s="19"/>
      <c r="B10070" s="36"/>
    </row>
    <row r="10071" spans="1:2" x14ac:dyDescent="0.3">
      <c r="A10071" s="19"/>
      <c r="B10071" s="36"/>
    </row>
    <row r="10072" spans="1:2" x14ac:dyDescent="0.3">
      <c r="A10072" s="19"/>
      <c r="B10072" s="36"/>
    </row>
    <row r="10073" spans="1:2" x14ac:dyDescent="0.3">
      <c r="A10073" s="19"/>
      <c r="B10073" s="36"/>
    </row>
    <row r="10074" spans="1:2" x14ac:dyDescent="0.3">
      <c r="A10074" s="19"/>
      <c r="B10074" s="36"/>
    </row>
    <row r="10075" spans="1:2" x14ac:dyDescent="0.3">
      <c r="A10075" s="19"/>
      <c r="B10075" s="36"/>
    </row>
    <row r="10076" spans="1:2" x14ac:dyDescent="0.3">
      <c r="A10076" s="19"/>
      <c r="B10076" s="36"/>
    </row>
    <row r="10077" spans="1:2" x14ac:dyDescent="0.3">
      <c r="A10077" s="19"/>
      <c r="B10077" s="36"/>
    </row>
    <row r="10078" spans="1:2" x14ac:dyDescent="0.3">
      <c r="A10078" s="19"/>
      <c r="B10078" s="36"/>
    </row>
    <row r="10079" spans="1:2" x14ac:dyDescent="0.3">
      <c r="A10079" s="19"/>
      <c r="B10079" s="36"/>
    </row>
    <row r="10080" spans="1:2" x14ac:dyDescent="0.3">
      <c r="A10080" s="19"/>
      <c r="B10080" s="36"/>
    </row>
    <row r="10081" spans="1:2" x14ac:dyDescent="0.3">
      <c r="A10081" s="19"/>
      <c r="B10081" s="36"/>
    </row>
    <row r="10082" spans="1:2" x14ac:dyDescent="0.3">
      <c r="A10082" s="19"/>
      <c r="B10082" s="36"/>
    </row>
    <row r="10083" spans="1:2" x14ac:dyDescent="0.3">
      <c r="A10083" s="19"/>
      <c r="B10083" s="36"/>
    </row>
    <row r="10084" spans="1:2" x14ac:dyDescent="0.3">
      <c r="A10084" s="19"/>
      <c r="B10084" s="36"/>
    </row>
    <row r="10085" spans="1:2" x14ac:dyDescent="0.3">
      <c r="A10085" s="19"/>
      <c r="B10085" s="36"/>
    </row>
    <row r="10086" spans="1:2" x14ac:dyDescent="0.3">
      <c r="A10086" s="19"/>
      <c r="B10086" s="36"/>
    </row>
    <row r="10087" spans="1:2" x14ac:dyDescent="0.3">
      <c r="A10087" s="19"/>
      <c r="B10087" s="36"/>
    </row>
    <row r="10088" spans="1:2" x14ac:dyDescent="0.3">
      <c r="A10088" s="19"/>
      <c r="B10088" s="36"/>
    </row>
    <row r="10089" spans="1:2" x14ac:dyDescent="0.3">
      <c r="A10089" s="19"/>
      <c r="B10089" s="36"/>
    </row>
    <row r="10090" spans="1:2" x14ac:dyDescent="0.3">
      <c r="A10090" s="19"/>
      <c r="B10090" s="36"/>
    </row>
    <row r="10091" spans="1:2" x14ac:dyDescent="0.3">
      <c r="A10091" s="19"/>
      <c r="B10091" s="36"/>
    </row>
    <row r="10092" spans="1:2" x14ac:dyDescent="0.3">
      <c r="A10092" s="19"/>
      <c r="B10092" s="36"/>
    </row>
    <row r="10093" spans="1:2" x14ac:dyDescent="0.3">
      <c r="A10093" s="19"/>
      <c r="B10093" s="36"/>
    </row>
    <row r="10094" spans="1:2" x14ac:dyDescent="0.3">
      <c r="A10094" s="19"/>
      <c r="B10094" s="36"/>
    </row>
    <row r="10095" spans="1:2" x14ac:dyDescent="0.3">
      <c r="A10095" s="19"/>
      <c r="B10095" s="36"/>
    </row>
    <row r="10096" spans="1:2" x14ac:dyDescent="0.3">
      <c r="A10096" s="19"/>
      <c r="B10096" s="36"/>
    </row>
    <row r="10097" spans="1:2" x14ac:dyDescent="0.3">
      <c r="A10097" s="19"/>
      <c r="B10097" s="36"/>
    </row>
    <row r="10098" spans="1:2" x14ac:dyDescent="0.3">
      <c r="A10098" s="19"/>
      <c r="B10098" s="36"/>
    </row>
    <row r="10099" spans="1:2" x14ac:dyDescent="0.3">
      <c r="A10099" s="19"/>
      <c r="B10099" s="36"/>
    </row>
    <row r="10100" spans="1:2" x14ac:dyDescent="0.3">
      <c r="A10100" s="19"/>
      <c r="B10100" s="36"/>
    </row>
    <row r="10101" spans="1:2" x14ac:dyDescent="0.3">
      <c r="A10101" s="19"/>
      <c r="B10101" s="36"/>
    </row>
    <row r="10102" spans="1:2" x14ac:dyDescent="0.3">
      <c r="A10102" s="19"/>
      <c r="B10102" s="36"/>
    </row>
    <row r="10103" spans="1:2" x14ac:dyDescent="0.3">
      <c r="A10103" s="19"/>
      <c r="B10103" s="36"/>
    </row>
    <row r="10104" spans="1:2" x14ac:dyDescent="0.3">
      <c r="A10104" s="19"/>
      <c r="B10104" s="36"/>
    </row>
    <row r="10105" spans="1:2" x14ac:dyDescent="0.3">
      <c r="A10105" s="19"/>
      <c r="B10105" s="36"/>
    </row>
    <row r="10106" spans="1:2" x14ac:dyDescent="0.3">
      <c r="A10106" s="19"/>
      <c r="B10106" s="36"/>
    </row>
    <row r="10107" spans="1:2" x14ac:dyDescent="0.3">
      <c r="A10107" s="19"/>
      <c r="B10107" s="36"/>
    </row>
    <row r="10108" spans="1:2" x14ac:dyDescent="0.3">
      <c r="A10108" s="19"/>
      <c r="B10108" s="36"/>
    </row>
    <row r="10109" spans="1:2" x14ac:dyDescent="0.3">
      <c r="A10109" s="19"/>
      <c r="B10109" s="36"/>
    </row>
    <row r="10110" spans="1:2" x14ac:dyDescent="0.3">
      <c r="A10110" s="19"/>
      <c r="B10110" s="36"/>
    </row>
    <row r="10111" spans="1:2" x14ac:dyDescent="0.3">
      <c r="A10111" s="19"/>
      <c r="B10111" s="36"/>
    </row>
    <row r="10112" spans="1:2" x14ac:dyDescent="0.3">
      <c r="A10112" s="19"/>
      <c r="B10112" s="36"/>
    </row>
    <row r="10113" spans="1:2" x14ac:dyDescent="0.3">
      <c r="A10113" s="19"/>
      <c r="B10113" s="36"/>
    </row>
    <row r="10114" spans="1:2" x14ac:dyDescent="0.3">
      <c r="A10114" s="19"/>
      <c r="B10114" s="36"/>
    </row>
    <row r="10115" spans="1:2" x14ac:dyDescent="0.3">
      <c r="A10115" s="19"/>
      <c r="B10115" s="36"/>
    </row>
    <row r="10116" spans="1:2" x14ac:dyDescent="0.3">
      <c r="A10116" s="19"/>
      <c r="B10116" s="36"/>
    </row>
    <row r="10117" spans="1:2" x14ac:dyDescent="0.3">
      <c r="A10117" s="19"/>
      <c r="B10117" s="36"/>
    </row>
    <row r="10118" spans="1:2" x14ac:dyDescent="0.3">
      <c r="A10118" s="19"/>
      <c r="B10118" s="36"/>
    </row>
    <row r="10119" spans="1:2" x14ac:dyDescent="0.3">
      <c r="A10119" s="19"/>
      <c r="B10119" s="36"/>
    </row>
    <row r="10120" spans="1:2" x14ac:dyDescent="0.3">
      <c r="A10120" s="19"/>
      <c r="B10120" s="36"/>
    </row>
    <row r="10121" spans="1:2" x14ac:dyDescent="0.3">
      <c r="A10121" s="19"/>
      <c r="B10121" s="36"/>
    </row>
    <row r="10122" spans="1:2" x14ac:dyDescent="0.3">
      <c r="A10122" s="19"/>
      <c r="B10122" s="36"/>
    </row>
    <row r="10123" spans="1:2" x14ac:dyDescent="0.3">
      <c r="A10123" s="19"/>
      <c r="B10123" s="36"/>
    </row>
    <row r="10124" spans="1:2" x14ac:dyDescent="0.3">
      <c r="A10124" s="19"/>
      <c r="B10124" s="36"/>
    </row>
    <row r="10125" spans="1:2" x14ac:dyDescent="0.3">
      <c r="A10125" s="19"/>
      <c r="B10125" s="36"/>
    </row>
    <row r="10126" spans="1:2" x14ac:dyDescent="0.3">
      <c r="A10126" s="19"/>
      <c r="B10126" s="36"/>
    </row>
    <row r="10127" spans="1:2" x14ac:dyDescent="0.3">
      <c r="A10127" s="19"/>
      <c r="B10127" s="36"/>
    </row>
    <row r="10128" spans="1:2" x14ac:dyDescent="0.3">
      <c r="A10128" s="19"/>
      <c r="B10128" s="36"/>
    </row>
    <row r="10129" spans="1:2" x14ac:dyDescent="0.3">
      <c r="A10129" s="19"/>
      <c r="B10129" s="36"/>
    </row>
    <row r="10130" spans="1:2" x14ac:dyDescent="0.3">
      <c r="A10130" s="19"/>
      <c r="B10130" s="36"/>
    </row>
    <row r="10131" spans="1:2" x14ac:dyDescent="0.3">
      <c r="A10131" s="19"/>
      <c r="B10131" s="36"/>
    </row>
    <row r="10132" spans="1:2" x14ac:dyDescent="0.3">
      <c r="A10132" s="19"/>
      <c r="B10132" s="36"/>
    </row>
    <row r="10133" spans="1:2" x14ac:dyDescent="0.3">
      <c r="A10133" s="19"/>
      <c r="B10133" s="36"/>
    </row>
    <row r="10134" spans="1:2" x14ac:dyDescent="0.3">
      <c r="A10134" s="19"/>
      <c r="B10134" s="36"/>
    </row>
    <row r="10135" spans="1:2" x14ac:dyDescent="0.3">
      <c r="A10135" s="19"/>
      <c r="B10135" s="36"/>
    </row>
    <row r="10136" spans="1:2" x14ac:dyDescent="0.3">
      <c r="A10136" s="19"/>
      <c r="B10136" s="36"/>
    </row>
    <row r="10137" spans="1:2" x14ac:dyDescent="0.3">
      <c r="A10137" s="19"/>
      <c r="B10137" s="36"/>
    </row>
    <row r="10138" spans="1:2" x14ac:dyDescent="0.3">
      <c r="A10138" s="19"/>
      <c r="B10138" s="36"/>
    </row>
    <row r="10139" spans="1:2" x14ac:dyDescent="0.3">
      <c r="A10139" s="19"/>
      <c r="B10139" s="36"/>
    </row>
    <row r="10140" spans="1:2" x14ac:dyDescent="0.3">
      <c r="A10140" s="19"/>
      <c r="B10140" s="36"/>
    </row>
    <row r="10141" spans="1:2" x14ac:dyDescent="0.3">
      <c r="A10141" s="19"/>
      <c r="B10141" s="36"/>
    </row>
    <row r="10142" spans="1:2" x14ac:dyDescent="0.3">
      <c r="A10142" s="19"/>
      <c r="B10142" s="36"/>
    </row>
    <row r="10143" spans="1:2" x14ac:dyDescent="0.3">
      <c r="A10143" s="19"/>
      <c r="B10143" s="36"/>
    </row>
    <row r="10144" spans="1:2" x14ac:dyDescent="0.3">
      <c r="A10144" s="19"/>
      <c r="B10144" s="36"/>
    </row>
    <row r="10145" spans="1:2" x14ac:dyDescent="0.3">
      <c r="A10145" s="19"/>
      <c r="B10145" s="36"/>
    </row>
    <row r="10146" spans="1:2" x14ac:dyDescent="0.3">
      <c r="A10146" s="19"/>
      <c r="B10146" s="36"/>
    </row>
    <row r="10147" spans="1:2" x14ac:dyDescent="0.3">
      <c r="A10147" s="19"/>
      <c r="B10147" s="36"/>
    </row>
    <row r="10148" spans="1:2" x14ac:dyDescent="0.3">
      <c r="A10148" s="19"/>
      <c r="B10148" s="36"/>
    </row>
    <row r="10149" spans="1:2" x14ac:dyDescent="0.3">
      <c r="A10149" s="19"/>
      <c r="B10149" s="36"/>
    </row>
    <row r="10150" spans="1:2" x14ac:dyDescent="0.3">
      <c r="A10150" s="19"/>
      <c r="B10150" s="36"/>
    </row>
    <row r="10151" spans="1:2" x14ac:dyDescent="0.3">
      <c r="A10151" s="19"/>
      <c r="B10151" s="36"/>
    </row>
    <row r="10152" spans="1:2" x14ac:dyDescent="0.3">
      <c r="A10152" s="19"/>
      <c r="B10152" s="36"/>
    </row>
    <row r="10153" spans="1:2" x14ac:dyDescent="0.3">
      <c r="A10153" s="19"/>
      <c r="B10153" s="36"/>
    </row>
    <row r="10154" spans="1:2" x14ac:dyDescent="0.3">
      <c r="A10154" s="19"/>
      <c r="B10154" s="36"/>
    </row>
    <row r="10155" spans="1:2" x14ac:dyDescent="0.3">
      <c r="A10155" s="19"/>
      <c r="B10155" s="36"/>
    </row>
    <row r="10156" spans="1:2" x14ac:dyDescent="0.3">
      <c r="A10156" s="19"/>
      <c r="B10156" s="36"/>
    </row>
    <row r="10157" spans="1:2" x14ac:dyDescent="0.3">
      <c r="A10157" s="19"/>
      <c r="B10157" s="36"/>
    </row>
    <row r="10158" spans="1:2" x14ac:dyDescent="0.3">
      <c r="A10158" s="19"/>
      <c r="B10158" s="36"/>
    </row>
    <row r="10159" spans="1:2" x14ac:dyDescent="0.3">
      <c r="A10159" s="19"/>
      <c r="B10159" s="36"/>
    </row>
    <row r="10160" spans="1:2" x14ac:dyDescent="0.3">
      <c r="A10160" s="19"/>
      <c r="B10160" s="36"/>
    </row>
    <row r="10161" spans="1:2" x14ac:dyDescent="0.3">
      <c r="A10161" s="19"/>
      <c r="B10161" s="36"/>
    </row>
    <row r="10162" spans="1:2" x14ac:dyDescent="0.3">
      <c r="A10162" s="19"/>
      <c r="B10162" s="36"/>
    </row>
    <row r="10163" spans="1:2" x14ac:dyDescent="0.3">
      <c r="A10163" s="19"/>
      <c r="B10163" s="36"/>
    </row>
    <row r="10164" spans="1:2" x14ac:dyDescent="0.3">
      <c r="A10164" s="19"/>
      <c r="B10164" s="36"/>
    </row>
    <row r="10165" spans="1:2" x14ac:dyDescent="0.3">
      <c r="A10165" s="19"/>
      <c r="B10165" s="36"/>
    </row>
    <row r="10166" spans="1:2" x14ac:dyDescent="0.3">
      <c r="A10166" s="19"/>
      <c r="B10166" s="36"/>
    </row>
    <row r="10167" spans="1:2" x14ac:dyDescent="0.3">
      <c r="A10167" s="19"/>
      <c r="B10167" s="36"/>
    </row>
    <row r="10168" spans="1:2" x14ac:dyDescent="0.3">
      <c r="A10168" s="19"/>
      <c r="B10168" s="36"/>
    </row>
    <row r="10169" spans="1:2" x14ac:dyDescent="0.3">
      <c r="A10169" s="19"/>
      <c r="B10169" s="36"/>
    </row>
    <row r="10170" spans="1:2" x14ac:dyDescent="0.3">
      <c r="A10170" s="19"/>
      <c r="B10170" s="36"/>
    </row>
    <row r="10171" spans="1:2" x14ac:dyDescent="0.3">
      <c r="A10171" s="19"/>
      <c r="B10171" s="36"/>
    </row>
    <row r="10172" spans="1:2" x14ac:dyDescent="0.3">
      <c r="A10172" s="19"/>
      <c r="B10172" s="36"/>
    </row>
    <row r="10173" spans="1:2" x14ac:dyDescent="0.3">
      <c r="A10173" s="19"/>
      <c r="B10173" s="36"/>
    </row>
    <row r="10174" spans="1:2" x14ac:dyDescent="0.3">
      <c r="A10174" s="19"/>
      <c r="B10174" s="36"/>
    </row>
    <row r="10175" spans="1:2" x14ac:dyDescent="0.3">
      <c r="A10175" s="19"/>
      <c r="B10175" s="36"/>
    </row>
    <row r="10176" spans="1:2" x14ac:dyDescent="0.3">
      <c r="A10176" s="19"/>
      <c r="B10176" s="36"/>
    </row>
    <row r="10177" spans="1:2" x14ac:dyDescent="0.3">
      <c r="A10177" s="19"/>
      <c r="B10177" s="36"/>
    </row>
    <row r="10178" spans="1:2" x14ac:dyDescent="0.3">
      <c r="A10178" s="19"/>
      <c r="B10178" s="36"/>
    </row>
    <row r="10179" spans="1:2" x14ac:dyDescent="0.3">
      <c r="A10179" s="19"/>
      <c r="B10179" s="36"/>
    </row>
    <row r="10180" spans="1:2" x14ac:dyDescent="0.3">
      <c r="A10180" s="19"/>
      <c r="B10180" s="36"/>
    </row>
    <row r="10181" spans="1:2" x14ac:dyDescent="0.3">
      <c r="A10181" s="19"/>
      <c r="B10181" s="36"/>
    </row>
    <row r="10182" spans="1:2" x14ac:dyDescent="0.3">
      <c r="A10182" s="19"/>
      <c r="B10182" s="36"/>
    </row>
    <row r="10183" spans="1:2" x14ac:dyDescent="0.3">
      <c r="A10183" s="19"/>
      <c r="B10183" s="36"/>
    </row>
    <row r="10184" spans="1:2" x14ac:dyDescent="0.3">
      <c r="A10184" s="19"/>
      <c r="B10184" s="36"/>
    </row>
    <row r="10185" spans="1:2" x14ac:dyDescent="0.3">
      <c r="A10185" s="19"/>
      <c r="B10185" s="36"/>
    </row>
    <row r="10186" spans="1:2" x14ac:dyDescent="0.3">
      <c r="A10186" s="19"/>
      <c r="B10186" s="36"/>
    </row>
    <row r="10187" spans="1:2" x14ac:dyDescent="0.3">
      <c r="A10187" s="19"/>
      <c r="B10187" s="36"/>
    </row>
    <row r="10188" spans="1:2" x14ac:dyDescent="0.3">
      <c r="A10188" s="19"/>
      <c r="B10188" s="36"/>
    </row>
    <row r="10189" spans="1:2" x14ac:dyDescent="0.3">
      <c r="A10189" s="19"/>
      <c r="B10189" s="36"/>
    </row>
    <row r="10190" spans="1:2" x14ac:dyDescent="0.3">
      <c r="A10190" s="19"/>
      <c r="B10190" s="36"/>
    </row>
    <row r="10191" spans="1:2" x14ac:dyDescent="0.3">
      <c r="A10191" s="19"/>
      <c r="B10191" s="36"/>
    </row>
    <row r="10192" spans="1:2" x14ac:dyDescent="0.3">
      <c r="A10192" s="19"/>
      <c r="B10192" s="36"/>
    </row>
    <row r="10193" spans="1:2" x14ac:dyDescent="0.3">
      <c r="A10193" s="19"/>
      <c r="B10193" s="36"/>
    </row>
    <row r="10194" spans="1:2" x14ac:dyDescent="0.3">
      <c r="A10194" s="19"/>
      <c r="B10194" s="36"/>
    </row>
    <row r="10195" spans="1:2" x14ac:dyDescent="0.3">
      <c r="A10195" s="19"/>
      <c r="B10195" s="36"/>
    </row>
    <row r="10196" spans="1:2" x14ac:dyDescent="0.3">
      <c r="A10196" s="19"/>
      <c r="B10196" s="36"/>
    </row>
    <row r="10197" spans="1:2" x14ac:dyDescent="0.3">
      <c r="A10197" s="19"/>
      <c r="B10197" s="36"/>
    </row>
    <row r="10198" spans="1:2" x14ac:dyDescent="0.3">
      <c r="A10198" s="19"/>
      <c r="B10198" s="36"/>
    </row>
    <row r="10199" spans="1:2" x14ac:dyDescent="0.3">
      <c r="A10199" s="19"/>
      <c r="B10199" s="36"/>
    </row>
    <row r="10200" spans="1:2" x14ac:dyDescent="0.3">
      <c r="A10200" s="19"/>
      <c r="B10200" s="36"/>
    </row>
    <row r="10201" spans="1:2" x14ac:dyDescent="0.3">
      <c r="A10201" s="19"/>
      <c r="B10201" s="36"/>
    </row>
    <row r="10202" spans="1:2" x14ac:dyDescent="0.3">
      <c r="A10202" s="19"/>
      <c r="B10202" s="36"/>
    </row>
    <row r="10203" spans="1:2" x14ac:dyDescent="0.3">
      <c r="A10203" s="19"/>
      <c r="B10203" s="36"/>
    </row>
    <row r="10204" spans="1:2" x14ac:dyDescent="0.3">
      <c r="A10204" s="19"/>
      <c r="B10204" s="36"/>
    </row>
    <row r="10205" spans="1:2" x14ac:dyDescent="0.3">
      <c r="A10205" s="19"/>
      <c r="B10205" s="36"/>
    </row>
    <row r="10206" spans="1:2" x14ac:dyDescent="0.3">
      <c r="A10206" s="19"/>
      <c r="B10206" s="36"/>
    </row>
    <row r="10207" spans="1:2" x14ac:dyDescent="0.3">
      <c r="A10207" s="19"/>
      <c r="B10207" s="36"/>
    </row>
    <row r="10208" spans="1:2" x14ac:dyDescent="0.3">
      <c r="A10208" s="19"/>
      <c r="B10208" s="36"/>
    </row>
    <row r="10209" spans="1:2" x14ac:dyDescent="0.3">
      <c r="A10209" s="19"/>
      <c r="B10209" s="36"/>
    </row>
    <row r="10210" spans="1:2" x14ac:dyDescent="0.3">
      <c r="A10210" s="19"/>
      <c r="B10210" s="36"/>
    </row>
    <row r="10211" spans="1:2" x14ac:dyDescent="0.3">
      <c r="A10211" s="19"/>
      <c r="B10211" s="36"/>
    </row>
    <row r="10212" spans="1:2" x14ac:dyDescent="0.3">
      <c r="A10212" s="19"/>
      <c r="B10212" s="36"/>
    </row>
    <row r="10213" spans="1:2" x14ac:dyDescent="0.3">
      <c r="A10213" s="19"/>
      <c r="B10213" s="36"/>
    </row>
    <row r="10214" spans="1:2" x14ac:dyDescent="0.3">
      <c r="A10214" s="19"/>
      <c r="B10214" s="36"/>
    </row>
    <row r="10215" spans="1:2" x14ac:dyDescent="0.3">
      <c r="A10215" s="19"/>
      <c r="B10215" s="36"/>
    </row>
    <row r="10216" spans="1:2" x14ac:dyDescent="0.3">
      <c r="A10216" s="19"/>
      <c r="B10216" s="36"/>
    </row>
    <row r="10217" spans="1:2" x14ac:dyDescent="0.3">
      <c r="A10217" s="19"/>
      <c r="B10217" s="36"/>
    </row>
    <row r="10218" spans="1:2" x14ac:dyDescent="0.3">
      <c r="A10218" s="19"/>
      <c r="B10218" s="36"/>
    </row>
    <row r="10219" spans="1:2" x14ac:dyDescent="0.3">
      <c r="A10219" s="19"/>
      <c r="B10219" s="36"/>
    </row>
    <row r="10220" spans="1:2" x14ac:dyDescent="0.3">
      <c r="A10220" s="19"/>
      <c r="B10220" s="36"/>
    </row>
    <row r="10221" spans="1:2" x14ac:dyDescent="0.3">
      <c r="A10221" s="19"/>
      <c r="B10221" s="36"/>
    </row>
    <row r="10222" spans="1:2" x14ac:dyDescent="0.3">
      <c r="A10222" s="19"/>
      <c r="B10222" s="36"/>
    </row>
    <row r="10223" spans="1:2" x14ac:dyDescent="0.3">
      <c r="A10223" s="19"/>
      <c r="B10223" s="36"/>
    </row>
    <row r="10224" spans="1:2" x14ac:dyDescent="0.3">
      <c r="A10224" s="19"/>
      <c r="B10224" s="36"/>
    </row>
    <row r="10225" spans="1:2" x14ac:dyDescent="0.3">
      <c r="A10225" s="19"/>
      <c r="B10225" s="36"/>
    </row>
    <row r="10226" spans="1:2" x14ac:dyDescent="0.3">
      <c r="A10226" s="19"/>
      <c r="B10226" s="36"/>
    </row>
    <row r="10227" spans="1:2" x14ac:dyDescent="0.3">
      <c r="A10227" s="19"/>
      <c r="B10227" s="36"/>
    </row>
    <row r="10228" spans="1:2" x14ac:dyDescent="0.3">
      <c r="A10228" s="19"/>
      <c r="B10228" s="36"/>
    </row>
    <row r="10229" spans="1:2" x14ac:dyDescent="0.3">
      <c r="A10229" s="19"/>
      <c r="B10229" s="36"/>
    </row>
    <row r="10230" spans="1:2" x14ac:dyDescent="0.3">
      <c r="A10230" s="19"/>
      <c r="B10230" s="36"/>
    </row>
    <row r="10231" spans="1:2" x14ac:dyDescent="0.3">
      <c r="A10231" s="19"/>
      <c r="B10231" s="36"/>
    </row>
    <row r="10232" spans="1:2" x14ac:dyDescent="0.3">
      <c r="A10232" s="19"/>
      <c r="B10232" s="36"/>
    </row>
    <row r="10233" spans="1:2" x14ac:dyDescent="0.3">
      <c r="A10233" s="19"/>
      <c r="B10233" s="36"/>
    </row>
    <row r="10234" spans="1:2" x14ac:dyDescent="0.3">
      <c r="A10234" s="19"/>
      <c r="B10234" s="36"/>
    </row>
    <row r="10235" spans="1:2" x14ac:dyDescent="0.3">
      <c r="A10235" s="19"/>
      <c r="B10235" s="36"/>
    </row>
    <row r="10236" spans="1:2" x14ac:dyDescent="0.3">
      <c r="A10236" s="19"/>
      <c r="B10236" s="36"/>
    </row>
    <row r="10237" spans="1:2" x14ac:dyDescent="0.3">
      <c r="A10237" s="19"/>
      <c r="B10237" s="36"/>
    </row>
    <row r="10238" spans="1:2" x14ac:dyDescent="0.3">
      <c r="A10238" s="19"/>
      <c r="B10238" s="36"/>
    </row>
    <row r="10239" spans="1:2" x14ac:dyDescent="0.3">
      <c r="A10239" s="19"/>
      <c r="B10239" s="36"/>
    </row>
    <row r="10240" spans="1:2" x14ac:dyDescent="0.3">
      <c r="A10240" s="19"/>
      <c r="B10240" s="36"/>
    </row>
    <row r="10241" spans="1:2" x14ac:dyDescent="0.3">
      <c r="A10241" s="19"/>
      <c r="B10241" s="36"/>
    </row>
    <row r="10242" spans="1:2" x14ac:dyDescent="0.3">
      <c r="A10242" s="19"/>
      <c r="B10242" s="36"/>
    </row>
    <row r="10243" spans="1:2" x14ac:dyDescent="0.3">
      <c r="A10243" s="19"/>
      <c r="B10243" s="36"/>
    </row>
    <row r="10244" spans="1:2" x14ac:dyDescent="0.3">
      <c r="A10244" s="19"/>
      <c r="B10244" s="36"/>
    </row>
    <row r="10245" spans="1:2" x14ac:dyDescent="0.3">
      <c r="A10245" s="19"/>
      <c r="B10245" s="36"/>
    </row>
    <row r="10246" spans="1:2" x14ac:dyDescent="0.3">
      <c r="A10246" s="19"/>
      <c r="B10246" s="36"/>
    </row>
    <row r="10247" spans="1:2" x14ac:dyDescent="0.3">
      <c r="A10247" s="19"/>
      <c r="B10247" s="36"/>
    </row>
    <row r="10248" spans="1:2" x14ac:dyDescent="0.3">
      <c r="A10248" s="19"/>
      <c r="B10248" s="36"/>
    </row>
    <row r="10249" spans="1:2" x14ac:dyDescent="0.3">
      <c r="A10249" s="19"/>
      <c r="B10249" s="36"/>
    </row>
    <row r="10250" spans="1:2" x14ac:dyDescent="0.3">
      <c r="A10250" s="19"/>
      <c r="B10250" s="36"/>
    </row>
    <row r="10251" spans="1:2" x14ac:dyDescent="0.3">
      <c r="A10251" s="19"/>
      <c r="B10251" s="36"/>
    </row>
    <row r="10252" spans="1:2" x14ac:dyDescent="0.3">
      <c r="A10252" s="19"/>
      <c r="B10252" s="36"/>
    </row>
    <row r="10253" spans="1:2" x14ac:dyDescent="0.3">
      <c r="A10253" s="19"/>
      <c r="B10253" s="36"/>
    </row>
    <row r="10254" spans="1:2" x14ac:dyDescent="0.3">
      <c r="A10254" s="19"/>
      <c r="B10254" s="36"/>
    </row>
    <row r="10255" spans="1:2" x14ac:dyDescent="0.3">
      <c r="A10255" s="19"/>
      <c r="B10255" s="36"/>
    </row>
    <row r="10256" spans="1:2" x14ac:dyDescent="0.3">
      <c r="A10256" s="19"/>
      <c r="B10256" s="36"/>
    </row>
    <row r="10257" spans="1:2" x14ac:dyDescent="0.3">
      <c r="A10257" s="19"/>
      <c r="B10257" s="36"/>
    </row>
    <row r="10258" spans="1:2" x14ac:dyDescent="0.3">
      <c r="A10258" s="19"/>
      <c r="B10258" s="36"/>
    </row>
    <row r="10259" spans="1:2" x14ac:dyDescent="0.3">
      <c r="A10259" s="19"/>
      <c r="B10259" s="36"/>
    </row>
    <row r="10260" spans="1:2" x14ac:dyDescent="0.3">
      <c r="A10260" s="19"/>
      <c r="B10260" s="36"/>
    </row>
    <row r="10261" spans="1:2" x14ac:dyDescent="0.3">
      <c r="A10261" s="19"/>
      <c r="B10261" s="36"/>
    </row>
    <row r="10262" spans="1:2" x14ac:dyDescent="0.3">
      <c r="A10262" s="19"/>
      <c r="B10262" s="36"/>
    </row>
    <row r="10263" spans="1:2" x14ac:dyDescent="0.3">
      <c r="A10263" s="19"/>
      <c r="B10263" s="36"/>
    </row>
    <row r="10264" spans="1:2" x14ac:dyDescent="0.3">
      <c r="A10264" s="19"/>
      <c r="B10264" s="36"/>
    </row>
    <row r="10265" spans="1:2" x14ac:dyDescent="0.3">
      <c r="A10265" s="19"/>
      <c r="B10265" s="36"/>
    </row>
    <row r="10266" spans="1:2" x14ac:dyDescent="0.3">
      <c r="A10266" s="19"/>
      <c r="B10266" s="36"/>
    </row>
    <row r="10267" spans="1:2" x14ac:dyDescent="0.3">
      <c r="A10267" s="19"/>
      <c r="B10267" s="36"/>
    </row>
    <row r="10268" spans="1:2" x14ac:dyDescent="0.3">
      <c r="A10268" s="19"/>
      <c r="B10268" s="36"/>
    </row>
    <row r="10269" spans="1:2" x14ac:dyDescent="0.3">
      <c r="A10269" s="19"/>
      <c r="B10269" s="36"/>
    </row>
    <row r="10270" spans="1:2" x14ac:dyDescent="0.3">
      <c r="A10270" s="19"/>
      <c r="B10270" s="36"/>
    </row>
    <row r="10271" spans="1:2" x14ac:dyDescent="0.3">
      <c r="A10271" s="19"/>
      <c r="B10271" s="36"/>
    </row>
    <row r="10272" spans="1:2" x14ac:dyDescent="0.3">
      <c r="A10272" s="19"/>
      <c r="B10272" s="36"/>
    </row>
    <row r="10273" spans="1:2" x14ac:dyDescent="0.3">
      <c r="A10273" s="19"/>
      <c r="B10273" s="36"/>
    </row>
    <row r="10274" spans="1:2" x14ac:dyDescent="0.3">
      <c r="A10274" s="19"/>
      <c r="B10274" s="36"/>
    </row>
    <row r="10275" spans="1:2" x14ac:dyDescent="0.3">
      <c r="A10275" s="19"/>
      <c r="B10275" s="36"/>
    </row>
    <row r="10276" spans="1:2" x14ac:dyDescent="0.3">
      <c r="A10276" s="19"/>
      <c r="B10276" s="36"/>
    </row>
    <row r="10277" spans="1:2" x14ac:dyDescent="0.3">
      <c r="A10277" s="19"/>
      <c r="B10277" s="36"/>
    </row>
    <row r="10278" spans="1:2" x14ac:dyDescent="0.3">
      <c r="A10278" s="19"/>
      <c r="B10278" s="36"/>
    </row>
    <row r="10279" spans="1:2" x14ac:dyDescent="0.3">
      <c r="A10279" s="19"/>
      <c r="B10279" s="36"/>
    </row>
    <row r="10280" spans="1:2" x14ac:dyDescent="0.3">
      <c r="A10280" s="19"/>
      <c r="B10280" s="36"/>
    </row>
    <row r="10281" spans="1:2" x14ac:dyDescent="0.3">
      <c r="A10281" s="19"/>
      <c r="B10281" s="36"/>
    </row>
    <row r="10282" spans="1:2" x14ac:dyDescent="0.3">
      <c r="A10282" s="19"/>
      <c r="B10282" s="36"/>
    </row>
    <row r="10283" spans="1:2" x14ac:dyDescent="0.3">
      <c r="A10283" s="19"/>
      <c r="B10283" s="36"/>
    </row>
    <row r="10284" spans="1:2" x14ac:dyDescent="0.3">
      <c r="A10284" s="19"/>
      <c r="B10284" s="36"/>
    </row>
    <row r="10285" spans="1:2" x14ac:dyDescent="0.3">
      <c r="A10285" s="19"/>
      <c r="B10285" s="36"/>
    </row>
    <row r="10286" spans="1:2" x14ac:dyDescent="0.3">
      <c r="A10286" s="19"/>
      <c r="B10286" s="36"/>
    </row>
    <row r="10287" spans="1:2" x14ac:dyDescent="0.3">
      <c r="A10287" s="19"/>
      <c r="B10287" s="36"/>
    </row>
    <row r="10288" spans="1:2" x14ac:dyDescent="0.3">
      <c r="A10288" s="19"/>
      <c r="B10288" s="36"/>
    </row>
    <row r="10289" spans="1:2" x14ac:dyDescent="0.3">
      <c r="A10289" s="19"/>
      <c r="B10289" s="36"/>
    </row>
    <row r="10290" spans="1:2" x14ac:dyDescent="0.3">
      <c r="A10290" s="19"/>
      <c r="B10290" s="36"/>
    </row>
    <row r="10291" spans="1:2" x14ac:dyDescent="0.3">
      <c r="A10291" s="19"/>
      <c r="B10291" s="36"/>
    </row>
    <row r="10292" spans="1:2" x14ac:dyDescent="0.3">
      <c r="A10292" s="19"/>
      <c r="B10292" s="36"/>
    </row>
    <row r="10293" spans="1:2" x14ac:dyDescent="0.3">
      <c r="A10293" s="19"/>
      <c r="B10293" s="36"/>
    </row>
    <row r="10294" spans="1:2" x14ac:dyDescent="0.3">
      <c r="A10294" s="19"/>
      <c r="B10294" s="36"/>
    </row>
    <row r="10295" spans="1:2" x14ac:dyDescent="0.3">
      <c r="A10295" s="19"/>
      <c r="B10295" s="36"/>
    </row>
    <row r="10296" spans="1:2" x14ac:dyDescent="0.3">
      <c r="A10296" s="19"/>
      <c r="B10296" s="36"/>
    </row>
    <row r="10297" spans="1:2" x14ac:dyDescent="0.3">
      <c r="A10297" s="19"/>
      <c r="B10297" s="36"/>
    </row>
    <row r="10298" spans="1:2" x14ac:dyDescent="0.3">
      <c r="A10298" s="19"/>
      <c r="B10298" s="36"/>
    </row>
    <row r="10299" spans="1:2" x14ac:dyDescent="0.3">
      <c r="A10299" s="19"/>
      <c r="B10299" s="36"/>
    </row>
    <row r="10300" spans="1:2" x14ac:dyDescent="0.3">
      <c r="A10300" s="19"/>
      <c r="B10300" s="36"/>
    </row>
    <row r="10301" spans="1:2" x14ac:dyDescent="0.3">
      <c r="A10301" s="19"/>
      <c r="B10301" s="36"/>
    </row>
    <row r="10302" spans="1:2" x14ac:dyDescent="0.3">
      <c r="A10302" s="19"/>
      <c r="B10302" s="36"/>
    </row>
    <row r="10303" spans="1:2" x14ac:dyDescent="0.3">
      <c r="A10303" s="19"/>
      <c r="B10303" s="36"/>
    </row>
    <row r="10304" spans="1:2" x14ac:dyDescent="0.3">
      <c r="A10304" s="19"/>
      <c r="B10304" s="36"/>
    </row>
    <row r="10305" spans="1:2" x14ac:dyDescent="0.3">
      <c r="A10305" s="19"/>
      <c r="B10305" s="36"/>
    </row>
    <row r="10306" spans="1:2" x14ac:dyDescent="0.3">
      <c r="A10306" s="19"/>
      <c r="B10306" s="36"/>
    </row>
    <row r="10307" spans="1:2" x14ac:dyDescent="0.3">
      <c r="A10307" s="19"/>
      <c r="B10307" s="36"/>
    </row>
    <row r="10308" spans="1:2" x14ac:dyDescent="0.3">
      <c r="A10308" s="19"/>
      <c r="B10308" s="36"/>
    </row>
    <row r="10309" spans="1:2" x14ac:dyDescent="0.3">
      <c r="A10309" s="19"/>
      <c r="B10309" s="36"/>
    </row>
    <row r="10310" spans="1:2" x14ac:dyDescent="0.3">
      <c r="A10310" s="19"/>
      <c r="B10310" s="36"/>
    </row>
    <row r="10311" spans="1:2" x14ac:dyDescent="0.3">
      <c r="A10311" s="19"/>
      <c r="B10311" s="36"/>
    </row>
    <row r="10312" spans="1:2" x14ac:dyDescent="0.3">
      <c r="A10312" s="19"/>
      <c r="B10312" s="36"/>
    </row>
    <row r="10313" spans="1:2" x14ac:dyDescent="0.3">
      <c r="A10313" s="19"/>
      <c r="B10313" s="36"/>
    </row>
    <row r="10314" spans="1:2" x14ac:dyDescent="0.3">
      <c r="A10314" s="19"/>
      <c r="B10314" s="36"/>
    </row>
    <row r="10315" spans="1:2" x14ac:dyDescent="0.3">
      <c r="A10315" s="19"/>
      <c r="B10315" s="36"/>
    </row>
    <row r="10316" spans="1:2" x14ac:dyDescent="0.3">
      <c r="A10316" s="19"/>
      <c r="B10316" s="36"/>
    </row>
    <row r="10317" spans="1:2" x14ac:dyDescent="0.3">
      <c r="A10317" s="19"/>
      <c r="B10317" s="36"/>
    </row>
    <row r="10318" spans="1:2" x14ac:dyDescent="0.3">
      <c r="A10318" s="19"/>
      <c r="B10318" s="36"/>
    </row>
    <row r="10319" spans="1:2" x14ac:dyDescent="0.3">
      <c r="A10319" s="19"/>
      <c r="B10319" s="36"/>
    </row>
    <row r="10320" spans="1:2" x14ac:dyDescent="0.3">
      <c r="A10320" s="19"/>
      <c r="B10320" s="36"/>
    </row>
    <row r="10321" spans="1:2" x14ac:dyDescent="0.3">
      <c r="A10321" s="19"/>
      <c r="B10321" s="36"/>
    </row>
    <row r="10322" spans="1:2" x14ac:dyDescent="0.3">
      <c r="A10322" s="19"/>
      <c r="B10322" s="36"/>
    </row>
    <row r="10323" spans="1:2" x14ac:dyDescent="0.3">
      <c r="A10323" s="19"/>
      <c r="B10323" s="36"/>
    </row>
    <row r="10324" spans="1:2" x14ac:dyDescent="0.3">
      <c r="A10324" s="19"/>
      <c r="B10324" s="36"/>
    </row>
    <row r="10325" spans="1:2" x14ac:dyDescent="0.3">
      <c r="A10325" s="19"/>
      <c r="B10325" s="36"/>
    </row>
    <row r="10326" spans="1:2" x14ac:dyDescent="0.3">
      <c r="A10326" s="19"/>
      <c r="B10326" s="36"/>
    </row>
    <row r="10327" spans="1:2" x14ac:dyDescent="0.3">
      <c r="A10327" s="19"/>
      <c r="B10327" s="36"/>
    </row>
    <row r="10328" spans="1:2" x14ac:dyDescent="0.3">
      <c r="A10328" s="19"/>
      <c r="B10328" s="36"/>
    </row>
    <row r="10329" spans="1:2" x14ac:dyDescent="0.3">
      <c r="A10329" s="19"/>
      <c r="B10329" s="36"/>
    </row>
    <row r="10330" spans="1:2" x14ac:dyDescent="0.3">
      <c r="A10330" s="19"/>
      <c r="B10330" s="36"/>
    </row>
    <row r="10331" spans="1:2" x14ac:dyDescent="0.3">
      <c r="A10331" s="19"/>
      <c r="B10331" s="36"/>
    </row>
    <row r="10332" spans="1:2" x14ac:dyDescent="0.3">
      <c r="A10332" s="19"/>
      <c r="B10332" s="36"/>
    </row>
    <row r="10333" spans="1:2" x14ac:dyDescent="0.3">
      <c r="A10333" s="19"/>
      <c r="B10333" s="36"/>
    </row>
    <row r="10334" spans="1:2" x14ac:dyDescent="0.3">
      <c r="A10334" s="19"/>
      <c r="B10334" s="36"/>
    </row>
    <row r="10335" spans="1:2" x14ac:dyDescent="0.3">
      <c r="A10335" s="19"/>
      <c r="B10335" s="36"/>
    </row>
    <row r="10336" spans="1:2" x14ac:dyDescent="0.3">
      <c r="A10336" s="19"/>
      <c r="B10336" s="36"/>
    </row>
    <row r="10337" spans="1:2" x14ac:dyDescent="0.3">
      <c r="A10337" s="19"/>
      <c r="B10337" s="36"/>
    </row>
    <row r="10338" spans="1:2" x14ac:dyDescent="0.3">
      <c r="A10338" s="19"/>
      <c r="B10338" s="36"/>
    </row>
    <row r="10339" spans="1:2" x14ac:dyDescent="0.3">
      <c r="A10339" s="19"/>
      <c r="B10339" s="36"/>
    </row>
    <row r="10340" spans="1:2" x14ac:dyDescent="0.3">
      <c r="A10340" s="19"/>
      <c r="B10340" s="36"/>
    </row>
    <row r="10341" spans="1:2" x14ac:dyDescent="0.3">
      <c r="A10341" s="19"/>
      <c r="B10341" s="36"/>
    </row>
    <row r="10342" spans="1:2" x14ac:dyDescent="0.3">
      <c r="A10342" s="19"/>
      <c r="B10342" s="36"/>
    </row>
    <row r="10343" spans="1:2" x14ac:dyDescent="0.3">
      <c r="A10343" s="19"/>
      <c r="B10343" s="36"/>
    </row>
    <row r="10344" spans="1:2" x14ac:dyDescent="0.3">
      <c r="A10344" s="19"/>
      <c r="B10344" s="36"/>
    </row>
    <row r="10345" spans="1:2" x14ac:dyDescent="0.3">
      <c r="A10345" s="19"/>
      <c r="B10345" s="36"/>
    </row>
    <row r="10346" spans="1:2" x14ac:dyDescent="0.3">
      <c r="A10346" s="19"/>
      <c r="B10346" s="36"/>
    </row>
    <row r="10347" spans="1:2" x14ac:dyDescent="0.3">
      <c r="A10347" s="19"/>
      <c r="B10347" s="36"/>
    </row>
    <row r="10348" spans="1:2" x14ac:dyDescent="0.3">
      <c r="A10348" s="19"/>
      <c r="B10348" s="36"/>
    </row>
    <row r="10349" spans="1:2" x14ac:dyDescent="0.3">
      <c r="A10349" s="19"/>
      <c r="B10349" s="36"/>
    </row>
    <row r="10350" spans="1:2" x14ac:dyDescent="0.3">
      <c r="A10350" s="19"/>
      <c r="B10350" s="36"/>
    </row>
    <row r="10351" spans="1:2" x14ac:dyDescent="0.3">
      <c r="A10351" s="19"/>
      <c r="B10351" s="36"/>
    </row>
    <row r="10352" spans="1:2" x14ac:dyDescent="0.3">
      <c r="A10352" s="19"/>
      <c r="B10352" s="36"/>
    </row>
    <row r="10353" spans="1:2" x14ac:dyDescent="0.3">
      <c r="A10353" s="19"/>
      <c r="B10353" s="36"/>
    </row>
    <row r="10354" spans="1:2" x14ac:dyDescent="0.3">
      <c r="A10354" s="19"/>
      <c r="B10354" s="36"/>
    </row>
    <row r="10355" spans="1:2" x14ac:dyDescent="0.3">
      <c r="A10355" s="19"/>
      <c r="B10355" s="36"/>
    </row>
    <row r="10356" spans="1:2" x14ac:dyDescent="0.3">
      <c r="A10356" s="19"/>
      <c r="B10356" s="36"/>
    </row>
    <row r="10357" spans="1:2" x14ac:dyDescent="0.3">
      <c r="A10357" s="19"/>
      <c r="B10357" s="36"/>
    </row>
    <row r="10358" spans="1:2" x14ac:dyDescent="0.3">
      <c r="A10358" s="19"/>
      <c r="B10358" s="36"/>
    </row>
    <row r="10359" spans="1:2" x14ac:dyDescent="0.3">
      <c r="A10359" s="19"/>
      <c r="B10359" s="36"/>
    </row>
    <row r="10360" spans="1:2" x14ac:dyDescent="0.3">
      <c r="A10360" s="19"/>
      <c r="B10360" s="36"/>
    </row>
    <row r="10361" spans="1:2" x14ac:dyDescent="0.3">
      <c r="A10361" s="19"/>
      <c r="B10361" s="36"/>
    </row>
    <row r="10362" spans="1:2" x14ac:dyDescent="0.3">
      <c r="A10362" s="19"/>
      <c r="B10362" s="36"/>
    </row>
    <row r="10363" spans="1:2" x14ac:dyDescent="0.3">
      <c r="A10363" s="19"/>
      <c r="B10363" s="36"/>
    </row>
    <row r="10364" spans="1:2" x14ac:dyDescent="0.3">
      <c r="A10364" s="19"/>
      <c r="B10364" s="36"/>
    </row>
    <row r="10365" spans="1:2" x14ac:dyDescent="0.3">
      <c r="A10365" s="19"/>
      <c r="B10365" s="36"/>
    </row>
    <row r="10366" spans="1:2" x14ac:dyDescent="0.3">
      <c r="A10366" s="19"/>
      <c r="B10366" s="36"/>
    </row>
    <row r="10367" spans="1:2" x14ac:dyDescent="0.3">
      <c r="A10367" s="19"/>
      <c r="B10367" s="36"/>
    </row>
    <row r="10368" spans="1:2" x14ac:dyDescent="0.3">
      <c r="A10368" s="19"/>
      <c r="B10368" s="36"/>
    </row>
    <row r="10369" spans="1:2" x14ac:dyDescent="0.3">
      <c r="A10369" s="19"/>
      <c r="B10369" s="36"/>
    </row>
    <row r="10370" spans="1:2" x14ac:dyDescent="0.3">
      <c r="A10370" s="19"/>
      <c r="B10370" s="36"/>
    </row>
    <row r="10371" spans="1:2" x14ac:dyDescent="0.3">
      <c r="A10371" s="19"/>
      <c r="B10371" s="36"/>
    </row>
    <row r="10372" spans="1:2" x14ac:dyDescent="0.3">
      <c r="A10372" s="19"/>
      <c r="B10372" s="36"/>
    </row>
    <row r="10373" spans="1:2" x14ac:dyDescent="0.3">
      <c r="A10373" s="19"/>
      <c r="B10373" s="36"/>
    </row>
    <row r="10374" spans="1:2" x14ac:dyDescent="0.3">
      <c r="A10374" s="19"/>
      <c r="B10374" s="36"/>
    </row>
    <row r="10375" spans="1:2" x14ac:dyDescent="0.3">
      <c r="A10375" s="19"/>
      <c r="B10375" s="36"/>
    </row>
    <row r="10376" spans="1:2" x14ac:dyDescent="0.3">
      <c r="A10376" s="19"/>
      <c r="B10376" s="36"/>
    </row>
    <row r="10377" spans="1:2" x14ac:dyDescent="0.3">
      <c r="A10377" s="19"/>
      <c r="B10377" s="36"/>
    </row>
    <row r="10378" spans="1:2" x14ac:dyDescent="0.3">
      <c r="A10378" s="19"/>
      <c r="B10378" s="36"/>
    </row>
    <row r="10379" spans="1:2" x14ac:dyDescent="0.3">
      <c r="A10379" s="19"/>
      <c r="B10379" s="36"/>
    </row>
    <row r="10380" spans="1:2" x14ac:dyDescent="0.3">
      <c r="A10380" s="19"/>
      <c r="B10380" s="36"/>
    </row>
    <row r="10381" spans="1:2" x14ac:dyDescent="0.3">
      <c r="A10381" s="19"/>
      <c r="B10381" s="36"/>
    </row>
    <row r="10382" spans="1:2" x14ac:dyDescent="0.3">
      <c r="A10382" s="19"/>
      <c r="B10382" s="36"/>
    </row>
    <row r="10383" spans="1:2" x14ac:dyDescent="0.3">
      <c r="A10383" s="19"/>
      <c r="B10383" s="36"/>
    </row>
    <row r="10384" spans="1:2" x14ac:dyDescent="0.3">
      <c r="A10384" s="19"/>
      <c r="B10384" s="36"/>
    </row>
    <row r="10385" spans="1:2" x14ac:dyDescent="0.3">
      <c r="A10385" s="19"/>
      <c r="B10385" s="36"/>
    </row>
    <row r="10386" spans="1:2" x14ac:dyDescent="0.3">
      <c r="A10386" s="19"/>
      <c r="B10386" s="36"/>
    </row>
    <row r="10387" spans="1:2" x14ac:dyDescent="0.3">
      <c r="A10387" s="19"/>
      <c r="B10387" s="36"/>
    </row>
    <row r="10388" spans="1:2" x14ac:dyDescent="0.3">
      <c r="A10388" s="19"/>
      <c r="B10388" s="36"/>
    </row>
    <row r="10389" spans="1:2" x14ac:dyDescent="0.3">
      <c r="A10389" s="19"/>
      <c r="B10389" s="36"/>
    </row>
    <row r="10390" spans="1:2" x14ac:dyDescent="0.3">
      <c r="A10390" s="19"/>
      <c r="B10390" s="36"/>
    </row>
    <row r="10391" spans="1:2" x14ac:dyDescent="0.3">
      <c r="A10391" s="19"/>
      <c r="B10391" s="36"/>
    </row>
    <row r="10392" spans="1:2" x14ac:dyDescent="0.3">
      <c r="A10392" s="19"/>
      <c r="B10392" s="36"/>
    </row>
    <row r="10393" spans="1:2" x14ac:dyDescent="0.3">
      <c r="A10393" s="19"/>
      <c r="B10393" s="36"/>
    </row>
    <row r="10394" spans="1:2" x14ac:dyDescent="0.3">
      <c r="A10394" s="19"/>
      <c r="B10394" s="36"/>
    </row>
    <row r="10395" spans="1:2" x14ac:dyDescent="0.3">
      <c r="A10395" s="19"/>
      <c r="B10395" s="36"/>
    </row>
    <row r="10396" spans="1:2" x14ac:dyDescent="0.3">
      <c r="A10396" s="19"/>
      <c r="B10396" s="36"/>
    </row>
    <row r="10397" spans="1:2" x14ac:dyDescent="0.3">
      <c r="A10397" s="19"/>
      <c r="B10397" s="36"/>
    </row>
    <row r="10398" spans="1:2" x14ac:dyDescent="0.3">
      <c r="A10398" s="19"/>
      <c r="B10398" s="36"/>
    </row>
    <row r="10399" spans="1:2" x14ac:dyDescent="0.3">
      <c r="A10399" s="19"/>
      <c r="B10399" s="36"/>
    </row>
    <row r="10400" spans="1:2" x14ac:dyDescent="0.3">
      <c r="A10400" s="19"/>
      <c r="B10400" s="36"/>
    </row>
    <row r="10401" spans="1:2" x14ac:dyDescent="0.3">
      <c r="A10401" s="19"/>
      <c r="B10401" s="36"/>
    </row>
    <row r="10402" spans="1:2" x14ac:dyDescent="0.3">
      <c r="A10402" s="19"/>
      <c r="B10402" s="36"/>
    </row>
    <row r="10403" spans="1:2" x14ac:dyDescent="0.3">
      <c r="A10403" s="19"/>
      <c r="B10403" s="36"/>
    </row>
    <row r="10404" spans="1:2" x14ac:dyDescent="0.3">
      <c r="A10404" s="19"/>
      <c r="B10404" s="36"/>
    </row>
    <row r="10405" spans="1:2" x14ac:dyDescent="0.3">
      <c r="A10405" s="19"/>
      <c r="B10405" s="36"/>
    </row>
    <row r="10406" spans="1:2" x14ac:dyDescent="0.3">
      <c r="A10406" s="19"/>
      <c r="B10406" s="36"/>
    </row>
    <row r="10407" spans="1:2" x14ac:dyDescent="0.3">
      <c r="A10407" s="19"/>
      <c r="B10407" s="36"/>
    </row>
    <row r="10408" spans="1:2" x14ac:dyDescent="0.3">
      <c r="A10408" s="19"/>
      <c r="B10408" s="36"/>
    </row>
    <row r="10409" spans="1:2" x14ac:dyDescent="0.3">
      <c r="A10409" s="19"/>
      <c r="B10409" s="36"/>
    </row>
    <row r="10410" spans="1:2" x14ac:dyDescent="0.3">
      <c r="A10410" s="19"/>
      <c r="B10410" s="36"/>
    </row>
    <row r="10411" spans="1:2" x14ac:dyDescent="0.3">
      <c r="A10411" s="19"/>
      <c r="B10411" s="36"/>
    </row>
    <row r="10412" spans="1:2" x14ac:dyDescent="0.3">
      <c r="A10412" s="19"/>
      <c r="B10412" s="36"/>
    </row>
    <row r="10413" spans="1:2" x14ac:dyDescent="0.3">
      <c r="A10413" s="19"/>
      <c r="B10413" s="36"/>
    </row>
    <row r="10414" spans="1:2" x14ac:dyDescent="0.3">
      <c r="A10414" s="19"/>
      <c r="B10414" s="36"/>
    </row>
    <row r="10415" spans="1:2" x14ac:dyDescent="0.3">
      <c r="A10415" s="19"/>
      <c r="B10415" s="36"/>
    </row>
    <row r="10416" spans="1:2" x14ac:dyDescent="0.3">
      <c r="A10416" s="19"/>
      <c r="B10416" s="36"/>
    </row>
    <row r="10417" spans="1:2" x14ac:dyDescent="0.3">
      <c r="A10417" s="19"/>
      <c r="B10417" s="36"/>
    </row>
    <row r="10418" spans="1:2" x14ac:dyDescent="0.3">
      <c r="A10418" s="19"/>
      <c r="B10418" s="36"/>
    </row>
    <row r="10419" spans="1:2" x14ac:dyDescent="0.3">
      <c r="A10419" s="19"/>
      <c r="B10419" s="36"/>
    </row>
    <row r="10420" spans="1:2" x14ac:dyDescent="0.3">
      <c r="A10420" s="19"/>
      <c r="B10420" s="36"/>
    </row>
    <row r="10421" spans="1:2" x14ac:dyDescent="0.3">
      <c r="A10421" s="19"/>
      <c r="B10421" s="36"/>
    </row>
    <row r="10422" spans="1:2" x14ac:dyDescent="0.3">
      <c r="A10422" s="19"/>
      <c r="B10422" s="36"/>
    </row>
    <row r="10423" spans="1:2" x14ac:dyDescent="0.3">
      <c r="A10423" s="19"/>
      <c r="B10423" s="36"/>
    </row>
    <row r="10424" spans="1:2" x14ac:dyDescent="0.3">
      <c r="A10424" s="19"/>
      <c r="B10424" s="36"/>
    </row>
    <row r="10425" spans="1:2" x14ac:dyDescent="0.3">
      <c r="A10425" s="19"/>
      <c r="B10425" s="36"/>
    </row>
    <row r="10426" spans="1:2" x14ac:dyDescent="0.3">
      <c r="A10426" s="19"/>
      <c r="B10426" s="36"/>
    </row>
    <row r="10427" spans="1:2" x14ac:dyDescent="0.3">
      <c r="A10427" s="19"/>
      <c r="B10427" s="36"/>
    </row>
    <row r="10428" spans="1:2" x14ac:dyDescent="0.3">
      <c r="A10428" s="19"/>
      <c r="B10428" s="36"/>
    </row>
    <row r="10429" spans="1:2" x14ac:dyDescent="0.3">
      <c r="A10429" s="19"/>
      <c r="B10429" s="36"/>
    </row>
    <row r="10430" spans="1:2" x14ac:dyDescent="0.3">
      <c r="A10430" s="19"/>
      <c r="B10430" s="36"/>
    </row>
    <row r="10431" spans="1:2" x14ac:dyDescent="0.3">
      <c r="A10431" s="19"/>
      <c r="B10431" s="36"/>
    </row>
    <row r="10432" spans="1:2" x14ac:dyDescent="0.3">
      <c r="A10432" s="19"/>
      <c r="B10432" s="36"/>
    </row>
    <row r="10433" spans="1:2" x14ac:dyDescent="0.3">
      <c r="A10433" s="19"/>
      <c r="B10433" s="36"/>
    </row>
    <row r="10434" spans="1:2" x14ac:dyDescent="0.3">
      <c r="A10434" s="19"/>
      <c r="B10434" s="36"/>
    </row>
    <row r="10435" spans="1:2" x14ac:dyDescent="0.3">
      <c r="A10435" s="19"/>
      <c r="B10435" s="36"/>
    </row>
    <row r="10436" spans="1:2" x14ac:dyDescent="0.3">
      <c r="A10436" s="19"/>
      <c r="B10436" s="36"/>
    </row>
    <row r="10437" spans="1:2" x14ac:dyDescent="0.3">
      <c r="A10437" s="19"/>
      <c r="B10437" s="36"/>
    </row>
    <row r="10438" spans="1:2" x14ac:dyDescent="0.3">
      <c r="A10438" s="19"/>
      <c r="B10438" s="36"/>
    </row>
    <row r="10439" spans="1:2" x14ac:dyDescent="0.3">
      <c r="A10439" s="19"/>
      <c r="B10439" s="36"/>
    </row>
    <row r="10440" spans="1:2" x14ac:dyDescent="0.3">
      <c r="A10440" s="19"/>
      <c r="B10440" s="36"/>
    </row>
    <row r="10441" spans="1:2" x14ac:dyDescent="0.3">
      <c r="A10441" s="19"/>
      <c r="B10441" s="36"/>
    </row>
    <row r="10442" spans="1:2" x14ac:dyDescent="0.3">
      <c r="A10442" s="19"/>
      <c r="B10442" s="36"/>
    </row>
    <row r="10443" spans="1:2" x14ac:dyDescent="0.3">
      <c r="A10443" s="19"/>
      <c r="B10443" s="36"/>
    </row>
    <row r="10444" spans="1:2" x14ac:dyDescent="0.3">
      <c r="A10444" s="19"/>
      <c r="B10444" s="36"/>
    </row>
    <row r="10445" spans="1:2" x14ac:dyDescent="0.3">
      <c r="A10445" s="19"/>
      <c r="B10445" s="36"/>
    </row>
    <row r="10446" spans="1:2" x14ac:dyDescent="0.3">
      <c r="A10446" s="19"/>
      <c r="B10446" s="36"/>
    </row>
    <row r="10447" spans="1:2" x14ac:dyDescent="0.3">
      <c r="A10447" s="19"/>
      <c r="B10447" s="36"/>
    </row>
    <row r="10448" spans="1:2" x14ac:dyDescent="0.3">
      <c r="A10448" s="19"/>
      <c r="B10448" s="36"/>
    </row>
    <row r="10449" spans="1:2" x14ac:dyDescent="0.3">
      <c r="A10449" s="19"/>
      <c r="B10449" s="36"/>
    </row>
    <row r="10450" spans="1:2" x14ac:dyDescent="0.3">
      <c r="A10450" s="19"/>
      <c r="B10450" s="36"/>
    </row>
    <row r="10451" spans="1:2" x14ac:dyDescent="0.3">
      <c r="A10451" s="19"/>
      <c r="B10451" s="36"/>
    </row>
    <row r="10452" spans="1:2" x14ac:dyDescent="0.3">
      <c r="A10452" s="19"/>
      <c r="B10452" s="36"/>
    </row>
    <row r="10453" spans="1:2" x14ac:dyDescent="0.3">
      <c r="A10453" s="19"/>
      <c r="B10453" s="36"/>
    </row>
    <row r="10454" spans="1:2" x14ac:dyDescent="0.3">
      <c r="A10454" s="19"/>
      <c r="B10454" s="36"/>
    </row>
    <row r="10455" spans="1:2" x14ac:dyDescent="0.3">
      <c r="A10455" s="19"/>
      <c r="B10455" s="36"/>
    </row>
    <row r="10456" spans="1:2" x14ac:dyDescent="0.3">
      <c r="A10456" s="19"/>
      <c r="B10456" s="36"/>
    </row>
    <row r="10457" spans="1:2" x14ac:dyDescent="0.3">
      <c r="A10457" s="19"/>
      <c r="B10457" s="36"/>
    </row>
    <row r="10458" spans="1:2" x14ac:dyDescent="0.3">
      <c r="A10458" s="19"/>
      <c r="B10458" s="36"/>
    </row>
    <row r="10459" spans="1:2" x14ac:dyDescent="0.3">
      <c r="A10459" s="19"/>
      <c r="B10459" s="36"/>
    </row>
    <row r="10460" spans="1:2" x14ac:dyDescent="0.3">
      <c r="A10460" s="19"/>
      <c r="B10460" s="36"/>
    </row>
    <row r="10461" spans="1:2" x14ac:dyDescent="0.3">
      <c r="A10461" s="19"/>
      <c r="B10461" s="36"/>
    </row>
    <row r="10462" spans="1:2" x14ac:dyDescent="0.3">
      <c r="A10462" s="19"/>
      <c r="B10462" s="36"/>
    </row>
    <row r="10463" spans="1:2" x14ac:dyDescent="0.3">
      <c r="A10463" s="19"/>
      <c r="B10463" s="36"/>
    </row>
    <row r="10464" spans="1:2" x14ac:dyDescent="0.3">
      <c r="A10464" s="19"/>
      <c r="B10464" s="36"/>
    </row>
    <row r="10465" spans="1:2" x14ac:dyDescent="0.3">
      <c r="A10465" s="19"/>
      <c r="B10465" s="36"/>
    </row>
    <row r="10466" spans="1:2" x14ac:dyDescent="0.3">
      <c r="A10466" s="19"/>
      <c r="B10466" s="36"/>
    </row>
    <row r="10467" spans="1:2" x14ac:dyDescent="0.3">
      <c r="A10467" s="19"/>
      <c r="B10467" s="36"/>
    </row>
    <row r="10468" spans="1:2" x14ac:dyDescent="0.3">
      <c r="A10468" s="19"/>
      <c r="B10468" s="36"/>
    </row>
    <row r="10469" spans="1:2" x14ac:dyDescent="0.3">
      <c r="A10469" s="19"/>
      <c r="B10469" s="36"/>
    </row>
    <row r="10470" spans="1:2" x14ac:dyDescent="0.3">
      <c r="A10470" s="19"/>
      <c r="B10470" s="36"/>
    </row>
    <row r="10471" spans="1:2" x14ac:dyDescent="0.3">
      <c r="A10471" s="19"/>
      <c r="B10471" s="36"/>
    </row>
    <row r="10472" spans="1:2" x14ac:dyDescent="0.3">
      <c r="A10472" s="19"/>
      <c r="B10472" s="36"/>
    </row>
    <row r="10473" spans="1:2" x14ac:dyDescent="0.3">
      <c r="A10473" s="19"/>
      <c r="B10473" s="36"/>
    </row>
    <row r="10474" spans="1:2" x14ac:dyDescent="0.3">
      <c r="A10474" s="19"/>
      <c r="B10474" s="36"/>
    </row>
    <row r="10475" spans="1:2" x14ac:dyDescent="0.3">
      <c r="A10475" s="19"/>
      <c r="B10475" s="36"/>
    </row>
    <row r="10476" spans="1:2" x14ac:dyDescent="0.3">
      <c r="A10476" s="19"/>
      <c r="B10476" s="36"/>
    </row>
    <row r="10477" spans="1:2" x14ac:dyDescent="0.3">
      <c r="A10477" s="19"/>
      <c r="B10477" s="36"/>
    </row>
    <row r="10478" spans="1:2" x14ac:dyDescent="0.3">
      <c r="A10478" s="19"/>
      <c r="B10478" s="36"/>
    </row>
    <row r="10479" spans="1:2" x14ac:dyDescent="0.3">
      <c r="A10479" s="19"/>
      <c r="B10479" s="36"/>
    </row>
    <row r="10480" spans="1:2" x14ac:dyDescent="0.3">
      <c r="A10480" s="19"/>
      <c r="B10480" s="36"/>
    </row>
    <row r="10481" spans="1:2" x14ac:dyDescent="0.3">
      <c r="A10481" s="19"/>
      <c r="B10481" s="36"/>
    </row>
    <row r="10482" spans="1:2" x14ac:dyDescent="0.3">
      <c r="A10482" s="19"/>
      <c r="B10482" s="36"/>
    </row>
    <row r="10483" spans="1:2" x14ac:dyDescent="0.3">
      <c r="A10483" s="19"/>
      <c r="B10483" s="36"/>
    </row>
    <row r="10484" spans="1:2" x14ac:dyDescent="0.3">
      <c r="A10484" s="19"/>
      <c r="B10484" s="36"/>
    </row>
    <row r="10485" spans="1:2" x14ac:dyDescent="0.3">
      <c r="A10485" s="19"/>
      <c r="B10485" s="36"/>
    </row>
    <row r="10486" spans="1:2" x14ac:dyDescent="0.3">
      <c r="A10486" s="19"/>
      <c r="B10486" s="36"/>
    </row>
    <row r="10487" spans="1:2" x14ac:dyDescent="0.3">
      <c r="A10487" s="19"/>
      <c r="B10487" s="36"/>
    </row>
    <row r="10488" spans="1:2" x14ac:dyDescent="0.3">
      <c r="A10488" s="19"/>
      <c r="B10488" s="36"/>
    </row>
    <row r="10489" spans="1:2" x14ac:dyDescent="0.3">
      <c r="A10489" s="19"/>
      <c r="B10489" s="36"/>
    </row>
    <row r="10490" spans="1:2" x14ac:dyDescent="0.3">
      <c r="A10490" s="19"/>
      <c r="B10490" s="36"/>
    </row>
    <row r="10491" spans="1:2" x14ac:dyDescent="0.3">
      <c r="A10491" s="19"/>
      <c r="B10491" s="36"/>
    </row>
    <row r="10492" spans="1:2" x14ac:dyDescent="0.3">
      <c r="A10492" s="19"/>
      <c r="B10492" s="36"/>
    </row>
    <row r="10493" spans="1:2" x14ac:dyDescent="0.3">
      <c r="A10493" s="19"/>
      <c r="B10493" s="36"/>
    </row>
    <row r="10494" spans="1:2" x14ac:dyDescent="0.3">
      <c r="A10494" s="19"/>
      <c r="B10494" s="36"/>
    </row>
    <row r="10495" spans="1:2" x14ac:dyDescent="0.3">
      <c r="A10495" s="19"/>
      <c r="B10495" s="36"/>
    </row>
    <row r="10496" spans="1:2" x14ac:dyDescent="0.3">
      <c r="A10496" s="19"/>
      <c r="B10496" s="36"/>
    </row>
    <row r="10497" spans="1:2" x14ac:dyDescent="0.3">
      <c r="A10497" s="19"/>
      <c r="B10497" s="36"/>
    </row>
    <row r="10498" spans="1:2" x14ac:dyDescent="0.3">
      <c r="A10498" s="19"/>
      <c r="B10498" s="36"/>
    </row>
    <row r="10499" spans="1:2" x14ac:dyDescent="0.3">
      <c r="A10499" s="19"/>
      <c r="B10499" s="36"/>
    </row>
    <row r="10500" spans="1:2" x14ac:dyDescent="0.3">
      <c r="A10500" s="19"/>
      <c r="B10500" s="36"/>
    </row>
    <row r="10501" spans="1:2" x14ac:dyDescent="0.3">
      <c r="A10501" s="19"/>
      <c r="B10501" s="36"/>
    </row>
    <row r="10502" spans="1:2" x14ac:dyDescent="0.3">
      <c r="A10502" s="19"/>
      <c r="B10502" s="36"/>
    </row>
    <row r="10503" spans="1:2" x14ac:dyDescent="0.3">
      <c r="A10503" s="19"/>
      <c r="B10503" s="36"/>
    </row>
    <row r="10504" spans="1:2" x14ac:dyDescent="0.3">
      <c r="A10504" s="19"/>
      <c r="B10504" s="36"/>
    </row>
    <row r="10505" spans="1:2" x14ac:dyDescent="0.3">
      <c r="A10505" s="19"/>
      <c r="B10505" s="36"/>
    </row>
    <row r="10506" spans="1:2" x14ac:dyDescent="0.3">
      <c r="A10506" s="19"/>
      <c r="B10506" s="36"/>
    </row>
    <row r="10507" spans="1:2" x14ac:dyDescent="0.3">
      <c r="A10507" s="19"/>
      <c r="B10507" s="36"/>
    </row>
    <row r="10508" spans="1:2" x14ac:dyDescent="0.3">
      <c r="A10508" s="19"/>
      <c r="B10508" s="36"/>
    </row>
    <row r="10509" spans="1:2" x14ac:dyDescent="0.3">
      <c r="A10509" s="19"/>
      <c r="B10509" s="36"/>
    </row>
    <row r="10510" spans="1:2" x14ac:dyDescent="0.3">
      <c r="A10510" s="19"/>
      <c r="B10510" s="36"/>
    </row>
    <row r="10511" spans="1:2" x14ac:dyDescent="0.3">
      <c r="A10511" s="19"/>
      <c r="B10511" s="36"/>
    </row>
    <row r="10512" spans="1:2" x14ac:dyDescent="0.3">
      <c r="A10512" s="19"/>
      <c r="B10512" s="36"/>
    </row>
    <row r="10513" spans="1:2" x14ac:dyDescent="0.3">
      <c r="A10513" s="19"/>
      <c r="B10513" s="36"/>
    </row>
    <row r="10514" spans="1:2" x14ac:dyDescent="0.3">
      <c r="A10514" s="19"/>
      <c r="B10514" s="36"/>
    </row>
    <row r="10515" spans="1:2" x14ac:dyDescent="0.3">
      <c r="A10515" s="19"/>
      <c r="B10515" s="36"/>
    </row>
    <row r="10516" spans="1:2" x14ac:dyDescent="0.3">
      <c r="A10516" s="19"/>
      <c r="B10516" s="36"/>
    </row>
    <row r="10517" spans="1:2" x14ac:dyDescent="0.3">
      <c r="A10517" s="19"/>
      <c r="B10517" s="36"/>
    </row>
    <row r="10518" spans="1:2" x14ac:dyDescent="0.3">
      <c r="A10518" s="19"/>
      <c r="B10518" s="36"/>
    </row>
    <row r="10519" spans="1:2" x14ac:dyDescent="0.3">
      <c r="A10519" s="19"/>
      <c r="B10519" s="36"/>
    </row>
    <row r="10520" spans="1:2" x14ac:dyDescent="0.3">
      <c r="A10520" s="19"/>
      <c r="B10520" s="36"/>
    </row>
    <row r="10521" spans="1:2" x14ac:dyDescent="0.3">
      <c r="A10521" s="19"/>
      <c r="B10521" s="36"/>
    </row>
    <row r="10522" spans="1:2" x14ac:dyDescent="0.3">
      <c r="A10522" s="19"/>
      <c r="B10522" s="36"/>
    </row>
    <row r="10523" spans="1:2" x14ac:dyDescent="0.3">
      <c r="A10523" s="19"/>
      <c r="B10523" s="36"/>
    </row>
    <row r="10524" spans="1:2" x14ac:dyDescent="0.3">
      <c r="A10524" s="19"/>
      <c r="B10524" s="36"/>
    </row>
    <row r="10525" spans="1:2" x14ac:dyDescent="0.3">
      <c r="A10525" s="19"/>
      <c r="B10525" s="36"/>
    </row>
    <row r="10526" spans="1:2" x14ac:dyDescent="0.3">
      <c r="A10526" s="19"/>
      <c r="B10526" s="36"/>
    </row>
    <row r="10527" spans="1:2" x14ac:dyDescent="0.3">
      <c r="A10527" s="19"/>
      <c r="B10527" s="36"/>
    </row>
    <row r="10528" spans="1:2" x14ac:dyDescent="0.3">
      <c r="A10528" s="19"/>
      <c r="B10528" s="36"/>
    </row>
    <row r="10529" spans="1:2" x14ac:dyDescent="0.3">
      <c r="A10529" s="19"/>
      <c r="B10529" s="36"/>
    </row>
    <row r="10530" spans="1:2" x14ac:dyDescent="0.3">
      <c r="A10530" s="19"/>
      <c r="B10530" s="36"/>
    </row>
    <row r="10531" spans="1:2" x14ac:dyDescent="0.3">
      <c r="A10531" s="19"/>
      <c r="B10531" s="36"/>
    </row>
    <row r="10532" spans="1:2" x14ac:dyDescent="0.3">
      <c r="A10532" s="19"/>
      <c r="B10532" s="36"/>
    </row>
    <row r="10533" spans="1:2" x14ac:dyDescent="0.3">
      <c r="A10533" s="19"/>
      <c r="B10533" s="36"/>
    </row>
    <row r="10534" spans="1:2" x14ac:dyDescent="0.3">
      <c r="A10534" s="19"/>
      <c r="B10534" s="36"/>
    </row>
    <row r="10535" spans="1:2" x14ac:dyDescent="0.3">
      <c r="A10535" s="19"/>
      <c r="B10535" s="36"/>
    </row>
    <row r="10536" spans="1:2" x14ac:dyDescent="0.3">
      <c r="A10536" s="19"/>
      <c r="B10536" s="36"/>
    </row>
    <row r="10537" spans="1:2" x14ac:dyDescent="0.3">
      <c r="A10537" s="19"/>
      <c r="B10537" s="36"/>
    </row>
    <row r="10538" spans="1:2" x14ac:dyDescent="0.3">
      <c r="A10538" s="19"/>
      <c r="B10538" s="36"/>
    </row>
    <row r="10539" spans="1:2" x14ac:dyDescent="0.3">
      <c r="A10539" s="19"/>
      <c r="B10539" s="36"/>
    </row>
    <row r="10540" spans="1:2" x14ac:dyDescent="0.3">
      <c r="A10540" s="19"/>
      <c r="B10540" s="36"/>
    </row>
    <row r="10541" spans="1:2" x14ac:dyDescent="0.3">
      <c r="A10541" s="19"/>
      <c r="B10541" s="36"/>
    </row>
    <row r="10542" spans="1:2" x14ac:dyDescent="0.3">
      <c r="A10542" s="19"/>
      <c r="B10542" s="36"/>
    </row>
    <row r="10543" spans="1:2" x14ac:dyDescent="0.3">
      <c r="A10543" s="19"/>
      <c r="B10543" s="36"/>
    </row>
    <row r="10544" spans="1:2" x14ac:dyDescent="0.3">
      <c r="A10544" s="19"/>
      <c r="B10544" s="36"/>
    </row>
    <row r="10545" spans="1:2" x14ac:dyDescent="0.3">
      <c r="A10545" s="19"/>
      <c r="B10545" s="36"/>
    </row>
    <row r="10546" spans="1:2" x14ac:dyDescent="0.3">
      <c r="A10546" s="19"/>
      <c r="B10546" s="36"/>
    </row>
    <row r="10547" spans="1:2" x14ac:dyDescent="0.3">
      <c r="A10547" s="19"/>
      <c r="B10547" s="36"/>
    </row>
    <row r="10548" spans="1:2" x14ac:dyDescent="0.3">
      <c r="A10548" s="19"/>
      <c r="B10548" s="36"/>
    </row>
    <row r="10549" spans="1:2" x14ac:dyDescent="0.3">
      <c r="A10549" s="19"/>
      <c r="B10549" s="36"/>
    </row>
    <row r="10550" spans="1:2" x14ac:dyDescent="0.3">
      <c r="A10550" s="19"/>
      <c r="B10550" s="36"/>
    </row>
    <row r="10551" spans="1:2" x14ac:dyDescent="0.3">
      <c r="A10551" s="19"/>
      <c r="B10551" s="36"/>
    </row>
    <row r="10552" spans="1:2" x14ac:dyDescent="0.3">
      <c r="A10552" s="19"/>
      <c r="B10552" s="36"/>
    </row>
    <row r="10553" spans="1:2" x14ac:dyDescent="0.3">
      <c r="A10553" s="19"/>
      <c r="B10553" s="36"/>
    </row>
    <row r="10554" spans="1:2" x14ac:dyDescent="0.3">
      <c r="A10554" s="19"/>
      <c r="B10554" s="36"/>
    </row>
    <row r="10555" spans="1:2" x14ac:dyDescent="0.3">
      <c r="A10555" s="19"/>
      <c r="B10555" s="36"/>
    </row>
    <row r="10556" spans="1:2" x14ac:dyDescent="0.3">
      <c r="A10556" s="19"/>
      <c r="B10556" s="36"/>
    </row>
    <row r="10557" spans="1:2" x14ac:dyDescent="0.3">
      <c r="A10557" s="19"/>
      <c r="B10557" s="36"/>
    </row>
    <row r="10558" spans="1:2" x14ac:dyDescent="0.3">
      <c r="A10558" s="19"/>
      <c r="B10558" s="36"/>
    </row>
    <row r="10559" spans="1:2" x14ac:dyDescent="0.3">
      <c r="A10559" s="19"/>
      <c r="B10559" s="36"/>
    </row>
    <row r="10560" spans="1:2" x14ac:dyDescent="0.3">
      <c r="A10560" s="19"/>
      <c r="B10560" s="36"/>
    </row>
    <row r="10561" spans="1:2" x14ac:dyDescent="0.3">
      <c r="A10561" s="19"/>
      <c r="B10561" s="36"/>
    </row>
    <row r="10562" spans="1:2" x14ac:dyDescent="0.3">
      <c r="A10562" s="19"/>
      <c r="B10562" s="36"/>
    </row>
    <row r="10563" spans="1:2" x14ac:dyDescent="0.3">
      <c r="A10563" s="19"/>
      <c r="B10563" s="36"/>
    </row>
    <row r="10564" spans="1:2" x14ac:dyDescent="0.3">
      <c r="A10564" s="19"/>
      <c r="B10564" s="36"/>
    </row>
    <row r="10565" spans="1:2" x14ac:dyDescent="0.3">
      <c r="A10565" s="19"/>
      <c r="B10565" s="36"/>
    </row>
    <row r="10566" spans="1:2" x14ac:dyDescent="0.3">
      <c r="A10566" s="19"/>
      <c r="B10566" s="36"/>
    </row>
    <row r="10567" spans="1:2" x14ac:dyDescent="0.3">
      <c r="A10567" s="19"/>
      <c r="B10567" s="36"/>
    </row>
    <row r="10568" spans="1:2" x14ac:dyDescent="0.3">
      <c r="A10568" s="19"/>
      <c r="B10568" s="36"/>
    </row>
    <row r="10569" spans="1:2" x14ac:dyDescent="0.3">
      <c r="A10569" s="19"/>
      <c r="B10569" s="36"/>
    </row>
    <row r="10570" spans="1:2" x14ac:dyDescent="0.3">
      <c r="A10570" s="19"/>
      <c r="B10570" s="36"/>
    </row>
    <row r="10571" spans="1:2" x14ac:dyDescent="0.3">
      <c r="A10571" s="19"/>
      <c r="B10571" s="36"/>
    </row>
    <row r="10572" spans="1:2" x14ac:dyDescent="0.3">
      <c r="A10572" s="19"/>
      <c r="B10572" s="36"/>
    </row>
    <row r="10573" spans="1:2" x14ac:dyDescent="0.3">
      <c r="A10573" s="19"/>
      <c r="B10573" s="36"/>
    </row>
    <row r="10574" spans="1:2" x14ac:dyDescent="0.3">
      <c r="A10574" s="19"/>
      <c r="B10574" s="36"/>
    </row>
    <row r="10575" spans="1:2" x14ac:dyDescent="0.3">
      <c r="A10575" s="19"/>
      <c r="B10575" s="36"/>
    </row>
    <row r="10576" spans="1:2" x14ac:dyDescent="0.3">
      <c r="A10576" s="19"/>
      <c r="B10576" s="36"/>
    </row>
    <row r="10577" spans="1:2" x14ac:dyDescent="0.3">
      <c r="A10577" s="19"/>
      <c r="B10577" s="36"/>
    </row>
    <row r="10578" spans="1:2" x14ac:dyDescent="0.3">
      <c r="A10578" s="19"/>
      <c r="B10578" s="36"/>
    </row>
    <row r="10579" spans="1:2" x14ac:dyDescent="0.3">
      <c r="A10579" s="19"/>
      <c r="B10579" s="36"/>
    </row>
    <row r="10580" spans="1:2" x14ac:dyDescent="0.3">
      <c r="A10580" s="19"/>
      <c r="B10580" s="36"/>
    </row>
    <row r="10581" spans="1:2" x14ac:dyDescent="0.3">
      <c r="A10581" s="19"/>
      <c r="B10581" s="36"/>
    </row>
    <row r="10582" spans="1:2" x14ac:dyDescent="0.3">
      <c r="A10582" s="19"/>
      <c r="B10582" s="36"/>
    </row>
    <row r="10583" spans="1:2" x14ac:dyDescent="0.3">
      <c r="A10583" s="19"/>
      <c r="B10583" s="36"/>
    </row>
    <row r="10584" spans="1:2" x14ac:dyDescent="0.3">
      <c r="A10584" s="19"/>
      <c r="B10584" s="36"/>
    </row>
    <row r="10585" spans="1:2" x14ac:dyDescent="0.3">
      <c r="A10585" s="19"/>
      <c r="B10585" s="36"/>
    </row>
    <row r="10586" spans="1:2" x14ac:dyDescent="0.3">
      <c r="A10586" s="19"/>
      <c r="B10586" s="36"/>
    </row>
    <row r="10587" spans="1:2" x14ac:dyDescent="0.3">
      <c r="A10587" s="19"/>
      <c r="B10587" s="36"/>
    </row>
    <row r="10588" spans="1:2" x14ac:dyDescent="0.3">
      <c r="A10588" s="19"/>
      <c r="B10588" s="36"/>
    </row>
    <row r="10589" spans="1:2" x14ac:dyDescent="0.3">
      <c r="A10589" s="19"/>
      <c r="B10589" s="36"/>
    </row>
    <row r="10590" spans="1:2" x14ac:dyDescent="0.3">
      <c r="A10590" s="19"/>
      <c r="B10590" s="36"/>
    </row>
    <row r="10591" spans="1:2" x14ac:dyDescent="0.3">
      <c r="A10591" s="19"/>
      <c r="B10591" s="36"/>
    </row>
    <row r="10592" spans="1:2" x14ac:dyDescent="0.3">
      <c r="A10592" s="19"/>
      <c r="B10592" s="36"/>
    </row>
    <row r="10593" spans="1:2" x14ac:dyDescent="0.3">
      <c r="A10593" s="19"/>
      <c r="B10593" s="36"/>
    </row>
    <row r="10594" spans="1:2" x14ac:dyDescent="0.3">
      <c r="A10594" s="19"/>
      <c r="B10594" s="36"/>
    </row>
    <row r="10595" spans="1:2" x14ac:dyDescent="0.3">
      <c r="A10595" s="19"/>
      <c r="B10595" s="36"/>
    </row>
    <row r="10596" spans="1:2" x14ac:dyDescent="0.3">
      <c r="A10596" s="19"/>
      <c r="B10596" s="36"/>
    </row>
    <row r="10597" spans="1:2" x14ac:dyDescent="0.3">
      <c r="A10597" s="19"/>
      <c r="B10597" s="36"/>
    </row>
    <row r="10598" spans="1:2" x14ac:dyDescent="0.3">
      <c r="A10598" s="19"/>
      <c r="B10598" s="36"/>
    </row>
    <row r="10599" spans="1:2" x14ac:dyDescent="0.3">
      <c r="A10599" s="19"/>
      <c r="B10599" s="36"/>
    </row>
    <row r="10600" spans="1:2" x14ac:dyDescent="0.3">
      <c r="A10600" s="19"/>
      <c r="B10600" s="36"/>
    </row>
    <row r="10601" spans="1:2" x14ac:dyDescent="0.3">
      <c r="A10601" s="19"/>
      <c r="B10601" s="36"/>
    </row>
    <row r="10602" spans="1:2" x14ac:dyDescent="0.3">
      <c r="A10602" s="19"/>
      <c r="B10602" s="36"/>
    </row>
    <row r="10603" spans="1:2" x14ac:dyDescent="0.3">
      <c r="A10603" s="19"/>
      <c r="B10603" s="36"/>
    </row>
    <row r="10604" spans="1:2" x14ac:dyDescent="0.3">
      <c r="A10604" s="19"/>
      <c r="B10604" s="36"/>
    </row>
    <row r="10605" spans="1:2" x14ac:dyDescent="0.3">
      <c r="A10605" s="19"/>
      <c r="B10605" s="36"/>
    </row>
    <row r="10606" spans="1:2" x14ac:dyDescent="0.3">
      <c r="A10606" s="19"/>
      <c r="B10606" s="36"/>
    </row>
    <row r="10607" spans="1:2" x14ac:dyDescent="0.3">
      <c r="A10607" s="19"/>
      <c r="B10607" s="36"/>
    </row>
    <row r="10608" spans="1:2" x14ac:dyDescent="0.3">
      <c r="A10608" s="19"/>
      <c r="B10608" s="36"/>
    </row>
    <row r="10609" spans="1:2" x14ac:dyDescent="0.3">
      <c r="A10609" s="19"/>
      <c r="B10609" s="36"/>
    </row>
    <row r="10610" spans="1:2" x14ac:dyDescent="0.3">
      <c r="A10610" s="19"/>
      <c r="B10610" s="36"/>
    </row>
    <row r="10611" spans="1:2" x14ac:dyDescent="0.3">
      <c r="A10611" s="19"/>
      <c r="B10611" s="36"/>
    </row>
    <row r="10612" spans="1:2" x14ac:dyDescent="0.3">
      <c r="A10612" s="19"/>
      <c r="B10612" s="36"/>
    </row>
    <row r="10613" spans="1:2" x14ac:dyDescent="0.3">
      <c r="A10613" s="19"/>
      <c r="B10613" s="36"/>
    </row>
    <row r="10614" spans="1:2" x14ac:dyDescent="0.3">
      <c r="A10614" s="19"/>
      <c r="B10614" s="36"/>
    </row>
    <row r="10615" spans="1:2" x14ac:dyDescent="0.3">
      <c r="A10615" s="19"/>
      <c r="B10615" s="36"/>
    </row>
    <row r="10616" spans="1:2" x14ac:dyDescent="0.3">
      <c r="A10616" s="19"/>
      <c r="B10616" s="36"/>
    </row>
    <row r="10617" spans="1:2" x14ac:dyDescent="0.3">
      <c r="A10617" s="19"/>
      <c r="B10617" s="36"/>
    </row>
    <row r="10618" spans="1:2" x14ac:dyDescent="0.3">
      <c r="A10618" s="19"/>
      <c r="B10618" s="36"/>
    </row>
    <row r="10619" spans="1:2" x14ac:dyDescent="0.3">
      <c r="A10619" s="19"/>
      <c r="B10619" s="36"/>
    </row>
    <row r="10620" spans="1:2" x14ac:dyDescent="0.3">
      <c r="A10620" s="19"/>
      <c r="B10620" s="36"/>
    </row>
    <row r="10621" spans="1:2" x14ac:dyDescent="0.3">
      <c r="A10621" s="19"/>
      <c r="B10621" s="36"/>
    </row>
    <row r="10622" spans="1:2" x14ac:dyDescent="0.3">
      <c r="A10622" s="19"/>
      <c r="B10622" s="36"/>
    </row>
    <row r="10623" spans="1:2" x14ac:dyDescent="0.3">
      <c r="A10623" s="19"/>
      <c r="B10623" s="36"/>
    </row>
    <row r="10624" spans="1:2" x14ac:dyDescent="0.3">
      <c r="A10624" s="19"/>
      <c r="B10624" s="36"/>
    </row>
    <row r="10625" spans="1:2" x14ac:dyDescent="0.3">
      <c r="A10625" s="19"/>
      <c r="B10625" s="36"/>
    </row>
    <row r="10626" spans="1:2" x14ac:dyDescent="0.3">
      <c r="A10626" s="19"/>
      <c r="B10626" s="36"/>
    </row>
    <row r="10627" spans="1:2" x14ac:dyDescent="0.3">
      <c r="A10627" s="19"/>
      <c r="B10627" s="36"/>
    </row>
    <row r="10628" spans="1:2" x14ac:dyDescent="0.3">
      <c r="A10628" s="19"/>
      <c r="B10628" s="36"/>
    </row>
    <row r="10629" spans="1:2" x14ac:dyDescent="0.3">
      <c r="A10629" s="19"/>
      <c r="B10629" s="36"/>
    </row>
    <row r="10630" spans="1:2" x14ac:dyDescent="0.3">
      <c r="A10630" s="19"/>
      <c r="B10630" s="36"/>
    </row>
    <row r="10631" spans="1:2" x14ac:dyDescent="0.3">
      <c r="A10631" s="19"/>
      <c r="B10631" s="36"/>
    </row>
    <row r="10632" spans="1:2" x14ac:dyDescent="0.3">
      <c r="A10632" s="19"/>
      <c r="B10632" s="36"/>
    </row>
    <row r="10633" spans="1:2" x14ac:dyDescent="0.3">
      <c r="A10633" s="19"/>
      <c r="B10633" s="36"/>
    </row>
    <row r="10634" spans="1:2" x14ac:dyDescent="0.3">
      <c r="A10634" s="19"/>
      <c r="B10634" s="36"/>
    </row>
    <row r="10635" spans="1:2" x14ac:dyDescent="0.3">
      <c r="A10635" s="19"/>
      <c r="B10635" s="36"/>
    </row>
    <row r="10636" spans="1:2" x14ac:dyDescent="0.3">
      <c r="A10636" s="19"/>
      <c r="B10636" s="36"/>
    </row>
    <row r="10637" spans="1:2" x14ac:dyDescent="0.3">
      <c r="A10637" s="19"/>
      <c r="B10637" s="36"/>
    </row>
    <row r="10638" spans="1:2" x14ac:dyDescent="0.3">
      <c r="A10638" s="19"/>
      <c r="B10638" s="36"/>
    </row>
    <row r="10639" spans="1:2" x14ac:dyDescent="0.3">
      <c r="A10639" s="19"/>
      <c r="B10639" s="36"/>
    </row>
    <row r="10640" spans="1:2" x14ac:dyDescent="0.3">
      <c r="A10640" s="19"/>
      <c r="B10640" s="36"/>
    </row>
    <row r="10641" spans="1:2" x14ac:dyDescent="0.3">
      <c r="A10641" s="19"/>
      <c r="B10641" s="36"/>
    </row>
    <row r="10642" spans="1:2" x14ac:dyDescent="0.3">
      <c r="A10642" s="19"/>
      <c r="B10642" s="36"/>
    </row>
    <row r="10643" spans="1:2" x14ac:dyDescent="0.3">
      <c r="A10643" s="19"/>
      <c r="B10643" s="36"/>
    </row>
    <row r="10644" spans="1:2" x14ac:dyDescent="0.3">
      <c r="A10644" s="19"/>
      <c r="B10644" s="36"/>
    </row>
    <row r="10645" spans="1:2" x14ac:dyDescent="0.3">
      <c r="A10645" s="19"/>
      <c r="B10645" s="36"/>
    </row>
    <row r="10646" spans="1:2" x14ac:dyDescent="0.3">
      <c r="A10646" s="19"/>
      <c r="B10646" s="36"/>
    </row>
    <row r="10647" spans="1:2" x14ac:dyDescent="0.3">
      <c r="A10647" s="19"/>
      <c r="B10647" s="36"/>
    </row>
    <row r="10648" spans="1:2" x14ac:dyDescent="0.3">
      <c r="A10648" s="19"/>
      <c r="B10648" s="36"/>
    </row>
    <row r="10649" spans="1:2" x14ac:dyDescent="0.3">
      <c r="A10649" s="19"/>
      <c r="B10649" s="36"/>
    </row>
    <row r="10650" spans="1:2" x14ac:dyDescent="0.3">
      <c r="A10650" s="19"/>
      <c r="B10650" s="36"/>
    </row>
    <row r="10651" spans="1:2" x14ac:dyDescent="0.3">
      <c r="A10651" s="19"/>
      <c r="B10651" s="36"/>
    </row>
    <row r="10652" spans="1:2" x14ac:dyDescent="0.3">
      <c r="A10652" s="19"/>
      <c r="B10652" s="36"/>
    </row>
    <row r="10653" spans="1:2" x14ac:dyDescent="0.3">
      <c r="A10653" s="19"/>
      <c r="B10653" s="36"/>
    </row>
    <row r="10654" spans="1:2" x14ac:dyDescent="0.3">
      <c r="A10654" s="19"/>
      <c r="B10654" s="36"/>
    </row>
    <row r="10655" spans="1:2" x14ac:dyDescent="0.3">
      <c r="A10655" s="19"/>
      <c r="B10655" s="36"/>
    </row>
    <row r="10656" spans="1:2" x14ac:dyDescent="0.3">
      <c r="A10656" s="19"/>
      <c r="B10656" s="36"/>
    </row>
    <row r="10657" spans="1:2" x14ac:dyDescent="0.3">
      <c r="A10657" s="19"/>
      <c r="B10657" s="36"/>
    </row>
    <row r="10658" spans="1:2" x14ac:dyDescent="0.3">
      <c r="A10658" s="19"/>
      <c r="B10658" s="36"/>
    </row>
    <row r="10659" spans="1:2" x14ac:dyDescent="0.3">
      <c r="A10659" s="19"/>
      <c r="B10659" s="36"/>
    </row>
    <row r="10660" spans="1:2" x14ac:dyDescent="0.3">
      <c r="A10660" s="19"/>
      <c r="B10660" s="36"/>
    </row>
    <row r="10661" spans="1:2" x14ac:dyDescent="0.3">
      <c r="A10661" s="19"/>
      <c r="B10661" s="36"/>
    </row>
    <row r="10662" spans="1:2" x14ac:dyDescent="0.3">
      <c r="A10662" s="19"/>
      <c r="B10662" s="36"/>
    </row>
    <row r="10663" spans="1:2" x14ac:dyDescent="0.3">
      <c r="A10663" s="19"/>
      <c r="B10663" s="36"/>
    </row>
    <row r="10664" spans="1:2" x14ac:dyDescent="0.3">
      <c r="A10664" s="19"/>
      <c r="B10664" s="36"/>
    </row>
    <row r="10665" spans="1:2" x14ac:dyDescent="0.3">
      <c r="A10665" s="19"/>
      <c r="B10665" s="36"/>
    </row>
    <row r="10666" spans="1:2" x14ac:dyDescent="0.3">
      <c r="A10666" s="19"/>
      <c r="B10666" s="36"/>
    </row>
    <row r="10667" spans="1:2" x14ac:dyDescent="0.3">
      <c r="A10667" s="19"/>
      <c r="B10667" s="36"/>
    </row>
    <row r="10668" spans="1:2" x14ac:dyDescent="0.3">
      <c r="A10668" s="19"/>
      <c r="B10668" s="36"/>
    </row>
    <row r="10669" spans="1:2" x14ac:dyDescent="0.3">
      <c r="A10669" s="19"/>
      <c r="B10669" s="36"/>
    </row>
    <row r="10670" spans="1:2" x14ac:dyDescent="0.3">
      <c r="A10670" s="19"/>
      <c r="B10670" s="36"/>
    </row>
    <row r="10671" spans="1:2" x14ac:dyDescent="0.3">
      <c r="A10671" s="19"/>
      <c r="B10671" s="36"/>
    </row>
    <row r="10672" spans="1:2" x14ac:dyDescent="0.3">
      <c r="A10672" s="19"/>
      <c r="B10672" s="36"/>
    </row>
    <row r="10673" spans="1:2" x14ac:dyDescent="0.3">
      <c r="A10673" s="19"/>
      <c r="B10673" s="36"/>
    </row>
    <row r="10674" spans="1:2" x14ac:dyDescent="0.3">
      <c r="A10674" s="19"/>
      <c r="B10674" s="36"/>
    </row>
    <row r="10675" spans="1:2" x14ac:dyDescent="0.3">
      <c r="A10675" s="19"/>
      <c r="B10675" s="36"/>
    </row>
    <row r="10676" spans="1:2" x14ac:dyDescent="0.3">
      <c r="A10676" s="19"/>
      <c r="B10676" s="36"/>
    </row>
    <row r="10677" spans="1:2" x14ac:dyDescent="0.3">
      <c r="A10677" s="19"/>
      <c r="B10677" s="36"/>
    </row>
    <row r="10678" spans="1:2" x14ac:dyDescent="0.3">
      <c r="A10678" s="19"/>
      <c r="B10678" s="36"/>
    </row>
    <row r="10679" spans="1:2" x14ac:dyDescent="0.3">
      <c r="A10679" s="19"/>
      <c r="B10679" s="36"/>
    </row>
    <row r="10680" spans="1:2" x14ac:dyDescent="0.3">
      <c r="A10680" s="19"/>
      <c r="B10680" s="36"/>
    </row>
    <row r="10681" spans="1:2" x14ac:dyDescent="0.3">
      <c r="A10681" s="19"/>
      <c r="B10681" s="36"/>
    </row>
    <row r="10682" spans="1:2" x14ac:dyDescent="0.3">
      <c r="A10682" s="19"/>
      <c r="B10682" s="36"/>
    </row>
    <row r="10683" spans="1:2" x14ac:dyDescent="0.3">
      <c r="A10683" s="19"/>
      <c r="B10683" s="36"/>
    </row>
    <row r="10684" spans="1:2" x14ac:dyDescent="0.3">
      <c r="A10684" s="19"/>
      <c r="B10684" s="36"/>
    </row>
    <row r="10685" spans="1:2" x14ac:dyDescent="0.3">
      <c r="A10685" s="19"/>
      <c r="B10685" s="36"/>
    </row>
    <row r="10686" spans="1:2" x14ac:dyDescent="0.3">
      <c r="A10686" s="19"/>
      <c r="B10686" s="36"/>
    </row>
    <row r="10687" spans="1:2" x14ac:dyDescent="0.3">
      <c r="A10687" s="19"/>
      <c r="B10687" s="36"/>
    </row>
    <row r="10688" spans="1:2" x14ac:dyDescent="0.3">
      <c r="A10688" s="19"/>
      <c r="B10688" s="36"/>
    </row>
    <row r="10689" spans="1:2" x14ac:dyDescent="0.3">
      <c r="A10689" s="19"/>
      <c r="B10689" s="36"/>
    </row>
    <row r="10690" spans="1:2" x14ac:dyDescent="0.3">
      <c r="A10690" s="19"/>
      <c r="B10690" s="36"/>
    </row>
    <row r="10691" spans="1:2" x14ac:dyDescent="0.3">
      <c r="A10691" s="19"/>
      <c r="B10691" s="36"/>
    </row>
    <row r="10692" spans="1:2" x14ac:dyDescent="0.3">
      <c r="A10692" s="19"/>
      <c r="B10692" s="36"/>
    </row>
    <row r="10693" spans="1:2" x14ac:dyDescent="0.3">
      <c r="A10693" s="19"/>
      <c r="B10693" s="36"/>
    </row>
    <row r="10694" spans="1:2" x14ac:dyDescent="0.3">
      <c r="A10694" s="19"/>
      <c r="B10694" s="36"/>
    </row>
    <row r="10695" spans="1:2" x14ac:dyDescent="0.3">
      <c r="A10695" s="19"/>
      <c r="B10695" s="36"/>
    </row>
    <row r="10696" spans="1:2" x14ac:dyDescent="0.3">
      <c r="A10696" s="19"/>
      <c r="B10696" s="36"/>
    </row>
    <row r="10697" spans="1:2" x14ac:dyDescent="0.3">
      <c r="A10697" s="19"/>
      <c r="B10697" s="36"/>
    </row>
    <row r="10698" spans="1:2" x14ac:dyDescent="0.3">
      <c r="A10698" s="19"/>
      <c r="B10698" s="36"/>
    </row>
    <row r="10699" spans="1:2" x14ac:dyDescent="0.3">
      <c r="A10699" s="19"/>
      <c r="B10699" s="36"/>
    </row>
    <row r="10700" spans="1:2" x14ac:dyDescent="0.3">
      <c r="A10700" s="19"/>
      <c r="B10700" s="36"/>
    </row>
    <row r="10701" spans="1:2" x14ac:dyDescent="0.3">
      <c r="A10701" s="19"/>
      <c r="B10701" s="36"/>
    </row>
    <row r="10702" spans="1:2" x14ac:dyDescent="0.3">
      <c r="A10702" s="19"/>
      <c r="B10702" s="36"/>
    </row>
    <row r="10703" spans="1:2" x14ac:dyDescent="0.3">
      <c r="A10703" s="19"/>
      <c r="B10703" s="36"/>
    </row>
    <row r="10704" spans="1:2" x14ac:dyDescent="0.3">
      <c r="A10704" s="19"/>
      <c r="B10704" s="36"/>
    </row>
    <row r="10705" spans="1:2" x14ac:dyDescent="0.3">
      <c r="A10705" s="19"/>
      <c r="B10705" s="36"/>
    </row>
    <row r="10706" spans="1:2" x14ac:dyDescent="0.3">
      <c r="A10706" s="19"/>
      <c r="B10706" s="36"/>
    </row>
    <row r="10707" spans="1:2" x14ac:dyDescent="0.3">
      <c r="A10707" s="19"/>
      <c r="B10707" s="36"/>
    </row>
    <row r="10708" spans="1:2" x14ac:dyDescent="0.3">
      <c r="A10708" s="19"/>
      <c r="B10708" s="36"/>
    </row>
    <row r="10709" spans="1:2" x14ac:dyDescent="0.3">
      <c r="A10709" s="19"/>
      <c r="B10709" s="36"/>
    </row>
    <row r="10710" spans="1:2" x14ac:dyDescent="0.3">
      <c r="A10710" s="19"/>
      <c r="B10710" s="36"/>
    </row>
    <row r="10711" spans="1:2" x14ac:dyDescent="0.3">
      <c r="A10711" s="19"/>
      <c r="B10711" s="36"/>
    </row>
    <row r="10712" spans="1:2" x14ac:dyDescent="0.3">
      <c r="A10712" s="19"/>
      <c r="B10712" s="36"/>
    </row>
    <row r="10713" spans="1:2" x14ac:dyDescent="0.3">
      <c r="A10713" s="19"/>
      <c r="B10713" s="36"/>
    </row>
    <row r="10714" spans="1:2" x14ac:dyDescent="0.3">
      <c r="A10714" s="19"/>
      <c r="B10714" s="36"/>
    </row>
    <row r="10715" spans="1:2" x14ac:dyDescent="0.3">
      <c r="A10715" s="19"/>
      <c r="B10715" s="36"/>
    </row>
    <row r="10716" spans="1:2" x14ac:dyDescent="0.3">
      <c r="A10716" s="19"/>
      <c r="B10716" s="36"/>
    </row>
    <row r="10717" spans="1:2" x14ac:dyDescent="0.3">
      <c r="A10717" s="19"/>
      <c r="B10717" s="36"/>
    </row>
    <row r="10718" spans="1:2" x14ac:dyDescent="0.3">
      <c r="A10718" s="19"/>
      <c r="B10718" s="36"/>
    </row>
    <row r="10719" spans="1:2" x14ac:dyDescent="0.3">
      <c r="A10719" s="19"/>
      <c r="B10719" s="36"/>
    </row>
    <row r="10720" spans="1:2" x14ac:dyDescent="0.3">
      <c r="A10720" s="19"/>
      <c r="B10720" s="36"/>
    </row>
    <row r="10721" spans="1:2" x14ac:dyDescent="0.3">
      <c r="A10721" s="19"/>
      <c r="B10721" s="36"/>
    </row>
    <row r="10722" spans="1:2" x14ac:dyDescent="0.3">
      <c r="A10722" s="19"/>
      <c r="B10722" s="36"/>
    </row>
    <row r="10723" spans="1:2" x14ac:dyDescent="0.3">
      <c r="A10723" s="19"/>
      <c r="B10723" s="36"/>
    </row>
    <row r="10724" spans="1:2" x14ac:dyDescent="0.3">
      <c r="A10724" s="19"/>
      <c r="B10724" s="36"/>
    </row>
    <row r="10725" spans="1:2" x14ac:dyDescent="0.3">
      <c r="A10725" s="19"/>
      <c r="B10725" s="36"/>
    </row>
    <row r="10726" spans="1:2" x14ac:dyDescent="0.3">
      <c r="A10726" s="19"/>
      <c r="B10726" s="36"/>
    </row>
    <row r="10727" spans="1:2" x14ac:dyDescent="0.3">
      <c r="A10727" s="19"/>
      <c r="B10727" s="36"/>
    </row>
    <row r="10728" spans="1:2" x14ac:dyDescent="0.3">
      <c r="A10728" s="19"/>
      <c r="B10728" s="36"/>
    </row>
    <row r="10729" spans="1:2" x14ac:dyDescent="0.3">
      <c r="A10729" s="19"/>
      <c r="B10729" s="36"/>
    </row>
    <row r="10730" spans="1:2" x14ac:dyDescent="0.3">
      <c r="A10730" s="19"/>
      <c r="B10730" s="36"/>
    </row>
    <row r="10731" spans="1:2" x14ac:dyDescent="0.3">
      <c r="A10731" s="19"/>
      <c r="B10731" s="36"/>
    </row>
    <row r="10732" spans="1:2" x14ac:dyDescent="0.3">
      <c r="A10732" s="19"/>
      <c r="B10732" s="36"/>
    </row>
    <row r="10733" spans="1:2" x14ac:dyDescent="0.3">
      <c r="A10733" s="19"/>
      <c r="B10733" s="36"/>
    </row>
    <row r="10734" spans="1:2" x14ac:dyDescent="0.3">
      <c r="A10734" s="19"/>
      <c r="B10734" s="36"/>
    </row>
    <row r="10735" spans="1:2" x14ac:dyDescent="0.3">
      <c r="A10735" s="19"/>
      <c r="B10735" s="36"/>
    </row>
    <row r="10736" spans="1:2" x14ac:dyDescent="0.3">
      <c r="A10736" s="19"/>
      <c r="B10736" s="36"/>
    </row>
    <row r="10737" spans="1:2" x14ac:dyDescent="0.3">
      <c r="A10737" s="19"/>
      <c r="B10737" s="36"/>
    </row>
    <row r="10738" spans="1:2" x14ac:dyDescent="0.3">
      <c r="A10738" s="19"/>
      <c r="B10738" s="36"/>
    </row>
    <row r="10739" spans="1:2" x14ac:dyDescent="0.3">
      <c r="A10739" s="19"/>
      <c r="B10739" s="36"/>
    </row>
    <row r="10740" spans="1:2" x14ac:dyDescent="0.3">
      <c r="A10740" s="19"/>
      <c r="B10740" s="36"/>
    </row>
    <row r="10741" spans="1:2" x14ac:dyDescent="0.3">
      <c r="A10741" s="19"/>
      <c r="B10741" s="36"/>
    </row>
    <row r="10742" spans="1:2" x14ac:dyDescent="0.3">
      <c r="A10742" s="19"/>
      <c r="B10742" s="36"/>
    </row>
    <row r="10743" spans="1:2" x14ac:dyDescent="0.3">
      <c r="A10743" s="19"/>
      <c r="B10743" s="36"/>
    </row>
    <row r="10744" spans="1:2" x14ac:dyDescent="0.3">
      <c r="A10744" s="19"/>
      <c r="B10744" s="36"/>
    </row>
    <row r="10745" spans="1:2" x14ac:dyDescent="0.3">
      <c r="A10745" s="19"/>
      <c r="B10745" s="36"/>
    </row>
    <row r="10746" spans="1:2" x14ac:dyDescent="0.3">
      <c r="A10746" s="19"/>
      <c r="B10746" s="36"/>
    </row>
    <row r="10747" spans="1:2" x14ac:dyDescent="0.3">
      <c r="A10747" s="19"/>
      <c r="B10747" s="36"/>
    </row>
    <row r="10748" spans="1:2" x14ac:dyDescent="0.3">
      <c r="A10748" s="19"/>
      <c r="B10748" s="36"/>
    </row>
    <row r="10749" spans="1:2" x14ac:dyDescent="0.3">
      <c r="A10749" s="19"/>
      <c r="B10749" s="36"/>
    </row>
    <row r="10750" spans="1:2" x14ac:dyDescent="0.3">
      <c r="A10750" s="19"/>
      <c r="B10750" s="36"/>
    </row>
    <row r="10751" spans="1:2" x14ac:dyDescent="0.3">
      <c r="A10751" s="19"/>
      <c r="B10751" s="36"/>
    </row>
    <row r="10752" spans="1:2" x14ac:dyDescent="0.3">
      <c r="A10752" s="19"/>
      <c r="B10752" s="36"/>
    </row>
    <row r="10753" spans="1:2" x14ac:dyDescent="0.3">
      <c r="A10753" s="19"/>
      <c r="B10753" s="36"/>
    </row>
    <row r="10754" spans="1:2" x14ac:dyDescent="0.3">
      <c r="A10754" s="19"/>
      <c r="B10754" s="36"/>
    </row>
    <row r="10755" spans="1:2" x14ac:dyDescent="0.3">
      <c r="A10755" s="19"/>
      <c r="B10755" s="36"/>
    </row>
    <row r="10756" spans="1:2" x14ac:dyDescent="0.3">
      <c r="A10756" s="19"/>
      <c r="B10756" s="36"/>
    </row>
    <row r="10757" spans="1:2" x14ac:dyDescent="0.3">
      <c r="A10757" s="19"/>
      <c r="B10757" s="36"/>
    </row>
    <row r="10758" spans="1:2" x14ac:dyDescent="0.3">
      <c r="A10758" s="19"/>
      <c r="B10758" s="36"/>
    </row>
    <row r="10759" spans="1:2" x14ac:dyDescent="0.3">
      <c r="A10759" s="19"/>
      <c r="B10759" s="36"/>
    </row>
    <row r="10760" spans="1:2" x14ac:dyDescent="0.3">
      <c r="A10760" s="19"/>
      <c r="B10760" s="36"/>
    </row>
    <row r="10761" spans="1:2" x14ac:dyDescent="0.3">
      <c r="A10761" s="19"/>
      <c r="B10761" s="36"/>
    </row>
    <row r="10762" spans="1:2" x14ac:dyDescent="0.3">
      <c r="A10762" s="19"/>
      <c r="B10762" s="36"/>
    </row>
    <row r="10763" spans="1:2" x14ac:dyDescent="0.3">
      <c r="A10763" s="19"/>
      <c r="B10763" s="36"/>
    </row>
    <row r="10764" spans="1:2" x14ac:dyDescent="0.3">
      <c r="A10764" s="19"/>
      <c r="B10764" s="36"/>
    </row>
    <row r="10765" spans="1:2" x14ac:dyDescent="0.3">
      <c r="A10765" s="19"/>
      <c r="B10765" s="36"/>
    </row>
    <row r="10766" spans="1:2" x14ac:dyDescent="0.3">
      <c r="A10766" s="19"/>
      <c r="B10766" s="36"/>
    </row>
    <row r="10767" spans="1:2" x14ac:dyDescent="0.3">
      <c r="A10767" s="19"/>
      <c r="B10767" s="36"/>
    </row>
    <row r="10768" spans="1:2" x14ac:dyDescent="0.3">
      <c r="A10768" s="19"/>
      <c r="B10768" s="36"/>
    </row>
    <row r="10769" spans="1:2" x14ac:dyDescent="0.3">
      <c r="A10769" s="19"/>
      <c r="B10769" s="36"/>
    </row>
    <row r="10770" spans="1:2" x14ac:dyDescent="0.3">
      <c r="A10770" s="19"/>
      <c r="B10770" s="36"/>
    </row>
    <row r="10771" spans="1:2" x14ac:dyDescent="0.3">
      <c r="A10771" s="19"/>
      <c r="B10771" s="36"/>
    </row>
    <row r="10772" spans="1:2" x14ac:dyDescent="0.3">
      <c r="A10772" s="19"/>
      <c r="B10772" s="36"/>
    </row>
    <row r="10773" spans="1:2" x14ac:dyDescent="0.3">
      <c r="A10773" s="19"/>
      <c r="B10773" s="36"/>
    </row>
    <row r="10774" spans="1:2" x14ac:dyDescent="0.3">
      <c r="A10774" s="19"/>
      <c r="B10774" s="36"/>
    </row>
    <row r="10775" spans="1:2" x14ac:dyDescent="0.3">
      <c r="A10775" s="19"/>
      <c r="B10775" s="36"/>
    </row>
    <row r="10776" spans="1:2" x14ac:dyDescent="0.3">
      <c r="A10776" s="19"/>
      <c r="B10776" s="36"/>
    </row>
    <row r="10777" spans="1:2" x14ac:dyDescent="0.3">
      <c r="A10777" s="19"/>
      <c r="B10777" s="36"/>
    </row>
    <row r="10778" spans="1:2" x14ac:dyDescent="0.3">
      <c r="A10778" s="19"/>
      <c r="B10778" s="36"/>
    </row>
    <row r="10779" spans="1:2" x14ac:dyDescent="0.3">
      <c r="A10779" s="19"/>
      <c r="B10779" s="36"/>
    </row>
    <row r="10780" spans="1:2" x14ac:dyDescent="0.3">
      <c r="A10780" s="19"/>
      <c r="B10780" s="36"/>
    </row>
    <row r="10781" spans="1:2" x14ac:dyDescent="0.3">
      <c r="A10781" s="19"/>
      <c r="B10781" s="36"/>
    </row>
    <row r="10782" spans="1:2" x14ac:dyDescent="0.3">
      <c r="A10782" s="19"/>
      <c r="B10782" s="36"/>
    </row>
    <row r="10783" spans="1:2" x14ac:dyDescent="0.3">
      <c r="A10783" s="19"/>
      <c r="B10783" s="36"/>
    </row>
    <row r="10784" spans="1:2" x14ac:dyDescent="0.3">
      <c r="A10784" s="19"/>
      <c r="B10784" s="36"/>
    </row>
    <row r="10785" spans="1:2" x14ac:dyDescent="0.3">
      <c r="A10785" s="19"/>
      <c r="B10785" s="36"/>
    </row>
    <row r="10786" spans="1:2" x14ac:dyDescent="0.3">
      <c r="A10786" s="19"/>
      <c r="B10786" s="36"/>
    </row>
    <row r="10787" spans="1:2" x14ac:dyDescent="0.3">
      <c r="A10787" s="19"/>
      <c r="B10787" s="36"/>
    </row>
    <row r="10788" spans="1:2" x14ac:dyDescent="0.3">
      <c r="A10788" s="19"/>
      <c r="B10788" s="36"/>
    </row>
    <row r="10789" spans="1:2" x14ac:dyDescent="0.3">
      <c r="A10789" s="19"/>
      <c r="B10789" s="36"/>
    </row>
    <row r="10790" spans="1:2" x14ac:dyDescent="0.3">
      <c r="A10790" s="19"/>
      <c r="B10790" s="36"/>
    </row>
    <row r="10791" spans="1:2" x14ac:dyDescent="0.3">
      <c r="A10791" s="19"/>
      <c r="B10791" s="36"/>
    </row>
    <row r="10792" spans="1:2" x14ac:dyDescent="0.3">
      <c r="A10792" s="19"/>
      <c r="B10792" s="36"/>
    </row>
    <row r="10793" spans="1:2" x14ac:dyDescent="0.3">
      <c r="A10793" s="19"/>
      <c r="B10793" s="36"/>
    </row>
    <row r="10794" spans="1:2" x14ac:dyDescent="0.3">
      <c r="A10794" s="19"/>
      <c r="B10794" s="36"/>
    </row>
    <row r="10795" spans="1:2" x14ac:dyDescent="0.3">
      <c r="A10795" s="19"/>
      <c r="B10795" s="36"/>
    </row>
    <row r="10796" spans="1:2" x14ac:dyDescent="0.3">
      <c r="A10796" s="19"/>
      <c r="B10796" s="36"/>
    </row>
    <row r="10797" spans="1:2" x14ac:dyDescent="0.3">
      <c r="A10797" s="19"/>
      <c r="B10797" s="36"/>
    </row>
    <row r="10798" spans="1:2" x14ac:dyDescent="0.3">
      <c r="A10798" s="19"/>
      <c r="B10798" s="36"/>
    </row>
    <row r="10799" spans="1:2" x14ac:dyDescent="0.3">
      <c r="A10799" s="19"/>
      <c r="B10799" s="36"/>
    </row>
    <row r="10800" spans="1:2" x14ac:dyDescent="0.3">
      <c r="A10800" s="19"/>
      <c r="B10800" s="36"/>
    </row>
    <row r="10801" spans="1:2" x14ac:dyDescent="0.3">
      <c r="A10801" s="19"/>
      <c r="B10801" s="36"/>
    </row>
    <row r="10802" spans="1:2" x14ac:dyDescent="0.3">
      <c r="A10802" s="19"/>
      <c r="B10802" s="36"/>
    </row>
    <row r="10803" spans="1:2" x14ac:dyDescent="0.3">
      <c r="A10803" s="19"/>
      <c r="B10803" s="36"/>
    </row>
    <row r="10804" spans="1:2" x14ac:dyDescent="0.3">
      <c r="A10804" s="19"/>
      <c r="B10804" s="36"/>
    </row>
    <row r="10805" spans="1:2" x14ac:dyDescent="0.3">
      <c r="A10805" s="19"/>
      <c r="B10805" s="36"/>
    </row>
    <row r="10806" spans="1:2" x14ac:dyDescent="0.3">
      <c r="A10806" s="19"/>
      <c r="B10806" s="36"/>
    </row>
    <row r="10807" spans="1:2" x14ac:dyDescent="0.3">
      <c r="A10807" s="19"/>
      <c r="B10807" s="36"/>
    </row>
    <row r="10808" spans="1:2" x14ac:dyDescent="0.3">
      <c r="A10808" s="19"/>
      <c r="B10808" s="36"/>
    </row>
    <row r="10809" spans="1:2" x14ac:dyDescent="0.3">
      <c r="A10809" s="19"/>
      <c r="B10809" s="36"/>
    </row>
    <row r="10810" spans="1:2" x14ac:dyDescent="0.3">
      <c r="A10810" s="19"/>
      <c r="B10810" s="36"/>
    </row>
    <row r="10811" spans="1:2" x14ac:dyDescent="0.3">
      <c r="A10811" s="19"/>
      <c r="B10811" s="36"/>
    </row>
    <row r="10812" spans="1:2" x14ac:dyDescent="0.3">
      <c r="A10812" s="19"/>
      <c r="B10812" s="36"/>
    </row>
    <row r="10813" spans="1:2" x14ac:dyDescent="0.3">
      <c r="A10813" s="19"/>
      <c r="B10813" s="36"/>
    </row>
    <row r="10814" spans="1:2" x14ac:dyDescent="0.3">
      <c r="A10814" s="19"/>
      <c r="B10814" s="36"/>
    </row>
    <row r="10815" spans="1:2" x14ac:dyDescent="0.3">
      <c r="A10815" s="19"/>
      <c r="B10815" s="36"/>
    </row>
    <row r="10816" spans="1:2" x14ac:dyDescent="0.3">
      <c r="A10816" s="19"/>
      <c r="B10816" s="36"/>
    </row>
    <row r="10817" spans="1:2" x14ac:dyDescent="0.3">
      <c r="A10817" s="19"/>
      <c r="B10817" s="36"/>
    </row>
    <row r="10818" spans="1:2" x14ac:dyDescent="0.3">
      <c r="A10818" s="19"/>
      <c r="B10818" s="36"/>
    </row>
    <row r="10819" spans="1:2" x14ac:dyDescent="0.3">
      <c r="A10819" s="19"/>
      <c r="B10819" s="36"/>
    </row>
    <row r="10820" spans="1:2" x14ac:dyDescent="0.3">
      <c r="A10820" s="19"/>
      <c r="B10820" s="36"/>
    </row>
    <row r="10821" spans="1:2" x14ac:dyDescent="0.3">
      <c r="A10821" s="19"/>
      <c r="B10821" s="36"/>
    </row>
    <row r="10822" spans="1:2" x14ac:dyDescent="0.3">
      <c r="A10822" s="19"/>
      <c r="B10822" s="36"/>
    </row>
    <row r="10823" spans="1:2" x14ac:dyDescent="0.3">
      <c r="A10823" s="19"/>
      <c r="B10823" s="36"/>
    </row>
    <row r="10824" spans="1:2" x14ac:dyDescent="0.3">
      <c r="A10824" s="19"/>
      <c r="B10824" s="36"/>
    </row>
    <row r="10825" spans="1:2" x14ac:dyDescent="0.3">
      <c r="A10825" s="19"/>
      <c r="B10825" s="36"/>
    </row>
    <row r="10826" spans="1:2" x14ac:dyDescent="0.3">
      <c r="A10826" s="19"/>
      <c r="B10826" s="36"/>
    </row>
    <row r="10827" spans="1:2" x14ac:dyDescent="0.3">
      <c r="A10827" s="19"/>
      <c r="B10827" s="36"/>
    </row>
    <row r="10828" spans="1:2" x14ac:dyDescent="0.3">
      <c r="A10828" s="19"/>
      <c r="B10828" s="36"/>
    </row>
    <row r="10829" spans="1:2" x14ac:dyDescent="0.3">
      <c r="A10829" s="19"/>
      <c r="B10829" s="36"/>
    </row>
    <row r="10830" spans="1:2" x14ac:dyDescent="0.3">
      <c r="A10830" s="19"/>
      <c r="B10830" s="36"/>
    </row>
    <row r="10831" spans="1:2" x14ac:dyDescent="0.3">
      <c r="A10831" s="19"/>
      <c r="B10831" s="36"/>
    </row>
    <row r="10832" spans="1:2" x14ac:dyDescent="0.3">
      <c r="A10832" s="19"/>
      <c r="B10832" s="36"/>
    </row>
    <row r="10833" spans="1:2" x14ac:dyDescent="0.3">
      <c r="A10833" s="19"/>
      <c r="B10833" s="36"/>
    </row>
    <row r="10834" spans="1:2" x14ac:dyDescent="0.3">
      <c r="A10834" s="19"/>
      <c r="B10834" s="36"/>
    </row>
    <row r="10835" spans="1:2" x14ac:dyDescent="0.3">
      <c r="A10835" s="19"/>
      <c r="B10835" s="36"/>
    </row>
    <row r="10836" spans="1:2" x14ac:dyDescent="0.3">
      <c r="A10836" s="19"/>
      <c r="B10836" s="36"/>
    </row>
    <row r="10837" spans="1:2" x14ac:dyDescent="0.3">
      <c r="A10837" s="19"/>
      <c r="B10837" s="36"/>
    </row>
    <row r="10838" spans="1:2" x14ac:dyDescent="0.3">
      <c r="A10838" s="19"/>
      <c r="B10838" s="36"/>
    </row>
    <row r="10839" spans="1:2" x14ac:dyDescent="0.3">
      <c r="A10839" s="19"/>
      <c r="B10839" s="36"/>
    </row>
    <row r="10840" spans="1:2" x14ac:dyDescent="0.3">
      <c r="A10840" s="19"/>
      <c r="B10840" s="36"/>
    </row>
    <row r="10841" spans="1:2" x14ac:dyDescent="0.3">
      <c r="A10841" s="19"/>
      <c r="B10841" s="36"/>
    </row>
    <row r="10842" spans="1:2" x14ac:dyDescent="0.3">
      <c r="A10842" s="19"/>
      <c r="B10842" s="36"/>
    </row>
    <row r="10843" spans="1:2" x14ac:dyDescent="0.3">
      <c r="A10843" s="19"/>
      <c r="B10843" s="36"/>
    </row>
    <row r="10844" spans="1:2" x14ac:dyDescent="0.3">
      <c r="A10844" s="19"/>
      <c r="B10844" s="36"/>
    </row>
    <row r="10845" spans="1:2" x14ac:dyDescent="0.3">
      <c r="A10845" s="19"/>
      <c r="B10845" s="36"/>
    </row>
    <row r="10846" spans="1:2" x14ac:dyDescent="0.3">
      <c r="A10846" s="19"/>
      <c r="B10846" s="36"/>
    </row>
    <row r="10847" spans="1:2" x14ac:dyDescent="0.3">
      <c r="A10847" s="19"/>
      <c r="B10847" s="36"/>
    </row>
    <row r="10848" spans="1:2" x14ac:dyDescent="0.3">
      <c r="A10848" s="19"/>
      <c r="B10848" s="36"/>
    </row>
    <row r="10849" spans="1:2" x14ac:dyDescent="0.3">
      <c r="A10849" s="19"/>
      <c r="B10849" s="36"/>
    </row>
    <row r="10850" spans="1:2" x14ac:dyDescent="0.3">
      <c r="A10850" s="19"/>
      <c r="B10850" s="36"/>
    </row>
    <row r="10851" spans="1:2" x14ac:dyDescent="0.3">
      <c r="A10851" s="19"/>
      <c r="B10851" s="36"/>
    </row>
    <row r="10852" spans="1:2" x14ac:dyDescent="0.3">
      <c r="A10852" s="19"/>
      <c r="B10852" s="36"/>
    </row>
    <row r="10853" spans="1:2" x14ac:dyDescent="0.3">
      <c r="A10853" s="19"/>
      <c r="B10853" s="36"/>
    </row>
    <row r="10854" spans="1:2" x14ac:dyDescent="0.3">
      <c r="A10854" s="19"/>
      <c r="B10854" s="36"/>
    </row>
    <row r="10855" spans="1:2" x14ac:dyDescent="0.3">
      <c r="A10855" s="19"/>
      <c r="B10855" s="36"/>
    </row>
    <row r="10856" spans="1:2" x14ac:dyDescent="0.3">
      <c r="A10856" s="19"/>
      <c r="B10856" s="36"/>
    </row>
    <row r="10857" spans="1:2" x14ac:dyDescent="0.3">
      <c r="A10857" s="19"/>
      <c r="B10857" s="36"/>
    </row>
    <row r="10858" spans="1:2" x14ac:dyDescent="0.3">
      <c r="A10858" s="19"/>
      <c r="B10858" s="36"/>
    </row>
    <row r="10859" spans="1:2" x14ac:dyDescent="0.3">
      <c r="A10859" s="19"/>
      <c r="B10859" s="36"/>
    </row>
    <row r="10860" spans="1:2" x14ac:dyDescent="0.3">
      <c r="A10860" s="19"/>
      <c r="B10860" s="36"/>
    </row>
    <row r="10861" spans="1:2" x14ac:dyDescent="0.3">
      <c r="A10861" s="19"/>
      <c r="B10861" s="36"/>
    </row>
    <row r="10862" spans="1:2" x14ac:dyDescent="0.3">
      <c r="A10862" s="19"/>
      <c r="B10862" s="36"/>
    </row>
    <row r="10863" spans="1:2" x14ac:dyDescent="0.3">
      <c r="A10863" s="19"/>
      <c r="B10863" s="36"/>
    </row>
    <row r="10864" spans="1:2" x14ac:dyDescent="0.3">
      <c r="A10864" s="19"/>
      <c r="B10864" s="36"/>
    </row>
    <row r="10865" spans="1:2" x14ac:dyDescent="0.3">
      <c r="A10865" s="19"/>
      <c r="B10865" s="36"/>
    </row>
    <row r="10866" spans="1:2" x14ac:dyDescent="0.3">
      <c r="A10866" s="19"/>
      <c r="B10866" s="36"/>
    </row>
    <row r="10867" spans="1:2" x14ac:dyDescent="0.3">
      <c r="A10867" s="19"/>
      <c r="B10867" s="36"/>
    </row>
    <row r="10868" spans="1:2" x14ac:dyDescent="0.3">
      <c r="A10868" s="19"/>
      <c r="B10868" s="36"/>
    </row>
    <row r="10869" spans="1:2" x14ac:dyDescent="0.3">
      <c r="A10869" s="19"/>
      <c r="B10869" s="36"/>
    </row>
    <row r="10870" spans="1:2" x14ac:dyDescent="0.3">
      <c r="A10870" s="19"/>
      <c r="B10870" s="36"/>
    </row>
    <row r="10871" spans="1:2" x14ac:dyDescent="0.3">
      <c r="A10871" s="19"/>
      <c r="B10871" s="36"/>
    </row>
    <row r="10872" spans="1:2" x14ac:dyDescent="0.3">
      <c r="A10872" s="19"/>
      <c r="B10872" s="36"/>
    </row>
    <row r="10873" spans="1:2" x14ac:dyDescent="0.3">
      <c r="A10873" s="19"/>
      <c r="B10873" s="36"/>
    </row>
    <row r="10874" spans="1:2" x14ac:dyDescent="0.3">
      <c r="A10874" s="19"/>
      <c r="B10874" s="36"/>
    </row>
    <row r="10875" spans="1:2" x14ac:dyDescent="0.3">
      <c r="A10875" s="19"/>
      <c r="B10875" s="36"/>
    </row>
    <row r="10876" spans="1:2" x14ac:dyDescent="0.3">
      <c r="A10876" s="19"/>
      <c r="B10876" s="36"/>
    </row>
    <row r="10877" spans="1:2" x14ac:dyDescent="0.3">
      <c r="A10877" s="19"/>
      <c r="B10877" s="36"/>
    </row>
    <row r="10878" spans="1:2" x14ac:dyDescent="0.3">
      <c r="A10878" s="19"/>
      <c r="B10878" s="36"/>
    </row>
    <row r="10879" spans="1:2" x14ac:dyDescent="0.3">
      <c r="A10879" s="19"/>
      <c r="B10879" s="36"/>
    </row>
    <row r="10880" spans="1:2" x14ac:dyDescent="0.3">
      <c r="A10880" s="19"/>
      <c r="B10880" s="36"/>
    </row>
    <row r="10881" spans="1:2" x14ac:dyDescent="0.3">
      <c r="A10881" s="19"/>
      <c r="B10881" s="36"/>
    </row>
    <row r="10882" spans="1:2" x14ac:dyDescent="0.3">
      <c r="A10882" s="19"/>
      <c r="B10882" s="36"/>
    </row>
    <row r="10883" spans="1:2" x14ac:dyDescent="0.3">
      <c r="A10883" s="19"/>
      <c r="B10883" s="36"/>
    </row>
    <row r="10884" spans="1:2" x14ac:dyDescent="0.3">
      <c r="A10884" s="19"/>
      <c r="B10884" s="36"/>
    </row>
    <row r="10885" spans="1:2" x14ac:dyDescent="0.3">
      <c r="A10885" s="19"/>
      <c r="B10885" s="36"/>
    </row>
    <row r="10886" spans="1:2" x14ac:dyDescent="0.3">
      <c r="A10886" s="19"/>
      <c r="B10886" s="36"/>
    </row>
    <row r="10887" spans="1:2" x14ac:dyDescent="0.3">
      <c r="A10887" s="19"/>
      <c r="B10887" s="36"/>
    </row>
    <row r="10888" spans="1:2" x14ac:dyDescent="0.3">
      <c r="A10888" s="19"/>
      <c r="B10888" s="36"/>
    </row>
    <row r="10889" spans="1:2" x14ac:dyDescent="0.3">
      <c r="A10889" s="19"/>
      <c r="B10889" s="36"/>
    </row>
    <row r="10890" spans="1:2" x14ac:dyDescent="0.3">
      <c r="A10890" s="19"/>
      <c r="B10890" s="36"/>
    </row>
    <row r="10891" spans="1:2" x14ac:dyDescent="0.3">
      <c r="A10891" s="19"/>
      <c r="B10891" s="36"/>
    </row>
    <row r="10892" spans="1:2" x14ac:dyDescent="0.3">
      <c r="A10892" s="19"/>
      <c r="B10892" s="36"/>
    </row>
    <row r="10893" spans="1:2" x14ac:dyDescent="0.3">
      <c r="A10893" s="19"/>
      <c r="B10893" s="36"/>
    </row>
    <row r="10894" spans="1:2" x14ac:dyDescent="0.3">
      <c r="A10894" s="19"/>
      <c r="B10894" s="36"/>
    </row>
    <row r="10895" spans="1:2" x14ac:dyDescent="0.3">
      <c r="A10895" s="19"/>
      <c r="B10895" s="36"/>
    </row>
    <row r="10896" spans="1:2" x14ac:dyDescent="0.3">
      <c r="A10896" s="19"/>
      <c r="B10896" s="36"/>
    </row>
    <row r="10897" spans="1:2" x14ac:dyDescent="0.3">
      <c r="A10897" s="19"/>
      <c r="B10897" s="36"/>
    </row>
    <row r="10898" spans="1:2" x14ac:dyDescent="0.3">
      <c r="A10898" s="19"/>
      <c r="B10898" s="36"/>
    </row>
    <row r="10899" spans="1:2" x14ac:dyDescent="0.3">
      <c r="A10899" s="19"/>
      <c r="B10899" s="36"/>
    </row>
    <row r="10900" spans="1:2" x14ac:dyDescent="0.3">
      <c r="A10900" s="19"/>
      <c r="B10900" s="36"/>
    </row>
    <row r="10901" spans="1:2" x14ac:dyDescent="0.3">
      <c r="A10901" s="19"/>
      <c r="B10901" s="36"/>
    </row>
    <row r="10902" spans="1:2" x14ac:dyDescent="0.3">
      <c r="A10902" s="19"/>
      <c r="B10902" s="36"/>
    </row>
    <row r="10903" spans="1:2" x14ac:dyDescent="0.3">
      <c r="A10903" s="19"/>
      <c r="B10903" s="36"/>
    </row>
    <row r="10904" spans="1:2" x14ac:dyDescent="0.3">
      <c r="A10904" s="19"/>
      <c r="B10904" s="36"/>
    </row>
    <row r="10905" spans="1:2" x14ac:dyDescent="0.3">
      <c r="A10905" s="19"/>
      <c r="B10905" s="36"/>
    </row>
    <row r="10906" spans="1:2" x14ac:dyDescent="0.3">
      <c r="A10906" s="19"/>
      <c r="B10906" s="36"/>
    </row>
    <row r="10907" spans="1:2" x14ac:dyDescent="0.3">
      <c r="A10907" s="19"/>
      <c r="B10907" s="36"/>
    </row>
    <row r="10908" spans="1:2" x14ac:dyDescent="0.3">
      <c r="A10908" s="19"/>
      <c r="B10908" s="36"/>
    </row>
    <row r="10909" spans="1:2" x14ac:dyDescent="0.3">
      <c r="A10909" s="19"/>
      <c r="B10909" s="36"/>
    </row>
    <row r="10910" spans="1:2" x14ac:dyDescent="0.3">
      <c r="A10910" s="19"/>
      <c r="B10910" s="36"/>
    </row>
    <row r="10911" spans="1:2" x14ac:dyDescent="0.3">
      <c r="A10911" s="19"/>
      <c r="B10911" s="36"/>
    </row>
    <row r="10912" spans="1:2" x14ac:dyDescent="0.3">
      <c r="A10912" s="19"/>
      <c r="B10912" s="36"/>
    </row>
    <row r="10913" spans="1:2" x14ac:dyDescent="0.3">
      <c r="A10913" s="19"/>
      <c r="B10913" s="36"/>
    </row>
    <row r="10914" spans="1:2" x14ac:dyDescent="0.3">
      <c r="A10914" s="19"/>
      <c r="B10914" s="36"/>
    </row>
    <row r="10915" spans="1:2" x14ac:dyDescent="0.3">
      <c r="A10915" s="19"/>
      <c r="B10915" s="36"/>
    </row>
    <row r="10916" spans="1:2" x14ac:dyDescent="0.3">
      <c r="A10916" s="19"/>
      <c r="B10916" s="36"/>
    </row>
    <row r="10917" spans="1:2" x14ac:dyDescent="0.3">
      <c r="A10917" s="19"/>
      <c r="B10917" s="36"/>
    </row>
    <row r="10918" spans="1:2" x14ac:dyDescent="0.3">
      <c r="A10918" s="19"/>
      <c r="B10918" s="36"/>
    </row>
    <row r="10919" spans="1:2" x14ac:dyDescent="0.3">
      <c r="A10919" s="19"/>
      <c r="B10919" s="36"/>
    </row>
    <row r="10920" spans="1:2" x14ac:dyDescent="0.3">
      <c r="A10920" s="19"/>
      <c r="B10920" s="36"/>
    </row>
    <row r="10921" spans="1:2" x14ac:dyDescent="0.3">
      <c r="A10921" s="19"/>
      <c r="B10921" s="36"/>
    </row>
    <row r="10922" spans="1:2" x14ac:dyDescent="0.3">
      <c r="A10922" s="19"/>
      <c r="B10922" s="36"/>
    </row>
    <row r="10923" spans="1:2" x14ac:dyDescent="0.3">
      <c r="A10923" s="19"/>
      <c r="B10923" s="36"/>
    </row>
    <row r="10924" spans="1:2" x14ac:dyDescent="0.3">
      <c r="A10924" s="19"/>
      <c r="B10924" s="36"/>
    </row>
    <row r="10925" spans="1:2" x14ac:dyDescent="0.3">
      <c r="A10925" s="19"/>
      <c r="B10925" s="36"/>
    </row>
    <row r="10926" spans="1:2" x14ac:dyDescent="0.3">
      <c r="A10926" s="19"/>
      <c r="B10926" s="36"/>
    </row>
    <row r="10927" spans="1:2" x14ac:dyDescent="0.3">
      <c r="A10927" s="19"/>
      <c r="B10927" s="36"/>
    </row>
    <row r="10928" spans="1:2" x14ac:dyDescent="0.3">
      <c r="A10928" s="19"/>
      <c r="B10928" s="36"/>
    </row>
    <row r="10929" spans="1:2" x14ac:dyDescent="0.3">
      <c r="A10929" s="19"/>
      <c r="B10929" s="36"/>
    </row>
    <row r="10930" spans="1:2" x14ac:dyDescent="0.3">
      <c r="A10930" s="19"/>
      <c r="B10930" s="36"/>
    </row>
    <row r="10931" spans="1:2" x14ac:dyDescent="0.3">
      <c r="A10931" s="19"/>
      <c r="B10931" s="36"/>
    </row>
    <row r="10932" spans="1:2" x14ac:dyDescent="0.3">
      <c r="A10932" s="19"/>
      <c r="B10932" s="36"/>
    </row>
    <row r="10933" spans="1:2" x14ac:dyDescent="0.3">
      <c r="A10933" s="19"/>
      <c r="B10933" s="36"/>
    </row>
    <row r="10934" spans="1:2" x14ac:dyDescent="0.3">
      <c r="A10934" s="19"/>
      <c r="B10934" s="36"/>
    </row>
    <row r="10935" spans="1:2" x14ac:dyDescent="0.3">
      <c r="A10935" s="19"/>
      <c r="B10935" s="36"/>
    </row>
    <row r="10936" spans="1:2" x14ac:dyDescent="0.3">
      <c r="A10936" s="19"/>
      <c r="B10936" s="36"/>
    </row>
    <row r="10937" spans="1:2" x14ac:dyDescent="0.3">
      <c r="A10937" s="19"/>
      <c r="B10937" s="36"/>
    </row>
    <row r="10938" spans="1:2" x14ac:dyDescent="0.3">
      <c r="A10938" s="19"/>
      <c r="B10938" s="36"/>
    </row>
    <row r="10939" spans="1:2" x14ac:dyDescent="0.3">
      <c r="A10939" s="19"/>
      <c r="B10939" s="36"/>
    </row>
    <row r="10940" spans="1:2" x14ac:dyDescent="0.3">
      <c r="A10940" s="19"/>
      <c r="B10940" s="36"/>
    </row>
    <row r="10941" spans="1:2" x14ac:dyDescent="0.3">
      <c r="A10941" s="19"/>
      <c r="B10941" s="36"/>
    </row>
    <row r="10942" spans="1:2" x14ac:dyDescent="0.3">
      <c r="A10942" s="19"/>
      <c r="B10942" s="36"/>
    </row>
    <row r="10943" spans="1:2" x14ac:dyDescent="0.3">
      <c r="A10943" s="19"/>
      <c r="B10943" s="36"/>
    </row>
    <row r="10944" spans="1:2" x14ac:dyDescent="0.3">
      <c r="A10944" s="19"/>
      <c r="B10944" s="36"/>
    </row>
    <row r="10945" spans="1:2" x14ac:dyDescent="0.3">
      <c r="A10945" s="19"/>
      <c r="B10945" s="36"/>
    </row>
    <row r="10946" spans="1:2" x14ac:dyDescent="0.3">
      <c r="A10946" s="19"/>
      <c r="B10946" s="36"/>
    </row>
    <row r="10947" spans="1:2" x14ac:dyDescent="0.3">
      <c r="A10947" s="19"/>
      <c r="B10947" s="36"/>
    </row>
    <row r="10948" spans="1:2" x14ac:dyDescent="0.3">
      <c r="A10948" s="19"/>
      <c r="B10948" s="36"/>
    </row>
    <row r="10949" spans="1:2" x14ac:dyDescent="0.3">
      <c r="A10949" s="19"/>
      <c r="B10949" s="36"/>
    </row>
    <row r="10950" spans="1:2" x14ac:dyDescent="0.3">
      <c r="A10950" s="19"/>
      <c r="B10950" s="36"/>
    </row>
    <row r="10951" spans="1:2" x14ac:dyDescent="0.3">
      <c r="A10951" s="19"/>
      <c r="B10951" s="36"/>
    </row>
    <row r="10952" spans="1:2" x14ac:dyDescent="0.3">
      <c r="A10952" s="19"/>
      <c r="B10952" s="36"/>
    </row>
    <row r="10953" spans="1:2" x14ac:dyDescent="0.3">
      <c r="A10953" s="19"/>
      <c r="B10953" s="36"/>
    </row>
    <row r="10954" spans="1:2" x14ac:dyDescent="0.3">
      <c r="A10954" s="19"/>
      <c r="B10954" s="36"/>
    </row>
    <row r="10955" spans="1:2" x14ac:dyDescent="0.3">
      <c r="A10955" s="19"/>
      <c r="B10955" s="36"/>
    </row>
    <row r="10956" spans="1:2" x14ac:dyDescent="0.3">
      <c r="A10956" s="19"/>
      <c r="B10956" s="36"/>
    </row>
    <row r="10957" spans="1:2" x14ac:dyDescent="0.3">
      <c r="A10957" s="19"/>
      <c r="B10957" s="36"/>
    </row>
    <row r="10958" spans="1:2" x14ac:dyDescent="0.3">
      <c r="A10958" s="19"/>
      <c r="B10958" s="36"/>
    </row>
    <row r="10959" spans="1:2" x14ac:dyDescent="0.3">
      <c r="A10959" s="19"/>
      <c r="B10959" s="36"/>
    </row>
    <row r="10960" spans="1:2" x14ac:dyDescent="0.3">
      <c r="A10960" s="19"/>
      <c r="B10960" s="36"/>
    </row>
    <row r="10961" spans="1:2" x14ac:dyDescent="0.3">
      <c r="A10961" s="19"/>
      <c r="B10961" s="36"/>
    </row>
    <row r="10962" spans="1:2" x14ac:dyDescent="0.3">
      <c r="A10962" s="19"/>
      <c r="B10962" s="36"/>
    </row>
    <row r="10963" spans="1:2" x14ac:dyDescent="0.3">
      <c r="A10963" s="19"/>
      <c r="B10963" s="36"/>
    </row>
    <row r="10964" spans="1:2" x14ac:dyDescent="0.3">
      <c r="A10964" s="19"/>
      <c r="B10964" s="36"/>
    </row>
    <row r="10965" spans="1:2" x14ac:dyDescent="0.3">
      <c r="A10965" s="19"/>
      <c r="B10965" s="36"/>
    </row>
    <row r="10966" spans="1:2" x14ac:dyDescent="0.3">
      <c r="A10966" s="19"/>
      <c r="B10966" s="36"/>
    </row>
    <row r="10967" spans="1:2" x14ac:dyDescent="0.3">
      <c r="A10967" s="19"/>
      <c r="B10967" s="36"/>
    </row>
    <row r="10968" spans="1:2" x14ac:dyDescent="0.3">
      <c r="A10968" s="19"/>
      <c r="B10968" s="36"/>
    </row>
    <row r="10969" spans="1:2" x14ac:dyDescent="0.3">
      <c r="A10969" s="19"/>
      <c r="B10969" s="36"/>
    </row>
    <row r="10970" spans="1:2" x14ac:dyDescent="0.3">
      <c r="A10970" s="19"/>
      <c r="B10970" s="36"/>
    </row>
    <row r="10971" spans="1:2" x14ac:dyDescent="0.3">
      <c r="A10971" s="19"/>
      <c r="B10971" s="36"/>
    </row>
    <row r="10972" spans="1:2" x14ac:dyDescent="0.3">
      <c r="A10972" s="19"/>
      <c r="B10972" s="36"/>
    </row>
    <row r="10973" spans="1:2" x14ac:dyDescent="0.3">
      <c r="A10973" s="19"/>
      <c r="B10973" s="36"/>
    </row>
    <row r="10974" spans="1:2" x14ac:dyDescent="0.3">
      <c r="A10974" s="19"/>
      <c r="B10974" s="36"/>
    </row>
    <row r="10975" spans="1:2" x14ac:dyDescent="0.3">
      <c r="A10975" s="19"/>
      <c r="B10975" s="36"/>
    </row>
    <row r="10976" spans="1:2" x14ac:dyDescent="0.3">
      <c r="A10976" s="19"/>
      <c r="B10976" s="36"/>
    </row>
    <row r="10977" spans="1:2" x14ac:dyDescent="0.3">
      <c r="A10977" s="19"/>
      <c r="B10977" s="36"/>
    </row>
    <row r="10978" spans="1:2" x14ac:dyDescent="0.3">
      <c r="A10978" s="19"/>
      <c r="B10978" s="36"/>
    </row>
    <row r="10979" spans="1:2" x14ac:dyDescent="0.3">
      <c r="A10979" s="19"/>
      <c r="B10979" s="36"/>
    </row>
    <row r="10980" spans="1:2" x14ac:dyDescent="0.3">
      <c r="A10980" s="19"/>
      <c r="B10980" s="36"/>
    </row>
    <row r="10981" spans="1:2" x14ac:dyDescent="0.3">
      <c r="A10981" s="19"/>
      <c r="B10981" s="36"/>
    </row>
    <row r="10982" spans="1:2" x14ac:dyDescent="0.3">
      <c r="A10982" s="19"/>
      <c r="B10982" s="36"/>
    </row>
    <row r="10983" spans="1:2" x14ac:dyDescent="0.3">
      <c r="A10983" s="19"/>
      <c r="B10983" s="36"/>
    </row>
    <row r="10984" spans="1:2" x14ac:dyDescent="0.3">
      <c r="A10984" s="19"/>
      <c r="B10984" s="36"/>
    </row>
    <row r="10985" spans="1:2" x14ac:dyDescent="0.3">
      <c r="A10985" s="19"/>
      <c r="B10985" s="36"/>
    </row>
    <row r="10986" spans="1:2" x14ac:dyDescent="0.3">
      <c r="A10986" s="19"/>
      <c r="B10986" s="36"/>
    </row>
    <row r="10987" spans="1:2" x14ac:dyDescent="0.3">
      <c r="A10987" s="19"/>
      <c r="B10987" s="36"/>
    </row>
    <row r="10988" spans="1:2" x14ac:dyDescent="0.3">
      <c r="A10988" s="19"/>
      <c r="B10988" s="36"/>
    </row>
    <row r="10989" spans="1:2" x14ac:dyDescent="0.3">
      <c r="A10989" s="19"/>
      <c r="B10989" s="36"/>
    </row>
    <row r="10990" spans="1:2" x14ac:dyDescent="0.3">
      <c r="A10990" s="19"/>
      <c r="B10990" s="36"/>
    </row>
    <row r="10991" spans="1:2" x14ac:dyDescent="0.3">
      <c r="A10991" s="19"/>
      <c r="B10991" s="36"/>
    </row>
    <row r="10992" spans="1:2" x14ac:dyDescent="0.3">
      <c r="A10992" s="19"/>
      <c r="B10992" s="36"/>
    </row>
    <row r="10993" spans="1:2" x14ac:dyDescent="0.3">
      <c r="A10993" s="19"/>
      <c r="B10993" s="36"/>
    </row>
    <row r="10994" spans="1:2" x14ac:dyDescent="0.3">
      <c r="A10994" s="19"/>
      <c r="B10994" s="36"/>
    </row>
    <row r="10995" spans="1:2" x14ac:dyDescent="0.3">
      <c r="A10995" s="19"/>
      <c r="B10995" s="36"/>
    </row>
    <row r="10996" spans="1:2" x14ac:dyDescent="0.3">
      <c r="A10996" s="19"/>
      <c r="B10996" s="36"/>
    </row>
    <row r="10997" spans="1:2" x14ac:dyDescent="0.3">
      <c r="A10997" s="19"/>
      <c r="B10997" s="36"/>
    </row>
    <row r="10998" spans="1:2" x14ac:dyDescent="0.3">
      <c r="A10998" s="19"/>
      <c r="B10998" s="36"/>
    </row>
    <row r="10999" spans="1:2" x14ac:dyDescent="0.3">
      <c r="A10999" s="19"/>
      <c r="B10999" s="36"/>
    </row>
    <row r="11000" spans="1:2" x14ac:dyDescent="0.3">
      <c r="A11000" s="19"/>
      <c r="B11000" s="36"/>
    </row>
    <row r="11001" spans="1:2" x14ac:dyDescent="0.3">
      <c r="A11001" s="19"/>
      <c r="B11001" s="36"/>
    </row>
    <row r="11002" spans="1:2" x14ac:dyDescent="0.3">
      <c r="A11002" s="19"/>
      <c r="B11002" s="36"/>
    </row>
    <row r="11003" spans="1:2" x14ac:dyDescent="0.3">
      <c r="A11003" s="19"/>
      <c r="B11003" s="36"/>
    </row>
    <row r="11004" spans="1:2" x14ac:dyDescent="0.3">
      <c r="A11004" s="19"/>
      <c r="B11004" s="36"/>
    </row>
    <row r="11005" spans="1:2" x14ac:dyDescent="0.3">
      <c r="A11005" s="19"/>
      <c r="B11005" s="36"/>
    </row>
    <row r="11006" spans="1:2" x14ac:dyDescent="0.3">
      <c r="A11006" s="19"/>
      <c r="B11006" s="36"/>
    </row>
    <row r="11007" spans="1:2" x14ac:dyDescent="0.3">
      <c r="A11007" s="19"/>
      <c r="B11007" s="36"/>
    </row>
    <row r="11008" spans="1:2" x14ac:dyDescent="0.3">
      <c r="A11008" s="19"/>
      <c r="B11008" s="36"/>
    </row>
    <row r="11009" spans="1:2" x14ac:dyDescent="0.3">
      <c r="A11009" s="19"/>
      <c r="B11009" s="36"/>
    </row>
    <row r="11010" spans="1:2" x14ac:dyDescent="0.3">
      <c r="A11010" s="19"/>
      <c r="B11010" s="36"/>
    </row>
    <row r="11011" spans="1:2" x14ac:dyDescent="0.3">
      <c r="A11011" s="19"/>
      <c r="B11011" s="36"/>
    </row>
    <row r="11012" spans="1:2" x14ac:dyDescent="0.3">
      <c r="A11012" s="19"/>
      <c r="B11012" s="36"/>
    </row>
    <row r="11013" spans="1:2" x14ac:dyDescent="0.3">
      <c r="A11013" s="19"/>
      <c r="B11013" s="36"/>
    </row>
    <row r="11014" spans="1:2" x14ac:dyDescent="0.3">
      <c r="A11014" s="19"/>
      <c r="B11014" s="36"/>
    </row>
    <row r="11015" spans="1:2" x14ac:dyDescent="0.3">
      <c r="A11015" s="19"/>
      <c r="B11015" s="36"/>
    </row>
    <row r="11016" spans="1:2" x14ac:dyDescent="0.3">
      <c r="A11016" s="19"/>
      <c r="B11016" s="36"/>
    </row>
    <row r="11017" spans="1:2" x14ac:dyDescent="0.3">
      <c r="A11017" s="19"/>
      <c r="B11017" s="36"/>
    </row>
    <row r="11018" spans="1:2" x14ac:dyDescent="0.3">
      <c r="A11018" s="19"/>
      <c r="B11018" s="36"/>
    </row>
    <row r="11019" spans="1:2" x14ac:dyDescent="0.3">
      <c r="A11019" s="19"/>
      <c r="B11019" s="36"/>
    </row>
    <row r="11020" spans="1:2" x14ac:dyDescent="0.3">
      <c r="A11020" s="19"/>
      <c r="B11020" s="36"/>
    </row>
    <row r="11021" spans="1:2" x14ac:dyDescent="0.3">
      <c r="A11021" s="19"/>
      <c r="B11021" s="36"/>
    </row>
    <row r="11022" spans="1:2" x14ac:dyDescent="0.3">
      <c r="A11022" s="19"/>
      <c r="B11022" s="36"/>
    </row>
    <row r="11023" spans="1:2" x14ac:dyDescent="0.3">
      <c r="A11023" s="19"/>
      <c r="B11023" s="36"/>
    </row>
    <row r="11024" spans="1:2" x14ac:dyDescent="0.3">
      <c r="A11024" s="19"/>
      <c r="B11024" s="36"/>
    </row>
    <row r="11025" spans="1:2" x14ac:dyDescent="0.3">
      <c r="A11025" s="19"/>
      <c r="B11025" s="36"/>
    </row>
    <row r="11026" spans="1:2" x14ac:dyDescent="0.3">
      <c r="A11026" s="19"/>
      <c r="B11026" s="36"/>
    </row>
    <row r="11027" spans="1:2" x14ac:dyDescent="0.3">
      <c r="A11027" s="19"/>
      <c r="B11027" s="36"/>
    </row>
    <row r="11028" spans="1:2" x14ac:dyDescent="0.3">
      <c r="A11028" s="19"/>
      <c r="B11028" s="36"/>
    </row>
    <row r="11029" spans="1:2" x14ac:dyDescent="0.3">
      <c r="A11029" s="19"/>
      <c r="B11029" s="36"/>
    </row>
    <row r="11030" spans="1:2" x14ac:dyDescent="0.3">
      <c r="A11030" s="19"/>
      <c r="B11030" s="36"/>
    </row>
    <row r="11031" spans="1:2" x14ac:dyDescent="0.3">
      <c r="A11031" s="19"/>
      <c r="B11031" s="36"/>
    </row>
    <row r="11032" spans="1:2" x14ac:dyDescent="0.3">
      <c r="A11032" s="19"/>
      <c r="B11032" s="36"/>
    </row>
    <row r="11033" spans="1:2" x14ac:dyDescent="0.3">
      <c r="A11033" s="19"/>
      <c r="B11033" s="36"/>
    </row>
    <row r="11034" spans="1:2" x14ac:dyDescent="0.3">
      <c r="A11034" s="19"/>
      <c r="B11034" s="36"/>
    </row>
    <row r="11035" spans="1:2" x14ac:dyDescent="0.3">
      <c r="A11035" s="19"/>
      <c r="B11035" s="36"/>
    </row>
    <row r="11036" spans="1:2" x14ac:dyDescent="0.3">
      <c r="A11036" s="19"/>
      <c r="B11036" s="36"/>
    </row>
    <row r="11037" spans="1:2" x14ac:dyDescent="0.3">
      <c r="A11037" s="19"/>
      <c r="B11037" s="36"/>
    </row>
    <row r="11038" spans="1:2" x14ac:dyDescent="0.3">
      <c r="A11038" s="19"/>
      <c r="B11038" s="36"/>
    </row>
    <row r="11039" spans="1:2" x14ac:dyDescent="0.3">
      <c r="A11039" s="19"/>
      <c r="B11039" s="36"/>
    </row>
    <row r="11040" spans="1:2" x14ac:dyDescent="0.3">
      <c r="A11040" s="19"/>
      <c r="B11040" s="36"/>
    </row>
    <row r="11041" spans="1:2" x14ac:dyDescent="0.3">
      <c r="A11041" s="19"/>
      <c r="B11041" s="36"/>
    </row>
    <row r="11042" spans="1:2" x14ac:dyDescent="0.3">
      <c r="A11042" s="19"/>
      <c r="B11042" s="36"/>
    </row>
    <row r="11043" spans="1:2" x14ac:dyDescent="0.3">
      <c r="A11043" s="19"/>
      <c r="B11043" s="36"/>
    </row>
    <row r="11044" spans="1:2" x14ac:dyDescent="0.3">
      <c r="A11044" s="19"/>
      <c r="B11044" s="36"/>
    </row>
    <row r="11045" spans="1:2" x14ac:dyDescent="0.3">
      <c r="A11045" s="19"/>
      <c r="B11045" s="36"/>
    </row>
    <row r="11046" spans="1:2" x14ac:dyDescent="0.3">
      <c r="A11046" s="19"/>
      <c r="B11046" s="36"/>
    </row>
    <row r="11047" spans="1:2" x14ac:dyDescent="0.3">
      <c r="A11047" s="19"/>
      <c r="B11047" s="36"/>
    </row>
    <row r="11048" spans="1:2" x14ac:dyDescent="0.3">
      <c r="A11048" s="19"/>
      <c r="B11048" s="36"/>
    </row>
    <row r="11049" spans="1:2" x14ac:dyDescent="0.3">
      <c r="A11049" s="19"/>
      <c r="B11049" s="36"/>
    </row>
    <row r="11050" spans="1:2" x14ac:dyDescent="0.3">
      <c r="A11050" s="19"/>
      <c r="B11050" s="36"/>
    </row>
    <row r="11051" spans="1:2" x14ac:dyDescent="0.3">
      <c r="A11051" s="19"/>
      <c r="B11051" s="36"/>
    </row>
    <row r="11052" spans="1:2" x14ac:dyDescent="0.3">
      <c r="A11052" s="19"/>
      <c r="B11052" s="36"/>
    </row>
    <row r="11053" spans="1:2" x14ac:dyDescent="0.3">
      <c r="A11053" s="19"/>
      <c r="B11053" s="36"/>
    </row>
    <row r="11054" spans="1:2" x14ac:dyDescent="0.3">
      <c r="A11054" s="19"/>
      <c r="B11054" s="36"/>
    </row>
    <row r="11055" spans="1:2" x14ac:dyDescent="0.3">
      <c r="A11055" s="19"/>
      <c r="B11055" s="36"/>
    </row>
    <row r="11056" spans="1:2" x14ac:dyDescent="0.3">
      <c r="A11056" s="19"/>
      <c r="B11056" s="36"/>
    </row>
    <row r="11057" spans="1:2" x14ac:dyDescent="0.3">
      <c r="A11057" s="19"/>
      <c r="B11057" s="36"/>
    </row>
    <row r="11058" spans="1:2" x14ac:dyDescent="0.3">
      <c r="A11058" s="19"/>
      <c r="B11058" s="36"/>
    </row>
    <row r="11059" spans="1:2" x14ac:dyDescent="0.3">
      <c r="A11059" s="19"/>
      <c r="B11059" s="36"/>
    </row>
    <row r="11060" spans="1:2" x14ac:dyDescent="0.3">
      <c r="A11060" s="19"/>
      <c r="B11060" s="36"/>
    </row>
    <row r="11061" spans="1:2" x14ac:dyDescent="0.3">
      <c r="A11061" s="19"/>
      <c r="B11061" s="36"/>
    </row>
    <row r="11062" spans="1:2" x14ac:dyDescent="0.3">
      <c r="A11062" s="19"/>
      <c r="B11062" s="36"/>
    </row>
    <row r="11063" spans="1:2" x14ac:dyDescent="0.3">
      <c r="A11063" s="19"/>
      <c r="B11063" s="36"/>
    </row>
    <row r="11064" spans="1:2" x14ac:dyDescent="0.3">
      <c r="A11064" s="19"/>
      <c r="B11064" s="36"/>
    </row>
    <row r="11065" spans="1:2" x14ac:dyDescent="0.3">
      <c r="A11065" s="19"/>
      <c r="B11065" s="36"/>
    </row>
    <row r="11066" spans="1:2" x14ac:dyDescent="0.3">
      <c r="A11066" s="19"/>
      <c r="B11066" s="36"/>
    </row>
    <row r="11067" spans="1:2" x14ac:dyDescent="0.3">
      <c r="A11067" s="19"/>
      <c r="B11067" s="36"/>
    </row>
    <row r="11068" spans="1:2" x14ac:dyDescent="0.3">
      <c r="A11068" s="19"/>
      <c r="B11068" s="36"/>
    </row>
    <row r="11069" spans="1:2" x14ac:dyDescent="0.3">
      <c r="A11069" s="19"/>
      <c r="B11069" s="36"/>
    </row>
    <row r="11070" spans="1:2" x14ac:dyDescent="0.3">
      <c r="A11070" s="19"/>
      <c r="B11070" s="36"/>
    </row>
    <row r="11071" spans="1:2" x14ac:dyDescent="0.3">
      <c r="A11071" s="19"/>
      <c r="B11071" s="36"/>
    </row>
    <row r="11072" spans="1:2" x14ac:dyDescent="0.3">
      <c r="A11072" s="19"/>
      <c r="B11072" s="36"/>
    </row>
    <row r="11073" spans="1:2" x14ac:dyDescent="0.3">
      <c r="A11073" s="19"/>
      <c r="B11073" s="36"/>
    </row>
    <row r="11074" spans="1:2" x14ac:dyDescent="0.3">
      <c r="A11074" s="19"/>
      <c r="B11074" s="36"/>
    </row>
    <row r="11075" spans="1:2" x14ac:dyDescent="0.3">
      <c r="A11075" s="19"/>
      <c r="B11075" s="36"/>
    </row>
    <row r="11076" spans="1:2" x14ac:dyDescent="0.3">
      <c r="A11076" s="19"/>
      <c r="B11076" s="36"/>
    </row>
    <row r="11077" spans="1:2" x14ac:dyDescent="0.3">
      <c r="A11077" s="19"/>
      <c r="B11077" s="36"/>
    </row>
    <row r="11078" spans="1:2" x14ac:dyDescent="0.3">
      <c r="A11078" s="19"/>
      <c r="B11078" s="36"/>
    </row>
    <row r="11079" spans="1:2" x14ac:dyDescent="0.3">
      <c r="A11079" s="19"/>
      <c r="B11079" s="36"/>
    </row>
    <row r="11080" spans="1:2" x14ac:dyDescent="0.3">
      <c r="A11080" s="19"/>
      <c r="B11080" s="36"/>
    </row>
    <row r="11081" spans="1:2" x14ac:dyDescent="0.3">
      <c r="A11081" s="19"/>
      <c r="B11081" s="36"/>
    </row>
    <row r="11082" spans="1:2" x14ac:dyDescent="0.3">
      <c r="A11082" s="19"/>
      <c r="B11082" s="36"/>
    </row>
    <row r="11083" spans="1:2" x14ac:dyDescent="0.3">
      <c r="A11083" s="19"/>
      <c r="B11083" s="36"/>
    </row>
    <row r="11084" spans="1:2" x14ac:dyDescent="0.3">
      <c r="A11084" s="19"/>
      <c r="B11084" s="36"/>
    </row>
    <row r="11085" spans="1:2" x14ac:dyDescent="0.3">
      <c r="A11085" s="19"/>
      <c r="B11085" s="36"/>
    </row>
    <row r="11086" spans="1:2" x14ac:dyDescent="0.3">
      <c r="A11086" s="19"/>
      <c r="B11086" s="36"/>
    </row>
    <row r="11087" spans="1:2" x14ac:dyDescent="0.3">
      <c r="A11087" s="19"/>
      <c r="B11087" s="36"/>
    </row>
    <row r="11088" spans="1:2" x14ac:dyDescent="0.3">
      <c r="A11088" s="19"/>
      <c r="B11088" s="36"/>
    </row>
    <row r="11089" spans="1:2" x14ac:dyDescent="0.3">
      <c r="A11089" s="19"/>
      <c r="B11089" s="36"/>
    </row>
    <row r="11090" spans="1:2" x14ac:dyDescent="0.3">
      <c r="A11090" s="19"/>
      <c r="B11090" s="36"/>
    </row>
    <row r="11091" spans="1:2" x14ac:dyDescent="0.3">
      <c r="A11091" s="19"/>
      <c r="B11091" s="36"/>
    </row>
    <row r="11092" spans="1:2" x14ac:dyDescent="0.3">
      <c r="A11092" s="19"/>
      <c r="B11092" s="36"/>
    </row>
    <row r="11093" spans="1:2" x14ac:dyDescent="0.3">
      <c r="A11093" s="19"/>
      <c r="B11093" s="36"/>
    </row>
    <row r="11094" spans="1:2" x14ac:dyDescent="0.3">
      <c r="A11094" s="19"/>
      <c r="B11094" s="36"/>
    </row>
    <row r="11095" spans="1:2" x14ac:dyDescent="0.3">
      <c r="A11095" s="19"/>
      <c r="B11095" s="36"/>
    </row>
    <row r="11096" spans="1:2" x14ac:dyDescent="0.3">
      <c r="A11096" s="19"/>
      <c r="B11096" s="36"/>
    </row>
    <row r="11097" spans="1:2" x14ac:dyDescent="0.3">
      <c r="A11097" s="19"/>
      <c r="B11097" s="36"/>
    </row>
    <row r="11098" spans="1:2" x14ac:dyDescent="0.3">
      <c r="A11098" s="19"/>
      <c r="B11098" s="36"/>
    </row>
    <row r="11099" spans="1:2" x14ac:dyDescent="0.3">
      <c r="A11099" s="19"/>
      <c r="B11099" s="36"/>
    </row>
    <row r="11100" spans="1:2" x14ac:dyDescent="0.3">
      <c r="A11100" s="19"/>
      <c r="B11100" s="36"/>
    </row>
    <row r="11101" spans="1:2" x14ac:dyDescent="0.3">
      <c r="A11101" s="19"/>
      <c r="B11101" s="36"/>
    </row>
    <row r="11102" spans="1:2" x14ac:dyDescent="0.3">
      <c r="A11102" s="19"/>
      <c r="B11102" s="36"/>
    </row>
    <row r="11103" spans="1:2" x14ac:dyDescent="0.3">
      <c r="A11103" s="19"/>
      <c r="B11103" s="36"/>
    </row>
    <row r="11104" spans="1:2" x14ac:dyDescent="0.3">
      <c r="A11104" s="19"/>
      <c r="B11104" s="36"/>
    </row>
    <row r="11105" spans="1:2" x14ac:dyDescent="0.3">
      <c r="A11105" s="19"/>
      <c r="B11105" s="36"/>
    </row>
    <row r="11106" spans="1:2" x14ac:dyDescent="0.3">
      <c r="A11106" s="19"/>
      <c r="B11106" s="36"/>
    </row>
    <row r="11107" spans="1:2" x14ac:dyDescent="0.3">
      <c r="A11107" s="19"/>
      <c r="B11107" s="36"/>
    </row>
    <row r="11108" spans="1:2" x14ac:dyDescent="0.3">
      <c r="A11108" s="19"/>
      <c r="B11108" s="36"/>
    </row>
    <row r="11109" spans="1:2" x14ac:dyDescent="0.3">
      <c r="A11109" s="19"/>
      <c r="B11109" s="36"/>
    </row>
    <row r="11110" spans="1:2" x14ac:dyDescent="0.3">
      <c r="A11110" s="19"/>
      <c r="B11110" s="36"/>
    </row>
    <row r="11111" spans="1:2" x14ac:dyDescent="0.3">
      <c r="A11111" s="19"/>
      <c r="B11111" s="36"/>
    </row>
    <row r="11112" spans="1:2" x14ac:dyDescent="0.3">
      <c r="A11112" s="19"/>
      <c r="B11112" s="36"/>
    </row>
    <row r="11113" spans="1:2" x14ac:dyDescent="0.3">
      <c r="A11113" s="19"/>
      <c r="B11113" s="36"/>
    </row>
    <row r="11114" spans="1:2" x14ac:dyDescent="0.3">
      <c r="A11114" s="19"/>
      <c r="B11114" s="36"/>
    </row>
    <row r="11115" spans="1:2" x14ac:dyDescent="0.3">
      <c r="A11115" s="19"/>
      <c r="B11115" s="36"/>
    </row>
    <row r="11116" spans="1:2" x14ac:dyDescent="0.3">
      <c r="A11116" s="19"/>
      <c r="B11116" s="36"/>
    </row>
    <row r="11117" spans="1:2" x14ac:dyDescent="0.3">
      <c r="A11117" s="19"/>
      <c r="B11117" s="36"/>
    </row>
    <row r="11118" spans="1:2" x14ac:dyDescent="0.3">
      <c r="A11118" s="19"/>
      <c r="B11118" s="36"/>
    </row>
    <row r="11119" spans="1:2" x14ac:dyDescent="0.3">
      <c r="A11119" s="19"/>
      <c r="B11119" s="36"/>
    </row>
    <row r="11120" spans="1:2" x14ac:dyDescent="0.3">
      <c r="A11120" s="19"/>
      <c r="B11120" s="36"/>
    </row>
    <row r="11121" spans="1:2" x14ac:dyDescent="0.3">
      <c r="A11121" s="19"/>
      <c r="B11121" s="36"/>
    </row>
    <row r="11122" spans="1:2" x14ac:dyDescent="0.3">
      <c r="A11122" s="19"/>
      <c r="B11122" s="36"/>
    </row>
    <row r="11123" spans="1:2" x14ac:dyDescent="0.3">
      <c r="A11123" s="19"/>
      <c r="B11123" s="36"/>
    </row>
    <row r="11124" spans="1:2" x14ac:dyDescent="0.3">
      <c r="A11124" s="19"/>
      <c r="B11124" s="36"/>
    </row>
    <row r="11125" spans="1:2" x14ac:dyDescent="0.3">
      <c r="A11125" s="19"/>
      <c r="B11125" s="36"/>
    </row>
    <row r="11126" spans="1:2" x14ac:dyDescent="0.3">
      <c r="A11126" s="19"/>
      <c r="B11126" s="36"/>
    </row>
    <row r="11127" spans="1:2" x14ac:dyDescent="0.3">
      <c r="A11127" s="19"/>
      <c r="B11127" s="36"/>
    </row>
    <row r="11128" spans="1:2" x14ac:dyDescent="0.3">
      <c r="A11128" s="19"/>
      <c r="B11128" s="36"/>
    </row>
    <row r="11129" spans="1:2" x14ac:dyDescent="0.3">
      <c r="A11129" s="19"/>
      <c r="B11129" s="36"/>
    </row>
    <row r="11130" spans="1:2" x14ac:dyDescent="0.3">
      <c r="A11130" s="19"/>
      <c r="B11130" s="36"/>
    </row>
    <row r="11131" spans="1:2" x14ac:dyDescent="0.3">
      <c r="A11131" s="19"/>
      <c r="B11131" s="36"/>
    </row>
    <row r="11132" spans="1:2" x14ac:dyDescent="0.3">
      <c r="A11132" s="19"/>
      <c r="B11132" s="36"/>
    </row>
    <row r="11133" spans="1:2" x14ac:dyDescent="0.3">
      <c r="A11133" s="19"/>
      <c r="B11133" s="36"/>
    </row>
    <row r="11134" spans="1:2" x14ac:dyDescent="0.3">
      <c r="A11134" s="19"/>
      <c r="B11134" s="36"/>
    </row>
    <row r="11135" spans="1:2" x14ac:dyDescent="0.3">
      <c r="A11135" s="19"/>
      <c r="B11135" s="36"/>
    </row>
    <row r="11136" spans="1:2" x14ac:dyDescent="0.3">
      <c r="A11136" s="19"/>
      <c r="B11136" s="36"/>
    </row>
    <row r="11137" spans="1:2" x14ac:dyDescent="0.3">
      <c r="A11137" s="19"/>
      <c r="B11137" s="36"/>
    </row>
    <row r="11138" spans="1:2" x14ac:dyDescent="0.3">
      <c r="A11138" s="19"/>
      <c r="B11138" s="36"/>
    </row>
    <row r="11139" spans="1:2" x14ac:dyDescent="0.3">
      <c r="A11139" s="19"/>
      <c r="B11139" s="36"/>
    </row>
    <row r="11140" spans="1:2" x14ac:dyDescent="0.3">
      <c r="A11140" s="19"/>
      <c r="B11140" s="36"/>
    </row>
    <row r="11141" spans="1:2" x14ac:dyDescent="0.3">
      <c r="A11141" s="19"/>
      <c r="B11141" s="36"/>
    </row>
    <row r="11142" spans="1:2" x14ac:dyDescent="0.3">
      <c r="A11142" s="19"/>
      <c r="B11142" s="36"/>
    </row>
    <row r="11143" spans="1:2" x14ac:dyDescent="0.3">
      <c r="A11143" s="19"/>
      <c r="B11143" s="36"/>
    </row>
    <row r="11144" spans="1:2" x14ac:dyDescent="0.3">
      <c r="A11144" s="19"/>
      <c r="B11144" s="36"/>
    </row>
    <row r="11145" spans="1:2" x14ac:dyDescent="0.3">
      <c r="A11145" s="19"/>
      <c r="B11145" s="36"/>
    </row>
    <row r="11146" spans="1:2" x14ac:dyDescent="0.3">
      <c r="A11146" s="19"/>
      <c r="B11146" s="36"/>
    </row>
    <row r="11147" spans="1:2" x14ac:dyDescent="0.3">
      <c r="A11147" s="19"/>
      <c r="B11147" s="36"/>
    </row>
    <row r="11148" spans="1:2" x14ac:dyDescent="0.3">
      <c r="A11148" s="19"/>
      <c r="B11148" s="36"/>
    </row>
    <row r="11149" spans="1:2" x14ac:dyDescent="0.3">
      <c r="A11149" s="19"/>
      <c r="B11149" s="36"/>
    </row>
    <row r="11150" spans="1:2" x14ac:dyDescent="0.3">
      <c r="A11150" s="19"/>
      <c r="B11150" s="36"/>
    </row>
    <row r="11151" spans="1:2" x14ac:dyDescent="0.3">
      <c r="A11151" s="19"/>
      <c r="B11151" s="36"/>
    </row>
    <row r="11152" spans="1:2" x14ac:dyDescent="0.3">
      <c r="A11152" s="19"/>
      <c r="B11152" s="36"/>
    </row>
    <row r="11153" spans="1:2" x14ac:dyDescent="0.3">
      <c r="A11153" s="19"/>
      <c r="B11153" s="36"/>
    </row>
    <row r="11154" spans="1:2" x14ac:dyDescent="0.3">
      <c r="A11154" s="19"/>
      <c r="B11154" s="36"/>
    </row>
    <row r="11155" spans="1:2" x14ac:dyDescent="0.3">
      <c r="A11155" s="19"/>
      <c r="B11155" s="36"/>
    </row>
    <row r="11156" spans="1:2" x14ac:dyDescent="0.3">
      <c r="A11156" s="19"/>
      <c r="B11156" s="36"/>
    </row>
    <row r="11157" spans="1:2" x14ac:dyDescent="0.3">
      <c r="A11157" s="19"/>
      <c r="B11157" s="36"/>
    </row>
    <row r="11158" spans="1:2" x14ac:dyDescent="0.3">
      <c r="A11158" s="19"/>
      <c r="B11158" s="36"/>
    </row>
    <row r="11159" spans="1:2" x14ac:dyDescent="0.3">
      <c r="A11159" s="19"/>
      <c r="B11159" s="36"/>
    </row>
    <row r="11160" spans="1:2" x14ac:dyDescent="0.3">
      <c r="A11160" s="19"/>
      <c r="B11160" s="36"/>
    </row>
    <row r="11161" spans="1:2" x14ac:dyDescent="0.3">
      <c r="A11161" s="19"/>
      <c r="B11161" s="36"/>
    </row>
    <row r="11162" spans="1:2" x14ac:dyDescent="0.3">
      <c r="A11162" s="19"/>
      <c r="B11162" s="36"/>
    </row>
    <row r="11163" spans="1:2" x14ac:dyDescent="0.3">
      <c r="A11163" s="19"/>
      <c r="B11163" s="36"/>
    </row>
    <row r="11164" spans="1:2" x14ac:dyDescent="0.3">
      <c r="A11164" s="19"/>
      <c r="B11164" s="36"/>
    </row>
    <row r="11165" spans="1:2" x14ac:dyDescent="0.3">
      <c r="A11165" s="19"/>
      <c r="B11165" s="36"/>
    </row>
    <row r="11166" spans="1:2" x14ac:dyDescent="0.3">
      <c r="A11166" s="19"/>
      <c r="B11166" s="36"/>
    </row>
    <row r="11167" spans="1:2" x14ac:dyDescent="0.3">
      <c r="A11167" s="19"/>
      <c r="B11167" s="36"/>
    </row>
    <row r="11168" spans="1:2" x14ac:dyDescent="0.3">
      <c r="A11168" s="19"/>
      <c r="B11168" s="36"/>
    </row>
    <row r="11169" spans="1:2" x14ac:dyDescent="0.3">
      <c r="A11169" s="19"/>
      <c r="B11169" s="36"/>
    </row>
    <row r="11170" spans="1:2" x14ac:dyDescent="0.3">
      <c r="A11170" s="19"/>
      <c r="B11170" s="36"/>
    </row>
    <row r="11171" spans="1:2" x14ac:dyDescent="0.3">
      <c r="A11171" s="19"/>
      <c r="B11171" s="36"/>
    </row>
    <row r="11172" spans="1:2" x14ac:dyDescent="0.3">
      <c r="A11172" s="19"/>
      <c r="B11172" s="36"/>
    </row>
    <row r="11173" spans="1:2" x14ac:dyDescent="0.3">
      <c r="A11173" s="19"/>
      <c r="B11173" s="36"/>
    </row>
    <row r="11174" spans="1:2" x14ac:dyDescent="0.3">
      <c r="A11174" s="19"/>
      <c r="B11174" s="36"/>
    </row>
    <row r="11175" spans="1:2" x14ac:dyDescent="0.3">
      <c r="A11175" s="19"/>
      <c r="B11175" s="36"/>
    </row>
    <row r="11176" spans="1:2" x14ac:dyDescent="0.3">
      <c r="A11176" s="19"/>
      <c r="B11176" s="36"/>
    </row>
    <row r="11177" spans="1:2" x14ac:dyDescent="0.3">
      <c r="A11177" s="19"/>
      <c r="B11177" s="36"/>
    </row>
    <row r="11178" spans="1:2" x14ac:dyDescent="0.3">
      <c r="A11178" s="19"/>
      <c r="B11178" s="36"/>
    </row>
    <row r="11179" spans="1:2" x14ac:dyDescent="0.3">
      <c r="A11179" s="19"/>
      <c r="B11179" s="36"/>
    </row>
    <row r="11180" spans="1:2" x14ac:dyDescent="0.3">
      <c r="A11180" s="19"/>
      <c r="B11180" s="36"/>
    </row>
    <row r="11181" spans="1:2" x14ac:dyDescent="0.3">
      <c r="A11181" s="19"/>
      <c r="B11181" s="36"/>
    </row>
    <row r="11182" spans="1:2" x14ac:dyDescent="0.3">
      <c r="A11182" s="19"/>
      <c r="B11182" s="36"/>
    </row>
    <row r="11183" spans="1:2" x14ac:dyDescent="0.3">
      <c r="A11183" s="19"/>
      <c r="B11183" s="36"/>
    </row>
    <row r="11184" spans="1:2" x14ac:dyDescent="0.3">
      <c r="A11184" s="19"/>
      <c r="B11184" s="36"/>
    </row>
    <row r="11185" spans="1:2" x14ac:dyDescent="0.3">
      <c r="A11185" s="19"/>
      <c r="B11185" s="36"/>
    </row>
    <row r="11186" spans="1:2" x14ac:dyDescent="0.3">
      <c r="A11186" s="19"/>
      <c r="B11186" s="36"/>
    </row>
    <row r="11187" spans="1:2" x14ac:dyDescent="0.3">
      <c r="A11187" s="19"/>
      <c r="B11187" s="36"/>
    </row>
    <row r="11188" spans="1:2" x14ac:dyDescent="0.3">
      <c r="A11188" s="19"/>
      <c r="B11188" s="36"/>
    </row>
    <row r="11189" spans="1:2" x14ac:dyDescent="0.3">
      <c r="A11189" s="19"/>
      <c r="B11189" s="36"/>
    </row>
    <row r="11190" spans="1:2" x14ac:dyDescent="0.3">
      <c r="A11190" s="19"/>
      <c r="B11190" s="36"/>
    </row>
    <row r="11191" spans="1:2" x14ac:dyDescent="0.3">
      <c r="A11191" s="19"/>
      <c r="B11191" s="36"/>
    </row>
    <row r="11192" spans="1:2" x14ac:dyDescent="0.3">
      <c r="A11192" s="19"/>
      <c r="B11192" s="36"/>
    </row>
    <row r="11193" spans="1:2" x14ac:dyDescent="0.3">
      <c r="A11193" s="19"/>
      <c r="B11193" s="36"/>
    </row>
    <row r="11194" spans="1:2" x14ac:dyDescent="0.3">
      <c r="A11194" s="19"/>
      <c r="B11194" s="36"/>
    </row>
    <row r="11195" spans="1:2" x14ac:dyDescent="0.3">
      <c r="A11195" s="19"/>
      <c r="B11195" s="36"/>
    </row>
    <row r="11196" spans="1:2" x14ac:dyDescent="0.3">
      <c r="A11196" s="19"/>
      <c r="B11196" s="36"/>
    </row>
    <row r="11197" spans="1:2" x14ac:dyDescent="0.3">
      <c r="A11197" s="19"/>
      <c r="B11197" s="36"/>
    </row>
    <row r="11198" spans="1:2" x14ac:dyDescent="0.3">
      <c r="A11198" s="19"/>
      <c r="B11198" s="36"/>
    </row>
    <row r="11199" spans="1:2" x14ac:dyDescent="0.3">
      <c r="A11199" s="19"/>
      <c r="B11199" s="36"/>
    </row>
    <row r="11200" spans="1:2" x14ac:dyDescent="0.3">
      <c r="A11200" s="19"/>
      <c r="B11200" s="36"/>
    </row>
    <row r="11201" spans="1:2" x14ac:dyDescent="0.3">
      <c r="A11201" s="19"/>
      <c r="B11201" s="36"/>
    </row>
    <row r="11202" spans="1:2" x14ac:dyDescent="0.3">
      <c r="A11202" s="19"/>
      <c r="B11202" s="36"/>
    </row>
    <row r="11203" spans="1:2" x14ac:dyDescent="0.3">
      <c r="A11203" s="19"/>
      <c r="B11203" s="36"/>
    </row>
    <row r="11204" spans="1:2" x14ac:dyDescent="0.3">
      <c r="A11204" s="19"/>
      <c r="B11204" s="36"/>
    </row>
    <row r="11205" spans="1:2" x14ac:dyDescent="0.3">
      <c r="A11205" s="19"/>
      <c r="B11205" s="36"/>
    </row>
    <row r="11206" spans="1:2" x14ac:dyDescent="0.3">
      <c r="A11206" s="19"/>
      <c r="B11206" s="36"/>
    </row>
    <row r="11207" spans="1:2" x14ac:dyDescent="0.3">
      <c r="A11207" s="19"/>
      <c r="B11207" s="36"/>
    </row>
  </sheetData>
  <sheetProtection algorithmName="SHA-512" hashValue="EMDrLtJFWYqeKI7fZrTRA0MTuy2tgQOxY65S9CEGSXUGfDljjvfxXV7zq2cm4hoNcAMOK7VC+28dIQSKivvMdQ==" saltValue="4R098lnWWjBJC5h79AMd8A==" spinCount="100000" sheet="1" objects="1" scenarios="1"/>
  <mergeCells count="24">
    <mergeCell ref="J19:L20"/>
    <mergeCell ref="B99:C99"/>
    <mergeCell ref="B110:C110"/>
    <mergeCell ref="E8:G8"/>
    <mergeCell ref="E9:G9"/>
    <mergeCell ref="B48:C48"/>
    <mergeCell ref="B89:C89"/>
    <mergeCell ref="B28:C28"/>
    <mergeCell ref="E14:G14"/>
    <mergeCell ref="E16:G16"/>
    <mergeCell ref="B78:C78"/>
    <mergeCell ref="J5:L6"/>
    <mergeCell ref="J8:L9"/>
    <mergeCell ref="J11:L11"/>
    <mergeCell ref="J14:L15"/>
    <mergeCell ref="F18:G18"/>
    <mergeCell ref="E15:G15"/>
    <mergeCell ref="E10:G10"/>
    <mergeCell ref="E11:G11"/>
    <mergeCell ref="E12:G12"/>
    <mergeCell ref="E13:G13"/>
    <mergeCell ref="E5:G5"/>
    <mergeCell ref="E6:G6"/>
    <mergeCell ref="E7:G7"/>
  </mergeCells>
  <conditionalFormatting sqref="H16">
    <cfRule type="cellIs" dxfId="511" priority="1" operator="lessThan">
      <formula>0</formula>
    </cfRule>
  </conditionalFormatting>
  <conditionalFormatting sqref="H18">
    <cfRule type="containsText" dxfId="510" priority="2" operator="containsText" text="HIGH">
      <formula>NOT(ISERROR(SEARCH("HIGH",H18)))</formula>
    </cfRule>
    <cfRule type="containsText" dxfId="509" priority="3" operator="containsText" text="LOW">
      <formula>NOT(ISERROR(SEARCH("LOW",H18)))</formula>
    </cfRule>
    <cfRule type="containsText" dxfId="508" priority="4" operator="containsText" text="MEDIUM">
      <formula>NOT(ISERROR(SEARCH("MEDIUM",H18)))</formula>
    </cfRule>
    <cfRule type="containsText" dxfId="507" priority="5" operator="containsText" text="HIGH ">
      <formula>NOT(ISERROR(SEARCH("HIGH ",H18)))</formula>
    </cfRule>
    <cfRule type="cellIs" dxfId="506" priority="6" operator="equal">
      <formula>HIGH</formula>
    </cfRule>
    <cfRule type="containsText" dxfId="505"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count="7">
    <dataValidation type="list" allowBlank="1" showInputMessage="1" showErrorMessage="1" sqref="H18" xr:uid="{FD432232-3DEB-4F16-9DD8-6C38930B8862}">
      <formula1>"LOW, MEDIUM, HIGH"</formula1>
    </dataValidation>
    <dataValidation type="list" allowBlank="1" showInputMessage="1" showErrorMessage="1" sqref="C16" xr:uid="{C82853C8-450B-401C-915A-784B4271F480}">
      <formula1>"YES, NO"</formula1>
    </dataValidation>
    <dataValidation type="list" allowBlank="1" showInputMessage="1" showErrorMessage="1" sqref="C9" xr:uid="{53524E96-A1B0-4849-83C9-1F2D99A544FA}">
      <formula1>INDIRECT($C$8)</formula1>
    </dataValidation>
    <dataValidation type="list" allowBlank="1" showInputMessage="1" showErrorMessage="1" sqref="G135:G137" xr:uid="{BF8D8310-AAD1-4B6E-B0EF-DF14528354AD}">
      <formula1>"IT, WW/OPS ENGINEERING, COMPOSITE, AHJ, START_UP, LAUNCH, EHS, UNFORESEEN SITE CONDITIONS, CONSULTANT COORDINATION, MHE, OTHER"</formula1>
    </dataValidation>
    <dataValidation type="list" allowBlank="1" showInputMessage="1" showErrorMessage="1" sqref="H120:H137" xr:uid="{2F78B1EB-8914-4808-87D6-A99E1CE5CF8F}">
      <formula1>"TI ALLOWANCE, TI CONTINGENCY, DEV CONTINGENCY, GC CONTINGENCY, BUYOUT SAVINGS, SUPPLEMENTAL"</formula1>
    </dataValidation>
    <dataValidation type="decimal" operator="notEqual" allowBlank="1" showErrorMessage="1" errorTitle="Do not enter $0 " error="It incorrectly affects Estimated Subtotal" sqref="E120:F136" xr:uid="{ABA6020D-A87B-413C-8D2D-839D112881E2}">
      <formula1>0</formula1>
    </dataValidation>
    <dataValidation type="list" allowBlank="1" showInputMessage="1" showErrorMessage="1" sqref="G120:G134" xr:uid="{6933CB7E-946C-4F40-8339-9CED5F9E68B0}">
      <formula1>"IT, WW/OPS ENGINEERING, COMPOSITE, AHJ, START_UP, LAUNCH, WHS, UNFORESEEN SITE CONDITIONS, CONSULTANT COORDINATION, MHE, OTHER"</formula1>
    </dataValidation>
  </dataValidations>
  <pageMargins left="0.7" right="0.7" top="0.75" bottom="0.75" header="0.3" footer="0.3"/>
  <pageSetup scale="45"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1686" r:id="rId4" name="Button 2838">
              <controlPr defaultSize="0" print="0" autoFill="0" autoPict="0" macro="[0]!Copy_Data">
                <anchor moveWithCells="1" sizeWithCells="1">
                  <from>
                    <xdr:col>10</xdr:col>
                    <xdr:colOff>190500</xdr:colOff>
                    <xdr:row>9</xdr:row>
                    <xdr:rowOff>165100</xdr:rowOff>
                  </from>
                  <to>
                    <xdr:col>10</xdr:col>
                    <xdr:colOff>2171700</xdr:colOff>
                    <xdr:row>12</xdr:row>
                    <xdr:rowOff>76200</xdr:rowOff>
                  </to>
                </anchor>
              </controlPr>
            </control>
          </mc:Choice>
        </mc:AlternateContent>
        <mc:AlternateContent xmlns:mc="http://schemas.openxmlformats.org/markup-compatibility/2006">
          <mc:Choice Requires="x14">
            <control shapeId="81687" r:id="rId5" name="Button 2839">
              <controlPr defaultSize="0" print="0" autoFill="0" autoPict="0" macro="[0]!Save_Data">
                <anchor moveWithCells="1" sizeWithCells="1">
                  <from>
                    <xdr:col>10</xdr:col>
                    <xdr:colOff>171450</xdr:colOff>
                    <xdr:row>15</xdr:row>
                    <xdr:rowOff>44450</xdr:rowOff>
                  </from>
                  <to>
                    <xdr:col>10</xdr:col>
                    <xdr:colOff>2133600</xdr:colOff>
                    <xdr:row>17</xdr:row>
                    <xdr:rowOff>120650</xdr:rowOff>
                  </to>
                </anchor>
              </controlPr>
            </control>
          </mc:Choice>
        </mc:AlternateContent>
        <mc:AlternateContent xmlns:mc="http://schemas.openxmlformats.org/markup-compatibility/2006">
          <mc:Choice Requires="x14">
            <control shapeId="81688" r:id="rId6" name="Button 2840">
              <controlPr defaultSize="0" print="0" autoFill="0" autoPict="0" macro="[0]!ClearTemplates">
                <anchor moveWithCells="1" sizeWithCells="1">
                  <from>
                    <xdr:col>10</xdr:col>
                    <xdr:colOff>158750</xdr:colOff>
                    <xdr:row>20</xdr:row>
                    <xdr:rowOff>76200</xdr:rowOff>
                  </from>
                  <to>
                    <xdr:col>10</xdr:col>
                    <xdr:colOff>2152650</xdr:colOff>
                    <xdr:row>22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64F79C0-E3B1-490D-A8E6-F21DB4B5CD20}">
          <x14:formula1>
            <xm:f>'Drop Down Menus'!$A$1:$L$1</xm:f>
          </x14:formula1>
          <xm:sqref>C8</xm:sqref>
        </x14:dataValidation>
        <x14:dataValidation type="list" allowBlank="1" showInputMessage="1" showErrorMessage="1" xr:uid="{861FC423-4892-459C-A8C8-B0F9720D3740}">
          <x14:formula1>
            <xm:f>'Drop Down Menus'!$N:$N</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Y520"/>
  <sheetViews>
    <sheetView topLeftCell="B7" zoomScaleNormal="100" workbookViewId="0">
      <selection activeCell="E30" sqref="E30"/>
    </sheetView>
  </sheetViews>
  <sheetFormatPr defaultColWidth="9.1796875" defaultRowHeight="14.5" x14ac:dyDescent="0.35"/>
  <cols>
    <col min="1" max="1" width="9.54296875" style="100" customWidth="1"/>
    <col min="2" max="2" width="45.453125" style="100" customWidth="1"/>
    <col min="3" max="3" width="15.81640625" style="441"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8" width="9.1796875" style="97"/>
    <col min="19" max="23" width="9.1796875" style="198"/>
    <col min="24" max="16384" width="9.1796875" style="97"/>
  </cols>
  <sheetData>
    <row r="1" spans="1:8" x14ac:dyDescent="0.35">
      <c r="A1" s="11" t="s">
        <v>433</v>
      </c>
      <c r="B1" s="19"/>
      <c r="C1" s="100"/>
    </row>
    <row r="2" spans="1:8" x14ac:dyDescent="0.35">
      <c r="A2" s="36"/>
      <c r="B2" s="19"/>
      <c r="C2" s="100"/>
    </row>
    <row r="3" spans="1:8" x14ac:dyDescent="0.35">
      <c r="A3" s="11" t="s">
        <v>434</v>
      </c>
      <c r="B3" s="19"/>
      <c r="C3" s="100"/>
    </row>
    <row r="4" spans="1:8" ht="15" thickBot="1" x14ac:dyDescent="0.4">
      <c r="A4" s="36"/>
      <c r="B4" s="19"/>
      <c r="C4" s="100"/>
    </row>
    <row r="5" spans="1:8" ht="15" thickBot="1" x14ac:dyDescent="0.4">
      <c r="A5" s="12" t="s">
        <v>428</v>
      </c>
      <c r="B5" s="96">
        <f>'GMP-PO Breakdown'!C5</f>
        <v>0</v>
      </c>
      <c r="C5" s="100"/>
      <c r="D5" s="101" t="s">
        <v>728</v>
      </c>
      <c r="E5" s="610"/>
      <c r="F5" s="611"/>
      <c r="G5" s="612" t="s">
        <v>729</v>
      </c>
      <c r="H5" s="613"/>
    </row>
    <row r="6" spans="1:8" ht="15" thickBot="1" x14ac:dyDescent="0.4">
      <c r="A6" s="97"/>
      <c r="B6" s="97"/>
      <c r="C6" s="100"/>
      <c r="D6" s="102" t="s">
        <v>730</v>
      </c>
      <c r="E6" s="250">
        <v>0</v>
      </c>
      <c r="F6" s="103" t="s">
        <v>731</v>
      </c>
      <c r="G6" s="614" t="s">
        <v>732</v>
      </c>
      <c r="H6" s="615"/>
    </row>
    <row r="7" spans="1:8" ht="15" thickBot="1" x14ac:dyDescent="0.4">
      <c r="A7" s="13" t="s">
        <v>429</v>
      </c>
      <c r="B7" s="20">
        <f>'GMP-PO Breakdown'!C6</f>
        <v>0</v>
      </c>
      <c r="C7" s="100"/>
      <c r="D7" s="104" t="s">
        <v>733</v>
      </c>
      <c r="E7" s="251">
        <v>0</v>
      </c>
      <c r="F7" s="105" t="s">
        <v>734</v>
      </c>
      <c r="G7" s="616" t="s">
        <v>735</v>
      </c>
      <c r="H7" s="617"/>
    </row>
    <row r="8" spans="1:8" ht="15" thickBot="1" x14ac:dyDescent="0.4">
      <c r="A8" s="14" t="s">
        <v>565</v>
      </c>
      <c r="B8" s="21">
        <f>'GMP-PO Breakdown'!C7</f>
        <v>0</v>
      </c>
      <c r="C8" s="100"/>
      <c r="D8" s="106"/>
      <c r="E8" s="106"/>
      <c r="F8" s="106"/>
      <c r="G8" s="106"/>
      <c r="H8" s="106"/>
    </row>
    <row r="9" spans="1:8" x14ac:dyDescent="0.35">
      <c r="A9" s="14" t="s">
        <v>432</v>
      </c>
      <c r="B9" s="21">
        <f>'GMP-PO Breakdown'!C12</f>
        <v>0</v>
      </c>
      <c r="C9" s="100"/>
      <c r="D9" s="107" t="s">
        <v>736</v>
      </c>
      <c r="E9" s="108">
        <f>SUM(E30:E141)/2</f>
        <v>0</v>
      </c>
      <c r="F9" s="108">
        <f>SUM(F30:F141)/2</f>
        <v>0</v>
      </c>
      <c r="G9" s="108">
        <f>SUM(G30:G141)/2</f>
        <v>0</v>
      </c>
      <c r="H9" s="109" t="str">
        <f>IFERROR(G9/E6/43560,"Enter site size above")</f>
        <v>Enter site size above</v>
      </c>
    </row>
    <row r="10" spans="1:8" x14ac:dyDescent="0.35">
      <c r="A10" s="14" t="s">
        <v>430</v>
      </c>
      <c r="B10" s="21">
        <f>'GMP-PO Breakdown'!C13</f>
        <v>0</v>
      </c>
      <c r="C10" s="100"/>
      <c r="D10" s="110" t="s">
        <v>737</v>
      </c>
      <c r="E10" s="111">
        <f>SUM(E152:E499)/2</f>
        <v>0</v>
      </c>
      <c r="F10" s="111">
        <f>SUM(F152:F499)/2</f>
        <v>0</v>
      </c>
      <c r="G10" s="111">
        <f>SUM(G152:G499)/2</f>
        <v>0</v>
      </c>
      <c r="H10" s="112" t="str">
        <f>IFERROR(G10/$E$7,"Enter building size above")</f>
        <v>Enter building size above</v>
      </c>
    </row>
    <row r="11" spans="1:8" ht="15" thickBot="1" x14ac:dyDescent="0.4">
      <c r="A11" s="23" t="s">
        <v>431</v>
      </c>
      <c r="B11" s="22">
        <f>'GMP-PO Breakdown'!C14</f>
        <v>0</v>
      </c>
      <c r="C11" s="100"/>
      <c r="D11" s="110" t="s">
        <v>738</v>
      </c>
      <c r="E11" s="111">
        <f>SUM(E143:E150)/2+SUM(E501:E513)/2</f>
        <v>0</v>
      </c>
      <c r="F11" s="111">
        <f>SUM(F143:F150)/2+SUM(F501:F513)/2</f>
        <v>0</v>
      </c>
      <c r="G11" s="111">
        <f>SUM(G143:G150)/2+SUM(G501:G513)/2</f>
        <v>0</v>
      </c>
      <c r="H11" s="112" t="str">
        <f>IFERROR(G11/$E$7,"Enter building size above")</f>
        <v>Enter building size above</v>
      </c>
    </row>
    <row r="12" spans="1:8" ht="15" thickBot="1" x14ac:dyDescent="0.4">
      <c r="A12" s="98"/>
      <c r="B12" s="99"/>
      <c r="C12" s="100"/>
      <c r="D12" s="113" t="s">
        <v>739</v>
      </c>
      <c r="E12" s="114">
        <f>SUM(E9:E11)</f>
        <v>0</v>
      </c>
      <c r="F12" s="114">
        <f t="shared" ref="F12:G12" si="0">SUM(F9:F11)</f>
        <v>0</v>
      </c>
      <c r="G12" s="114">
        <f t="shared" si="0"/>
        <v>0</v>
      </c>
      <c r="H12" s="115" t="str">
        <f>IFERROR(G12/$E$7,"Enter building size above")</f>
        <v>Enter building size above</v>
      </c>
    </row>
    <row r="13" spans="1:8" ht="15" thickBot="1" x14ac:dyDescent="0.4">
      <c r="A13" s="98"/>
      <c r="B13" s="99"/>
      <c r="C13" s="100"/>
      <c r="D13" s="104" t="s">
        <v>982</v>
      </c>
      <c r="E13" s="252">
        <v>0</v>
      </c>
      <c r="F13" s="252">
        <v>0</v>
      </c>
      <c r="G13" s="253">
        <f>IFERROR(E13/F13, 0)</f>
        <v>0</v>
      </c>
      <c r="H13" s="115"/>
    </row>
    <row r="14" spans="1:8" x14ac:dyDescent="0.35">
      <c r="A14" s="98"/>
      <c r="B14" s="99"/>
      <c r="C14" s="100"/>
      <c r="D14" s="254" t="s">
        <v>786</v>
      </c>
    </row>
    <row r="15" spans="1:8" ht="14.5" hidden="1" customHeight="1" x14ac:dyDescent="0.35">
      <c r="A15" s="98"/>
      <c r="B15" s="99"/>
      <c r="C15" s="100"/>
    </row>
    <row r="16" spans="1:8" ht="14.5" hidden="1" customHeight="1" x14ac:dyDescent="0.35">
      <c r="A16" s="98"/>
      <c r="B16" s="99"/>
      <c r="C16" s="100"/>
    </row>
    <row r="17" spans="1:25" ht="14.5" hidden="1" customHeight="1" x14ac:dyDescent="0.35">
      <c r="A17" s="98"/>
      <c r="B17" s="99"/>
      <c r="C17" s="100"/>
      <c r="D17" s="97" t="s">
        <v>787</v>
      </c>
    </row>
    <row r="18" spans="1:25" ht="14.5" hidden="1" customHeight="1" x14ac:dyDescent="0.35">
      <c r="A18" s="98"/>
      <c r="B18" s="99"/>
      <c r="C18" s="100"/>
      <c r="D18" s="97" t="s">
        <v>788</v>
      </c>
    </row>
    <row r="19" spans="1:25" ht="14.5" hidden="1" customHeight="1" x14ac:dyDescent="0.35">
      <c r="A19" s="98"/>
      <c r="B19" s="99"/>
      <c r="C19" s="100"/>
    </row>
    <row r="20" spans="1:25" ht="14.5" hidden="1" customHeight="1" x14ac:dyDescent="0.35">
      <c r="A20" s="98"/>
      <c r="B20" s="99"/>
      <c r="C20" s="100"/>
    </row>
    <row r="21" spans="1:25" ht="14.5" hidden="1" customHeight="1" x14ac:dyDescent="0.35">
      <c r="C21" s="100"/>
    </row>
    <row r="22" spans="1:25" ht="14.5" hidden="1" customHeight="1" x14ac:dyDescent="0.35">
      <c r="C22" s="100"/>
    </row>
    <row r="23" spans="1:25" ht="14.5" hidden="1" customHeight="1" x14ac:dyDescent="0.35">
      <c r="C23" s="100"/>
    </row>
    <row r="24" spans="1:25" ht="14.5" hidden="1" customHeight="1" x14ac:dyDescent="0.35">
      <c r="C24" s="100"/>
    </row>
    <row r="25" spans="1:25" ht="14.5" hidden="1" customHeight="1" x14ac:dyDescent="0.35">
      <c r="C25" s="100"/>
    </row>
    <row r="26" spans="1:25" ht="14.5" hidden="1" customHeight="1" x14ac:dyDescent="0.35">
      <c r="C26" s="100"/>
    </row>
    <row r="27" spans="1:25" ht="4.5" customHeight="1" thickBot="1" x14ac:dyDescent="0.4">
      <c r="C27" s="100"/>
    </row>
    <row r="28" spans="1:25" ht="15.5" thickTop="1" thickBot="1" x14ac:dyDescent="0.4">
      <c r="A28" s="125" t="s">
        <v>166</v>
      </c>
      <c r="B28" s="336" t="s">
        <v>168</v>
      </c>
      <c r="C28" s="339" t="s">
        <v>167</v>
      </c>
      <c r="D28" s="337" t="s">
        <v>26</v>
      </c>
      <c r="E28" s="338" t="s">
        <v>781</v>
      </c>
      <c r="F28" s="337" t="s">
        <v>1078</v>
      </c>
      <c r="G28" s="337" t="s">
        <v>782</v>
      </c>
      <c r="H28" s="338" t="s">
        <v>783</v>
      </c>
      <c r="I28" s="337" t="s">
        <v>784</v>
      </c>
      <c r="J28" s="349" t="s">
        <v>1079</v>
      </c>
    </row>
    <row r="29" spans="1:25" ht="15" thickTop="1" x14ac:dyDescent="0.35">
      <c r="A29" s="100" t="s">
        <v>647</v>
      </c>
      <c r="B29" s="100" t="s">
        <v>33</v>
      </c>
      <c r="C29" s="100" t="s">
        <v>167</v>
      </c>
      <c r="D29" s="100" t="s">
        <v>26</v>
      </c>
      <c r="E29" s="100" t="s">
        <v>781</v>
      </c>
      <c r="F29" s="332" t="s">
        <v>1078</v>
      </c>
      <c r="G29" s="332" t="s">
        <v>782</v>
      </c>
      <c r="H29" s="332" t="s">
        <v>783</v>
      </c>
      <c r="I29" s="100" t="s">
        <v>785</v>
      </c>
      <c r="J29" s="345" t="s">
        <v>1079</v>
      </c>
      <c r="S29" s="97"/>
      <c r="T29" s="97"/>
      <c r="W29" s="199"/>
      <c r="X29" s="198"/>
      <c r="Y29" s="198"/>
    </row>
    <row r="30" spans="1:25" x14ac:dyDescent="0.35">
      <c r="A30" s="128">
        <v>34</v>
      </c>
      <c r="B30" s="132" t="s">
        <v>258</v>
      </c>
      <c r="C30" s="132" t="s">
        <v>231</v>
      </c>
      <c r="D30" s="133" t="s">
        <v>34</v>
      </c>
      <c r="E30" s="255">
        <v>0</v>
      </c>
      <c r="F30" s="255">
        <v>0</v>
      </c>
      <c r="G30" s="255">
        <v>0</v>
      </c>
      <c r="H30" s="255">
        <f>IF(OffSite2206244168[[#This Row],[Actual Buyout]]+OffSite2206244168[[#This Row],[Change Orders]]=0,OffSite2206244168[[#This Row],[Original Contract]],OffSite2206244168[[#This Row],[Actual Buyout]]+OffSite2206244168[[#This Row],[Change Orders]])</f>
        <v>0</v>
      </c>
      <c r="I30" s="255">
        <v>0</v>
      </c>
      <c r="J30" s="150">
        <f>OffSite2206244168[[#This Row],[Original Contract]]-OffSite2206244168[[#This Row],[Revised Contract]]</f>
        <v>0</v>
      </c>
      <c r="S30" s="97"/>
      <c r="T30" s="97"/>
      <c r="V30" s="199"/>
      <c r="W30" s="199"/>
      <c r="X30" s="198"/>
      <c r="Y30" s="198"/>
    </row>
    <row r="31" spans="1:25" x14ac:dyDescent="0.35">
      <c r="A31" s="128">
        <v>34</v>
      </c>
      <c r="B31" s="132" t="s">
        <v>258</v>
      </c>
      <c r="C31" s="132" t="s">
        <v>231</v>
      </c>
      <c r="D31" s="133" t="s">
        <v>35</v>
      </c>
      <c r="E31" s="255">
        <v>0</v>
      </c>
      <c r="F31" s="255">
        <v>0</v>
      </c>
      <c r="G31" s="255">
        <f>0</f>
        <v>0</v>
      </c>
      <c r="H31" s="255">
        <f>IF(OffSite2206244168[[#This Row],[Actual Buyout]]+OffSite2206244168[[#This Row],[Change Orders]]=0,OffSite2206244168[[#This Row],[Original Contract]],OffSite2206244168[[#This Row],[Actual Buyout]]+OffSite2206244168[[#This Row],[Change Orders]])</f>
        <v>0</v>
      </c>
      <c r="I31" s="255">
        <v>0</v>
      </c>
      <c r="J31" s="150">
        <f>OffSite2206244168[[#This Row],[Original Contract]]-OffSite2206244168[[#This Row],[Revised Contract]]</f>
        <v>0</v>
      </c>
      <c r="S31" s="97"/>
      <c r="T31" s="97"/>
      <c r="V31" s="199"/>
      <c r="W31" s="199"/>
      <c r="X31" s="198"/>
      <c r="Y31" s="198"/>
    </row>
    <row r="32" spans="1:25" x14ac:dyDescent="0.35">
      <c r="A32" s="128">
        <v>34</v>
      </c>
      <c r="B32" s="132" t="s">
        <v>258</v>
      </c>
      <c r="C32" s="132" t="s">
        <v>231</v>
      </c>
      <c r="D32" s="133" t="s">
        <v>36</v>
      </c>
      <c r="E32" s="255">
        <v>0</v>
      </c>
      <c r="F32" s="255">
        <v>0</v>
      </c>
      <c r="G32" s="255">
        <f>0</f>
        <v>0</v>
      </c>
      <c r="H32" s="255">
        <f>IF(OffSite2206244168[[#This Row],[Actual Buyout]]+OffSite2206244168[[#This Row],[Change Orders]]=0,OffSite2206244168[[#This Row],[Original Contract]],OffSite2206244168[[#This Row],[Actual Buyout]]+OffSite2206244168[[#This Row],[Change Orders]])</f>
        <v>0</v>
      </c>
      <c r="I32" s="255">
        <v>0</v>
      </c>
      <c r="J32" s="150">
        <f>OffSite2206244168[[#This Row],[Original Contract]]-OffSite2206244168[[#This Row],[Revised Contract]]</f>
        <v>0</v>
      </c>
      <c r="S32" s="97"/>
      <c r="T32" s="97"/>
      <c r="V32" s="199"/>
      <c r="W32" s="199"/>
      <c r="X32" s="198"/>
      <c r="Y32" s="198"/>
    </row>
    <row r="33" spans="1:25" x14ac:dyDescent="0.35">
      <c r="A33" s="128">
        <v>34</v>
      </c>
      <c r="B33" s="132" t="s">
        <v>257</v>
      </c>
      <c r="C33" s="132" t="s">
        <v>229</v>
      </c>
      <c r="D33" s="133" t="s">
        <v>230</v>
      </c>
      <c r="E33" s="255">
        <v>0</v>
      </c>
      <c r="F33" s="255">
        <v>0</v>
      </c>
      <c r="G33" s="255">
        <f>0</f>
        <v>0</v>
      </c>
      <c r="H33" s="255">
        <f>IF(OffSite2206244168[[#This Row],[Actual Buyout]]+OffSite2206244168[[#This Row],[Change Orders]]=0,OffSite2206244168[[#This Row],[Original Contract]],OffSite2206244168[[#This Row],[Actual Buyout]]+OffSite2206244168[[#This Row],[Change Orders]])</f>
        <v>0</v>
      </c>
      <c r="I33" s="255">
        <v>0</v>
      </c>
      <c r="J33" s="150">
        <f>OffSite2206244168[[#This Row],[Original Contract]]-OffSite2206244168[[#This Row],[Revised Contract]]</f>
        <v>0</v>
      </c>
      <c r="K33" s="198"/>
      <c r="S33" s="97"/>
      <c r="T33" s="97"/>
      <c r="V33" s="199"/>
      <c r="W33" s="199"/>
      <c r="X33" s="198"/>
      <c r="Y33" s="198"/>
    </row>
    <row r="34" spans="1:25" x14ac:dyDescent="0.35">
      <c r="A34" s="128">
        <v>34</v>
      </c>
      <c r="B34" s="132"/>
      <c r="C34" s="132"/>
      <c r="D34" s="133" t="s">
        <v>799</v>
      </c>
      <c r="E34" s="255">
        <v>0</v>
      </c>
      <c r="F34" s="255">
        <v>0</v>
      </c>
      <c r="G34" s="255">
        <f>0</f>
        <v>0</v>
      </c>
      <c r="H34" s="255">
        <f>IF(OffSite2206244168[[#This Row],[Actual Buyout]]+OffSite2206244168[[#This Row],[Change Orders]]=0,OffSite2206244168[[#This Row],[Original Contract]],OffSite2206244168[[#This Row],[Actual Buyout]]+OffSite2206244168[[#This Row],[Change Orders]])</f>
        <v>0</v>
      </c>
      <c r="I34" s="255">
        <v>0</v>
      </c>
      <c r="J34" s="150">
        <f>OffSite2206244168[[#This Row],[Original Contract]]-OffSite2206244168[[#This Row],[Revised Contract]]</f>
        <v>0</v>
      </c>
      <c r="K34" s="198"/>
      <c r="S34" s="97"/>
      <c r="T34" s="97"/>
      <c r="V34" s="199"/>
      <c r="W34" s="199"/>
      <c r="X34" s="198"/>
      <c r="Y34" s="198"/>
    </row>
    <row r="35" spans="1:25" x14ac:dyDescent="0.35">
      <c r="A35" s="128">
        <v>34</v>
      </c>
      <c r="B35" s="132"/>
      <c r="C35" s="132"/>
      <c r="D35" s="133" t="s">
        <v>37</v>
      </c>
      <c r="E35" s="255">
        <v>0</v>
      </c>
      <c r="F35" s="255">
        <v>0</v>
      </c>
      <c r="G35" s="255">
        <f>0</f>
        <v>0</v>
      </c>
      <c r="H35" s="255">
        <f>IF(OffSite2206244168[[#This Row],[Actual Buyout]]+OffSite2206244168[[#This Row],[Change Orders]]=0,OffSite2206244168[[#This Row],[Original Contract]],OffSite2206244168[[#This Row],[Actual Buyout]]+OffSite2206244168[[#This Row],[Change Orders]])</f>
        <v>0</v>
      </c>
      <c r="I35" s="255">
        <v>0</v>
      </c>
      <c r="J35" s="150">
        <f>OffSite2206244168[[#This Row],[Original Contract]]-OffSite2206244168[[#This Row],[Revised Contract]]</f>
        <v>0</v>
      </c>
      <c r="K35" s="198"/>
      <c r="S35" s="97"/>
      <c r="T35" s="97"/>
      <c r="V35" s="199"/>
      <c r="W35" s="199"/>
      <c r="X35" s="198"/>
      <c r="Y35" s="198"/>
    </row>
    <row r="36" spans="1:25" x14ac:dyDescent="0.35">
      <c r="A36" s="128">
        <v>34</v>
      </c>
      <c r="B36" s="132"/>
      <c r="C36" s="132"/>
      <c r="D36" s="133" t="s">
        <v>37</v>
      </c>
      <c r="E36" s="255">
        <v>0</v>
      </c>
      <c r="F36" s="255">
        <v>0</v>
      </c>
      <c r="G36" s="255">
        <f>0</f>
        <v>0</v>
      </c>
      <c r="H36" s="255">
        <f>IF(OffSite2206244168[[#This Row],[Actual Buyout]]+OffSite2206244168[[#This Row],[Change Orders]]=0,OffSite2206244168[[#This Row],[Original Contract]],OffSite2206244168[[#This Row],[Actual Buyout]]+OffSite2206244168[[#This Row],[Change Orders]])</f>
        <v>0</v>
      </c>
      <c r="I36" s="255">
        <v>0</v>
      </c>
      <c r="J36" s="150">
        <f>OffSite2206244168[[#This Row],[Original Contract]]-OffSite2206244168[[#This Row],[Revised Contract]]</f>
        <v>0</v>
      </c>
      <c r="K36" s="198"/>
      <c r="S36" s="97"/>
      <c r="T36" s="97"/>
      <c r="V36" s="199"/>
      <c r="W36" s="199"/>
      <c r="X36" s="198"/>
      <c r="Y36" s="198"/>
    </row>
    <row r="37" spans="1:25" x14ac:dyDescent="0.35">
      <c r="A37" s="128">
        <v>34</v>
      </c>
      <c r="B37" s="132"/>
      <c r="C37" s="132"/>
      <c r="D37" s="133" t="s">
        <v>37</v>
      </c>
      <c r="E37" s="255">
        <v>0</v>
      </c>
      <c r="F37" s="255">
        <v>0</v>
      </c>
      <c r="G37" s="255">
        <f>0</f>
        <v>0</v>
      </c>
      <c r="H37" s="255">
        <f>IF(OffSite2206244168[[#This Row],[Actual Buyout]]+OffSite2206244168[[#This Row],[Change Orders]]=0,OffSite2206244168[[#This Row],[Original Contract]],OffSite2206244168[[#This Row],[Actual Buyout]]+OffSite2206244168[[#This Row],[Change Orders]])</f>
        <v>0</v>
      </c>
      <c r="I37" s="255">
        <v>0</v>
      </c>
      <c r="J37" s="150">
        <f>OffSite2206244168[[#This Row],[Original Contract]]-OffSite2206244168[[#This Row],[Revised Contract]]</f>
        <v>0</v>
      </c>
      <c r="K37" s="198"/>
      <c r="S37" s="97"/>
      <c r="T37" s="97"/>
      <c r="V37" s="199"/>
      <c r="W37" s="199"/>
      <c r="X37" s="198"/>
      <c r="Y37" s="198"/>
    </row>
    <row r="38" spans="1:25" x14ac:dyDescent="0.35">
      <c r="A38" s="128">
        <v>34</v>
      </c>
      <c r="B38" s="132"/>
      <c r="C38" s="132"/>
      <c r="D38" s="133" t="s">
        <v>37</v>
      </c>
      <c r="E38" s="255">
        <v>0</v>
      </c>
      <c r="F38" s="255">
        <v>0</v>
      </c>
      <c r="G38" s="255">
        <f>0</f>
        <v>0</v>
      </c>
      <c r="H38" s="255">
        <f>IF(OffSite2206244168[[#This Row],[Actual Buyout]]+OffSite2206244168[[#This Row],[Change Orders]]=0,OffSite2206244168[[#This Row],[Original Contract]],OffSite2206244168[[#This Row],[Actual Buyout]]+OffSite2206244168[[#This Row],[Change Orders]])</f>
        <v>0</v>
      </c>
      <c r="I38" s="255">
        <v>0</v>
      </c>
      <c r="J38" s="150">
        <f>OffSite2206244168[[#This Row],[Original Contract]]-OffSite2206244168[[#This Row],[Revised Contract]]</f>
        <v>0</v>
      </c>
      <c r="K38" s="198"/>
      <c r="S38" s="97"/>
      <c r="T38" s="97"/>
      <c r="V38" s="199"/>
      <c r="W38" s="199"/>
      <c r="X38" s="198"/>
      <c r="Y38" s="198"/>
    </row>
    <row r="39" spans="1:25" x14ac:dyDescent="0.35">
      <c r="A39" s="130"/>
      <c r="B39" s="131"/>
      <c r="C39" s="131"/>
      <c r="D39" s="256" t="s">
        <v>38</v>
      </c>
      <c r="E39" s="151">
        <f>SUM(OffSite2206244168[Original Contract])</f>
        <v>0</v>
      </c>
      <c r="F39" s="151">
        <f>SUM(OffSite2206244168[Actual Buyout])</f>
        <v>0</v>
      </c>
      <c r="G39" s="151">
        <f>SUM(OffSite2206244168[Change Orders])</f>
        <v>0</v>
      </c>
      <c r="H39" s="151">
        <f>SUM(OffSite2206244168[Revised Contract])</f>
        <v>0</v>
      </c>
      <c r="I39" s="151">
        <f>SUM(OffSite2206244168[Total completed and Stored])</f>
        <v>0</v>
      </c>
      <c r="J39" s="152">
        <f>SUM(OffSite2206244168[Delta])</f>
        <v>0</v>
      </c>
      <c r="T39" s="199"/>
      <c r="U39" s="199"/>
    </row>
    <row r="40" spans="1:25" x14ac:dyDescent="0.35">
      <c r="A40" s="100" t="s">
        <v>648</v>
      </c>
      <c r="B40" s="100" t="s">
        <v>3</v>
      </c>
      <c r="C40" s="100" t="s">
        <v>167</v>
      </c>
      <c r="D40" s="100" t="s">
        <v>26</v>
      </c>
      <c r="E40" s="100" t="s">
        <v>781</v>
      </c>
      <c r="F40" s="332" t="s">
        <v>1078</v>
      </c>
      <c r="G40" s="332" t="s">
        <v>782</v>
      </c>
      <c r="H40" s="332" t="s">
        <v>783</v>
      </c>
      <c r="I40" s="334" t="s">
        <v>785</v>
      </c>
      <c r="J40" s="346" t="s">
        <v>1079</v>
      </c>
      <c r="K40" s="199"/>
      <c r="S40" s="97"/>
      <c r="T40" s="97"/>
      <c r="V40" s="199"/>
      <c r="W40" s="199"/>
      <c r="X40" s="198"/>
      <c r="Y40" s="198"/>
    </row>
    <row r="41" spans="1:25" x14ac:dyDescent="0.35">
      <c r="A41" s="128">
        <v>31</v>
      </c>
      <c r="B41" s="132" t="s">
        <v>260</v>
      </c>
      <c r="C41" s="132" t="s">
        <v>259</v>
      </c>
      <c r="D41" s="133" t="s">
        <v>39</v>
      </c>
      <c r="E41" s="255">
        <v>0</v>
      </c>
      <c r="F41" s="255">
        <v>0</v>
      </c>
      <c r="G41" s="129">
        <f>0</f>
        <v>0</v>
      </c>
      <c r="H41" s="255">
        <f>IF(Demolition3207245169[[#This Row],[Actual Buyout]]+Demolition3207245169[[#This Row],[Change Orders]]=0,Demolition3207245169[[#This Row],[Original Contract]],Demolition3207245169[[#This Row],[Actual Buyout]]+Demolition3207245169[[#This Row],[Change Orders]])</f>
        <v>0</v>
      </c>
      <c r="I41" s="129">
        <v>0</v>
      </c>
      <c r="J41" s="333">
        <f>Demolition3207245169[[#This Row],[Original Contract]]-Demolition3207245169[[#This Row],[Revised Contract]]</f>
        <v>0</v>
      </c>
      <c r="K41" s="198"/>
      <c r="S41" s="97"/>
      <c r="T41" s="97"/>
      <c r="V41" s="199"/>
      <c r="W41" s="199"/>
      <c r="X41" s="198"/>
      <c r="Y41" s="198"/>
    </row>
    <row r="42" spans="1:25" x14ac:dyDescent="0.35">
      <c r="A42" s="128">
        <v>31</v>
      </c>
      <c r="B42" s="132" t="s">
        <v>260</v>
      </c>
      <c r="C42" s="132" t="s">
        <v>259</v>
      </c>
      <c r="D42" s="133" t="s">
        <v>40</v>
      </c>
      <c r="E42" s="255">
        <v>0</v>
      </c>
      <c r="F42" s="255">
        <v>0</v>
      </c>
      <c r="G42" s="129">
        <f>0</f>
        <v>0</v>
      </c>
      <c r="H42" s="255">
        <f>IF(Demolition3207245169[[#This Row],[Actual Buyout]]+Demolition3207245169[[#This Row],[Change Orders]]=0,Demolition3207245169[[#This Row],[Original Contract]],Demolition3207245169[[#This Row],[Actual Buyout]]+Demolition3207245169[[#This Row],[Change Orders]])</f>
        <v>0</v>
      </c>
      <c r="I42" s="129">
        <v>0</v>
      </c>
      <c r="J42" s="333">
        <f>Demolition3207245169[[#This Row],[Original Contract]]-Demolition3207245169[[#This Row],[Revised Contract]]</f>
        <v>0</v>
      </c>
      <c r="K42" s="198"/>
      <c r="S42" s="97"/>
      <c r="T42" s="97"/>
      <c r="V42" s="199"/>
      <c r="W42" s="199"/>
      <c r="X42" s="198"/>
      <c r="Y42" s="198"/>
    </row>
    <row r="43" spans="1:25" x14ac:dyDescent="0.35">
      <c r="A43" s="128">
        <v>31</v>
      </c>
      <c r="B43" s="132"/>
      <c r="C43" s="132"/>
      <c r="D43" s="133" t="s">
        <v>37</v>
      </c>
      <c r="E43" s="255">
        <v>0</v>
      </c>
      <c r="F43" s="255">
        <v>0</v>
      </c>
      <c r="G43" s="129">
        <f>0</f>
        <v>0</v>
      </c>
      <c r="H43" s="255">
        <f>IF(Demolition3207245169[[#This Row],[Actual Buyout]]+Demolition3207245169[[#This Row],[Change Orders]]=0,Demolition3207245169[[#This Row],[Original Contract]],Demolition3207245169[[#This Row],[Actual Buyout]]+Demolition3207245169[[#This Row],[Change Orders]])</f>
        <v>0</v>
      </c>
      <c r="I43" s="129">
        <v>0</v>
      </c>
      <c r="J43" s="333">
        <f>Demolition3207245169[[#This Row],[Original Contract]]-Demolition3207245169[[#This Row],[Revised Contract]]</f>
        <v>0</v>
      </c>
      <c r="K43" s="198"/>
      <c r="S43" s="97"/>
      <c r="T43" s="97"/>
      <c r="V43" s="199"/>
      <c r="W43" s="199"/>
      <c r="X43" s="198"/>
      <c r="Y43" s="198"/>
    </row>
    <row r="44" spans="1:25" x14ac:dyDescent="0.35">
      <c r="A44" s="128">
        <v>31</v>
      </c>
      <c r="B44" s="132"/>
      <c r="C44" s="132"/>
      <c r="D44" s="133" t="s">
        <v>37</v>
      </c>
      <c r="E44" s="255">
        <v>0</v>
      </c>
      <c r="F44" s="255">
        <v>0</v>
      </c>
      <c r="G44" s="129">
        <f>0</f>
        <v>0</v>
      </c>
      <c r="H44" s="255">
        <f>IF(Demolition3207245169[[#This Row],[Actual Buyout]]+Demolition3207245169[[#This Row],[Change Orders]]=0,Demolition3207245169[[#This Row],[Original Contract]],Demolition3207245169[[#This Row],[Actual Buyout]]+Demolition3207245169[[#This Row],[Change Orders]])</f>
        <v>0</v>
      </c>
      <c r="I44" s="129">
        <v>0</v>
      </c>
      <c r="J44" s="342">
        <f>Demolition3207245169[[#This Row],[Original Contract]]-Demolition3207245169[[#This Row],[Revised Contract]]</f>
        <v>0</v>
      </c>
      <c r="K44" s="198"/>
      <c r="S44" s="97"/>
      <c r="T44" s="97"/>
      <c r="V44" s="199"/>
      <c r="W44" s="199"/>
      <c r="X44" s="198"/>
      <c r="Y44" s="198"/>
    </row>
    <row r="45" spans="1:25" x14ac:dyDescent="0.35">
      <c r="A45" s="128">
        <v>31</v>
      </c>
      <c r="B45" s="132"/>
      <c r="C45" s="132"/>
      <c r="D45" s="133" t="s">
        <v>37</v>
      </c>
      <c r="E45" s="255">
        <v>0</v>
      </c>
      <c r="F45" s="255">
        <v>0</v>
      </c>
      <c r="G45" s="129">
        <f>0</f>
        <v>0</v>
      </c>
      <c r="H45" s="255">
        <f>IF(Demolition3207245169[[#This Row],[Actual Buyout]]+Demolition3207245169[[#This Row],[Change Orders]]=0,Demolition3207245169[[#This Row],[Original Contract]],Demolition3207245169[[#This Row],[Actual Buyout]]+Demolition3207245169[[#This Row],[Change Orders]])</f>
        <v>0</v>
      </c>
      <c r="I45" s="129">
        <v>0</v>
      </c>
      <c r="J45" s="342">
        <f>Demolition3207245169[[#This Row],[Original Contract]]-Demolition3207245169[[#This Row],[Revised Contract]]</f>
        <v>0</v>
      </c>
      <c r="K45" s="198"/>
      <c r="S45" s="97"/>
      <c r="T45" s="97"/>
      <c r="V45" s="199"/>
      <c r="W45" s="199"/>
      <c r="X45" s="198"/>
      <c r="Y45" s="198"/>
    </row>
    <row r="46" spans="1:25" x14ac:dyDescent="0.35">
      <c r="A46" s="128">
        <v>31</v>
      </c>
      <c r="B46" s="132"/>
      <c r="C46" s="132"/>
      <c r="D46" s="133" t="s">
        <v>37</v>
      </c>
      <c r="E46" s="255">
        <v>0</v>
      </c>
      <c r="F46" s="255">
        <v>0</v>
      </c>
      <c r="G46" s="129">
        <f>0</f>
        <v>0</v>
      </c>
      <c r="H46" s="255">
        <f>IF(Demolition3207245169[[#This Row],[Actual Buyout]]+Demolition3207245169[[#This Row],[Change Orders]]=0,Demolition3207245169[[#This Row],[Original Contract]],Demolition3207245169[[#This Row],[Actual Buyout]]+Demolition3207245169[[#This Row],[Change Orders]])</f>
        <v>0</v>
      </c>
      <c r="I46" s="129">
        <v>0</v>
      </c>
      <c r="J46" s="129">
        <f>Demolition3207245169[[#This Row],[Original Contract]]-Demolition3207245169[[#This Row],[Revised Contract]]</f>
        <v>0</v>
      </c>
      <c r="K46" s="341"/>
      <c r="L46" s="343"/>
      <c r="S46" s="97"/>
      <c r="T46" s="97"/>
      <c r="V46" s="199"/>
      <c r="W46" s="199"/>
      <c r="X46" s="198"/>
      <c r="Y46" s="198"/>
    </row>
    <row r="47" spans="1:25" x14ac:dyDescent="0.35">
      <c r="A47" s="128">
        <v>31</v>
      </c>
      <c r="B47" s="132"/>
      <c r="C47" s="132"/>
      <c r="D47" s="133" t="s">
        <v>37</v>
      </c>
      <c r="E47" s="255">
        <v>0</v>
      </c>
      <c r="F47" s="255">
        <v>0</v>
      </c>
      <c r="G47" s="129">
        <f>0</f>
        <v>0</v>
      </c>
      <c r="H47" s="255">
        <f>IF(Demolition3207245169[[#This Row],[Actual Buyout]]+Demolition3207245169[[#This Row],[Change Orders]]=0,Demolition3207245169[[#This Row],[Original Contract]],Demolition3207245169[[#This Row],[Actual Buyout]]+Demolition3207245169[[#This Row],[Change Orders]])</f>
        <v>0</v>
      </c>
      <c r="I47" s="129">
        <v>0</v>
      </c>
      <c r="J47" s="129">
        <f>Demolition3207245169[[#This Row],[Original Contract]]-Demolition3207245169[[#This Row],[Revised Contract]]</f>
        <v>0</v>
      </c>
      <c r="K47" s="341"/>
      <c r="L47" s="343"/>
      <c r="S47" s="97"/>
      <c r="T47" s="97"/>
      <c r="V47" s="199"/>
      <c r="W47" s="199"/>
      <c r="X47" s="198"/>
      <c r="Y47" s="198"/>
    </row>
    <row r="48" spans="1:25" x14ac:dyDescent="0.35">
      <c r="A48" s="257"/>
      <c r="B48" s="258"/>
      <c r="C48" s="258"/>
      <c r="D48" s="256" t="s">
        <v>38</v>
      </c>
      <c r="E48" s="151">
        <f>SUM(Demolition3207245169[Original Contract])</f>
        <v>0</v>
      </c>
      <c r="F48" s="151">
        <f>SUM(Demolition3207245169[Actual Buyout])</f>
        <v>0</v>
      </c>
      <c r="G48" s="151">
        <f>SUM(Demolition3207245169[Change Orders])</f>
        <v>0</v>
      </c>
      <c r="H48" s="151">
        <f>SUM(Demolition3207245169[Revised Contract])</f>
        <v>0</v>
      </c>
      <c r="I48" s="151">
        <f>SUM(Demolition3207245169[Total completed and Stored])</f>
        <v>0</v>
      </c>
      <c r="J48" s="151">
        <f>SUM(Demolition3207245169[Delta])</f>
        <v>0</v>
      </c>
      <c r="K48" s="343"/>
      <c r="L48" s="343"/>
      <c r="T48" s="199"/>
      <c r="U48" s="199"/>
    </row>
    <row r="49" spans="1:25" x14ac:dyDescent="0.35">
      <c r="A49" s="100" t="s">
        <v>648</v>
      </c>
      <c r="B49" s="100" t="s">
        <v>254</v>
      </c>
      <c r="C49" s="100" t="s">
        <v>167</v>
      </c>
      <c r="D49" s="100" t="s">
        <v>26</v>
      </c>
      <c r="E49" s="100" t="s">
        <v>781</v>
      </c>
      <c r="F49" s="332" t="s">
        <v>1078</v>
      </c>
      <c r="G49" s="332" t="s">
        <v>782</v>
      </c>
      <c r="H49" s="332" t="s">
        <v>783</v>
      </c>
      <c r="I49" s="334" t="s">
        <v>785</v>
      </c>
      <c r="J49" s="340" t="s">
        <v>1079</v>
      </c>
      <c r="K49" s="335"/>
      <c r="L49" s="343"/>
      <c r="S49" s="97"/>
      <c r="T49" s="97"/>
      <c r="V49" s="199"/>
      <c r="W49" s="199"/>
      <c r="X49" s="198"/>
      <c r="Y49" s="198"/>
    </row>
    <row r="50" spans="1:25" x14ac:dyDescent="0.35">
      <c r="A50" s="128">
        <v>31</v>
      </c>
      <c r="B50" s="132" t="s">
        <v>262</v>
      </c>
      <c r="C50" s="132" t="s">
        <v>261</v>
      </c>
      <c r="D50" s="133" t="s">
        <v>41</v>
      </c>
      <c r="E50" s="255">
        <v>0</v>
      </c>
      <c r="F50" s="255">
        <v>0</v>
      </c>
      <c r="G50" s="129">
        <f>0</f>
        <v>0</v>
      </c>
      <c r="H50" s="255">
        <f>IF(Earthwork4208246170[[#This Row],[Actual Buyout]]+Earthwork4208246170[[#This Row],[Change Orders]]=0,Earthwork4208246170[[#This Row],[Original Contract]],Earthwork4208246170[[#This Row],[Actual Buyout]]+Earthwork4208246170[[#This Row],[Change Orders]])</f>
        <v>0</v>
      </c>
      <c r="I50" s="129">
        <v>0</v>
      </c>
      <c r="J50" s="129">
        <f>Earthwork4208246170[[#This Row],[Original Contract]]-Earthwork4208246170[[#This Row],[Revised Contract]]</f>
        <v>0</v>
      </c>
      <c r="K50" s="341"/>
      <c r="L50" s="343"/>
      <c r="S50" s="97"/>
      <c r="T50" s="97"/>
      <c r="V50" s="199"/>
      <c r="W50" s="199"/>
      <c r="X50" s="198"/>
      <c r="Y50" s="198"/>
    </row>
    <row r="51" spans="1:25" x14ac:dyDescent="0.35">
      <c r="A51" s="128">
        <v>31</v>
      </c>
      <c r="B51" s="132" t="s">
        <v>263</v>
      </c>
      <c r="C51" s="132" t="s">
        <v>212</v>
      </c>
      <c r="D51" s="133" t="s">
        <v>42</v>
      </c>
      <c r="E51" s="255">
        <v>0</v>
      </c>
      <c r="F51" s="255">
        <v>0</v>
      </c>
      <c r="G51" s="129">
        <f>0</f>
        <v>0</v>
      </c>
      <c r="H51" s="255">
        <f>IF(Earthwork4208246170[[#This Row],[Actual Buyout]]+Earthwork4208246170[[#This Row],[Change Orders]]=0,Earthwork4208246170[[#This Row],[Original Contract]],Earthwork4208246170[[#This Row],[Actual Buyout]]+Earthwork4208246170[[#This Row],[Change Orders]])</f>
        <v>0</v>
      </c>
      <c r="I51" s="129">
        <v>0</v>
      </c>
      <c r="J51" s="129">
        <f>Earthwork4208246170[[#This Row],[Original Contract]]-Earthwork4208246170[[#This Row],[Revised Contract]]</f>
        <v>0</v>
      </c>
      <c r="K51" s="341"/>
      <c r="L51" s="343"/>
      <c r="S51" s="97"/>
      <c r="T51" s="97"/>
      <c r="V51" s="199"/>
      <c r="W51" s="199"/>
      <c r="X51" s="198"/>
      <c r="Y51" s="198"/>
    </row>
    <row r="52" spans="1:25" x14ac:dyDescent="0.35">
      <c r="A52" s="128">
        <v>31</v>
      </c>
      <c r="B52" s="132" t="s">
        <v>265</v>
      </c>
      <c r="C52" s="132" t="s">
        <v>264</v>
      </c>
      <c r="D52" s="133" t="s">
        <v>43</v>
      </c>
      <c r="E52" s="255">
        <v>0</v>
      </c>
      <c r="F52" s="255">
        <v>0</v>
      </c>
      <c r="G52" s="129">
        <f>0</f>
        <v>0</v>
      </c>
      <c r="H52" s="255">
        <f>IF(Earthwork4208246170[[#This Row],[Actual Buyout]]+Earthwork4208246170[[#This Row],[Change Orders]]=0,Earthwork4208246170[[#This Row],[Original Contract]],Earthwork4208246170[[#This Row],[Actual Buyout]]+Earthwork4208246170[[#This Row],[Change Orders]])</f>
        <v>0</v>
      </c>
      <c r="I52" s="129">
        <v>0</v>
      </c>
      <c r="J52" s="129">
        <f>Earthwork4208246170[[#This Row],[Original Contract]]-Earthwork4208246170[[#This Row],[Revised Contract]]</f>
        <v>0</v>
      </c>
      <c r="K52" s="341"/>
      <c r="L52" s="343"/>
      <c r="S52" s="97"/>
      <c r="T52" s="97"/>
      <c r="V52" s="199"/>
      <c r="W52" s="199"/>
      <c r="X52" s="198"/>
      <c r="Y52" s="198"/>
    </row>
    <row r="53" spans="1:25" x14ac:dyDescent="0.35">
      <c r="A53" s="128">
        <v>31</v>
      </c>
      <c r="B53" s="132" t="s">
        <v>265</v>
      </c>
      <c r="C53" s="132" t="s">
        <v>264</v>
      </c>
      <c r="D53" s="133" t="s">
        <v>44</v>
      </c>
      <c r="E53" s="255">
        <v>0</v>
      </c>
      <c r="F53" s="255">
        <v>0</v>
      </c>
      <c r="G53" s="129">
        <f>0</f>
        <v>0</v>
      </c>
      <c r="H53" s="255">
        <f>IF(Earthwork4208246170[[#This Row],[Actual Buyout]]+Earthwork4208246170[[#This Row],[Change Orders]]=0,Earthwork4208246170[[#This Row],[Original Contract]],Earthwork4208246170[[#This Row],[Actual Buyout]]+Earthwork4208246170[[#This Row],[Change Orders]])</f>
        <v>0</v>
      </c>
      <c r="I53" s="129">
        <v>0</v>
      </c>
      <c r="J53" s="129">
        <f>Earthwork4208246170[[#This Row],[Original Contract]]-Earthwork4208246170[[#This Row],[Revised Contract]]</f>
        <v>0</v>
      </c>
      <c r="K53" s="341"/>
      <c r="L53" s="343"/>
      <c r="S53" s="97"/>
      <c r="T53" s="97"/>
      <c r="V53" s="199"/>
      <c r="W53" s="199"/>
      <c r="X53" s="198"/>
      <c r="Y53" s="198"/>
    </row>
    <row r="54" spans="1:25" x14ac:dyDescent="0.35">
      <c r="A54" s="128">
        <v>31</v>
      </c>
      <c r="B54" s="132" t="s">
        <v>292</v>
      </c>
      <c r="C54" s="132" t="s">
        <v>291</v>
      </c>
      <c r="D54" s="133" t="s">
        <v>673</v>
      </c>
      <c r="E54" s="255">
        <v>0</v>
      </c>
      <c r="F54" s="255">
        <v>0</v>
      </c>
      <c r="G54" s="129">
        <f>0</f>
        <v>0</v>
      </c>
      <c r="H54" s="255">
        <f>IF(Earthwork4208246170[[#This Row],[Actual Buyout]]+Earthwork4208246170[[#This Row],[Change Orders]]=0,Earthwork4208246170[[#This Row],[Original Contract]],Earthwork4208246170[[#This Row],[Actual Buyout]]+Earthwork4208246170[[#This Row],[Change Orders]])</f>
        <v>0</v>
      </c>
      <c r="I54" s="129">
        <v>0</v>
      </c>
      <c r="J54" s="129">
        <f>Earthwork4208246170[[#This Row],[Original Contract]]-Earthwork4208246170[[#This Row],[Revised Contract]]</f>
        <v>0</v>
      </c>
      <c r="K54" s="341"/>
      <c r="L54" s="343"/>
      <c r="S54" s="97"/>
      <c r="T54" s="97"/>
      <c r="V54" s="199"/>
      <c r="W54" s="199"/>
      <c r="X54" s="198"/>
      <c r="Y54" s="198"/>
    </row>
    <row r="55" spans="1:25" x14ac:dyDescent="0.35">
      <c r="A55" s="128">
        <v>31</v>
      </c>
      <c r="B55" s="132" t="s">
        <v>214</v>
      </c>
      <c r="C55" s="132" t="s">
        <v>213</v>
      </c>
      <c r="D55" s="133" t="s">
        <v>214</v>
      </c>
      <c r="E55" s="255">
        <v>0</v>
      </c>
      <c r="F55" s="255">
        <v>0</v>
      </c>
      <c r="G55" s="129">
        <f>0</f>
        <v>0</v>
      </c>
      <c r="H55" s="255">
        <f>IF(Earthwork4208246170[[#This Row],[Actual Buyout]]+Earthwork4208246170[[#This Row],[Change Orders]]=0,Earthwork4208246170[[#This Row],[Original Contract]],Earthwork4208246170[[#This Row],[Actual Buyout]]+Earthwork4208246170[[#This Row],[Change Orders]])</f>
        <v>0</v>
      </c>
      <c r="I55" s="129">
        <v>0</v>
      </c>
      <c r="J55" s="129">
        <f>Earthwork4208246170[[#This Row],[Original Contract]]-Earthwork4208246170[[#This Row],[Revised Contract]]</f>
        <v>0</v>
      </c>
      <c r="K55" s="341"/>
      <c r="L55" s="343"/>
      <c r="S55" s="97"/>
      <c r="T55" s="97"/>
      <c r="V55" s="199"/>
      <c r="W55" s="199"/>
      <c r="X55" s="198"/>
      <c r="Y55" s="198"/>
    </row>
    <row r="56" spans="1:25" x14ac:dyDescent="0.35">
      <c r="A56" s="128">
        <v>31</v>
      </c>
      <c r="B56" s="132"/>
      <c r="C56" s="132"/>
      <c r="D56" s="133" t="s">
        <v>740</v>
      </c>
      <c r="E56" s="255">
        <v>0</v>
      </c>
      <c r="F56" s="255">
        <v>0</v>
      </c>
      <c r="G56" s="129">
        <f>0</f>
        <v>0</v>
      </c>
      <c r="H56" s="255">
        <f>IF(Earthwork4208246170[[#This Row],[Actual Buyout]]+Earthwork4208246170[[#This Row],[Change Orders]]=0,Earthwork4208246170[[#This Row],[Original Contract]],Earthwork4208246170[[#This Row],[Actual Buyout]]+Earthwork4208246170[[#This Row],[Change Orders]])</f>
        <v>0</v>
      </c>
      <c r="I56" s="129">
        <v>0</v>
      </c>
      <c r="J56" s="129">
        <f>Earthwork4208246170[[#This Row],[Original Contract]]-Earthwork4208246170[[#This Row],[Revised Contract]]</f>
        <v>0</v>
      </c>
      <c r="K56" s="341"/>
      <c r="L56" s="343"/>
      <c r="S56" s="97"/>
      <c r="T56" s="97"/>
      <c r="V56" s="199"/>
      <c r="W56" s="199"/>
      <c r="X56" s="198"/>
      <c r="Y56" s="198"/>
    </row>
    <row r="57" spans="1:25" x14ac:dyDescent="0.35">
      <c r="A57" s="128">
        <v>31</v>
      </c>
      <c r="B57" s="132"/>
      <c r="C57" s="132"/>
      <c r="D57" s="133" t="s">
        <v>800</v>
      </c>
      <c r="E57" s="255">
        <v>0</v>
      </c>
      <c r="F57" s="255">
        <v>0</v>
      </c>
      <c r="G57" s="129">
        <f>0</f>
        <v>0</v>
      </c>
      <c r="H57" s="255">
        <f>IF(Earthwork4208246170[[#This Row],[Actual Buyout]]+Earthwork4208246170[[#This Row],[Change Orders]]=0,Earthwork4208246170[[#This Row],[Original Contract]],Earthwork4208246170[[#This Row],[Actual Buyout]]+Earthwork4208246170[[#This Row],[Change Orders]])</f>
        <v>0</v>
      </c>
      <c r="I57" s="129">
        <v>0</v>
      </c>
      <c r="J57" s="129">
        <f>Earthwork4208246170[[#This Row],[Original Contract]]-Earthwork4208246170[[#This Row],[Revised Contract]]</f>
        <v>0</v>
      </c>
      <c r="K57" s="341"/>
      <c r="L57" s="343"/>
      <c r="S57" s="97"/>
      <c r="T57" s="97"/>
      <c r="V57" s="199"/>
      <c r="W57" s="199"/>
      <c r="X57" s="198"/>
      <c r="Y57" s="198"/>
    </row>
    <row r="58" spans="1:25" x14ac:dyDescent="0.35">
      <c r="A58" s="128">
        <v>31</v>
      </c>
      <c r="B58" s="132"/>
      <c r="C58" s="132"/>
      <c r="D58" s="133" t="s">
        <v>37</v>
      </c>
      <c r="E58" s="255">
        <v>0</v>
      </c>
      <c r="F58" s="255">
        <v>0</v>
      </c>
      <c r="G58" s="129">
        <f>0</f>
        <v>0</v>
      </c>
      <c r="H58" s="255">
        <f>IF(Earthwork4208246170[[#This Row],[Actual Buyout]]+Earthwork4208246170[[#This Row],[Change Orders]]=0,Earthwork4208246170[[#This Row],[Original Contract]],Earthwork4208246170[[#This Row],[Actual Buyout]]+Earthwork4208246170[[#This Row],[Change Orders]])</f>
        <v>0</v>
      </c>
      <c r="I58" s="129">
        <v>0</v>
      </c>
      <c r="J58" s="129">
        <f>Earthwork4208246170[[#This Row],[Original Contract]]-Earthwork4208246170[[#This Row],[Revised Contract]]</f>
        <v>0</v>
      </c>
      <c r="K58" s="341"/>
      <c r="L58" s="343"/>
      <c r="S58" s="97"/>
      <c r="T58" s="97"/>
      <c r="V58" s="199"/>
      <c r="W58" s="199"/>
      <c r="X58" s="198"/>
      <c r="Y58" s="198"/>
    </row>
    <row r="59" spans="1:25" x14ac:dyDescent="0.35">
      <c r="A59" s="128">
        <v>31</v>
      </c>
      <c r="B59" s="132"/>
      <c r="C59" s="132"/>
      <c r="D59" s="133" t="s">
        <v>37</v>
      </c>
      <c r="E59" s="255">
        <v>0</v>
      </c>
      <c r="F59" s="255">
        <v>0</v>
      </c>
      <c r="G59" s="129">
        <f>0</f>
        <v>0</v>
      </c>
      <c r="H59" s="255">
        <f>IF(Earthwork4208246170[[#This Row],[Actual Buyout]]+Earthwork4208246170[[#This Row],[Change Orders]]=0,Earthwork4208246170[[#This Row],[Original Contract]],Earthwork4208246170[[#This Row],[Actual Buyout]]+Earthwork4208246170[[#This Row],[Change Orders]])</f>
        <v>0</v>
      </c>
      <c r="I59" s="129">
        <v>0</v>
      </c>
      <c r="J59" s="129">
        <f>Earthwork4208246170[[#This Row],[Original Contract]]-Earthwork4208246170[[#This Row],[Revised Contract]]</f>
        <v>0</v>
      </c>
      <c r="K59" s="341"/>
      <c r="L59" s="343"/>
      <c r="S59" s="97"/>
      <c r="T59" s="97"/>
      <c r="V59" s="199"/>
      <c r="W59" s="199"/>
      <c r="X59" s="198"/>
      <c r="Y59" s="198"/>
    </row>
    <row r="60" spans="1:25" x14ac:dyDescent="0.35">
      <c r="A60" s="128">
        <v>31</v>
      </c>
      <c r="B60" s="132"/>
      <c r="C60" s="132"/>
      <c r="D60" s="133" t="s">
        <v>37</v>
      </c>
      <c r="E60" s="255">
        <v>0</v>
      </c>
      <c r="F60" s="255">
        <v>0</v>
      </c>
      <c r="G60" s="129">
        <f>0</f>
        <v>0</v>
      </c>
      <c r="H60" s="255">
        <f>IF(Earthwork4208246170[[#This Row],[Actual Buyout]]+Earthwork4208246170[[#This Row],[Change Orders]]=0,Earthwork4208246170[[#This Row],[Original Contract]],Earthwork4208246170[[#This Row],[Actual Buyout]]+Earthwork4208246170[[#This Row],[Change Orders]])</f>
        <v>0</v>
      </c>
      <c r="I60" s="129">
        <v>0</v>
      </c>
      <c r="J60" s="129">
        <f>Earthwork4208246170[[#This Row],[Original Contract]]-Earthwork4208246170[[#This Row],[Revised Contract]]</f>
        <v>0</v>
      </c>
      <c r="K60" s="341"/>
      <c r="L60" s="343"/>
      <c r="S60" s="97"/>
      <c r="T60" s="97"/>
      <c r="V60" s="199"/>
      <c r="W60" s="199"/>
      <c r="X60" s="198"/>
      <c r="Y60" s="198"/>
    </row>
    <row r="61" spans="1:25" x14ac:dyDescent="0.35">
      <c r="A61" s="257"/>
      <c r="B61" s="258"/>
      <c r="C61" s="258"/>
      <c r="D61" s="256" t="s">
        <v>38</v>
      </c>
      <c r="E61" s="151">
        <f>SUM(Earthwork4208246170[Original Contract])</f>
        <v>0</v>
      </c>
      <c r="F61" s="151">
        <f>SUM(Earthwork4208246170[Actual Buyout])</f>
        <v>0</v>
      </c>
      <c r="G61" s="151">
        <f>SUM(Earthwork4208246170[Change Orders])</f>
        <v>0</v>
      </c>
      <c r="H61" s="151">
        <f>SUM(Earthwork4208246170[Revised Contract])</f>
        <v>0</v>
      </c>
      <c r="I61" s="151">
        <f>SUM(Earthwork4208246170[Total completed and Stored])</f>
        <v>0</v>
      </c>
      <c r="J61" s="151">
        <f>SUM(Earthwork4208246170[Delta])</f>
        <v>0</v>
      </c>
      <c r="K61" s="335"/>
      <c r="L61" s="343"/>
      <c r="S61" s="97"/>
      <c r="T61" s="97"/>
      <c r="V61" s="199"/>
      <c r="W61" s="199"/>
      <c r="X61" s="198"/>
      <c r="Y61" s="198"/>
    </row>
    <row r="62" spans="1:25" x14ac:dyDescent="0.35">
      <c r="A62" s="100" t="s">
        <v>648</v>
      </c>
      <c r="B62" s="100" t="s">
        <v>49</v>
      </c>
      <c r="C62" s="100" t="s">
        <v>167</v>
      </c>
      <c r="D62" s="100" t="s">
        <v>26</v>
      </c>
      <c r="E62" s="100" t="s">
        <v>781</v>
      </c>
      <c r="F62" s="332" t="s">
        <v>1078</v>
      </c>
      <c r="G62" s="332" t="s">
        <v>782</v>
      </c>
      <c r="H62" s="332" t="s">
        <v>783</v>
      </c>
      <c r="I62" s="334" t="s">
        <v>785</v>
      </c>
      <c r="J62" s="340" t="s">
        <v>1079</v>
      </c>
      <c r="K62" s="335"/>
      <c r="L62" s="343"/>
      <c r="S62" s="97"/>
      <c r="T62" s="97"/>
      <c r="V62" s="199"/>
      <c r="W62" s="199"/>
      <c r="X62" s="198"/>
      <c r="Y62" s="198"/>
    </row>
    <row r="63" spans="1:25" x14ac:dyDescent="0.35">
      <c r="A63" s="128">
        <v>31</v>
      </c>
      <c r="B63" s="132" t="s">
        <v>266</v>
      </c>
      <c r="C63" s="132" t="s">
        <v>215</v>
      </c>
      <c r="D63" s="133" t="s">
        <v>50</v>
      </c>
      <c r="E63" s="255">
        <v>0</v>
      </c>
      <c r="F63" s="255">
        <v>0</v>
      </c>
      <c r="G63" s="129">
        <f>0</f>
        <v>0</v>
      </c>
      <c r="H63" s="255">
        <f>IF(Erosion5209247171[[#This Row],[Actual Buyout]]+Erosion5209247171[[#This Row],[Change Orders]]=0,Erosion5209247171[[#This Row],[Original Contract]],Erosion5209247171[[#This Row],[Actual Buyout]]+Erosion5209247171[[#This Row],[Change Orders]])</f>
        <v>0</v>
      </c>
      <c r="I63" s="129">
        <v>0</v>
      </c>
      <c r="J63" s="129">
        <f>Erosion5209247171[[#This Row],[Original Contract]]-Erosion5209247171[[#This Row],[Revised Contract]]</f>
        <v>0</v>
      </c>
      <c r="K63" s="341"/>
      <c r="L63" s="343"/>
      <c r="S63" s="97"/>
      <c r="T63" s="97"/>
      <c r="V63" s="199"/>
      <c r="W63" s="199"/>
      <c r="X63" s="198"/>
      <c r="Y63" s="198"/>
    </row>
    <row r="64" spans="1:25" x14ac:dyDescent="0.35">
      <c r="A64" s="128">
        <v>31</v>
      </c>
      <c r="B64" s="132" t="s">
        <v>262</v>
      </c>
      <c r="C64" s="132" t="s">
        <v>261</v>
      </c>
      <c r="D64" s="133" t="s">
        <v>158</v>
      </c>
      <c r="E64" s="255">
        <v>0</v>
      </c>
      <c r="F64" s="255">
        <v>0</v>
      </c>
      <c r="G64" s="129">
        <f>0</f>
        <v>0</v>
      </c>
      <c r="H64" s="255">
        <f>IF(Erosion5209247171[[#This Row],[Actual Buyout]]+Erosion5209247171[[#This Row],[Change Orders]]=0,Erosion5209247171[[#This Row],[Original Contract]],Erosion5209247171[[#This Row],[Actual Buyout]]+Erosion5209247171[[#This Row],[Change Orders]])</f>
        <v>0</v>
      </c>
      <c r="I64" s="129">
        <v>0</v>
      </c>
      <c r="J64" s="129">
        <f>Erosion5209247171[[#This Row],[Original Contract]]-Erosion5209247171[[#This Row],[Revised Contract]]</f>
        <v>0</v>
      </c>
      <c r="K64" s="341"/>
      <c r="L64" s="343"/>
      <c r="S64" s="97"/>
      <c r="T64" s="97"/>
      <c r="V64" s="199"/>
      <c r="W64" s="199"/>
      <c r="X64" s="198"/>
      <c r="Y64" s="198"/>
    </row>
    <row r="65" spans="1:25" x14ac:dyDescent="0.35">
      <c r="A65" s="128">
        <v>31</v>
      </c>
      <c r="B65" s="132" t="s">
        <v>262</v>
      </c>
      <c r="C65" s="132" t="s">
        <v>261</v>
      </c>
      <c r="D65" s="133" t="s">
        <v>51</v>
      </c>
      <c r="E65" s="255">
        <v>0</v>
      </c>
      <c r="F65" s="255">
        <v>0</v>
      </c>
      <c r="G65" s="129">
        <f>0</f>
        <v>0</v>
      </c>
      <c r="H65" s="255">
        <f>IF(Erosion5209247171[[#This Row],[Actual Buyout]]+Erosion5209247171[[#This Row],[Change Orders]]=0,Erosion5209247171[[#This Row],[Original Contract]],Erosion5209247171[[#This Row],[Actual Buyout]]+Erosion5209247171[[#This Row],[Change Orders]])</f>
        <v>0</v>
      </c>
      <c r="I65" s="129">
        <v>0</v>
      </c>
      <c r="J65" s="129">
        <f>Erosion5209247171[[#This Row],[Original Contract]]-Erosion5209247171[[#This Row],[Revised Contract]]</f>
        <v>0</v>
      </c>
      <c r="K65" s="341"/>
      <c r="L65" s="343"/>
      <c r="S65" s="97"/>
      <c r="T65" s="97"/>
      <c r="V65" s="199"/>
      <c r="W65" s="199"/>
      <c r="X65" s="198"/>
      <c r="Y65" s="198"/>
    </row>
    <row r="66" spans="1:25" x14ac:dyDescent="0.35">
      <c r="A66" s="128">
        <v>31</v>
      </c>
      <c r="B66" s="132"/>
      <c r="C66" s="132"/>
      <c r="D66" s="133" t="s">
        <v>37</v>
      </c>
      <c r="E66" s="255">
        <v>0</v>
      </c>
      <c r="F66" s="255">
        <v>0</v>
      </c>
      <c r="G66" s="129">
        <f>0</f>
        <v>0</v>
      </c>
      <c r="H66" s="255">
        <f>IF(Erosion5209247171[[#This Row],[Actual Buyout]]+Erosion5209247171[[#This Row],[Change Orders]]=0,Erosion5209247171[[#This Row],[Original Contract]],Erosion5209247171[[#This Row],[Actual Buyout]]+Erosion5209247171[[#This Row],[Change Orders]])</f>
        <v>0</v>
      </c>
      <c r="I66" s="129">
        <v>0</v>
      </c>
      <c r="J66" s="129">
        <f>Erosion5209247171[[#This Row],[Original Contract]]-Erosion5209247171[[#This Row],[Revised Contract]]</f>
        <v>0</v>
      </c>
      <c r="K66" s="341"/>
      <c r="L66" s="343"/>
      <c r="S66" s="97"/>
      <c r="T66" s="97"/>
      <c r="V66" s="199"/>
      <c r="W66" s="199"/>
      <c r="X66" s="198"/>
      <c r="Y66" s="198"/>
    </row>
    <row r="67" spans="1:25" x14ac:dyDescent="0.35">
      <c r="A67" s="128">
        <v>31</v>
      </c>
      <c r="B67" s="132"/>
      <c r="C67" s="132"/>
      <c r="D67" s="133" t="s">
        <v>37</v>
      </c>
      <c r="E67" s="255">
        <v>0</v>
      </c>
      <c r="F67" s="255">
        <v>0</v>
      </c>
      <c r="G67" s="129">
        <f>0</f>
        <v>0</v>
      </c>
      <c r="H67" s="255">
        <f>IF(Erosion5209247171[[#This Row],[Actual Buyout]]+Erosion5209247171[[#This Row],[Change Orders]]=0,Erosion5209247171[[#This Row],[Original Contract]],Erosion5209247171[[#This Row],[Actual Buyout]]+Erosion5209247171[[#This Row],[Change Orders]])</f>
        <v>0</v>
      </c>
      <c r="I67" s="129">
        <v>0</v>
      </c>
      <c r="J67" s="129">
        <f>Erosion5209247171[[#This Row],[Original Contract]]-Erosion5209247171[[#This Row],[Revised Contract]]</f>
        <v>0</v>
      </c>
      <c r="K67" s="341"/>
      <c r="L67" s="343"/>
      <c r="S67" s="97"/>
      <c r="T67" s="97"/>
      <c r="V67" s="199"/>
      <c r="W67" s="199"/>
      <c r="X67" s="198"/>
      <c r="Y67" s="198"/>
    </row>
    <row r="68" spans="1:25" x14ac:dyDescent="0.35">
      <c r="A68" s="128">
        <v>31</v>
      </c>
      <c r="B68" s="132"/>
      <c r="C68" s="132"/>
      <c r="D68" s="133" t="s">
        <v>37</v>
      </c>
      <c r="E68" s="255">
        <v>0</v>
      </c>
      <c r="F68" s="255">
        <v>0</v>
      </c>
      <c r="G68" s="129">
        <f>0</f>
        <v>0</v>
      </c>
      <c r="H68" s="255">
        <f>IF(Erosion5209247171[[#This Row],[Actual Buyout]]+Erosion5209247171[[#This Row],[Change Orders]]=0,Erosion5209247171[[#This Row],[Original Contract]],Erosion5209247171[[#This Row],[Actual Buyout]]+Erosion5209247171[[#This Row],[Change Orders]])</f>
        <v>0</v>
      </c>
      <c r="I68" s="129">
        <v>0</v>
      </c>
      <c r="J68" s="129">
        <f>Erosion5209247171[[#This Row],[Original Contract]]-Erosion5209247171[[#This Row],[Revised Contract]]</f>
        <v>0</v>
      </c>
      <c r="K68" s="341"/>
      <c r="L68" s="343"/>
      <c r="S68" s="97"/>
      <c r="T68" s="97"/>
      <c r="V68" s="199"/>
      <c r="W68" s="199"/>
      <c r="X68" s="198"/>
      <c r="Y68" s="198"/>
    </row>
    <row r="69" spans="1:25" x14ac:dyDescent="0.35">
      <c r="A69" s="128">
        <v>31</v>
      </c>
      <c r="B69" s="132"/>
      <c r="C69" s="132"/>
      <c r="D69" s="133" t="s">
        <v>37</v>
      </c>
      <c r="E69" s="255">
        <v>0</v>
      </c>
      <c r="F69" s="255">
        <v>0</v>
      </c>
      <c r="G69" s="129">
        <f>0</f>
        <v>0</v>
      </c>
      <c r="H69" s="255">
        <f>IF(Erosion5209247171[[#This Row],[Actual Buyout]]+Erosion5209247171[[#This Row],[Change Orders]]=0,Erosion5209247171[[#This Row],[Original Contract]],Erosion5209247171[[#This Row],[Actual Buyout]]+Erosion5209247171[[#This Row],[Change Orders]])</f>
        <v>0</v>
      </c>
      <c r="I69" s="129">
        <v>0</v>
      </c>
      <c r="J69" s="129">
        <f>Erosion5209247171[[#This Row],[Original Contract]]-Erosion5209247171[[#This Row],[Revised Contract]]</f>
        <v>0</v>
      </c>
      <c r="K69" s="341"/>
      <c r="L69" s="343"/>
      <c r="S69" s="97"/>
      <c r="T69" s="97"/>
      <c r="V69" s="199"/>
      <c r="W69" s="199"/>
      <c r="X69" s="198"/>
      <c r="Y69" s="198"/>
    </row>
    <row r="70" spans="1:25" x14ac:dyDescent="0.35">
      <c r="A70" s="128">
        <v>31</v>
      </c>
      <c r="B70" s="132"/>
      <c r="C70" s="132"/>
      <c r="D70" s="133" t="s">
        <v>37</v>
      </c>
      <c r="E70" s="255">
        <v>0</v>
      </c>
      <c r="F70" s="255">
        <v>0</v>
      </c>
      <c r="G70" s="129">
        <f>0</f>
        <v>0</v>
      </c>
      <c r="H70" s="255">
        <f>IF(Erosion5209247171[[#This Row],[Actual Buyout]]+Erosion5209247171[[#This Row],[Change Orders]]=0,Erosion5209247171[[#This Row],[Original Contract]],Erosion5209247171[[#This Row],[Actual Buyout]]+Erosion5209247171[[#This Row],[Change Orders]])</f>
        <v>0</v>
      </c>
      <c r="I70" s="129">
        <v>0</v>
      </c>
      <c r="J70" s="129">
        <f>Erosion5209247171[[#This Row],[Original Contract]]-Erosion5209247171[[#This Row],[Revised Contract]]</f>
        <v>0</v>
      </c>
      <c r="K70" s="341"/>
      <c r="L70" s="343"/>
      <c r="S70" s="97"/>
      <c r="T70" s="97"/>
      <c r="V70" s="199"/>
      <c r="W70" s="199"/>
      <c r="X70" s="198"/>
      <c r="Y70" s="198"/>
    </row>
    <row r="71" spans="1:25" x14ac:dyDescent="0.35">
      <c r="A71" s="257"/>
      <c r="B71" s="258"/>
      <c r="C71" s="258"/>
      <c r="D71" s="256" t="s">
        <v>38</v>
      </c>
      <c r="E71" s="151">
        <f>SUM(Erosion5209247171[Original Contract])</f>
        <v>0</v>
      </c>
      <c r="F71" s="151">
        <f>SUM(Erosion5209247171[Actual Buyout])</f>
        <v>0</v>
      </c>
      <c r="G71" s="151">
        <f>SUM(Erosion5209247171[Change Orders])</f>
        <v>0</v>
      </c>
      <c r="H71" s="151">
        <f>SUM(Erosion5209247171[Revised Contract])</f>
        <v>0</v>
      </c>
      <c r="I71" s="151">
        <f>SUM(Erosion5209247171[Total completed and Stored])</f>
        <v>0</v>
      </c>
      <c r="J71" s="151">
        <f>SUM(Erosion5209247171[Delta])</f>
        <v>0</v>
      </c>
      <c r="K71" s="343"/>
      <c r="L71" s="343"/>
      <c r="T71" s="199"/>
      <c r="U71" s="199"/>
    </row>
    <row r="72" spans="1:25" x14ac:dyDescent="0.35">
      <c r="A72" s="100" t="s">
        <v>649</v>
      </c>
      <c r="B72" s="100" t="s">
        <v>27</v>
      </c>
      <c r="C72" s="100" t="s">
        <v>167</v>
      </c>
      <c r="D72" s="100" t="s">
        <v>26</v>
      </c>
      <c r="E72" s="100" t="s">
        <v>781</v>
      </c>
      <c r="F72" s="332" t="s">
        <v>1078</v>
      </c>
      <c r="G72" s="332" t="s">
        <v>782</v>
      </c>
      <c r="H72" s="332" t="s">
        <v>783</v>
      </c>
      <c r="I72" s="334" t="s">
        <v>785</v>
      </c>
      <c r="J72" s="340" t="s">
        <v>1079</v>
      </c>
      <c r="K72" s="335"/>
      <c r="L72" s="343"/>
      <c r="S72" s="97"/>
      <c r="T72" s="97"/>
      <c r="V72" s="199"/>
      <c r="W72" s="199"/>
      <c r="X72" s="198"/>
      <c r="Y72" s="198"/>
    </row>
    <row r="73" spans="1:25" x14ac:dyDescent="0.35">
      <c r="A73" s="128">
        <v>32</v>
      </c>
      <c r="B73" s="132" t="s">
        <v>268</v>
      </c>
      <c r="C73" s="132" t="s">
        <v>267</v>
      </c>
      <c r="D73" s="133" t="s">
        <v>52</v>
      </c>
      <c r="E73" s="255">
        <v>0</v>
      </c>
      <c r="F73" s="255">
        <v>0</v>
      </c>
      <c r="G73" s="129">
        <f>0</f>
        <v>0</v>
      </c>
      <c r="H73" s="255">
        <f>IF(Asphalt6210248172[[#This Row],[Actual Buyout]]+Asphalt6210248172[[#This Row],[Change Orders]]=0,Asphalt6210248172[[#This Row],[Original Contract]],Asphalt6210248172[[#This Row],[Actual Buyout]]+Asphalt6210248172[[#This Row],[Change Orders]])</f>
        <v>0</v>
      </c>
      <c r="I73" s="129">
        <v>0</v>
      </c>
      <c r="J73" s="129">
        <f>Asphalt6210248172[[#This Row],[Original Contract]]-Asphalt6210248172[[#This Row],[Revised Contract]]</f>
        <v>0</v>
      </c>
      <c r="K73" s="341"/>
      <c r="L73" s="343"/>
      <c r="S73" s="97"/>
      <c r="T73" s="97"/>
      <c r="V73" s="199"/>
      <c r="W73" s="199"/>
      <c r="X73" s="198"/>
      <c r="Y73" s="198"/>
    </row>
    <row r="74" spans="1:25" x14ac:dyDescent="0.35">
      <c r="A74" s="128">
        <v>32</v>
      </c>
      <c r="B74" s="132" t="s">
        <v>268</v>
      </c>
      <c r="C74" s="132" t="s">
        <v>267</v>
      </c>
      <c r="D74" s="133" t="s">
        <v>53</v>
      </c>
      <c r="E74" s="255">
        <v>0</v>
      </c>
      <c r="F74" s="255">
        <v>0</v>
      </c>
      <c r="G74" s="129">
        <f>0</f>
        <v>0</v>
      </c>
      <c r="H74" s="255">
        <f>IF(Asphalt6210248172[[#This Row],[Actual Buyout]]+Asphalt6210248172[[#This Row],[Change Orders]]=0,Asphalt6210248172[[#This Row],[Original Contract]],Asphalt6210248172[[#This Row],[Actual Buyout]]+Asphalt6210248172[[#This Row],[Change Orders]])</f>
        <v>0</v>
      </c>
      <c r="I74" s="129">
        <v>0</v>
      </c>
      <c r="J74" s="129">
        <f>Asphalt6210248172[[#This Row],[Original Contract]]-Asphalt6210248172[[#This Row],[Revised Contract]]</f>
        <v>0</v>
      </c>
      <c r="K74" s="341"/>
      <c r="L74" s="343"/>
      <c r="S74" s="97"/>
      <c r="T74" s="97"/>
      <c r="V74" s="199"/>
      <c r="W74" s="199"/>
      <c r="X74" s="198"/>
      <c r="Y74" s="198"/>
    </row>
    <row r="75" spans="1:25" x14ac:dyDescent="0.35">
      <c r="A75" s="128">
        <v>32</v>
      </c>
      <c r="B75" s="132"/>
      <c r="C75" s="132"/>
      <c r="D75" s="133" t="s">
        <v>37</v>
      </c>
      <c r="E75" s="255">
        <v>0</v>
      </c>
      <c r="F75" s="255">
        <v>0</v>
      </c>
      <c r="G75" s="129">
        <f>0</f>
        <v>0</v>
      </c>
      <c r="H75" s="255">
        <f>IF(Asphalt6210248172[[#This Row],[Actual Buyout]]+Asphalt6210248172[[#This Row],[Change Orders]]=0,Asphalt6210248172[[#This Row],[Original Contract]],Asphalt6210248172[[#This Row],[Actual Buyout]]+Asphalt6210248172[[#This Row],[Change Orders]])</f>
        <v>0</v>
      </c>
      <c r="I75" s="129">
        <v>0</v>
      </c>
      <c r="J75" s="129">
        <f>Asphalt6210248172[[#This Row],[Original Contract]]-Asphalt6210248172[[#This Row],[Revised Contract]]</f>
        <v>0</v>
      </c>
      <c r="K75" s="341"/>
      <c r="L75" s="343"/>
      <c r="S75" s="97"/>
      <c r="T75" s="97"/>
      <c r="V75" s="199"/>
      <c r="W75" s="199"/>
      <c r="X75" s="198"/>
      <c r="Y75" s="198"/>
    </row>
    <row r="76" spans="1:25" x14ac:dyDescent="0.35">
      <c r="A76" s="128">
        <v>32</v>
      </c>
      <c r="B76" s="132"/>
      <c r="C76" s="132"/>
      <c r="D76" s="133" t="s">
        <v>37</v>
      </c>
      <c r="E76" s="255">
        <v>0</v>
      </c>
      <c r="F76" s="255">
        <v>0</v>
      </c>
      <c r="G76" s="129">
        <f>0</f>
        <v>0</v>
      </c>
      <c r="H76" s="255">
        <f>IF(Asphalt6210248172[[#This Row],[Actual Buyout]]+Asphalt6210248172[[#This Row],[Change Orders]]=0,Asphalt6210248172[[#This Row],[Original Contract]],Asphalt6210248172[[#This Row],[Actual Buyout]]+Asphalt6210248172[[#This Row],[Change Orders]])</f>
        <v>0</v>
      </c>
      <c r="I76" s="129">
        <v>0</v>
      </c>
      <c r="J76" s="129">
        <f>Asphalt6210248172[[#This Row],[Original Contract]]-Asphalt6210248172[[#This Row],[Revised Contract]]</f>
        <v>0</v>
      </c>
      <c r="K76" s="341"/>
      <c r="L76" s="343"/>
      <c r="S76" s="97"/>
      <c r="T76" s="97"/>
      <c r="V76" s="199"/>
      <c r="W76" s="199"/>
      <c r="X76" s="198"/>
      <c r="Y76" s="198"/>
    </row>
    <row r="77" spans="1:25" x14ac:dyDescent="0.35">
      <c r="A77" s="128">
        <v>32</v>
      </c>
      <c r="B77" s="132"/>
      <c r="C77" s="132"/>
      <c r="D77" s="133" t="s">
        <v>37</v>
      </c>
      <c r="E77" s="255">
        <v>0</v>
      </c>
      <c r="F77" s="255">
        <v>0</v>
      </c>
      <c r="G77" s="129">
        <f>0</f>
        <v>0</v>
      </c>
      <c r="H77" s="255">
        <f>IF(Asphalt6210248172[[#This Row],[Actual Buyout]]+Asphalt6210248172[[#This Row],[Change Orders]]=0,Asphalt6210248172[[#This Row],[Original Contract]],Asphalt6210248172[[#This Row],[Actual Buyout]]+Asphalt6210248172[[#This Row],[Change Orders]])</f>
        <v>0</v>
      </c>
      <c r="I77" s="129">
        <v>0</v>
      </c>
      <c r="J77" s="129">
        <f>Asphalt6210248172[[#This Row],[Original Contract]]-Asphalt6210248172[[#This Row],[Revised Contract]]</f>
        <v>0</v>
      </c>
      <c r="K77" s="341"/>
      <c r="L77" s="343"/>
      <c r="S77" s="97"/>
      <c r="T77" s="97"/>
      <c r="V77" s="199"/>
      <c r="W77" s="199"/>
      <c r="X77" s="198"/>
      <c r="Y77" s="198"/>
    </row>
    <row r="78" spans="1:25" x14ac:dyDescent="0.35">
      <c r="A78" s="128">
        <v>32</v>
      </c>
      <c r="B78" s="132"/>
      <c r="C78" s="132"/>
      <c r="D78" s="133" t="s">
        <v>37</v>
      </c>
      <c r="E78" s="255">
        <v>0</v>
      </c>
      <c r="F78" s="255">
        <v>0</v>
      </c>
      <c r="G78" s="129">
        <f>0</f>
        <v>0</v>
      </c>
      <c r="H78" s="255">
        <f>IF(Asphalt6210248172[[#This Row],[Actual Buyout]]+Asphalt6210248172[[#This Row],[Change Orders]]=0,Asphalt6210248172[[#This Row],[Original Contract]],Asphalt6210248172[[#This Row],[Actual Buyout]]+Asphalt6210248172[[#This Row],[Change Orders]])</f>
        <v>0</v>
      </c>
      <c r="I78" s="129">
        <v>0</v>
      </c>
      <c r="J78" s="129">
        <f>Asphalt6210248172[[#This Row],[Original Contract]]-Asphalt6210248172[[#This Row],[Revised Contract]]</f>
        <v>0</v>
      </c>
      <c r="K78" s="341"/>
      <c r="L78" s="343"/>
      <c r="S78" s="97"/>
      <c r="T78" s="97"/>
      <c r="V78" s="199"/>
      <c r="W78" s="199"/>
      <c r="X78" s="198"/>
      <c r="Y78" s="198"/>
    </row>
    <row r="79" spans="1:25" x14ac:dyDescent="0.35">
      <c r="A79" s="128">
        <v>32</v>
      </c>
      <c r="B79" s="132"/>
      <c r="C79" s="132"/>
      <c r="D79" s="133" t="s">
        <v>37</v>
      </c>
      <c r="E79" s="255">
        <v>0</v>
      </c>
      <c r="F79" s="255">
        <v>0</v>
      </c>
      <c r="G79" s="129">
        <f>0</f>
        <v>0</v>
      </c>
      <c r="H79" s="255">
        <f>IF(Asphalt6210248172[[#This Row],[Actual Buyout]]+Asphalt6210248172[[#This Row],[Change Orders]]=0,Asphalt6210248172[[#This Row],[Original Contract]],Asphalt6210248172[[#This Row],[Actual Buyout]]+Asphalt6210248172[[#This Row],[Change Orders]])</f>
        <v>0</v>
      </c>
      <c r="I79" s="129">
        <v>0</v>
      </c>
      <c r="J79" s="129">
        <f>Asphalt6210248172[[#This Row],[Original Contract]]-Asphalt6210248172[[#This Row],[Revised Contract]]</f>
        <v>0</v>
      </c>
      <c r="K79" s="341"/>
      <c r="L79" s="343"/>
      <c r="S79" s="97"/>
      <c r="T79" s="97"/>
      <c r="V79" s="199"/>
      <c r="W79" s="199"/>
      <c r="X79" s="198"/>
      <c r="Y79" s="198"/>
    </row>
    <row r="80" spans="1:25" x14ac:dyDescent="0.35">
      <c r="A80" s="257"/>
      <c r="B80" s="258"/>
      <c r="C80" s="258"/>
      <c r="D80" s="256" t="s">
        <v>38</v>
      </c>
      <c r="E80" s="151">
        <f>SUM(Asphalt6210248172[Original Contract])</f>
        <v>0</v>
      </c>
      <c r="F80" s="151">
        <f>SUM(Asphalt6210248172[Actual Buyout])</f>
        <v>0</v>
      </c>
      <c r="G80" s="151">
        <f>SUM(Asphalt6210248172[Change Orders])</f>
        <v>0</v>
      </c>
      <c r="H80" s="151">
        <f>SUM(Asphalt6210248172[Revised Contract])</f>
        <v>0</v>
      </c>
      <c r="I80" s="151">
        <f>SUM(Asphalt6210248172[Total completed and Stored])</f>
        <v>0</v>
      </c>
      <c r="J80" s="151">
        <f>SUM(Asphalt6210248172[Delta])</f>
        <v>0</v>
      </c>
      <c r="K80" s="343"/>
      <c r="L80" s="343"/>
      <c r="T80" s="199"/>
      <c r="U80" s="199"/>
    </row>
    <row r="81" spans="1:25" x14ac:dyDescent="0.35">
      <c r="A81" s="100" t="s">
        <v>649</v>
      </c>
      <c r="B81" s="100" t="s">
        <v>54</v>
      </c>
      <c r="C81" s="100" t="s">
        <v>167</v>
      </c>
      <c r="D81" s="100" t="s">
        <v>26</v>
      </c>
      <c r="E81" s="100" t="s">
        <v>781</v>
      </c>
      <c r="F81" s="332" t="s">
        <v>1078</v>
      </c>
      <c r="G81" s="332" t="s">
        <v>782</v>
      </c>
      <c r="H81" s="332" t="s">
        <v>783</v>
      </c>
      <c r="I81" s="334" t="s">
        <v>785</v>
      </c>
      <c r="J81" s="340" t="s">
        <v>1079</v>
      </c>
      <c r="K81" s="335"/>
      <c r="L81" s="343"/>
      <c r="S81" s="97"/>
      <c r="T81" s="97"/>
      <c r="V81" s="199"/>
      <c r="W81" s="199"/>
      <c r="X81" s="198"/>
      <c r="Y81" s="198"/>
    </row>
    <row r="82" spans="1:25" x14ac:dyDescent="0.35">
      <c r="A82" s="128">
        <v>32</v>
      </c>
      <c r="B82" s="132" t="s">
        <v>269</v>
      </c>
      <c r="C82" s="132" t="s">
        <v>217</v>
      </c>
      <c r="D82" s="133" t="s">
        <v>55</v>
      </c>
      <c r="E82" s="255">
        <v>0</v>
      </c>
      <c r="F82" s="255">
        <v>0</v>
      </c>
      <c r="G82" s="129">
        <f>0</f>
        <v>0</v>
      </c>
      <c r="H82" s="255">
        <f>IF(Concrete7211249173[[#This Row],[Actual Buyout]]+Concrete7211249173[[#This Row],[Change Orders]]=0,Concrete7211249173[[#This Row],[Original Contract]],Concrete7211249173[[#This Row],[Actual Buyout]]+Concrete7211249173[[#This Row],[Change Orders]])</f>
        <v>0</v>
      </c>
      <c r="I82" s="129">
        <v>0</v>
      </c>
      <c r="J82" s="129">
        <f>Concrete7211249173[[#This Row],[Original Contract]]-Concrete7211249173[[#This Row],[Revised Contract]]</f>
        <v>0</v>
      </c>
      <c r="K82" s="341"/>
      <c r="L82" s="343"/>
      <c r="S82" s="97"/>
      <c r="T82" s="97"/>
      <c r="V82" s="199"/>
      <c r="W82" s="199"/>
      <c r="X82" s="198"/>
      <c r="Y82" s="198"/>
    </row>
    <row r="83" spans="1:25" x14ac:dyDescent="0.35">
      <c r="A83" s="128">
        <v>32</v>
      </c>
      <c r="B83" s="132" t="s">
        <v>269</v>
      </c>
      <c r="C83" s="132" t="s">
        <v>217</v>
      </c>
      <c r="D83" s="133" t="s">
        <v>56</v>
      </c>
      <c r="E83" s="255">
        <v>0</v>
      </c>
      <c r="F83" s="255">
        <v>0</v>
      </c>
      <c r="G83" s="129">
        <f>0</f>
        <v>0</v>
      </c>
      <c r="H83" s="255">
        <f>IF(Concrete7211249173[[#This Row],[Actual Buyout]]+Concrete7211249173[[#This Row],[Change Orders]]=0,Concrete7211249173[[#This Row],[Original Contract]],Concrete7211249173[[#This Row],[Actual Buyout]]+Concrete7211249173[[#This Row],[Change Orders]])</f>
        <v>0</v>
      </c>
      <c r="I83" s="129">
        <v>0</v>
      </c>
      <c r="J83" s="129">
        <f>Concrete7211249173[[#This Row],[Original Contract]]-Concrete7211249173[[#This Row],[Revised Contract]]</f>
        <v>0</v>
      </c>
      <c r="K83" s="341"/>
      <c r="L83" s="343"/>
      <c r="S83" s="97"/>
      <c r="T83" s="97"/>
      <c r="V83" s="199"/>
      <c r="W83" s="199"/>
      <c r="X83" s="198"/>
      <c r="Y83" s="198"/>
    </row>
    <row r="84" spans="1:25" x14ac:dyDescent="0.35">
      <c r="A84" s="128">
        <v>32</v>
      </c>
      <c r="B84" s="132" t="s">
        <v>269</v>
      </c>
      <c r="C84" s="132" t="s">
        <v>217</v>
      </c>
      <c r="D84" s="133" t="s">
        <v>57</v>
      </c>
      <c r="E84" s="255">
        <v>0</v>
      </c>
      <c r="F84" s="255">
        <v>0</v>
      </c>
      <c r="G84" s="129">
        <f>0</f>
        <v>0</v>
      </c>
      <c r="H84" s="255">
        <f>IF(Concrete7211249173[[#This Row],[Actual Buyout]]+Concrete7211249173[[#This Row],[Change Orders]]=0,Concrete7211249173[[#This Row],[Original Contract]],Concrete7211249173[[#This Row],[Actual Buyout]]+Concrete7211249173[[#This Row],[Change Orders]])</f>
        <v>0</v>
      </c>
      <c r="I84" s="129">
        <v>0</v>
      </c>
      <c r="J84" s="129">
        <f>Concrete7211249173[[#This Row],[Original Contract]]-Concrete7211249173[[#This Row],[Revised Contract]]</f>
        <v>0</v>
      </c>
      <c r="K84" s="341"/>
      <c r="L84" s="343"/>
      <c r="S84" s="97"/>
      <c r="T84" s="97"/>
      <c r="V84" s="199"/>
      <c r="W84" s="199"/>
      <c r="X84" s="198"/>
      <c r="Y84" s="198"/>
    </row>
    <row r="85" spans="1:25" x14ac:dyDescent="0.35">
      <c r="A85" s="128">
        <v>32</v>
      </c>
      <c r="B85" s="132" t="s">
        <v>270</v>
      </c>
      <c r="C85" s="132" t="s">
        <v>218</v>
      </c>
      <c r="D85" s="133" t="s">
        <v>58</v>
      </c>
      <c r="E85" s="255">
        <v>0</v>
      </c>
      <c r="F85" s="255">
        <v>0</v>
      </c>
      <c r="G85" s="129">
        <f>0</f>
        <v>0</v>
      </c>
      <c r="H85" s="255">
        <f>IF(Concrete7211249173[[#This Row],[Actual Buyout]]+Concrete7211249173[[#This Row],[Change Orders]]=0,Concrete7211249173[[#This Row],[Original Contract]],Concrete7211249173[[#This Row],[Actual Buyout]]+Concrete7211249173[[#This Row],[Change Orders]])</f>
        <v>0</v>
      </c>
      <c r="I85" s="129">
        <v>0</v>
      </c>
      <c r="J85" s="129">
        <f>Concrete7211249173[[#This Row],[Original Contract]]-Concrete7211249173[[#This Row],[Revised Contract]]</f>
        <v>0</v>
      </c>
      <c r="K85" s="341"/>
      <c r="L85" s="343"/>
      <c r="S85" s="97"/>
      <c r="T85" s="97"/>
      <c r="V85" s="199"/>
      <c r="W85" s="199"/>
      <c r="X85" s="198"/>
      <c r="Y85" s="198"/>
    </row>
    <row r="86" spans="1:25" x14ac:dyDescent="0.35">
      <c r="A86" s="128">
        <v>32</v>
      </c>
      <c r="B86" s="132" t="s">
        <v>270</v>
      </c>
      <c r="C86" s="132" t="s">
        <v>218</v>
      </c>
      <c r="D86" s="133" t="s">
        <v>59</v>
      </c>
      <c r="E86" s="255">
        <v>0</v>
      </c>
      <c r="F86" s="255">
        <v>0</v>
      </c>
      <c r="G86" s="129">
        <f>0</f>
        <v>0</v>
      </c>
      <c r="H86" s="255">
        <f>IF(Concrete7211249173[[#This Row],[Actual Buyout]]+Concrete7211249173[[#This Row],[Change Orders]]=0,Concrete7211249173[[#This Row],[Original Contract]],Concrete7211249173[[#This Row],[Actual Buyout]]+Concrete7211249173[[#This Row],[Change Orders]])</f>
        <v>0</v>
      </c>
      <c r="I86" s="129">
        <v>0</v>
      </c>
      <c r="J86" s="129">
        <f>Concrete7211249173[[#This Row],[Original Contract]]-Concrete7211249173[[#This Row],[Revised Contract]]</f>
        <v>0</v>
      </c>
      <c r="K86" s="341"/>
      <c r="L86" s="343"/>
      <c r="S86" s="97"/>
      <c r="T86" s="97"/>
      <c r="V86" s="199"/>
      <c r="W86" s="199"/>
      <c r="X86" s="198"/>
      <c r="Y86" s="198"/>
    </row>
    <row r="87" spans="1:25" x14ac:dyDescent="0.35">
      <c r="A87" s="128">
        <v>32</v>
      </c>
      <c r="B87" s="132" t="s">
        <v>270</v>
      </c>
      <c r="C87" s="132" t="s">
        <v>218</v>
      </c>
      <c r="D87" s="133" t="s">
        <v>674</v>
      </c>
      <c r="E87" s="255">
        <v>0</v>
      </c>
      <c r="F87" s="255">
        <v>0</v>
      </c>
      <c r="G87" s="129">
        <f>0</f>
        <v>0</v>
      </c>
      <c r="H87" s="255">
        <f>IF(Concrete7211249173[[#This Row],[Actual Buyout]]+Concrete7211249173[[#This Row],[Change Orders]]=0,Concrete7211249173[[#This Row],[Original Contract]],Concrete7211249173[[#This Row],[Actual Buyout]]+Concrete7211249173[[#This Row],[Change Orders]])</f>
        <v>0</v>
      </c>
      <c r="I87" s="129">
        <v>0</v>
      </c>
      <c r="J87" s="129">
        <f>Concrete7211249173[[#This Row],[Original Contract]]-Concrete7211249173[[#This Row],[Revised Contract]]</f>
        <v>0</v>
      </c>
      <c r="K87" s="341"/>
      <c r="L87" s="343"/>
      <c r="S87" s="97"/>
      <c r="T87" s="97"/>
      <c r="V87" s="199"/>
      <c r="W87" s="199"/>
      <c r="X87" s="198"/>
      <c r="Y87" s="198"/>
    </row>
    <row r="88" spans="1:25" x14ac:dyDescent="0.35">
      <c r="A88" s="128">
        <v>32</v>
      </c>
      <c r="B88" s="132"/>
      <c r="C88" s="132"/>
      <c r="D88" s="133" t="s">
        <v>37</v>
      </c>
      <c r="E88" s="255">
        <v>0</v>
      </c>
      <c r="F88" s="255">
        <v>0</v>
      </c>
      <c r="G88" s="129">
        <f>0</f>
        <v>0</v>
      </c>
      <c r="H88" s="255">
        <f>IF(Concrete7211249173[[#This Row],[Actual Buyout]]+Concrete7211249173[[#This Row],[Change Orders]]=0,Concrete7211249173[[#This Row],[Original Contract]],Concrete7211249173[[#This Row],[Actual Buyout]]+Concrete7211249173[[#This Row],[Change Orders]])</f>
        <v>0</v>
      </c>
      <c r="I88" s="129">
        <v>0</v>
      </c>
      <c r="J88" s="129">
        <f>Concrete7211249173[[#This Row],[Original Contract]]-Concrete7211249173[[#This Row],[Revised Contract]]</f>
        <v>0</v>
      </c>
      <c r="K88" s="341"/>
      <c r="L88" s="343"/>
      <c r="S88" s="97"/>
      <c r="T88" s="97"/>
      <c r="V88" s="199"/>
      <c r="W88" s="199"/>
      <c r="X88" s="198"/>
      <c r="Y88" s="198"/>
    </row>
    <row r="89" spans="1:25" x14ac:dyDescent="0.35">
      <c r="A89" s="128">
        <v>32</v>
      </c>
      <c r="B89" s="132"/>
      <c r="C89" s="132"/>
      <c r="D89" s="133" t="s">
        <v>37</v>
      </c>
      <c r="E89" s="255">
        <v>0</v>
      </c>
      <c r="F89" s="255">
        <v>0</v>
      </c>
      <c r="G89" s="129">
        <f>0</f>
        <v>0</v>
      </c>
      <c r="H89" s="255">
        <f>IF(Concrete7211249173[[#This Row],[Actual Buyout]]+Concrete7211249173[[#This Row],[Change Orders]]=0,Concrete7211249173[[#This Row],[Original Contract]],Concrete7211249173[[#This Row],[Actual Buyout]]+Concrete7211249173[[#This Row],[Change Orders]])</f>
        <v>0</v>
      </c>
      <c r="I89" s="129">
        <v>0</v>
      </c>
      <c r="J89" s="129">
        <f>Concrete7211249173[[#This Row],[Original Contract]]-Concrete7211249173[[#This Row],[Revised Contract]]</f>
        <v>0</v>
      </c>
      <c r="K89" s="341"/>
      <c r="L89" s="343"/>
      <c r="S89" s="97"/>
      <c r="T89" s="97"/>
      <c r="V89" s="199"/>
      <c r="W89" s="199"/>
      <c r="X89" s="198"/>
      <c r="Y89" s="198"/>
    </row>
    <row r="90" spans="1:25" x14ac:dyDescent="0.35">
      <c r="A90" s="128">
        <v>32</v>
      </c>
      <c r="B90" s="132"/>
      <c r="C90" s="132"/>
      <c r="D90" s="133" t="s">
        <v>37</v>
      </c>
      <c r="E90" s="255">
        <v>0</v>
      </c>
      <c r="F90" s="255">
        <v>0</v>
      </c>
      <c r="G90" s="129">
        <f>0</f>
        <v>0</v>
      </c>
      <c r="H90" s="255">
        <f>IF(Concrete7211249173[[#This Row],[Actual Buyout]]+Concrete7211249173[[#This Row],[Change Orders]]=0,Concrete7211249173[[#This Row],[Original Contract]],Concrete7211249173[[#This Row],[Actual Buyout]]+Concrete7211249173[[#This Row],[Change Orders]])</f>
        <v>0</v>
      </c>
      <c r="I90" s="129">
        <v>0</v>
      </c>
      <c r="J90" s="129">
        <f>Concrete7211249173[[#This Row],[Original Contract]]-Concrete7211249173[[#This Row],[Revised Contract]]</f>
        <v>0</v>
      </c>
      <c r="K90" s="341"/>
      <c r="L90" s="343"/>
      <c r="S90" s="97"/>
      <c r="T90" s="97"/>
      <c r="V90" s="199"/>
      <c r="W90" s="199"/>
      <c r="X90" s="198"/>
      <c r="Y90" s="198"/>
    </row>
    <row r="91" spans="1:25" x14ac:dyDescent="0.35">
      <c r="A91" s="128">
        <v>32</v>
      </c>
      <c r="B91" s="132"/>
      <c r="C91" s="132"/>
      <c r="D91" s="133" t="s">
        <v>37</v>
      </c>
      <c r="E91" s="255">
        <v>0</v>
      </c>
      <c r="F91" s="255">
        <v>0</v>
      </c>
      <c r="G91" s="129">
        <f>0</f>
        <v>0</v>
      </c>
      <c r="H91" s="255">
        <f>IF(Concrete7211249173[[#This Row],[Actual Buyout]]+Concrete7211249173[[#This Row],[Change Orders]]=0,Concrete7211249173[[#This Row],[Original Contract]],Concrete7211249173[[#This Row],[Actual Buyout]]+Concrete7211249173[[#This Row],[Change Orders]])</f>
        <v>0</v>
      </c>
      <c r="I91" s="129">
        <v>0</v>
      </c>
      <c r="J91" s="129">
        <f>Concrete7211249173[[#This Row],[Original Contract]]-Concrete7211249173[[#This Row],[Revised Contract]]</f>
        <v>0</v>
      </c>
      <c r="K91" s="341"/>
      <c r="L91" s="343"/>
      <c r="S91" s="97"/>
      <c r="T91" s="97"/>
      <c r="V91" s="199"/>
      <c r="W91" s="199"/>
      <c r="X91" s="198"/>
      <c r="Y91" s="198"/>
    </row>
    <row r="92" spans="1:25" x14ac:dyDescent="0.35">
      <c r="A92" s="128">
        <v>32</v>
      </c>
      <c r="B92" s="132"/>
      <c r="C92" s="132"/>
      <c r="D92" s="133" t="s">
        <v>37</v>
      </c>
      <c r="E92" s="255">
        <v>0</v>
      </c>
      <c r="F92" s="255">
        <v>0</v>
      </c>
      <c r="G92" s="129">
        <f>0</f>
        <v>0</v>
      </c>
      <c r="H92" s="255">
        <f>IF(Concrete7211249173[[#This Row],[Actual Buyout]]+Concrete7211249173[[#This Row],[Change Orders]]=0,Concrete7211249173[[#This Row],[Original Contract]],Concrete7211249173[[#This Row],[Actual Buyout]]+Concrete7211249173[[#This Row],[Change Orders]])</f>
        <v>0</v>
      </c>
      <c r="I92" s="129">
        <v>0</v>
      </c>
      <c r="J92" s="129">
        <f>Concrete7211249173[[#This Row],[Original Contract]]-Concrete7211249173[[#This Row],[Revised Contract]]</f>
        <v>0</v>
      </c>
      <c r="K92" s="341"/>
      <c r="L92" s="343"/>
      <c r="S92" s="97"/>
      <c r="T92" s="97"/>
      <c r="V92" s="199"/>
      <c r="W92" s="199"/>
      <c r="X92" s="198"/>
      <c r="Y92" s="198"/>
    </row>
    <row r="93" spans="1:25" x14ac:dyDescent="0.35">
      <c r="A93" s="257"/>
      <c r="B93" s="258"/>
      <c r="C93" s="258"/>
      <c r="D93" s="256" t="s">
        <v>38</v>
      </c>
      <c r="E93" s="151">
        <f>SUM(Concrete7211249173[Original Contract])</f>
        <v>0</v>
      </c>
      <c r="F93" s="151">
        <f>SUM(Concrete7211249173[Actual Buyout])</f>
        <v>0</v>
      </c>
      <c r="G93" s="151">
        <f>SUM(Concrete7211249173[Change Orders])</f>
        <v>0</v>
      </c>
      <c r="H93" s="151">
        <f>SUM(Concrete7211249173[Revised Contract])</f>
        <v>0</v>
      </c>
      <c r="I93" s="151">
        <f>SUM(Concrete7211249173[Total completed and Stored])</f>
        <v>0</v>
      </c>
      <c r="J93" s="151">
        <f>SUM(Concrete7211249173[Delta])</f>
        <v>0</v>
      </c>
      <c r="K93" s="343"/>
      <c r="L93" s="343"/>
      <c r="T93" s="199"/>
      <c r="U93" s="199"/>
    </row>
    <row r="94" spans="1:25" x14ac:dyDescent="0.35">
      <c r="A94" s="100" t="s">
        <v>649</v>
      </c>
      <c r="B94" s="100" t="s">
        <v>60</v>
      </c>
      <c r="C94" s="100" t="s">
        <v>167</v>
      </c>
      <c r="D94" s="100" t="s">
        <v>26</v>
      </c>
      <c r="E94" s="100" t="s">
        <v>781</v>
      </c>
      <c r="F94" s="332" t="s">
        <v>1078</v>
      </c>
      <c r="G94" s="332" t="s">
        <v>782</v>
      </c>
      <c r="H94" s="332" t="s">
        <v>783</v>
      </c>
      <c r="I94" s="334" t="s">
        <v>785</v>
      </c>
      <c r="J94" s="340" t="s">
        <v>1079</v>
      </c>
      <c r="K94" s="335"/>
      <c r="L94" s="343"/>
      <c r="S94" s="97"/>
      <c r="T94" s="97"/>
      <c r="V94" s="199"/>
      <c r="W94" s="199"/>
      <c r="X94" s="198"/>
      <c r="Y94" s="198"/>
    </row>
    <row r="95" spans="1:25" x14ac:dyDescent="0.35">
      <c r="A95" s="128">
        <v>32</v>
      </c>
      <c r="B95" s="132" t="s">
        <v>61</v>
      </c>
      <c r="C95" s="132" t="s">
        <v>271</v>
      </c>
      <c r="D95" s="133" t="s">
        <v>61</v>
      </c>
      <c r="E95" s="255">
        <v>0</v>
      </c>
      <c r="F95" s="255">
        <v>0</v>
      </c>
      <c r="G95" s="129">
        <f>0</f>
        <v>0</v>
      </c>
      <c r="H95" s="255">
        <f>IF(PaveMarks8212250174[[#This Row],[Actual Buyout]]+PaveMarks8212250174[[#This Row],[Change Orders]]=0,PaveMarks8212250174[[#This Row],[Original Contract]],PaveMarks8212250174[[#This Row],[Actual Buyout]]+PaveMarks8212250174[[#This Row],[Change Orders]])</f>
        <v>0</v>
      </c>
      <c r="I95" s="129">
        <v>0</v>
      </c>
      <c r="J95" s="129">
        <f>PaveMarks8212250174[[#This Row],[Original Contract]]-PaveMarks8212250174[[#This Row],[Revised Contract]]</f>
        <v>0</v>
      </c>
      <c r="K95" s="341"/>
      <c r="L95" s="343"/>
      <c r="S95" s="97"/>
      <c r="T95" s="97"/>
      <c r="V95" s="199"/>
      <c r="W95" s="199"/>
      <c r="X95" s="198"/>
      <c r="Y95" s="198"/>
    </row>
    <row r="96" spans="1:25" x14ac:dyDescent="0.35">
      <c r="A96" s="128">
        <v>32</v>
      </c>
      <c r="B96" s="132" t="s">
        <v>275</v>
      </c>
      <c r="C96" s="132" t="s">
        <v>274</v>
      </c>
      <c r="D96" s="133" t="s">
        <v>62</v>
      </c>
      <c r="E96" s="255">
        <v>0</v>
      </c>
      <c r="F96" s="255">
        <v>0</v>
      </c>
      <c r="G96" s="129">
        <f>0</f>
        <v>0</v>
      </c>
      <c r="H96" s="255">
        <f>IF(PaveMarks8212250174[[#This Row],[Actual Buyout]]+PaveMarks8212250174[[#This Row],[Change Orders]]=0,PaveMarks8212250174[[#This Row],[Original Contract]],PaveMarks8212250174[[#This Row],[Actual Buyout]]+PaveMarks8212250174[[#This Row],[Change Orders]])</f>
        <v>0</v>
      </c>
      <c r="I96" s="129">
        <v>0</v>
      </c>
      <c r="J96" s="129">
        <f>PaveMarks8212250174[[#This Row],[Original Contract]]-PaveMarks8212250174[[#This Row],[Revised Contract]]</f>
        <v>0</v>
      </c>
      <c r="K96" s="341"/>
      <c r="L96" s="343"/>
      <c r="S96" s="97"/>
      <c r="T96" s="97"/>
      <c r="V96" s="199"/>
      <c r="W96" s="199"/>
      <c r="X96" s="198"/>
      <c r="Y96" s="198"/>
    </row>
    <row r="97" spans="1:25" x14ac:dyDescent="0.35">
      <c r="A97" s="128">
        <v>32</v>
      </c>
      <c r="B97" s="132" t="s">
        <v>273</v>
      </c>
      <c r="C97" s="132" t="s">
        <v>272</v>
      </c>
      <c r="D97" s="133" t="s">
        <v>29</v>
      </c>
      <c r="E97" s="255">
        <v>0</v>
      </c>
      <c r="F97" s="255">
        <v>0</v>
      </c>
      <c r="G97" s="129">
        <f>0</f>
        <v>0</v>
      </c>
      <c r="H97" s="255">
        <f>IF(PaveMarks8212250174[[#This Row],[Actual Buyout]]+PaveMarks8212250174[[#This Row],[Change Orders]]=0,PaveMarks8212250174[[#This Row],[Original Contract]],PaveMarks8212250174[[#This Row],[Actual Buyout]]+PaveMarks8212250174[[#This Row],[Change Orders]])</f>
        <v>0</v>
      </c>
      <c r="I97" s="129">
        <v>0</v>
      </c>
      <c r="J97" s="129">
        <f>PaveMarks8212250174[[#This Row],[Original Contract]]-PaveMarks8212250174[[#This Row],[Revised Contract]]</f>
        <v>0</v>
      </c>
      <c r="K97" s="341"/>
      <c r="L97" s="343"/>
      <c r="S97" s="97"/>
      <c r="T97" s="97"/>
      <c r="V97" s="199"/>
      <c r="W97" s="199"/>
      <c r="X97" s="198"/>
      <c r="Y97" s="198"/>
    </row>
    <row r="98" spans="1:25" x14ac:dyDescent="0.35">
      <c r="A98" s="128">
        <v>32</v>
      </c>
      <c r="B98" s="132" t="s">
        <v>675</v>
      </c>
      <c r="C98" s="132" t="s">
        <v>271</v>
      </c>
      <c r="D98" s="133" t="s">
        <v>676</v>
      </c>
      <c r="E98" s="255">
        <v>0</v>
      </c>
      <c r="F98" s="255">
        <v>0</v>
      </c>
      <c r="G98" s="129">
        <f>0</f>
        <v>0</v>
      </c>
      <c r="H98" s="255">
        <f>IF(PaveMarks8212250174[[#This Row],[Actual Buyout]]+PaveMarks8212250174[[#This Row],[Change Orders]]=0,PaveMarks8212250174[[#This Row],[Original Contract]],PaveMarks8212250174[[#This Row],[Actual Buyout]]+PaveMarks8212250174[[#This Row],[Change Orders]])</f>
        <v>0</v>
      </c>
      <c r="I98" s="129">
        <v>0</v>
      </c>
      <c r="J98" s="129">
        <f>PaveMarks8212250174[[#This Row],[Original Contract]]-PaveMarks8212250174[[#This Row],[Revised Contract]]</f>
        <v>0</v>
      </c>
      <c r="K98" s="341"/>
      <c r="L98" s="343"/>
      <c r="S98" s="97"/>
      <c r="T98" s="97"/>
      <c r="V98" s="199"/>
      <c r="W98" s="199"/>
      <c r="X98" s="198"/>
      <c r="Y98" s="198"/>
    </row>
    <row r="99" spans="1:25" x14ac:dyDescent="0.35">
      <c r="A99" s="128">
        <v>32</v>
      </c>
      <c r="B99" s="132" t="s">
        <v>273</v>
      </c>
      <c r="C99" s="132" t="s">
        <v>272</v>
      </c>
      <c r="D99" s="133" t="s">
        <v>677</v>
      </c>
      <c r="E99" s="255">
        <v>0</v>
      </c>
      <c r="F99" s="255">
        <v>0</v>
      </c>
      <c r="G99" s="129">
        <f>0</f>
        <v>0</v>
      </c>
      <c r="H99" s="255">
        <f>IF(PaveMarks8212250174[[#This Row],[Actual Buyout]]+PaveMarks8212250174[[#This Row],[Change Orders]]=0,PaveMarks8212250174[[#This Row],[Original Contract]],PaveMarks8212250174[[#This Row],[Actual Buyout]]+PaveMarks8212250174[[#This Row],[Change Orders]])</f>
        <v>0</v>
      </c>
      <c r="I99" s="129">
        <v>0</v>
      </c>
      <c r="J99" s="129">
        <f>PaveMarks8212250174[[#This Row],[Original Contract]]-PaveMarks8212250174[[#This Row],[Revised Contract]]</f>
        <v>0</v>
      </c>
      <c r="K99" s="341"/>
      <c r="L99" s="343"/>
      <c r="S99" s="97"/>
      <c r="T99" s="97"/>
      <c r="V99" s="199"/>
      <c r="W99" s="199"/>
      <c r="X99" s="198"/>
      <c r="Y99" s="198"/>
    </row>
    <row r="100" spans="1:25" x14ac:dyDescent="0.35">
      <c r="A100" s="128">
        <v>32</v>
      </c>
      <c r="B100" s="132"/>
      <c r="C100" s="132"/>
      <c r="D100" s="133" t="s">
        <v>37</v>
      </c>
      <c r="E100" s="255">
        <v>0</v>
      </c>
      <c r="F100" s="255">
        <v>0</v>
      </c>
      <c r="G100" s="129">
        <f>0</f>
        <v>0</v>
      </c>
      <c r="H100" s="255">
        <f>IF(PaveMarks8212250174[[#This Row],[Actual Buyout]]+PaveMarks8212250174[[#This Row],[Change Orders]]=0,PaveMarks8212250174[[#This Row],[Original Contract]],PaveMarks8212250174[[#This Row],[Actual Buyout]]+PaveMarks8212250174[[#This Row],[Change Orders]])</f>
        <v>0</v>
      </c>
      <c r="I100" s="129">
        <v>0</v>
      </c>
      <c r="J100" s="129">
        <f>PaveMarks8212250174[[#This Row],[Original Contract]]-PaveMarks8212250174[[#This Row],[Revised Contract]]</f>
        <v>0</v>
      </c>
      <c r="K100" s="341"/>
      <c r="L100" s="343"/>
      <c r="S100" s="97"/>
      <c r="T100" s="97"/>
      <c r="V100" s="199"/>
      <c r="W100" s="199"/>
      <c r="X100" s="198"/>
      <c r="Y100" s="198"/>
    </row>
    <row r="101" spans="1:25" x14ac:dyDescent="0.35">
      <c r="A101" s="128">
        <v>32</v>
      </c>
      <c r="B101" s="132"/>
      <c r="C101" s="132"/>
      <c r="D101" s="133" t="s">
        <v>37</v>
      </c>
      <c r="E101" s="255">
        <v>0</v>
      </c>
      <c r="F101" s="255">
        <v>0</v>
      </c>
      <c r="G101" s="129">
        <f>0</f>
        <v>0</v>
      </c>
      <c r="H101" s="255">
        <f>IF(PaveMarks8212250174[[#This Row],[Actual Buyout]]+PaveMarks8212250174[[#This Row],[Change Orders]]=0,PaveMarks8212250174[[#This Row],[Original Contract]],PaveMarks8212250174[[#This Row],[Actual Buyout]]+PaveMarks8212250174[[#This Row],[Change Orders]])</f>
        <v>0</v>
      </c>
      <c r="I101" s="129">
        <v>0</v>
      </c>
      <c r="J101" s="129">
        <f>PaveMarks8212250174[[#This Row],[Original Contract]]-PaveMarks8212250174[[#This Row],[Revised Contract]]</f>
        <v>0</v>
      </c>
      <c r="K101" s="341"/>
      <c r="L101" s="343"/>
      <c r="S101" s="97"/>
      <c r="T101" s="97"/>
      <c r="V101" s="199"/>
      <c r="W101" s="199"/>
      <c r="X101" s="198"/>
      <c r="Y101" s="198"/>
    </row>
    <row r="102" spans="1:25" x14ac:dyDescent="0.35">
      <c r="A102" s="128">
        <v>32</v>
      </c>
      <c r="B102" s="132"/>
      <c r="C102" s="132"/>
      <c r="D102" s="133" t="s">
        <v>37</v>
      </c>
      <c r="E102" s="255">
        <v>0</v>
      </c>
      <c r="F102" s="255">
        <v>0</v>
      </c>
      <c r="G102" s="129">
        <f>0</f>
        <v>0</v>
      </c>
      <c r="H102" s="255">
        <f>IF(PaveMarks8212250174[[#This Row],[Actual Buyout]]+PaveMarks8212250174[[#This Row],[Change Orders]]=0,PaveMarks8212250174[[#This Row],[Original Contract]],PaveMarks8212250174[[#This Row],[Actual Buyout]]+PaveMarks8212250174[[#This Row],[Change Orders]])</f>
        <v>0</v>
      </c>
      <c r="I102" s="129">
        <v>0</v>
      </c>
      <c r="J102" s="129">
        <f>PaveMarks8212250174[[#This Row],[Original Contract]]-PaveMarks8212250174[[#This Row],[Revised Contract]]</f>
        <v>0</v>
      </c>
      <c r="K102" s="341"/>
      <c r="L102" s="343"/>
      <c r="S102" s="97"/>
      <c r="T102" s="97"/>
      <c r="V102" s="199"/>
      <c r="W102" s="199"/>
      <c r="X102" s="198"/>
      <c r="Y102" s="198"/>
    </row>
    <row r="103" spans="1:25" x14ac:dyDescent="0.35">
      <c r="A103" s="128">
        <v>32</v>
      </c>
      <c r="B103" s="132"/>
      <c r="C103" s="132"/>
      <c r="D103" s="133" t="s">
        <v>37</v>
      </c>
      <c r="E103" s="255">
        <v>0</v>
      </c>
      <c r="F103" s="255">
        <v>0</v>
      </c>
      <c r="G103" s="129">
        <f>0</f>
        <v>0</v>
      </c>
      <c r="H103" s="255">
        <f>IF(PaveMarks8212250174[[#This Row],[Actual Buyout]]+PaveMarks8212250174[[#This Row],[Change Orders]]=0,PaveMarks8212250174[[#This Row],[Original Contract]],PaveMarks8212250174[[#This Row],[Actual Buyout]]+PaveMarks8212250174[[#This Row],[Change Orders]])</f>
        <v>0</v>
      </c>
      <c r="I103" s="129">
        <v>0</v>
      </c>
      <c r="J103" s="129">
        <f>PaveMarks8212250174[[#This Row],[Original Contract]]-PaveMarks8212250174[[#This Row],[Revised Contract]]</f>
        <v>0</v>
      </c>
      <c r="K103" s="341"/>
      <c r="L103" s="343"/>
      <c r="S103" s="97"/>
      <c r="T103" s="97"/>
      <c r="V103" s="199"/>
      <c r="W103" s="199"/>
      <c r="X103" s="198"/>
      <c r="Y103" s="198"/>
    </row>
    <row r="104" spans="1:25" x14ac:dyDescent="0.35">
      <c r="A104" s="128">
        <v>32</v>
      </c>
      <c r="B104" s="132"/>
      <c r="C104" s="132"/>
      <c r="D104" s="133" t="s">
        <v>37</v>
      </c>
      <c r="E104" s="255">
        <v>0</v>
      </c>
      <c r="F104" s="255">
        <v>0</v>
      </c>
      <c r="G104" s="129">
        <f>0</f>
        <v>0</v>
      </c>
      <c r="H104" s="255">
        <f>IF(PaveMarks8212250174[[#This Row],[Actual Buyout]]+PaveMarks8212250174[[#This Row],[Change Orders]]=0,PaveMarks8212250174[[#This Row],[Original Contract]],PaveMarks8212250174[[#This Row],[Actual Buyout]]+PaveMarks8212250174[[#This Row],[Change Orders]])</f>
        <v>0</v>
      </c>
      <c r="I104" s="129">
        <v>0</v>
      </c>
      <c r="J104" s="129">
        <f>PaveMarks8212250174[[#This Row],[Original Contract]]-PaveMarks8212250174[[#This Row],[Revised Contract]]</f>
        <v>0</v>
      </c>
      <c r="K104" s="341"/>
      <c r="L104" s="343"/>
      <c r="S104" s="97"/>
      <c r="T104" s="97"/>
      <c r="V104" s="199"/>
      <c r="X104" s="198"/>
      <c r="Y104" s="198"/>
    </row>
    <row r="105" spans="1:25" x14ac:dyDescent="0.35">
      <c r="A105" s="257"/>
      <c r="B105" s="258"/>
      <c r="C105" s="258"/>
      <c r="D105" s="256" t="s">
        <v>38</v>
      </c>
      <c r="E105" s="151">
        <f>SUM(PaveMarks8212250174[Original Contract])</f>
        <v>0</v>
      </c>
      <c r="F105" s="151">
        <f>SUM(PaveMarks8212250174[Actual Buyout])</f>
        <v>0</v>
      </c>
      <c r="G105" s="151">
        <f>SUM(PaveMarks8212250174[Change Orders])</f>
        <v>0</v>
      </c>
      <c r="H105" s="151">
        <f>SUM(PaveMarks8212250174[Revised Contract])</f>
        <v>0</v>
      </c>
      <c r="I105" s="151">
        <f>SUM(PaveMarks8212250174[Total completed and Stored])</f>
        <v>0</v>
      </c>
      <c r="J105" s="151">
        <f>SUM(PaveMarks8212250174[Delta])</f>
        <v>0</v>
      </c>
      <c r="K105" s="343"/>
      <c r="L105" s="343"/>
    </row>
    <row r="106" spans="1:25" x14ac:dyDescent="0.35">
      <c r="A106" s="100" t="s">
        <v>649</v>
      </c>
      <c r="B106" s="100" t="s">
        <v>63</v>
      </c>
      <c r="C106" s="100" t="s">
        <v>167</v>
      </c>
      <c r="D106" s="100" t="s">
        <v>26</v>
      </c>
      <c r="E106" s="100" t="s">
        <v>781</v>
      </c>
      <c r="F106" s="332" t="s">
        <v>1078</v>
      </c>
      <c r="G106" s="332" t="s">
        <v>782</v>
      </c>
      <c r="H106" s="332" t="s">
        <v>783</v>
      </c>
      <c r="I106" s="334" t="s">
        <v>785</v>
      </c>
      <c r="J106" s="340" t="s">
        <v>1079</v>
      </c>
      <c r="K106" s="335"/>
      <c r="L106" s="343"/>
      <c r="S106" s="97"/>
      <c r="T106" s="97"/>
      <c r="X106" s="198"/>
      <c r="Y106" s="198"/>
    </row>
    <row r="107" spans="1:25" x14ac:dyDescent="0.35">
      <c r="A107" s="128">
        <v>32</v>
      </c>
      <c r="B107" s="132" t="s">
        <v>276</v>
      </c>
      <c r="C107" s="132" t="s">
        <v>219</v>
      </c>
      <c r="D107" s="133" t="s">
        <v>64</v>
      </c>
      <c r="E107" s="255">
        <v>0</v>
      </c>
      <c r="F107" s="255">
        <v>0</v>
      </c>
      <c r="G107" s="129">
        <f>0</f>
        <v>0</v>
      </c>
      <c r="H107" s="255">
        <f>IF(Fencing9213251175[[#This Row],[Actual Buyout]]+Fencing9213251175[[#This Row],[Change Orders]]=0,Fencing9213251175[[#This Row],[Original Contract]],Fencing9213251175[[#This Row],[Actual Buyout]]+Fencing9213251175[[#This Row],[Change Orders]])</f>
        <v>0</v>
      </c>
      <c r="I107" s="129">
        <v>0</v>
      </c>
      <c r="J107" s="129">
        <f>Fencing9213251175[[#This Row],[Original Contract]]-Fencing9213251175[[#This Row],[Revised Contract]]</f>
        <v>0</v>
      </c>
      <c r="K107" s="341"/>
      <c r="L107" s="343"/>
      <c r="S107" s="97"/>
      <c r="T107" s="97"/>
      <c r="X107" s="198"/>
      <c r="Y107" s="198"/>
    </row>
    <row r="108" spans="1:25" x14ac:dyDescent="0.35">
      <c r="A108" s="128">
        <v>32</v>
      </c>
      <c r="B108" s="132" t="s">
        <v>278</v>
      </c>
      <c r="C108" s="132" t="s">
        <v>277</v>
      </c>
      <c r="D108" s="133" t="s">
        <v>65</v>
      </c>
      <c r="E108" s="255">
        <v>0</v>
      </c>
      <c r="F108" s="255">
        <v>0</v>
      </c>
      <c r="G108" s="129">
        <f>0</f>
        <v>0</v>
      </c>
      <c r="H108" s="255">
        <f>IF(Fencing9213251175[[#This Row],[Actual Buyout]]+Fencing9213251175[[#This Row],[Change Orders]]=0,Fencing9213251175[[#This Row],[Original Contract]],Fencing9213251175[[#This Row],[Actual Buyout]]+Fencing9213251175[[#This Row],[Change Orders]])</f>
        <v>0</v>
      </c>
      <c r="I108" s="129">
        <v>0</v>
      </c>
      <c r="J108" s="129">
        <f>Fencing9213251175[[#This Row],[Original Contract]]-Fencing9213251175[[#This Row],[Revised Contract]]</f>
        <v>0</v>
      </c>
      <c r="K108" s="341"/>
      <c r="L108" s="343"/>
      <c r="S108" s="97"/>
      <c r="T108" s="97"/>
      <c r="X108" s="198"/>
      <c r="Y108" s="198"/>
    </row>
    <row r="109" spans="1:25" x14ac:dyDescent="0.35">
      <c r="A109" s="128">
        <v>32</v>
      </c>
      <c r="B109" s="132" t="s">
        <v>278</v>
      </c>
      <c r="C109" s="132" t="s">
        <v>277</v>
      </c>
      <c r="D109" s="133" t="s">
        <v>66</v>
      </c>
      <c r="E109" s="255">
        <v>0</v>
      </c>
      <c r="F109" s="255">
        <v>0</v>
      </c>
      <c r="G109" s="129">
        <f>0</f>
        <v>0</v>
      </c>
      <c r="H109" s="255">
        <f>IF(Fencing9213251175[[#This Row],[Actual Buyout]]+Fencing9213251175[[#This Row],[Change Orders]]=0,Fencing9213251175[[#This Row],[Original Contract]],Fencing9213251175[[#This Row],[Actual Buyout]]+Fencing9213251175[[#This Row],[Change Orders]])</f>
        <v>0</v>
      </c>
      <c r="I109" s="129">
        <v>0</v>
      </c>
      <c r="J109" s="129">
        <f>Fencing9213251175[[#This Row],[Original Contract]]-Fencing9213251175[[#This Row],[Revised Contract]]</f>
        <v>0</v>
      </c>
      <c r="K109" s="341"/>
      <c r="L109" s="343"/>
      <c r="S109" s="97"/>
      <c r="T109" s="97"/>
      <c r="X109" s="198"/>
      <c r="Y109" s="198"/>
    </row>
    <row r="110" spans="1:25" x14ac:dyDescent="0.35">
      <c r="A110" s="128">
        <v>32</v>
      </c>
      <c r="B110" s="132" t="s">
        <v>279</v>
      </c>
      <c r="C110" s="132" t="s">
        <v>220</v>
      </c>
      <c r="D110" s="133" t="s">
        <v>221</v>
      </c>
      <c r="E110" s="255">
        <v>0</v>
      </c>
      <c r="F110" s="255">
        <v>0</v>
      </c>
      <c r="G110" s="129">
        <f>0</f>
        <v>0</v>
      </c>
      <c r="H110" s="255">
        <f>IF(Fencing9213251175[[#This Row],[Actual Buyout]]+Fencing9213251175[[#This Row],[Change Orders]]=0,Fencing9213251175[[#This Row],[Original Contract]],Fencing9213251175[[#This Row],[Actual Buyout]]+Fencing9213251175[[#This Row],[Change Orders]])</f>
        <v>0</v>
      </c>
      <c r="I110" s="129">
        <v>0</v>
      </c>
      <c r="J110" s="129">
        <f>Fencing9213251175[[#This Row],[Original Contract]]-Fencing9213251175[[#This Row],[Revised Contract]]</f>
        <v>0</v>
      </c>
      <c r="K110" s="341"/>
      <c r="L110" s="343"/>
      <c r="S110" s="97"/>
      <c r="T110" s="97"/>
      <c r="X110" s="198"/>
      <c r="Y110" s="198"/>
    </row>
    <row r="111" spans="1:25" x14ac:dyDescent="0.35">
      <c r="A111" s="128">
        <v>32</v>
      </c>
      <c r="B111" s="132"/>
      <c r="C111" s="132"/>
      <c r="D111" s="133" t="s">
        <v>801</v>
      </c>
      <c r="E111" s="255">
        <v>0</v>
      </c>
      <c r="F111" s="255">
        <v>0</v>
      </c>
      <c r="G111" s="129">
        <f>0</f>
        <v>0</v>
      </c>
      <c r="H111" s="255">
        <f>IF(Fencing9213251175[[#This Row],[Actual Buyout]]+Fencing9213251175[[#This Row],[Change Orders]]=0,Fencing9213251175[[#This Row],[Original Contract]],Fencing9213251175[[#This Row],[Actual Buyout]]+Fencing9213251175[[#This Row],[Change Orders]])</f>
        <v>0</v>
      </c>
      <c r="I111" s="129">
        <v>0</v>
      </c>
      <c r="J111" s="129">
        <f>Fencing9213251175[[#This Row],[Original Contract]]-Fencing9213251175[[#This Row],[Revised Contract]]</f>
        <v>0</v>
      </c>
      <c r="K111" s="341"/>
      <c r="L111" s="343"/>
      <c r="S111" s="97"/>
      <c r="T111" s="97"/>
      <c r="X111" s="198"/>
      <c r="Y111" s="198"/>
    </row>
    <row r="112" spans="1:25" x14ac:dyDescent="0.35">
      <c r="A112" s="128">
        <v>32</v>
      </c>
      <c r="B112" s="132"/>
      <c r="C112" s="132"/>
      <c r="D112" s="133" t="s">
        <v>37</v>
      </c>
      <c r="E112" s="255">
        <v>0</v>
      </c>
      <c r="F112" s="255">
        <v>0</v>
      </c>
      <c r="G112" s="129">
        <f>0</f>
        <v>0</v>
      </c>
      <c r="H112" s="255">
        <f>IF(Fencing9213251175[[#This Row],[Actual Buyout]]+Fencing9213251175[[#This Row],[Change Orders]]=0,Fencing9213251175[[#This Row],[Original Contract]],Fencing9213251175[[#This Row],[Actual Buyout]]+Fencing9213251175[[#This Row],[Change Orders]])</f>
        <v>0</v>
      </c>
      <c r="I112" s="129">
        <v>0</v>
      </c>
      <c r="J112" s="129">
        <f>Fencing9213251175[[#This Row],[Original Contract]]-Fencing9213251175[[#This Row],[Revised Contract]]</f>
        <v>0</v>
      </c>
      <c r="K112" s="341"/>
      <c r="L112" s="343"/>
      <c r="S112" s="97"/>
      <c r="T112" s="97"/>
      <c r="X112" s="198"/>
      <c r="Y112" s="198"/>
    </row>
    <row r="113" spans="1:25" x14ac:dyDescent="0.35">
      <c r="A113" s="128">
        <v>32</v>
      </c>
      <c r="B113" s="132"/>
      <c r="C113" s="132"/>
      <c r="D113" s="133" t="s">
        <v>37</v>
      </c>
      <c r="E113" s="255">
        <v>0</v>
      </c>
      <c r="F113" s="255">
        <v>0</v>
      </c>
      <c r="G113" s="129">
        <f>0</f>
        <v>0</v>
      </c>
      <c r="H113" s="255">
        <f>IF(Fencing9213251175[[#This Row],[Actual Buyout]]+Fencing9213251175[[#This Row],[Change Orders]]=0,Fencing9213251175[[#This Row],[Original Contract]],Fencing9213251175[[#This Row],[Actual Buyout]]+Fencing9213251175[[#This Row],[Change Orders]])</f>
        <v>0</v>
      </c>
      <c r="I113" s="129">
        <v>0</v>
      </c>
      <c r="J113" s="129">
        <f>Fencing9213251175[[#This Row],[Original Contract]]-Fencing9213251175[[#This Row],[Revised Contract]]</f>
        <v>0</v>
      </c>
      <c r="K113" s="341"/>
      <c r="L113" s="343"/>
      <c r="S113" s="97"/>
      <c r="T113" s="97"/>
      <c r="X113" s="198"/>
      <c r="Y113" s="198"/>
    </row>
    <row r="114" spans="1:25" x14ac:dyDescent="0.35">
      <c r="A114" s="128">
        <v>32</v>
      </c>
      <c r="B114" s="132"/>
      <c r="C114" s="132"/>
      <c r="D114" s="133" t="s">
        <v>37</v>
      </c>
      <c r="E114" s="255">
        <v>0</v>
      </c>
      <c r="F114" s="255">
        <v>0</v>
      </c>
      <c r="G114" s="129">
        <f>0</f>
        <v>0</v>
      </c>
      <c r="H114" s="255">
        <f>IF(Fencing9213251175[[#This Row],[Actual Buyout]]+Fencing9213251175[[#This Row],[Change Orders]]=0,Fencing9213251175[[#This Row],[Original Contract]],Fencing9213251175[[#This Row],[Actual Buyout]]+Fencing9213251175[[#This Row],[Change Orders]])</f>
        <v>0</v>
      </c>
      <c r="I114" s="129">
        <v>0</v>
      </c>
      <c r="J114" s="129">
        <f>Fencing9213251175[[#This Row],[Original Contract]]-Fencing9213251175[[#This Row],[Revised Contract]]</f>
        <v>0</v>
      </c>
      <c r="K114" s="341"/>
      <c r="L114" s="343"/>
      <c r="S114" s="97"/>
      <c r="T114" s="97"/>
      <c r="X114" s="198"/>
      <c r="Y114" s="198"/>
    </row>
    <row r="115" spans="1:25" x14ac:dyDescent="0.35">
      <c r="A115" s="128">
        <v>32</v>
      </c>
      <c r="B115" s="132"/>
      <c r="C115" s="132"/>
      <c r="D115" s="133" t="s">
        <v>37</v>
      </c>
      <c r="E115" s="255">
        <v>0</v>
      </c>
      <c r="F115" s="255">
        <v>0</v>
      </c>
      <c r="G115" s="129">
        <f>0</f>
        <v>0</v>
      </c>
      <c r="H115" s="255">
        <f>IF(Fencing9213251175[[#This Row],[Actual Buyout]]+Fencing9213251175[[#This Row],[Change Orders]]=0,Fencing9213251175[[#This Row],[Original Contract]],Fencing9213251175[[#This Row],[Actual Buyout]]+Fencing9213251175[[#This Row],[Change Orders]])</f>
        <v>0</v>
      </c>
      <c r="I115" s="129">
        <v>0</v>
      </c>
      <c r="J115" s="129">
        <f>Fencing9213251175[[#This Row],[Original Contract]]-Fencing9213251175[[#This Row],[Revised Contract]]</f>
        <v>0</v>
      </c>
      <c r="K115" s="341"/>
      <c r="L115" s="343"/>
      <c r="S115" s="97"/>
      <c r="T115" s="97"/>
      <c r="X115" s="198"/>
      <c r="Y115" s="198"/>
    </row>
    <row r="116" spans="1:25" x14ac:dyDescent="0.35">
      <c r="A116" s="128">
        <v>32</v>
      </c>
      <c r="B116" s="259"/>
      <c r="C116" s="259"/>
      <c r="D116" s="260" t="s">
        <v>37</v>
      </c>
      <c r="E116" s="255">
        <v>0</v>
      </c>
      <c r="F116" s="255">
        <v>0</v>
      </c>
      <c r="G116" s="129">
        <f>0</f>
        <v>0</v>
      </c>
      <c r="H116" s="255">
        <f>IF(Fencing9213251175[[#This Row],[Actual Buyout]]+Fencing9213251175[[#This Row],[Change Orders]]=0,Fencing9213251175[[#This Row],[Original Contract]],Fencing9213251175[[#This Row],[Actual Buyout]]+Fencing9213251175[[#This Row],[Change Orders]])</f>
        <v>0</v>
      </c>
      <c r="I116" s="129">
        <v>0</v>
      </c>
      <c r="J116" s="129">
        <f>Fencing9213251175[[#This Row],[Original Contract]]-Fencing9213251175[[#This Row],[Revised Contract]]</f>
        <v>0</v>
      </c>
      <c r="K116" s="341"/>
      <c r="L116" s="343"/>
      <c r="S116" s="97"/>
      <c r="T116" s="97"/>
      <c r="X116" s="198"/>
      <c r="Y116" s="198"/>
    </row>
    <row r="117" spans="1:25" x14ac:dyDescent="0.35">
      <c r="A117" s="257"/>
      <c r="B117" s="258"/>
      <c r="C117" s="258"/>
      <c r="D117" s="256" t="s">
        <v>38</v>
      </c>
      <c r="E117" s="151">
        <f>SUM(Fencing9213251175[Original Contract])</f>
        <v>0</v>
      </c>
      <c r="F117" s="151">
        <f>SUM(Fencing9213251175[Actual Buyout])</f>
        <v>0</v>
      </c>
      <c r="G117" s="151">
        <f>SUM(Fencing9213251175[Change Orders])</f>
        <v>0</v>
      </c>
      <c r="H117" s="151">
        <f>SUM(Fencing9213251175[Revised Contract])</f>
        <v>0</v>
      </c>
      <c r="I117" s="151">
        <f>SUM(Fencing9213251175[Total completed and Stored])</f>
        <v>0</v>
      </c>
      <c r="J117" s="151">
        <f>SUM(Fencing9213251175[Delta])</f>
        <v>0</v>
      </c>
      <c r="K117" s="343"/>
      <c r="L117" s="343"/>
    </row>
    <row r="118" spans="1:25" x14ac:dyDescent="0.35">
      <c r="A118" s="100" t="s">
        <v>649</v>
      </c>
      <c r="B118" s="100" t="s">
        <v>67</v>
      </c>
      <c r="C118" s="100" t="s">
        <v>167</v>
      </c>
      <c r="D118" s="100" t="s">
        <v>26</v>
      </c>
      <c r="E118" s="100" t="s">
        <v>781</v>
      </c>
      <c r="F118" s="332" t="s">
        <v>1078</v>
      </c>
      <c r="G118" s="332" t="s">
        <v>782</v>
      </c>
      <c r="H118" s="332" t="s">
        <v>783</v>
      </c>
      <c r="I118" s="334" t="s">
        <v>785</v>
      </c>
      <c r="J118" s="340" t="s">
        <v>1079</v>
      </c>
      <c r="K118" s="335"/>
      <c r="L118" s="343"/>
      <c r="S118" s="97"/>
      <c r="T118" s="97"/>
      <c r="X118" s="198"/>
      <c r="Y118" s="198"/>
    </row>
    <row r="119" spans="1:25" x14ac:dyDescent="0.35">
      <c r="A119" s="128">
        <v>32</v>
      </c>
      <c r="B119" s="132" t="s">
        <v>281</v>
      </c>
      <c r="C119" s="132" t="s">
        <v>280</v>
      </c>
      <c r="D119" s="133" t="s">
        <v>68</v>
      </c>
      <c r="E119" s="255">
        <v>0</v>
      </c>
      <c r="F119" s="255">
        <v>0</v>
      </c>
      <c r="G119" s="129">
        <f>0</f>
        <v>0</v>
      </c>
      <c r="H119" s="255">
        <f>IF(Landscape10214252176[[#This Row],[Actual Buyout]]+Landscape10214252176[[#This Row],[Change Orders]]=0,Landscape10214252176[[#This Row],[Original Contract]],Landscape10214252176[[#This Row],[Actual Buyout]]+Landscape10214252176[[#This Row],[Change Orders]])</f>
        <v>0</v>
      </c>
      <c r="I119" s="129">
        <v>0</v>
      </c>
      <c r="J119" s="129">
        <f>Landscape10214252176[[#This Row],[Original Contract]]-Landscape10214252176[[#This Row],[Revised Contract]]</f>
        <v>0</v>
      </c>
      <c r="K119" s="341"/>
      <c r="L119" s="343"/>
      <c r="S119" s="97"/>
      <c r="T119" s="97"/>
      <c r="X119" s="198"/>
      <c r="Y119" s="198"/>
    </row>
    <row r="120" spans="1:25" x14ac:dyDescent="0.35">
      <c r="A120" s="128">
        <v>32</v>
      </c>
      <c r="B120" s="132" t="s">
        <v>282</v>
      </c>
      <c r="C120" s="132" t="s">
        <v>216</v>
      </c>
      <c r="D120" s="133" t="s">
        <v>69</v>
      </c>
      <c r="E120" s="255">
        <v>0</v>
      </c>
      <c r="F120" s="255">
        <v>0</v>
      </c>
      <c r="G120" s="129">
        <f>0</f>
        <v>0</v>
      </c>
      <c r="H120" s="255">
        <f>IF(Landscape10214252176[[#This Row],[Actual Buyout]]+Landscape10214252176[[#This Row],[Change Orders]]=0,Landscape10214252176[[#This Row],[Original Contract]],Landscape10214252176[[#This Row],[Actual Buyout]]+Landscape10214252176[[#This Row],[Change Orders]])</f>
        <v>0</v>
      </c>
      <c r="I120" s="129">
        <v>0</v>
      </c>
      <c r="J120" s="129">
        <f>Landscape10214252176[[#This Row],[Original Contract]]-Landscape10214252176[[#This Row],[Revised Contract]]</f>
        <v>0</v>
      </c>
      <c r="K120" s="341"/>
      <c r="L120" s="343"/>
      <c r="S120" s="97"/>
      <c r="T120" s="97"/>
      <c r="X120" s="198"/>
      <c r="Y120" s="198"/>
    </row>
    <row r="121" spans="1:25" x14ac:dyDescent="0.35">
      <c r="A121" s="128">
        <v>32</v>
      </c>
      <c r="B121" s="132" t="s">
        <v>283</v>
      </c>
      <c r="C121" s="132" t="s">
        <v>222</v>
      </c>
      <c r="D121" s="133" t="s">
        <v>70</v>
      </c>
      <c r="E121" s="255">
        <v>0</v>
      </c>
      <c r="F121" s="255">
        <v>0</v>
      </c>
      <c r="G121" s="129">
        <f>0</f>
        <v>0</v>
      </c>
      <c r="H121" s="255">
        <f>IF(Landscape10214252176[[#This Row],[Actual Buyout]]+Landscape10214252176[[#This Row],[Change Orders]]=0,Landscape10214252176[[#This Row],[Original Contract]],Landscape10214252176[[#This Row],[Actual Buyout]]+Landscape10214252176[[#This Row],[Change Orders]])</f>
        <v>0</v>
      </c>
      <c r="I121" s="129">
        <v>0</v>
      </c>
      <c r="J121" s="129">
        <f>Landscape10214252176[[#This Row],[Original Contract]]-Landscape10214252176[[#This Row],[Revised Contract]]</f>
        <v>0</v>
      </c>
      <c r="K121" s="341"/>
      <c r="L121" s="343"/>
      <c r="S121" s="97"/>
      <c r="T121" s="97"/>
      <c r="X121" s="198"/>
      <c r="Y121" s="198"/>
    </row>
    <row r="122" spans="1:25" x14ac:dyDescent="0.35">
      <c r="A122" s="128">
        <v>32</v>
      </c>
      <c r="B122" s="132"/>
      <c r="C122" s="132"/>
      <c r="D122" s="133" t="s">
        <v>37</v>
      </c>
      <c r="E122" s="255">
        <v>0</v>
      </c>
      <c r="F122" s="255">
        <v>0</v>
      </c>
      <c r="G122" s="129">
        <f>0</f>
        <v>0</v>
      </c>
      <c r="H122" s="255">
        <f>IF(Landscape10214252176[[#This Row],[Actual Buyout]]+Landscape10214252176[[#This Row],[Change Orders]]=0,Landscape10214252176[[#This Row],[Original Contract]],Landscape10214252176[[#This Row],[Actual Buyout]]+Landscape10214252176[[#This Row],[Change Orders]])</f>
        <v>0</v>
      </c>
      <c r="I122" s="129">
        <v>0</v>
      </c>
      <c r="J122" s="129">
        <f>Landscape10214252176[[#This Row],[Original Contract]]-Landscape10214252176[[#This Row],[Revised Contract]]</f>
        <v>0</v>
      </c>
      <c r="K122" s="341"/>
      <c r="L122" s="343"/>
      <c r="S122" s="97"/>
      <c r="T122" s="97"/>
      <c r="X122" s="198"/>
      <c r="Y122" s="198"/>
    </row>
    <row r="123" spans="1:25" x14ac:dyDescent="0.35">
      <c r="A123" s="128">
        <v>32</v>
      </c>
      <c r="B123" s="132"/>
      <c r="C123" s="132"/>
      <c r="D123" s="133" t="s">
        <v>37</v>
      </c>
      <c r="E123" s="255">
        <v>0</v>
      </c>
      <c r="F123" s="255">
        <v>0</v>
      </c>
      <c r="G123" s="129">
        <f>0</f>
        <v>0</v>
      </c>
      <c r="H123" s="255">
        <f>IF(Landscape10214252176[[#This Row],[Actual Buyout]]+Landscape10214252176[[#This Row],[Change Orders]]=0,Landscape10214252176[[#This Row],[Original Contract]],Landscape10214252176[[#This Row],[Actual Buyout]]+Landscape10214252176[[#This Row],[Change Orders]])</f>
        <v>0</v>
      </c>
      <c r="I123" s="129">
        <v>0</v>
      </c>
      <c r="J123" s="129">
        <f>Landscape10214252176[[#This Row],[Original Contract]]-Landscape10214252176[[#This Row],[Revised Contract]]</f>
        <v>0</v>
      </c>
      <c r="K123" s="341"/>
      <c r="L123" s="343"/>
      <c r="S123" s="97"/>
      <c r="T123" s="97"/>
      <c r="X123" s="198"/>
      <c r="Y123" s="198"/>
    </row>
    <row r="124" spans="1:25" x14ac:dyDescent="0.35">
      <c r="A124" s="128">
        <v>32</v>
      </c>
      <c r="B124" s="132"/>
      <c r="C124" s="132"/>
      <c r="D124" s="133" t="s">
        <v>37</v>
      </c>
      <c r="E124" s="255">
        <v>0</v>
      </c>
      <c r="F124" s="255">
        <v>0</v>
      </c>
      <c r="G124" s="129">
        <f>0</f>
        <v>0</v>
      </c>
      <c r="H124" s="255">
        <f>IF(Landscape10214252176[[#This Row],[Actual Buyout]]+Landscape10214252176[[#This Row],[Change Orders]]=0,Landscape10214252176[[#This Row],[Original Contract]],Landscape10214252176[[#This Row],[Actual Buyout]]+Landscape10214252176[[#This Row],[Change Orders]])</f>
        <v>0</v>
      </c>
      <c r="I124" s="129">
        <v>0</v>
      </c>
      <c r="J124" s="129">
        <f>Landscape10214252176[[#This Row],[Original Contract]]-Landscape10214252176[[#This Row],[Revised Contract]]</f>
        <v>0</v>
      </c>
      <c r="K124" s="341"/>
      <c r="L124" s="343"/>
      <c r="S124" s="97"/>
      <c r="T124" s="97"/>
      <c r="X124" s="198"/>
      <c r="Y124" s="198"/>
    </row>
    <row r="125" spans="1:25" x14ac:dyDescent="0.35">
      <c r="A125" s="128">
        <v>32</v>
      </c>
      <c r="B125" s="132"/>
      <c r="C125" s="132"/>
      <c r="D125" s="133" t="s">
        <v>37</v>
      </c>
      <c r="E125" s="255">
        <v>0</v>
      </c>
      <c r="F125" s="255">
        <v>0</v>
      </c>
      <c r="G125" s="129">
        <f>0</f>
        <v>0</v>
      </c>
      <c r="H125" s="255">
        <f>IF(Landscape10214252176[[#This Row],[Actual Buyout]]+Landscape10214252176[[#This Row],[Change Orders]]=0,Landscape10214252176[[#This Row],[Original Contract]],Landscape10214252176[[#This Row],[Actual Buyout]]+Landscape10214252176[[#This Row],[Change Orders]])</f>
        <v>0</v>
      </c>
      <c r="I125" s="129">
        <v>0</v>
      </c>
      <c r="J125" s="129">
        <f>Landscape10214252176[[#This Row],[Original Contract]]-Landscape10214252176[[#This Row],[Revised Contract]]</f>
        <v>0</v>
      </c>
      <c r="K125" s="341"/>
      <c r="L125" s="343"/>
      <c r="S125" s="97"/>
      <c r="T125" s="97"/>
      <c r="X125" s="198"/>
      <c r="Y125" s="198"/>
    </row>
    <row r="126" spans="1:25" x14ac:dyDescent="0.35">
      <c r="A126" s="128">
        <v>32</v>
      </c>
      <c r="B126" s="132"/>
      <c r="C126" s="132"/>
      <c r="D126" s="133" t="s">
        <v>37</v>
      </c>
      <c r="E126" s="255">
        <v>0</v>
      </c>
      <c r="F126" s="255">
        <v>0</v>
      </c>
      <c r="G126" s="129">
        <f>0</f>
        <v>0</v>
      </c>
      <c r="H126" s="255">
        <f>IF(Landscape10214252176[[#This Row],[Actual Buyout]]+Landscape10214252176[[#This Row],[Change Orders]]=0,Landscape10214252176[[#This Row],[Original Contract]],Landscape10214252176[[#This Row],[Actual Buyout]]+Landscape10214252176[[#This Row],[Change Orders]])</f>
        <v>0</v>
      </c>
      <c r="I126" s="129">
        <v>0</v>
      </c>
      <c r="J126" s="129">
        <f>Landscape10214252176[[#This Row],[Original Contract]]-Landscape10214252176[[#This Row],[Revised Contract]]</f>
        <v>0</v>
      </c>
      <c r="K126" s="341"/>
      <c r="L126" s="343"/>
      <c r="S126" s="97"/>
      <c r="T126" s="97"/>
      <c r="X126" s="198"/>
      <c r="Y126" s="198"/>
    </row>
    <row r="127" spans="1:25" x14ac:dyDescent="0.35">
      <c r="A127" s="257"/>
      <c r="B127" s="258"/>
      <c r="C127" s="258"/>
      <c r="D127" s="256" t="s">
        <v>38</v>
      </c>
      <c r="E127" s="151">
        <f>SUM(Landscape10214252176[Original Contract])</f>
        <v>0</v>
      </c>
      <c r="F127" s="151">
        <f>SUM(Landscape10214252176[Actual Buyout])</f>
        <v>0</v>
      </c>
      <c r="G127" s="151">
        <f>SUM(Landscape10214252176[Change Orders])</f>
        <v>0</v>
      </c>
      <c r="H127" s="151">
        <f>SUM(Landscape10214252176[Revised Contract])</f>
        <v>0</v>
      </c>
      <c r="I127" s="151">
        <f>SUM(Landscape10214252176[Total completed and Stored])</f>
        <v>0</v>
      </c>
      <c r="J127" s="151">
        <f>SUM(Landscape10214252176[Delta])</f>
        <v>0</v>
      </c>
      <c r="K127" s="343"/>
      <c r="L127" s="343"/>
    </row>
    <row r="128" spans="1:25" x14ac:dyDescent="0.35">
      <c r="A128" s="100" t="s">
        <v>650</v>
      </c>
      <c r="B128" s="100" t="s">
        <v>28</v>
      </c>
      <c r="C128" s="100" t="s">
        <v>167</v>
      </c>
      <c r="D128" s="100" t="s">
        <v>26</v>
      </c>
      <c r="E128" s="100" t="s">
        <v>781</v>
      </c>
      <c r="F128" s="332" t="s">
        <v>1078</v>
      </c>
      <c r="G128" s="332" t="s">
        <v>782</v>
      </c>
      <c r="H128" s="332" t="s">
        <v>783</v>
      </c>
      <c r="I128" s="334" t="s">
        <v>785</v>
      </c>
      <c r="J128" s="340" t="s">
        <v>1079</v>
      </c>
      <c r="K128" s="335"/>
      <c r="L128" s="343"/>
      <c r="S128" s="97"/>
      <c r="T128" s="97"/>
      <c r="X128" s="198"/>
      <c r="Y128" s="198"/>
    </row>
    <row r="129" spans="1:25" x14ac:dyDescent="0.35">
      <c r="A129" s="128">
        <v>33</v>
      </c>
      <c r="B129" s="132" t="s">
        <v>284</v>
      </c>
      <c r="C129" s="132" t="s">
        <v>226</v>
      </c>
      <c r="D129" s="133" t="s">
        <v>709</v>
      </c>
      <c r="E129" s="255">
        <v>0</v>
      </c>
      <c r="F129" s="255">
        <v>0</v>
      </c>
      <c r="G129" s="129">
        <f>0</f>
        <v>0</v>
      </c>
      <c r="H129" s="255">
        <f>IF(Utilities11215253177[[#This Row],[Actual Buyout]]+Utilities11215253177[[#This Row],[Change Orders]]=0,Utilities11215253177[[#This Row],[Original Contract]],Utilities11215253177[[#This Row],[Actual Buyout]]+Utilities11215253177[[#This Row],[Change Orders]])</f>
        <v>0</v>
      </c>
      <c r="I129" s="129">
        <v>0</v>
      </c>
      <c r="J129" s="129">
        <f>Utilities11215253177[[#This Row],[Original Contract]]-Utilities11215253177[[#This Row],[Revised Contract]]</f>
        <v>0</v>
      </c>
      <c r="K129" s="341"/>
      <c r="L129" s="343"/>
      <c r="S129" s="97"/>
      <c r="T129" s="97"/>
      <c r="X129" s="198"/>
      <c r="Y129" s="198"/>
    </row>
    <row r="130" spans="1:25" x14ac:dyDescent="0.35">
      <c r="A130" s="128">
        <v>33</v>
      </c>
      <c r="B130" s="132" t="s">
        <v>285</v>
      </c>
      <c r="C130" s="132" t="s">
        <v>224</v>
      </c>
      <c r="D130" s="133" t="s">
        <v>45</v>
      </c>
      <c r="E130" s="255">
        <v>0</v>
      </c>
      <c r="F130" s="255">
        <v>0</v>
      </c>
      <c r="G130" s="129">
        <f>0</f>
        <v>0</v>
      </c>
      <c r="H130" s="255">
        <f>IF(Utilities11215253177[[#This Row],[Actual Buyout]]+Utilities11215253177[[#This Row],[Change Orders]]=0,Utilities11215253177[[#This Row],[Original Contract]],Utilities11215253177[[#This Row],[Actual Buyout]]+Utilities11215253177[[#This Row],[Change Orders]])</f>
        <v>0</v>
      </c>
      <c r="I130" s="129">
        <v>0</v>
      </c>
      <c r="J130" s="129">
        <f>Utilities11215253177[[#This Row],[Original Contract]]-Utilities11215253177[[#This Row],[Revised Contract]]</f>
        <v>0</v>
      </c>
      <c r="K130" s="341"/>
      <c r="L130" s="343"/>
      <c r="S130" s="97"/>
      <c r="T130" s="97"/>
      <c r="X130" s="198"/>
      <c r="Y130" s="198"/>
    </row>
    <row r="131" spans="1:25" x14ac:dyDescent="0.35">
      <c r="A131" s="128">
        <v>33</v>
      </c>
      <c r="B131" s="132" t="s">
        <v>285</v>
      </c>
      <c r="C131" s="132" t="s">
        <v>224</v>
      </c>
      <c r="D131" s="133" t="s">
        <v>46</v>
      </c>
      <c r="E131" s="255">
        <v>0</v>
      </c>
      <c r="F131" s="255">
        <v>0</v>
      </c>
      <c r="G131" s="129">
        <f>0</f>
        <v>0</v>
      </c>
      <c r="H131" s="255">
        <f>IF(Utilities11215253177[[#This Row],[Actual Buyout]]+Utilities11215253177[[#This Row],[Change Orders]]=0,Utilities11215253177[[#This Row],[Original Contract]],Utilities11215253177[[#This Row],[Actual Buyout]]+Utilities11215253177[[#This Row],[Change Orders]])</f>
        <v>0</v>
      </c>
      <c r="I131" s="129">
        <v>0</v>
      </c>
      <c r="J131" s="129">
        <f>Utilities11215253177[[#This Row],[Original Contract]]-Utilities11215253177[[#This Row],[Revised Contract]]</f>
        <v>0</v>
      </c>
      <c r="K131" s="341"/>
      <c r="L131" s="343"/>
      <c r="S131" s="97"/>
      <c r="T131" s="97"/>
      <c r="X131" s="198"/>
      <c r="Y131" s="198"/>
    </row>
    <row r="132" spans="1:25" x14ac:dyDescent="0.35">
      <c r="A132" s="128">
        <v>33</v>
      </c>
      <c r="B132" s="132" t="s">
        <v>286</v>
      </c>
      <c r="C132" s="132" t="s">
        <v>225</v>
      </c>
      <c r="D132" s="133" t="s">
        <v>47</v>
      </c>
      <c r="E132" s="255">
        <v>0</v>
      </c>
      <c r="F132" s="255">
        <v>0</v>
      </c>
      <c r="G132" s="129">
        <f>0</f>
        <v>0</v>
      </c>
      <c r="H132" s="255">
        <f>IF(Utilities11215253177[[#This Row],[Actual Buyout]]+Utilities11215253177[[#This Row],[Change Orders]]=0,Utilities11215253177[[#This Row],[Original Contract]],Utilities11215253177[[#This Row],[Actual Buyout]]+Utilities11215253177[[#This Row],[Change Orders]])</f>
        <v>0</v>
      </c>
      <c r="I132" s="129">
        <v>0</v>
      </c>
      <c r="J132" s="129">
        <f>Utilities11215253177[[#This Row],[Original Contract]]-Utilities11215253177[[#This Row],[Revised Contract]]</f>
        <v>0</v>
      </c>
      <c r="K132" s="341"/>
      <c r="L132" s="343"/>
      <c r="S132" s="97"/>
      <c r="T132" s="97"/>
      <c r="X132" s="198"/>
      <c r="Y132" s="198"/>
    </row>
    <row r="133" spans="1:25" x14ac:dyDescent="0.35">
      <c r="A133" s="128">
        <v>33</v>
      </c>
      <c r="B133" s="132" t="s">
        <v>284</v>
      </c>
      <c r="C133" s="132" t="s">
        <v>226</v>
      </c>
      <c r="D133" s="133" t="s">
        <v>48</v>
      </c>
      <c r="E133" s="255">
        <v>0</v>
      </c>
      <c r="F133" s="255">
        <v>0</v>
      </c>
      <c r="G133" s="129">
        <f>0</f>
        <v>0</v>
      </c>
      <c r="H133" s="255">
        <f>IF(Utilities11215253177[[#This Row],[Actual Buyout]]+Utilities11215253177[[#This Row],[Change Orders]]=0,Utilities11215253177[[#This Row],[Original Contract]],Utilities11215253177[[#This Row],[Actual Buyout]]+Utilities11215253177[[#This Row],[Change Orders]])</f>
        <v>0</v>
      </c>
      <c r="I133" s="129">
        <v>0</v>
      </c>
      <c r="J133" s="129">
        <f>Utilities11215253177[[#This Row],[Original Contract]]-Utilities11215253177[[#This Row],[Revised Contract]]</f>
        <v>0</v>
      </c>
      <c r="K133" s="341"/>
      <c r="L133" s="343"/>
      <c r="S133" s="97"/>
      <c r="T133" s="97"/>
      <c r="X133" s="198"/>
      <c r="Y133" s="198"/>
    </row>
    <row r="134" spans="1:25" x14ac:dyDescent="0.35">
      <c r="A134" s="128">
        <v>33</v>
      </c>
      <c r="B134" s="132" t="s">
        <v>290</v>
      </c>
      <c r="C134" s="132" t="s">
        <v>287</v>
      </c>
      <c r="D134" s="261" t="s">
        <v>227</v>
      </c>
      <c r="E134" s="255">
        <v>0</v>
      </c>
      <c r="F134" s="255">
        <v>0</v>
      </c>
      <c r="G134" s="129">
        <f>0</f>
        <v>0</v>
      </c>
      <c r="H134" s="255">
        <f>IF(Utilities11215253177[[#This Row],[Actual Buyout]]+Utilities11215253177[[#This Row],[Change Orders]]=0,Utilities11215253177[[#This Row],[Original Contract]],Utilities11215253177[[#This Row],[Actual Buyout]]+Utilities11215253177[[#This Row],[Change Orders]])</f>
        <v>0</v>
      </c>
      <c r="I134" s="129">
        <v>0</v>
      </c>
      <c r="J134" s="129">
        <f>Utilities11215253177[[#This Row],[Original Contract]]-Utilities11215253177[[#This Row],[Revised Contract]]</f>
        <v>0</v>
      </c>
      <c r="K134" s="341"/>
      <c r="L134" s="343"/>
      <c r="S134" s="97"/>
      <c r="T134" s="97"/>
      <c r="X134" s="198"/>
      <c r="Y134" s="198"/>
    </row>
    <row r="135" spans="1:25" x14ac:dyDescent="0.35">
      <c r="A135" s="128">
        <v>33</v>
      </c>
      <c r="B135" s="132" t="s">
        <v>289</v>
      </c>
      <c r="C135" s="132" t="s">
        <v>288</v>
      </c>
      <c r="D135" s="133" t="s">
        <v>228</v>
      </c>
      <c r="E135" s="255">
        <v>0</v>
      </c>
      <c r="F135" s="255">
        <v>0</v>
      </c>
      <c r="G135" s="129">
        <f>0</f>
        <v>0</v>
      </c>
      <c r="H135" s="255">
        <f>IF(Utilities11215253177[[#This Row],[Actual Buyout]]+Utilities11215253177[[#This Row],[Change Orders]]=0,Utilities11215253177[[#This Row],[Original Contract]],Utilities11215253177[[#This Row],[Actual Buyout]]+Utilities11215253177[[#This Row],[Change Orders]])</f>
        <v>0</v>
      </c>
      <c r="I135" s="129">
        <v>0</v>
      </c>
      <c r="J135" s="129">
        <f>Utilities11215253177[[#This Row],[Original Contract]]-Utilities11215253177[[#This Row],[Revised Contract]]</f>
        <v>0</v>
      </c>
      <c r="K135" s="341"/>
      <c r="L135" s="343"/>
      <c r="S135" s="97"/>
      <c r="T135" s="97"/>
      <c r="X135" s="198"/>
      <c r="Y135" s="198"/>
    </row>
    <row r="136" spans="1:25" x14ac:dyDescent="0.35">
      <c r="A136" s="128">
        <v>33</v>
      </c>
      <c r="B136" s="132"/>
      <c r="C136" s="132"/>
      <c r="D136" s="133" t="s">
        <v>37</v>
      </c>
      <c r="E136" s="255">
        <v>0</v>
      </c>
      <c r="F136" s="255">
        <v>0</v>
      </c>
      <c r="G136" s="129">
        <f>0</f>
        <v>0</v>
      </c>
      <c r="H136" s="255">
        <f>IF(Utilities11215253177[[#This Row],[Actual Buyout]]+Utilities11215253177[[#This Row],[Change Orders]]=0,Utilities11215253177[[#This Row],[Original Contract]],Utilities11215253177[[#This Row],[Actual Buyout]]+Utilities11215253177[[#This Row],[Change Orders]])</f>
        <v>0</v>
      </c>
      <c r="I136" s="129">
        <v>0</v>
      </c>
      <c r="J136" s="129">
        <f>Utilities11215253177[[#This Row],[Original Contract]]-Utilities11215253177[[#This Row],[Revised Contract]]</f>
        <v>0</v>
      </c>
      <c r="K136" s="341"/>
      <c r="L136" s="343"/>
      <c r="S136" s="97"/>
      <c r="T136" s="97"/>
      <c r="X136" s="198"/>
      <c r="Y136" s="198"/>
    </row>
    <row r="137" spans="1:25" x14ac:dyDescent="0.35">
      <c r="A137" s="128">
        <v>33</v>
      </c>
      <c r="B137" s="132"/>
      <c r="C137" s="132"/>
      <c r="D137" s="133" t="s">
        <v>37</v>
      </c>
      <c r="E137" s="255">
        <v>0</v>
      </c>
      <c r="F137" s="255">
        <v>0</v>
      </c>
      <c r="G137" s="129">
        <f>0</f>
        <v>0</v>
      </c>
      <c r="H137" s="255">
        <f>IF(Utilities11215253177[[#This Row],[Actual Buyout]]+Utilities11215253177[[#This Row],[Change Orders]]=0,Utilities11215253177[[#This Row],[Original Contract]],Utilities11215253177[[#This Row],[Actual Buyout]]+Utilities11215253177[[#This Row],[Change Orders]])</f>
        <v>0</v>
      </c>
      <c r="I137" s="129">
        <v>0</v>
      </c>
      <c r="J137" s="129">
        <f>Utilities11215253177[[#This Row],[Original Contract]]-Utilities11215253177[[#This Row],[Revised Contract]]</f>
        <v>0</v>
      </c>
      <c r="K137" s="341"/>
      <c r="L137" s="343"/>
      <c r="S137" s="97"/>
      <c r="T137" s="97"/>
      <c r="X137" s="198"/>
      <c r="Y137" s="198"/>
    </row>
    <row r="138" spans="1:25" x14ac:dyDescent="0.35">
      <c r="A138" s="128">
        <v>33</v>
      </c>
      <c r="B138" s="132"/>
      <c r="C138" s="132"/>
      <c r="D138" s="133" t="s">
        <v>37</v>
      </c>
      <c r="E138" s="255">
        <v>0</v>
      </c>
      <c r="F138" s="255">
        <v>0</v>
      </c>
      <c r="G138" s="129">
        <f>0</f>
        <v>0</v>
      </c>
      <c r="H138" s="255">
        <f>IF(Utilities11215253177[[#This Row],[Actual Buyout]]+Utilities11215253177[[#This Row],[Change Orders]]=0,Utilities11215253177[[#This Row],[Original Contract]],Utilities11215253177[[#This Row],[Actual Buyout]]+Utilities11215253177[[#This Row],[Change Orders]])</f>
        <v>0</v>
      </c>
      <c r="I138" s="129">
        <v>0</v>
      </c>
      <c r="J138" s="129">
        <f>Utilities11215253177[[#This Row],[Original Contract]]-Utilities11215253177[[#This Row],[Revised Contract]]</f>
        <v>0</v>
      </c>
      <c r="K138" s="341"/>
      <c r="L138" s="343"/>
      <c r="S138" s="97"/>
      <c r="T138" s="97"/>
      <c r="X138" s="198"/>
      <c r="Y138" s="198"/>
    </row>
    <row r="139" spans="1:25" x14ac:dyDescent="0.35">
      <c r="A139" s="128">
        <v>33</v>
      </c>
      <c r="B139" s="132"/>
      <c r="C139" s="132"/>
      <c r="D139" s="133" t="s">
        <v>37</v>
      </c>
      <c r="E139" s="255">
        <v>0</v>
      </c>
      <c r="F139" s="255">
        <v>0</v>
      </c>
      <c r="G139" s="129">
        <f>0</f>
        <v>0</v>
      </c>
      <c r="H139" s="255">
        <f>IF(Utilities11215253177[[#This Row],[Actual Buyout]]+Utilities11215253177[[#This Row],[Change Orders]]=0,Utilities11215253177[[#This Row],[Original Contract]],Utilities11215253177[[#This Row],[Actual Buyout]]+Utilities11215253177[[#This Row],[Change Orders]])</f>
        <v>0</v>
      </c>
      <c r="I139" s="129">
        <v>0</v>
      </c>
      <c r="J139" s="129">
        <f>Utilities11215253177[[#This Row],[Original Contract]]-Utilities11215253177[[#This Row],[Revised Contract]]</f>
        <v>0</v>
      </c>
      <c r="K139" s="341"/>
      <c r="L139" s="343"/>
      <c r="S139" s="97"/>
      <c r="T139" s="97"/>
      <c r="X139" s="198"/>
      <c r="Y139" s="198"/>
    </row>
    <row r="140" spans="1:25" x14ac:dyDescent="0.35">
      <c r="A140" s="128">
        <v>33</v>
      </c>
      <c r="B140" s="132"/>
      <c r="C140" s="132"/>
      <c r="D140" s="133" t="s">
        <v>37</v>
      </c>
      <c r="E140" s="255">
        <v>0</v>
      </c>
      <c r="F140" s="255">
        <v>0</v>
      </c>
      <c r="G140" s="129">
        <f>0</f>
        <v>0</v>
      </c>
      <c r="H140" s="255">
        <f>IF(Utilities11215253177[[#This Row],[Actual Buyout]]+Utilities11215253177[[#This Row],[Change Orders]]=0,Utilities11215253177[[#This Row],[Original Contract]],Utilities11215253177[[#This Row],[Actual Buyout]]+Utilities11215253177[[#This Row],[Change Orders]])</f>
        <v>0</v>
      </c>
      <c r="I140" s="129">
        <v>0</v>
      </c>
      <c r="J140" s="129">
        <f>Utilities11215253177[[#This Row],[Original Contract]]-Utilities11215253177[[#This Row],[Revised Contract]]</f>
        <v>0</v>
      </c>
      <c r="K140" s="341"/>
      <c r="L140" s="343"/>
      <c r="S140" s="97"/>
      <c r="T140" s="97"/>
      <c r="X140" s="198"/>
      <c r="Y140" s="198"/>
    </row>
    <row r="141" spans="1:25" x14ac:dyDescent="0.35">
      <c r="A141" s="257"/>
      <c r="B141" s="258"/>
      <c r="C141" s="258"/>
      <c r="D141" s="256" t="s">
        <v>38</v>
      </c>
      <c r="E141" s="151">
        <f>SUM(Utilities11215253177[Original Contract])</f>
        <v>0</v>
      </c>
      <c r="F141" s="151">
        <f>SUM(Utilities11215253177[Actual Buyout])</f>
        <v>0</v>
      </c>
      <c r="G141" s="151">
        <f>SUM(Utilities11215253177[Change Orders])</f>
        <v>0</v>
      </c>
      <c r="H141" s="151">
        <f>SUM(Utilities11215253177[Revised Contract])</f>
        <v>0</v>
      </c>
      <c r="I141" s="151">
        <f>SUM(Utilities11215253177[Total completed and Stored])</f>
        <v>0</v>
      </c>
      <c r="J141" s="151">
        <f>SUM(Utilities11215253177[Delta])</f>
        <v>0</v>
      </c>
      <c r="K141" s="343"/>
      <c r="L141" s="343"/>
    </row>
    <row r="142" spans="1:25" x14ac:dyDescent="0.35">
      <c r="A142" s="100" t="s">
        <v>651</v>
      </c>
      <c r="B142" s="100" t="s">
        <v>237</v>
      </c>
      <c r="C142" s="100" t="s">
        <v>167</v>
      </c>
      <c r="D142" s="100" t="s">
        <v>26</v>
      </c>
      <c r="E142" s="100" t="s">
        <v>781</v>
      </c>
      <c r="F142" s="332" t="s">
        <v>1078</v>
      </c>
      <c r="G142" s="332" t="s">
        <v>782</v>
      </c>
      <c r="H142" s="332" t="s">
        <v>783</v>
      </c>
      <c r="I142" s="334" t="s">
        <v>785</v>
      </c>
      <c r="J142" s="340" t="s">
        <v>1079</v>
      </c>
      <c r="K142" s="335"/>
      <c r="L142" s="343"/>
      <c r="S142" s="97"/>
      <c r="T142" s="97"/>
      <c r="X142" s="198"/>
      <c r="Y142" s="198"/>
    </row>
    <row r="143" spans="1:25" x14ac:dyDescent="0.35">
      <c r="A143" s="128">
        <v>1</v>
      </c>
      <c r="B143" s="132" t="s">
        <v>237</v>
      </c>
      <c r="C143" s="132" t="s">
        <v>233</v>
      </c>
      <c r="D143" s="133" t="s">
        <v>232</v>
      </c>
      <c r="E143" s="255">
        <v>0</v>
      </c>
      <c r="F143" s="255">
        <v>0</v>
      </c>
      <c r="G143" s="129">
        <f>0</f>
        <v>0</v>
      </c>
      <c r="H143" s="255">
        <f>IF(TimeAllow12216254178[[#This Row],[Actual Buyout]]+TimeAllow12216254178[[#This Row],[Change Orders]]=0,TimeAllow12216254178[[#This Row],[Original Contract]],TimeAllow12216254178[[#This Row],[Actual Buyout]]+TimeAllow12216254178[[#This Row],[Change Orders]])</f>
        <v>0</v>
      </c>
      <c r="I143" s="129">
        <v>0</v>
      </c>
      <c r="J143" s="129">
        <f>TimeAllow12216254178[[#This Row],[Original Contract]]-TimeAllow12216254178[[#This Row],[Revised Contract]]</f>
        <v>0</v>
      </c>
      <c r="K143" s="341"/>
      <c r="L143" s="343"/>
      <c r="S143" s="97"/>
      <c r="T143" s="97"/>
      <c r="X143" s="198"/>
      <c r="Y143" s="198"/>
    </row>
    <row r="144" spans="1:25" x14ac:dyDescent="0.35">
      <c r="A144" s="128">
        <v>1</v>
      </c>
      <c r="B144" s="132" t="s">
        <v>237</v>
      </c>
      <c r="C144" s="132" t="s">
        <v>233</v>
      </c>
      <c r="D144" s="133" t="s">
        <v>234</v>
      </c>
      <c r="E144" s="255">
        <v>0</v>
      </c>
      <c r="F144" s="255">
        <v>0</v>
      </c>
      <c r="G144" s="129">
        <f>0</f>
        <v>0</v>
      </c>
      <c r="H144" s="255">
        <f>IF(TimeAllow12216254178[[#This Row],[Actual Buyout]]+TimeAllow12216254178[[#This Row],[Change Orders]]=0,TimeAllow12216254178[[#This Row],[Original Contract]],TimeAllow12216254178[[#This Row],[Actual Buyout]]+TimeAllow12216254178[[#This Row],[Change Orders]])</f>
        <v>0</v>
      </c>
      <c r="I144" s="129">
        <v>0</v>
      </c>
      <c r="J144" s="129">
        <f>TimeAllow12216254178[[#This Row],[Original Contract]]-TimeAllow12216254178[[#This Row],[Revised Contract]]</f>
        <v>0</v>
      </c>
      <c r="K144" s="341"/>
      <c r="L144" s="343"/>
      <c r="S144" s="97"/>
      <c r="T144" s="97"/>
      <c r="X144" s="198"/>
      <c r="Y144" s="198"/>
    </row>
    <row r="145" spans="1:25" x14ac:dyDescent="0.35">
      <c r="A145" s="128">
        <v>1</v>
      </c>
      <c r="B145" s="132"/>
      <c r="C145" s="132"/>
      <c r="D145" s="133" t="s">
        <v>802</v>
      </c>
      <c r="E145" s="255">
        <v>0</v>
      </c>
      <c r="F145" s="255">
        <v>0</v>
      </c>
      <c r="G145" s="129">
        <f>0</f>
        <v>0</v>
      </c>
      <c r="H145" s="255">
        <f>IF(TimeAllow12216254178[[#This Row],[Actual Buyout]]+TimeAllow12216254178[[#This Row],[Change Orders]]=0,TimeAllow12216254178[[#This Row],[Original Contract]],TimeAllow12216254178[[#This Row],[Actual Buyout]]+TimeAllow12216254178[[#This Row],[Change Orders]])</f>
        <v>0</v>
      </c>
      <c r="I145" s="129">
        <v>0</v>
      </c>
      <c r="J145" s="129">
        <f>TimeAllow12216254178[[#This Row],[Original Contract]]-TimeAllow12216254178[[#This Row],[Revised Contract]]</f>
        <v>0</v>
      </c>
      <c r="K145" s="341"/>
      <c r="L145" s="343"/>
      <c r="S145" s="97"/>
      <c r="T145" s="97"/>
      <c r="X145" s="198"/>
      <c r="Y145" s="198"/>
    </row>
    <row r="146" spans="1:25" x14ac:dyDescent="0.35">
      <c r="A146" s="128">
        <v>1</v>
      </c>
      <c r="B146" s="132"/>
      <c r="C146" s="132"/>
      <c r="D146" s="133" t="s">
        <v>803</v>
      </c>
      <c r="E146" s="255">
        <v>0</v>
      </c>
      <c r="F146" s="255">
        <v>0</v>
      </c>
      <c r="G146" s="129">
        <f>0</f>
        <v>0</v>
      </c>
      <c r="H146" s="255">
        <f>IF(TimeAllow12216254178[[#This Row],[Actual Buyout]]+TimeAllow12216254178[[#This Row],[Change Orders]]=0,TimeAllow12216254178[[#This Row],[Original Contract]],TimeAllow12216254178[[#This Row],[Actual Buyout]]+TimeAllow12216254178[[#This Row],[Change Orders]])</f>
        <v>0</v>
      </c>
      <c r="I146" s="129">
        <v>0</v>
      </c>
      <c r="J146" s="129">
        <f>TimeAllow12216254178[[#This Row],[Original Contract]]-TimeAllow12216254178[[#This Row],[Revised Contract]]</f>
        <v>0</v>
      </c>
      <c r="K146" s="341"/>
      <c r="L146" s="343"/>
      <c r="S146" s="97"/>
      <c r="T146" s="97"/>
      <c r="X146" s="198"/>
      <c r="Y146" s="198"/>
    </row>
    <row r="147" spans="1:25" x14ac:dyDescent="0.35">
      <c r="A147" s="128">
        <v>1</v>
      </c>
      <c r="B147" s="132"/>
      <c r="C147" s="132"/>
      <c r="D147" s="133" t="s">
        <v>804</v>
      </c>
      <c r="E147" s="255">
        <v>0</v>
      </c>
      <c r="F147" s="255">
        <v>0</v>
      </c>
      <c r="G147" s="129">
        <f>0</f>
        <v>0</v>
      </c>
      <c r="H147" s="255">
        <f>IF(TimeAllow12216254178[[#This Row],[Actual Buyout]]+TimeAllow12216254178[[#This Row],[Change Orders]]=0,TimeAllow12216254178[[#This Row],[Original Contract]],TimeAllow12216254178[[#This Row],[Actual Buyout]]+TimeAllow12216254178[[#This Row],[Change Orders]])</f>
        <v>0</v>
      </c>
      <c r="I147" s="129">
        <v>0</v>
      </c>
      <c r="J147" s="129">
        <f>TimeAllow12216254178[[#This Row],[Original Contract]]-TimeAllow12216254178[[#This Row],[Revised Contract]]</f>
        <v>0</v>
      </c>
      <c r="K147" s="341"/>
      <c r="L147" s="343"/>
      <c r="S147" s="97"/>
      <c r="T147" s="97"/>
      <c r="X147" s="198"/>
      <c r="Y147" s="198"/>
    </row>
    <row r="148" spans="1:25" x14ac:dyDescent="0.35">
      <c r="A148" s="128">
        <v>1</v>
      </c>
      <c r="B148" s="132"/>
      <c r="C148" s="132"/>
      <c r="D148" s="133" t="s">
        <v>37</v>
      </c>
      <c r="E148" s="255">
        <v>0</v>
      </c>
      <c r="F148" s="255">
        <v>0</v>
      </c>
      <c r="G148" s="129">
        <f>0</f>
        <v>0</v>
      </c>
      <c r="H148" s="255">
        <f>IF(TimeAllow12216254178[[#This Row],[Actual Buyout]]+TimeAllow12216254178[[#This Row],[Change Orders]]=0,TimeAllow12216254178[[#This Row],[Original Contract]],TimeAllow12216254178[[#This Row],[Actual Buyout]]+TimeAllow12216254178[[#This Row],[Change Orders]])</f>
        <v>0</v>
      </c>
      <c r="I148" s="129">
        <v>0</v>
      </c>
      <c r="J148" s="129">
        <f>TimeAllow12216254178[[#This Row],[Original Contract]]-TimeAllow12216254178[[#This Row],[Revised Contract]]</f>
        <v>0</v>
      </c>
      <c r="K148" s="341"/>
      <c r="L148" s="343"/>
      <c r="S148" s="97"/>
      <c r="T148" s="97"/>
      <c r="X148" s="198"/>
      <c r="Y148" s="198"/>
    </row>
    <row r="149" spans="1:25" x14ac:dyDescent="0.35">
      <c r="A149" s="128">
        <v>1</v>
      </c>
      <c r="B149" s="132"/>
      <c r="C149" s="132"/>
      <c r="D149" s="133" t="s">
        <v>37</v>
      </c>
      <c r="E149" s="255">
        <v>0</v>
      </c>
      <c r="F149" s="255">
        <v>0</v>
      </c>
      <c r="G149" s="129">
        <f>0</f>
        <v>0</v>
      </c>
      <c r="H149" s="255">
        <f>IF(TimeAllow12216254178[[#This Row],[Actual Buyout]]+TimeAllow12216254178[[#This Row],[Change Orders]]=0,TimeAllow12216254178[[#This Row],[Original Contract]],TimeAllow12216254178[[#This Row],[Actual Buyout]]+TimeAllow12216254178[[#This Row],[Change Orders]])</f>
        <v>0</v>
      </c>
      <c r="I149" s="129">
        <v>0</v>
      </c>
      <c r="J149" s="129">
        <f>TimeAllow12216254178[[#This Row],[Original Contract]]-TimeAllow12216254178[[#This Row],[Revised Contract]]</f>
        <v>0</v>
      </c>
      <c r="K149" s="341"/>
      <c r="L149" s="343"/>
      <c r="S149" s="97"/>
      <c r="T149" s="97"/>
      <c r="X149" s="198"/>
      <c r="Y149" s="198"/>
    </row>
    <row r="150" spans="1:25" x14ac:dyDescent="0.35">
      <c r="A150" s="257"/>
      <c r="B150" s="258"/>
      <c r="C150" s="258"/>
      <c r="D150" s="256" t="s">
        <v>38</v>
      </c>
      <c r="E150" s="151">
        <f>SUM(TimeAllow12216254178[Original Contract])</f>
        <v>0</v>
      </c>
      <c r="F150" s="151">
        <f>SUM(TimeAllow12216254178[Actual Buyout])</f>
        <v>0</v>
      </c>
      <c r="G150" s="151">
        <f>SUM(TimeAllow12216254178[Change Orders])</f>
        <v>0</v>
      </c>
      <c r="H150" s="151">
        <f>SUM(TimeAllow12216254178[Revised Contract])</f>
        <v>0</v>
      </c>
      <c r="I150" s="151">
        <f>SUM(TimeAllow12216254178[Total completed and Stored])</f>
        <v>0</v>
      </c>
      <c r="J150" s="151">
        <f>SUM(TimeAllow12216254178[Delta])</f>
        <v>0</v>
      </c>
      <c r="K150" s="343"/>
      <c r="L150" s="343"/>
    </row>
    <row r="151" spans="1:25" x14ac:dyDescent="0.35">
      <c r="A151" s="100" t="s">
        <v>652</v>
      </c>
      <c r="B151" s="100" t="s">
        <v>3</v>
      </c>
      <c r="C151" s="100" t="s">
        <v>167</v>
      </c>
      <c r="D151" s="100" t="s">
        <v>26</v>
      </c>
      <c r="E151" s="100" t="s">
        <v>781</v>
      </c>
      <c r="F151" s="332" t="s">
        <v>1078</v>
      </c>
      <c r="G151" s="332" t="s">
        <v>782</v>
      </c>
      <c r="H151" s="332" t="s">
        <v>783</v>
      </c>
      <c r="I151" s="334" t="s">
        <v>785</v>
      </c>
      <c r="J151" s="340" t="s">
        <v>1079</v>
      </c>
      <c r="K151" s="335"/>
      <c r="L151" s="343"/>
      <c r="S151" s="97"/>
      <c r="T151" s="97"/>
      <c r="X151" s="198"/>
      <c r="Y151" s="198"/>
    </row>
    <row r="152" spans="1:25" x14ac:dyDescent="0.35">
      <c r="A152" s="128">
        <v>2</v>
      </c>
      <c r="B152" s="132" t="s">
        <v>293</v>
      </c>
      <c r="C152" s="132" t="s">
        <v>235</v>
      </c>
      <c r="D152" s="133" t="s">
        <v>3</v>
      </c>
      <c r="E152" s="255">
        <v>0</v>
      </c>
      <c r="F152" s="255">
        <v>0</v>
      </c>
      <c r="G152" s="129">
        <f>0</f>
        <v>0</v>
      </c>
      <c r="H152" s="255">
        <f>IF(Demo13217255179[[#This Row],[Actual Buyout]]+Demo13217255179[[#This Row],[Change Orders]]=0,Demo13217255179[[#This Row],[Original Contract]],Demo13217255179[[#This Row],[Actual Buyout]]+Demo13217255179[[#This Row],[Change Orders]])</f>
        <v>0</v>
      </c>
      <c r="I152" s="129">
        <v>0</v>
      </c>
      <c r="J152" s="129">
        <f>Demo13217255179[[#This Row],[Original Contract]]-Demo13217255179[[#This Row],[Revised Contract]]</f>
        <v>0</v>
      </c>
      <c r="K152" s="341"/>
      <c r="L152" s="343"/>
      <c r="S152" s="97"/>
      <c r="T152" s="97"/>
      <c r="X152" s="198"/>
      <c r="Y152" s="198"/>
    </row>
    <row r="153" spans="1:25" x14ac:dyDescent="0.35">
      <c r="A153" s="128">
        <v>2</v>
      </c>
      <c r="B153" s="132"/>
      <c r="C153" s="132"/>
      <c r="D153" s="133" t="s">
        <v>37</v>
      </c>
      <c r="E153" s="255">
        <v>0</v>
      </c>
      <c r="F153" s="255">
        <v>0</v>
      </c>
      <c r="G153" s="129">
        <f>0</f>
        <v>0</v>
      </c>
      <c r="H153" s="255">
        <f>IF(Demo13217255179[[#This Row],[Actual Buyout]]+Demo13217255179[[#This Row],[Change Orders]]=0,Demo13217255179[[#This Row],[Original Contract]],Demo13217255179[[#This Row],[Actual Buyout]]+Demo13217255179[[#This Row],[Change Orders]])</f>
        <v>0</v>
      </c>
      <c r="I153" s="129">
        <v>0</v>
      </c>
      <c r="J153" s="129">
        <f>Demo13217255179[[#This Row],[Original Contract]]-Demo13217255179[[#This Row],[Revised Contract]]</f>
        <v>0</v>
      </c>
      <c r="K153" s="341"/>
      <c r="L153" s="343"/>
      <c r="S153" s="97"/>
      <c r="T153" s="97"/>
      <c r="X153" s="198"/>
      <c r="Y153" s="198"/>
    </row>
    <row r="154" spans="1:25" x14ac:dyDescent="0.35">
      <c r="A154" s="128">
        <v>2</v>
      </c>
      <c r="B154" s="132"/>
      <c r="C154" s="132"/>
      <c r="D154" s="133" t="s">
        <v>37</v>
      </c>
      <c r="E154" s="255">
        <v>0</v>
      </c>
      <c r="F154" s="255">
        <v>0</v>
      </c>
      <c r="G154" s="129">
        <f>0</f>
        <v>0</v>
      </c>
      <c r="H154" s="255">
        <f>IF(Demo13217255179[[#This Row],[Actual Buyout]]+Demo13217255179[[#This Row],[Change Orders]]=0,Demo13217255179[[#This Row],[Original Contract]],Demo13217255179[[#This Row],[Actual Buyout]]+Demo13217255179[[#This Row],[Change Orders]])</f>
        <v>0</v>
      </c>
      <c r="I154" s="129">
        <v>0</v>
      </c>
      <c r="J154" s="129">
        <f>Demo13217255179[[#This Row],[Original Contract]]-Demo13217255179[[#This Row],[Revised Contract]]</f>
        <v>0</v>
      </c>
      <c r="K154" s="341"/>
      <c r="L154" s="343"/>
      <c r="S154" s="97"/>
      <c r="T154" s="97"/>
      <c r="X154" s="198"/>
      <c r="Y154" s="198"/>
    </row>
    <row r="155" spans="1:25" x14ac:dyDescent="0.35">
      <c r="A155" s="128">
        <v>2</v>
      </c>
      <c r="B155" s="132"/>
      <c r="C155" s="132"/>
      <c r="D155" s="133" t="s">
        <v>37</v>
      </c>
      <c r="E155" s="255">
        <v>0</v>
      </c>
      <c r="F155" s="255">
        <v>0</v>
      </c>
      <c r="G155" s="129">
        <f>0</f>
        <v>0</v>
      </c>
      <c r="H155" s="255">
        <f>IF(Demo13217255179[[#This Row],[Actual Buyout]]+Demo13217255179[[#This Row],[Change Orders]]=0,Demo13217255179[[#This Row],[Original Contract]],Demo13217255179[[#This Row],[Actual Buyout]]+Demo13217255179[[#This Row],[Change Orders]])</f>
        <v>0</v>
      </c>
      <c r="I155" s="129">
        <v>0</v>
      </c>
      <c r="J155" s="129">
        <f>Demo13217255179[[#This Row],[Original Contract]]-Demo13217255179[[#This Row],[Revised Contract]]</f>
        <v>0</v>
      </c>
      <c r="K155" s="341"/>
      <c r="L155" s="343"/>
      <c r="S155" s="97"/>
      <c r="T155" s="97"/>
      <c r="X155" s="198"/>
      <c r="Y155" s="198"/>
    </row>
    <row r="156" spans="1:25" x14ac:dyDescent="0.35">
      <c r="A156" s="128">
        <v>2</v>
      </c>
      <c r="B156" s="132"/>
      <c r="C156" s="132"/>
      <c r="D156" s="133" t="s">
        <v>37</v>
      </c>
      <c r="E156" s="255">
        <v>0</v>
      </c>
      <c r="F156" s="255">
        <v>0</v>
      </c>
      <c r="G156" s="129">
        <f>0</f>
        <v>0</v>
      </c>
      <c r="H156" s="255">
        <f>IF(Demo13217255179[[#This Row],[Actual Buyout]]+Demo13217255179[[#This Row],[Change Orders]]=0,Demo13217255179[[#This Row],[Original Contract]],Demo13217255179[[#This Row],[Actual Buyout]]+Demo13217255179[[#This Row],[Change Orders]])</f>
        <v>0</v>
      </c>
      <c r="I156" s="129">
        <v>0</v>
      </c>
      <c r="J156" s="129">
        <f>Demo13217255179[[#This Row],[Original Contract]]-Demo13217255179[[#This Row],[Revised Contract]]</f>
        <v>0</v>
      </c>
      <c r="K156" s="341"/>
      <c r="L156" s="343"/>
      <c r="S156" s="97"/>
      <c r="T156" s="97"/>
      <c r="X156" s="198"/>
      <c r="Y156" s="198"/>
    </row>
    <row r="157" spans="1:25" x14ac:dyDescent="0.35">
      <c r="A157" s="128">
        <v>2</v>
      </c>
      <c r="B157" s="132"/>
      <c r="C157" s="132"/>
      <c r="D157" s="133" t="s">
        <v>37</v>
      </c>
      <c r="E157" s="255">
        <v>0</v>
      </c>
      <c r="F157" s="255">
        <v>0</v>
      </c>
      <c r="G157" s="129">
        <f>0</f>
        <v>0</v>
      </c>
      <c r="H157" s="255">
        <f>IF(Demo13217255179[[#This Row],[Actual Buyout]]+Demo13217255179[[#This Row],[Change Orders]]=0,Demo13217255179[[#This Row],[Original Contract]],Demo13217255179[[#This Row],[Actual Buyout]]+Demo13217255179[[#This Row],[Change Orders]])</f>
        <v>0</v>
      </c>
      <c r="I157" s="129">
        <v>0</v>
      </c>
      <c r="J157" s="129">
        <f>Demo13217255179[[#This Row],[Original Contract]]-Demo13217255179[[#This Row],[Revised Contract]]</f>
        <v>0</v>
      </c>
      <c r="K157" s="341"/>
      <c r="L157" s="343"/>
      <c r="S157" s="97"/>
      <c r="T157" s="97"/>
      <c r="X157" s="198"/>
      <c r="Y157" s="198"/>
    </row>
    <row r="158" spans="1:25" x14ac:dyDescent="0.35">
      <c r="A158" s="257"/>
      <c r="B158" s="258"/>
      <c r="C158" s="258"/>
      <c r="D158" s="256" t="s">
        <v>38</v>
      </c>
      <c r="E158" s="151">
        <f>SUM(Demo13217255179[Original Contract])</f>
        <v>0</v>
      </c>
      <c r="F158" s="151">
        <f>SUM(Demo13217255179[Actual Buyout])</f>
        <v>0</v>
      </c>
      <c r="G158" s="151">
        <f>SUM(Demo13217255179[Change Orders])</f>
        <v>0</v>
      </c>
      <c r="H158" s="151">
        <f>SUM(Demo13217255179[Revised Contract])</f>
        <v>0</v>
      </c>
      <c r="I158" s="151">
        <f>SUM(Demo13217255179[Total completed and Stored])</f>
        <v>0</v>
      </c>
      <c r="J158" s="151">
        <f>SUM(Demo13217255179[Delta])</f>
        <v>0</v>
      </c>
      <c r="K158" s="343"/>
      <c r="L158" s="343"/>
    </row>
    <row r="159" spans="1:25" x14ac:dyDescent="0.35">
      <c r="A159" s="100" t="s">
        <v>653</v>
      </c>
      <c r="B159" s="100" t="s">
        <v>71</v>
      </c>
      <c r="C159" s="100" t="s">
        <v>167</v>
      </c>
      <c r="D159" s="100" t="s">
        <v>26</v>
      </c>
      <c r="E159" s="100" t="s">
        <v>781</v>
      </c>
      <c r="F159" s="332" t="s">
        <v>1078</v>
      </c>
      <c r="G159" s="332" t="s">
        <v>782</v>
      </c>
      <c r="H159" s="332" t="s">
        <v>783</v>
      </c>
      <c r="I159" s="334" t="s">
        <v>785</v>
      </c>
      <c r="J159" s="340" t="s">
        <v>1079</v>
      </c>
      <c r="K159" s="335"/>
      <c r="L159" s="343"/>
      <c r="S159" s="97"/>
      <c r="T159" s="97"/>
      <c r="X159" s="198"/>
      <c r="Y159" s="198"/>
    </row>
    <row r="160" spans="1:25" x14ac:dyDescent="0.35">
      <c r="A160" s="128">
        <v>3</v>
      </c>
      <c r="B160" s="132" t="s">
        <v>294</v>
      </c>
      <c r="C160" s="132" t="s">
        <v>171</v>
      </c>
      <c r="D160" s="133" t="s">
        <v>741</v>
      </c>
      <c r="E160" s="255">
        <v>0</v>
      </c>
      <c r="F160" s="255">
        <v>0</v>
      </c>
      <c r="G160" s="129">
        <f>0</f>
        <v>0</v>
      </c>
      <c r="H160" s="255">
        <f>IF(BuildConcrete14218256180[[#This Row],[Actual Buyout]]+BuildConcrete14218256180[[#This Row],[Change Orders]]=0,BuildConcrete14218256180[[#This Row],[Original Contract]],BuildConcrete14218256180[[#This Row],[Actual Buyout]]+BuildConcrete14218256180[[#This Row],[Change Orders]])</f>
        <v>0</v>
      </c>
      <c r="I160" s="129">
        <v>0</v>
      </c>
      <c r="J160" s="129">
        <f>BuildConcrete14218256180[[#This Row],[Original Contract]]-BuildConcrete14218256180[[#This Row],[Revised Contract]]</f>
        <v>0</v>
      </c>
      <c r="K160" s="341"/>
      <c r="L160" s="343"/>
      <c r="S160" s="97"/>
      <c r="T160" s="97"/>
      <c r="X160" s="198"/>
      <c r="Y160" s="198"/>
    </row>
    <row r="161" spans="1:25" x14ac:dyDescent="0.35">
      <c r="A161" s="128">
        <v>3</v>
      </c>
      <c r="B161" s="132" t="s">
        <v>294</v>
      </c>
      <c r="C161" s="132" t="s">
        <v>171</v>
      </c>
      <c r="D161" s="133" t="s">
        <v>742</v>
      </c>
      <c r="E161" s="255">
        <v>0</v>
      </c>
      <c r="F161" s="255">
        <v>0</v>
      </c>
      <c r="G161" s="129">
        <f>0</f>
        <v>0</v>
      </c>
      <c r="H161" s="255">
        <f>IF(BuildConcrete14218256180[[#This Row],[Actual Buyout]]+BuildConcrete14218256180[[#This Row],[Change Orders]]=0,BuildConcrete14218256180[[#This Row],[Original Contract]],BuildConcrete14218256180[[#This Row],[Actual Buyout]]+BuildConcrete14218256180[[#This Row],[Change Orders]])</f>
        <v>0</v>
      </c>
      <c r="I161" s="129">
        <v>0</v>
      </c>
      <c r="J161" s="129">
        <f>BuildConcrete14218256180[[#This Row],[Original Contract]]-BuildConcrete14218256180[[#This Row],[Revised Contract]]</f>
        <v>0</v>
      </c>
      <c r="K161" s="341"/>
      <c r="L161" s="343"/>
      <c r="S161" s="97"/>
      <c r="T161" s="97"/>
      <c r="X161" s="198"/>
      <c r="Y161" s="198"/>
    </row>
    <row r="162" spans="1:25" x14ac:dyDescent="0.35">
      <c r="A162" s="128">
        <v>3</v>
      </c>
      <c r="B162" s="132" t="s">
        <v>294</v>
      </c>
      <c r="C162" s="132" t="s">
        <v>171</v>
      </c>
      <c r="D162" s="133" t="s">
        <v>743</v>
      </c>
      <c r="E162" s="255">
        <v>0</v>
      </c>
      <c r="F162" s="255">
        <v>0</v>
      </c>
      <c r="G162" s="129">
        <f>0</f>
        <v>0</v>
      </c>
      <c r="H162" s="255">
        <f>IF(BuildConcrete14218256180[[#This Row],[Actual Buyout]]+BuildConcrete14218256180[[#This Row],[Change Orders]]=0,BuildConcrete14218256180[[#This Row],[Original Contract]],BuildConcrete14218256180[[#This Row],[Actual Buyout]]+BuildConcrete14218256180[[#This Row],[Change Orders]])</f>
        <v>0</v>
      </c>
      <c r="I162" s="129">
        <v>0</v>
      </c>
      <c r="J162" s="129">
        <f>BuildConcrete14218256180[[#This Row],[Original Contract]]-BuildConcrete14218256180[[#This Row],[Revised Contract]]</f>
        <v>0</v>
      </c>
      <c r="K162" s="341"/>
      <c r="L162" s="343"/>
      <c r="S162" s="97"/>
      <c r="T162" s="97"/>
      <c r="X162" s="198"/>
      <c r="Y162" s="198"/>
    </row>
    <row r="163" spans="1:25" x14ac:dyDescent="0.35">
      <c r="A163" s="128">
        <v>3</v>
      </c>
      <c r="B163" s="132" t="s">
        <v>294</v>
      </c>
      <c r="C163" s="132" t="s">
        <v>171</v>
      </c>
      <c r="D163" s="133" t="s">
        <v>72</v>
      </c>
      <c r="E163" s="255">
        <v>0</v>
      </c>
      <c r="F163" s="255">
        <v>0</v>
      </c>
      <c r="G163" s="129">
        <f>0</f>
        <v>0</v>
      </c>
      <c r="H163" s="255">
        <f>IF(BuildConcrete14218256180[[#This Row],[Actual Buyout]]+BuildConcrete14218256180[[#This Row],[Change Orders]]=0,BuildConcrete14218256180[[#This Row],[Original Contract]],BuildConcrete14218256180[[#This Row],[Actual Buyout]]+BuildConcrete14218256180[[#This Row],[Change Orders]])</f>
        <v>0</v>
      </c>
      <c r="I163" s="129">
        <v>0</v>
      </c>
      <c r="J163" s="129">
        <f>BuildConcrete14218256180[[#This Row],[Original Contract]]-BuildConcrete14218256180[[#This Row],[Revised Contract]]</f>
        <v>0</v>
      </c>
      <c r="K163" s="341"/>
      <c r="L163" s="343"/>
      <c r="S163" s="97"/>
      <c r="T163" s="97"/>
      <c r="X163" s="198"/>
      <c r="Y163" s="198"/>
    </row>
    <row r="164" spans="1:25" x14ac:dyDescent="0.35">
      <c r="A164" s="128">
        <v>3</v>
      </c>
      <c r="B164" s="132" t="s">
        <v>296</v>
      </c>
      <c r="C164" s="132" t="s">
        <v>295</v>
      </c>
      <c r="D164" s="133" t="s">
        <v>73</v>
      </c>
      <c r="E164" s="255">
        <v>0</v>
      </c>
      <c r="F164" s="255">
        <v>0</v>
      </c>
      <c r="G164" s="129">
        <f>0</f>
        <v>0</v>
      </c>
      <c r="H164" s="255">
        <f>IF(BuildConcrete14218256180[[#This Row],[Actual Buyout]]+BuildConcrete14218256180[[#This Row],[Change Orders]]=0,BuildConcrete14218256180[[#This Row],[Original Contract]],BuildConcrete14218256180[[#This Row],[Actual Buyout]]+BuildConcrete14218256180[[#This Row],[Change Orders]])</f>
        <v>0</v>
      </c>
      <c r="I164" s="129">
        <v>0</v>
      </c>
      <c r="J164" s="129">
        <f>BuildConcrete14218256180[[#This Row],[Original Contract]]-BuildConcrete14218256180[[#This Row],[Revised Contract]]</f>
        <v>0</v>
      </c>
      <c r="K164" s="341"/>
      <c r="L164" s="343"/>
      <c r="S164" s="97"/>
      <c r="T164" s="97"/>
      <c r="X164" s="198"/>
      <c r="Y164" s="198"/>
    </row>
    <row r="165" spans="1:25" x14ac:dyDescent="0.35">
      <c r="A165" s="128">
        <v>3</v>
      </c>
      <c r="B165" s="132" t="s">
        <v>296</v>
      </c>
      <c r="C165" s="132" t="s">
        <v>295</v>
      </c>
      <c r="D165" s="133" t="s">
        <v>744</v>
      </c>
      <c r="E165" s="255">
        <v>0</v>
      </c>
      <c r="F165" s="255">
        <v>0</v>
      </c>
      <c r="G165" s="129">
        <f>0</f>
        <v>0</v>
      </c>
      <c r="H165" s="255">
        <f>IF(BuildConcrete14218256180[[#This Row],[Actual Buyout]]+BuildConcrete14218256180[[#This Row],[Change Orders]]=0,BuildConcrete14218256180[[#This Row],[Original Contract]],BuildConcrete14218256180[[#This Row],[Actual Buyout]]+BuildConcrete14218256180[[#This Row],[Change Orders]])</f>
        <v>0</v>
      </c>
      <c r="I165" s="129">
        <v>0</v>
      </c>
      <c r="J165" s="129">
        <f>BuildConcrete14218256180[[#This Row],[Original Contract]]-BuildConcrete14218256180[[#This Row],[Revised Contract]]</f>
        <v>0</v>
      </c>
      <c r="K165" s="341"/>
      <c r="L165" s="343"/>
      <c r="S165" s="97"/>
      <c r="T165" s="97"/>
      <c r="X165" s="198"/>
      <c r="Y165" s="198"/>
    </row>
    <row r="166" spans="1:25" x14ac:dyDescent="0.35">
      <c r="A166" s="128">
        <v>3</v>
      </c>
      <c r="B166" s="132" t="s">
        <v>294</v>
      </c>
      <c r="C166" s="132" t="s">
        <v>171</v>
      </c>
      <c r="D166" s="133" t="s">
        <v>745</v>
      </c>
      <c r="E166" s="255">
        <v>0</v>
      </c>
      <c r="F166" s="255">
        <v>0</v>
      </c>
      <c r="G166" s="129">
        <f>0</f>
        <v>0</v>
      </c>
      <c r="H166" s="255">
        <f>IF(BuildConcrete14218256180[[#This Row],[Actual Buyout]]+BuildConcrete14218256180[[#This Row],[Change Orders]]=0,BuildConcrete14218256180[[#This Row],[Original Contract]],BuildConcrete14218256180[[#This Row],[Actual Buyout]]+BuildConcrete14218256180[[#This Row],[Change Orders]])</f>
        <v>0</v>
      </c>
      <c r="I166" s="129">
        <v>0</v>
      </c>
      <c r="J166" s="129">
        <f>BuildConcrete14218256180[[#This Row],[Original Contract]]-BuildConcrete14218256180[[#This Row],[Revised Contract]]</f>
        <v>0</v>
      </c>
      <c r="K166" s="341"/>
      <c r="L166" s="343"/>
      <c r="S166" s="97"/>
      <c r="T166" s="97"/>
      <c r="X166" s="198"/>
      <c r="Y166" s="198"/>
    </row>
    <row r="167" spans="1:25" x14ac:dyDescent="0.35">
      <c r="A167" s="128">
        <v>3</v>
      </c>
      <c r="B167" s="132" t="s">
        <v>297</v>
      </c>
      <c r="C167" s="132" t="s">
        <v>172</v>
      </c>
      <c r="D167" s="133" t="s">
        <v>170</v>
      </c>
      <c r="E167" s="255">
        <v>0</v>
      </c>
      <c r="F167" s="255">
        <v>0</v>
      </c>
      <c r="G167" s="129">
        <f>0</f>
        <v>0</v>
      </c>
      <c r="H167" s="255">
        <f>IF(BuildConcrete14218256180[[#This Row],[Actual Buyout]]+BuildConcrete14218256180[[#This Row],[Change Orders]]=0,BuildConcrete14218256180[[#This Row],[Original Contract]],BuildConcrete14218256180[[#This Row],[Actual Buyout]]+BuildConcrete14218256180[[#This Row],[Change Orders]])</f>
        <v>0</v>
      </c>
      <c r="I167" s="129">
        <v>0</v>
      </c>
      <c r="J167" s="129">
        <f>BuildConcrete14218256180[[#This Row],[Original Contract]]-BuildConcrete14218256180[[#This Row],[Revised Contract]]</f>
        <v>0</v>
      </c>
      <c r="K167" s="341"/>
      <c r="L167" s="343"/>
      <c r="S167" s="97"/>
      <c r="T167" s="97"/>
      <c r="X167" s="198"/>
      <c r="Y167" s="198"/>
    </row>
    <row r="168" spans="1:25" x14ac:dyDescent="0.35">
      <c r="A168" s="128">
        <v>3</v>
      </c>
      <c r="B168" s="132" t="s">
        <v>297</v>
      </c>
      <c r="C168" s="132" t="s">
        <v>172</v>
      </c>
      <c r="D168" s="133" t="s">
        <v>173</v>
      </c>
      <c r="E168" s="255">
        <v>0</v>
      </c>
      <c r="F168" s="255">
        <v>0</v>
      </c>
      <c r="G168" s="129">
        <f>0</f>
        <v>0</v>
      </c>
      <c r="H168" s="255">
        <f>IF(BuildConcrete14218256180[[#This Row],[Actual Buyout]]+BuildConcrete14218256180[[#This Row],[Change Orders]]=0,BuildConcrete14218256180[[#This Row],[Original Contract]],BuildConcrete14218256180[[#This Row],[Actual Buyout]]+BuildConcrete14218256180[[#This Row],[Change Orders]])</f>
        <v>0</v>
      </c>
      <c r="I168" s="129">
        <v>0</v>
      </c>
      <c r="J168" s="129">
        <f>BuildConcrete14218256180[[#This Row],[Original Contract]]-BuildConcrete14218256180[[#This Row],[Revised Contract]]</f>
        <v>0</v>
      </c>
      <c r="K168" s="341"/>
      <c r="L168" s="343"/>
      <c r="S168" s="97"/>
      <c r="T168" s="97"/>
      <c r="X168" s="198"/>
      <c r="Y168" s="198"/>
    </row>
    <row r="169" spans="1:25" x14ac:dyDescent="0.35">
      <c r="A169" s="128">
        <v>3</v>
      </c>
      <c r="B169" s="132" t="s">
        <v>678</v>
      </c>
      <c r="C169" s="132" t="s">
        <v>171</v>
      </c>
      <c r="D169" s="133" t="s">
        <v>746</v>
      </c>
      <c r="E169" s="255">
        <v>0</v>
      </c>
      <c r="F169" s="255">
        <v>0</v>
      </c>
      <c r="G169" s="129">
        <f>0</f>
        <v>0</v>
      </c>
      <c r="H169" s="255">
        <f>IF(BuildConcrete14218256180[[#This Row],[Actual Buyout]]+BuildConcrete14218256180[[#This Row],[Change Orders]]=0,BuildConcrete14218256180[[#This Row],[Original Contract]],BuildConcrete14218256180[[#This Row],[Actual Buyout]]+BuildConcrete14218256180[[#This Row],[Change Orders]])</f>
        <v>0</v>
      </c>
      <c r="I169" s="129">
        <v>0</v>
      </c>
      <c r="J169" s="129">
        <f>BuildConcrete14218256180[[#This Row],[Original Contract]]-BuildConcrete14218256180[[#This Row],[Revised Contract]]</f>
        <v>0</v>
      </c>
      <c r="K169" s="341"/>
      <c r="L169" s="343"/>
      <c r="S169" s="97"/>
      <c r="T169" s="97"/>
      <c r="X169" s="198"/>
      <c r="Y169" s="198"/>
    </row>
    <row r="170" spans="1:25" x14ac:dyDescent="0.35">
      <c r="A170" s="128">
        <v>3</v>
      </c>
      <c r="B170" s="132" t="s">
        <v>678</v>
      </c>
      <c r="C170" s="132" t="s">
        <v>171</v>
      </c>
      <c r="D170" s="133" t="s">
        <v>747</v>
      </c>
      <c r="E170" s="255">
        <v>0</v>
      </c>
      <c r="F170" s="255">
        <v>0</v>
      </c>
      <c r="G170" s="129">
        <f>0</f>
        <v>0</v>
      </c>
      <c r="H170" s="255">
        <f>IF(BuildConcrete14218256180[[#This Row],[Actual Buyout]]+BuildConcrete14218256180[[#This Row],[Change Orders]]=0,BuildConcrete14218256180[[#This Row],[Original Contract]],BuildConcrete14218256180[[#This Row],[Actual Buyout]]+BuildConcrete14218256180[[#This Row],[Change Orders]])</f>
        <v>0</v>
      </c>
      <c r="I170" s="129">
        <v>0</v>
      </c>
      <c r="J170" s="129">
        <f>BuildConcrete14218256180[[#This Row],[Original Contract]]-BuildConcrete14218256180[[#This Row],[Revised Contract]]</f>
        <v>0</v>
      </c>
      <c r="K170" s="341"/>
      <c r="L170" s="343"/>
      <c r="S170" s="97"/>
      <c r="T170" s="97"/>
      <c r="X170" s="198"/>
      <c r="Y170" s="198"/>
    </row>
    <row r="171" spans="1:25" x14ac:dyDescent="0.35">
      <c r="A171" s="128">
        <v>3</v>
      </c>
      <c r="B171" s="132"/>
      <c r="C171" s="132"/>
      <c r="D171" s="133" t="s">
        <v>37</v>
      </c>
      <c r="E171" s="255">
        <v>0</v>
      </c>
      <c r="F171" s="255">
        <v>0</v>
      </c>
      <c r="G171" s="129">
        <f>0</f>
        <v>0</v>
      </c>
      <c r="H171" s="255">
        <f>IF(BuildConcrete14218256180[[#This Row],[Actual Buyout]]+BuildConcrete14218256180[[#This Row],[Change Orders]]=0,BuildConcrete14218256180[[#This Row],[Original Contract]],BuildConcrete14218256180[[#This Row],[Actual Buyout]]+BuildConcrete14218256180[[#This Row],[Change Orders]])</f>
        <v>0</v>
      </c>
      <c r="I171" s="129">
        <v>0</v>
      </c>
      <c r="J171" s="129">
        <f>BuildConcrete14218256180[[#This Row],[Original Contract]]-BuildConcrete14218256180[[#This Row],[Revised Contract]]</f>
        <v>0</v>
      </c>
      <c r="K171" s="341"/>
      <c r="L171" s="343"/>
      <c r="S171" s="97"/>
      <c r="T171" s="97"/>
      <c r="X171" s="198"/>
      <c r="Y171" s="198"/>
    </row>
    <row r="172" spans="1:25" x14ac:dyDescent="0.35">
      <c r="A172" s="128">
        <v>3</v>
      </c>
      <c r="B172" s="132"/>
      <c r="C172" s="132"/>
      <c r="D172" s="133" t="s">
        <v>37</v>
      </c>
      <c r="E172" s="255">
        <v>0</v>
      </c>
      <c r="F172" s="255">
        <v>0</v>
      </c>
      <c r="G172" s="129">
        <f>0</f>
        <v>0</v>
      </c>
      <c r="H172" s="255">
        <f>IF(BuildConcrete14218256180[[#This Row],[Actual Buyout]]+BuildConcrete14218256180[[#This Row],[Change Orders]]=0,BuildConcrete14218256180[[#This Row],[Original Contract]],BuildConcrete14218256180[[#This Row],[Actual Buyout]]+BuildConcrete14218256180[[#This Row],[Change Orders]])</f>
        <v>0</v>
      </c>
      <c r="I172" s="129">
        <v>0</v>
      </c>
      <c r="J172" s="129">
        <f>BuildConcrete14218256180[[#This Row],[Original Contract]]-BuildConcrete14218256180[[#This Row],[Revised Contract]]</f>
        <v>0</v>
      </c>
      <c r="K172" s="341"/>
      <c r="L172" s="343"/>
      <c r="S172" s="97"/>
      <c r="T172" s="97"/>
      <c r="X172" s="198"/>
      <c r="Y172" s="198"/>
    </row>
    <row r="173" spans="1:25" x14ac:dyDescent="0.35">
      <c r="A173" s="128">
        <v>3</v>
      </c>
      <c r="B173" s="132"/>
      <c r="C173" s="132"/>
      <c r="D173" s="133" t="s">
        <v>37</v>
      </c>
      <c r="E173" s="255">
        <v>0</v>
      </c>
      <c r="F173" s="255">
        <v>0</v>
      </c>
      <c r="G173" s="129">
        <f>0</f>
        <v>0</v>
      </c>
      <c r="H173" s="255">
        <f>IF(BuildConcrete14218256180[[#This Row],[Actual Buyout]]+BuildConcrete14218256180[[#This Row],[Change Orders]]=0,BuildConcrete14218256180[[#This Row],[Original Contract]],BuildConcrete14218256180[[#This Row],[Actual Buyout]]+BuildConcrete14218256180[[#This Row],[Change Orders]])</f>
        <v>0</v>
      </c>
      <c r="I173" s="129">
        <v>0</v>
      </c>
      <c r="J173" s="129">
        <f>BuildConcrete14218256180[[#This Row],[Original Contract]]-BuildConcrete14218256180[[#This Row],[Revised Contract]]</f>
        <v>0</v>
      </c>
      <c r="K173" s="341"/>
      <c r="L173" s="343"/>
      <c r="S173" s="97"/>
      <c r="T173" s="97"/>
      <c r="X173" s="198"/>
      <c r="Y173" s="198"/>
    </row>
    <row r="174" spans="1:25" x14ac:dyDescent="0.35">
      <c r="A174" s="128">
        <v>3</v>
      </c>
      <c r="B174" s="132"/>
      <c r="C174" s="132"/>
      <c r="D174" s="133" t="s">
        <v>37</v>
      </c>
      <c r="E174" s="255">
        <v>0</v>
      </c>
      <c r="F174" s="255">
        <v>0</v>
      </c>
      <c r="G174" s="129">
        <f>0</f>
        <v>0</v>
      </c>
      <c r="H174" s="255">
        <f>IF(BuildConcrete14218256180[[#This Row],[Actual Buyout]]+BuildConcrete14218256180[[#This Row],[Change Orders]]=0,BuildConcrete14218256180[[#This Row],[Original Contract]],BuildConcrete14218256180[[#This Row],[Actual Buyout]]+BuildConcrete14218256180[[#This Row],[Change Orders]])</f>
        <v>0</v>
      </c>
      <c r="I174" s="129">
        <v>0</v>
      </c>
      <c r="J174" s="129">
        <f>BuildConcrete14218256180[[#This Row],[Original Contract]]-BuildConcrete14218256180[[#This Row],[Revised Contract]]</f>
        <v>0</v>
      </c>
      <c r="K174" s="341"/>
      <c r="L174" s="343"/>
      <c r="S174" s="97"/>
      <c r="T174" s="97"/>
      <c r="X174" s="198"/>
      <c r="Y174" s="198"/>
    </row>
    <row r="175" spans="1:25" x14ac:dyDescent="0.35">
      <c r="A175" s="128">
        <v>3</v>
      </c>
      <c r="B175" s="132"/>
      <c r="C175" s="132"/>
      <c r="D175" s="133" t="s">
        <v>37</v>
      </c>
      <c r="E175" s="255">
        <v>0</v>
      </c>
      <c r="F175" s="255">
        <v>0</v>
      </c>
      <c r="G175" s="129">
        <f>0</f>
        <v>0</v>
      </c>
      <c r="H175" s="255">
        <f>IF(BuildConcrete14218256180[[#This Row],[Actual Buyout]]+BuildConcrete14218256180[[#This Row],[Change Orders]]=0,BuildConcrete14218256180[[#This Row],[Original Contract]],BuildConcrete14218256180[[#This Row],[Actual Buyout]]+BuildConcrete14218256180[[#This Row],[Change Orders]])</f>
        <v>0</v>
      </c>
      <c r="I175" s="129">
        <v>0</v>
      </c>
      <c r="J175" s="129">
        <f>BuildConcrete14218256180[[#This Row],[Original Contract]]-BuildConcrete14218256180[[#This Row],[Revised Contract]]</f>
        <v>0</v>
      </c>
      <c r="K175" s="341"/>
      <c r="L175" s="343"/>
      <c r="S175" s="97"/>
      <c r="T175" s="97"/>
      <c r="X175" s="198"/>
      <c r="Y175" s="198"/>
    </row>
    <row r="176" spans="1:25" x14ac:dyDescent="0.35">
      <c r="A176" s="128">
        <v>3</v>
      </c>
      <c r="B176" s="259"/>
      <c r="C176" s="259"/>
      <c r="D176" s="260" t="s">
        <v>37</v>
      </c>
      <c r="E176" s="255">
        <v>0</v>
      </c>
      <c r="F176" s="255">
        <v>0</v>
      </c>
      <c r="G176" s="129">
        <f>0</f>
        <v>0</v>
      </c>
      <c r="H176" s="255">
        <f>IF(BuildConcrete14218256180[[#This Row],[Actual Buyout]]+BuildConcrete14218256180[[#This Row],[Change Orders]]=0,BuildConcrete14218256180[[#This Row],[Original Contract]],BuildConcrete14218256180[[#This Row],[Actual Buyout]]+BuildConcrete14218256180[[#This Row],[Change Orders]])</f>
        <v>0</v>
      </c>
      <c r="I176" s="129">
        <v>0</v>
      </c>
      <c r="J176" s="129">
        <f>BuildConcrete14218256180[[#This Row],[Original Contract]]-BuildConcrete14218256180[[#This Row],[Revised Contract]]</f>
        <v>0</v>
      </c>
      <c r="K176" s="341"/>
      <c r="L176" s="343"/>
      <c r="S176" s="97"/>
      <c r="T176" s="97"/>
      <c r="X176" s="198"/>
      <c r="Y176" s="198"/>
    </row>
    <row r="177" spans="1:25" x14ac:dyDescent="0.35">
      <c r="A177" s="257"/>
      <c r="B177" s="258"/>
      <c r="C177" s="258"/>
      <c r="D177" s="256" t="s">
        <v>38</v>
      </c>
      <c r="E177" s="151">
        <f>SUM(BuildConcrete14218256180[Original Contract])</f>
        <v>0</v>
      </c>
      <c r="F177" s="151">
        <f>SUM(BuildConcrete14218256180[Actual Buyout])</f>
        <v>0</v>
      </c>
      <c r="G177" s="151">
        <f>SUM(BuildConcrete14218256180[Change Orders])</f>
        <v>0</v>
      </c>
      <c r="H177" s="151">
        <f>SUM(BuildConcrete14218256180[Revised Contract])</f>
        <v>0</v>
      </c>
      <c r="I177" s="151">
        <f>SUM(BuildConcrete14218256180[Total completed and Stored])</f>
        <v>0</v>
      </c>
      <c r="J177" s="151">
        <f>SUM(BuildConcrete14218256180[Delta])</f>
        <v>0</v>
      </c>
      <c r="K177" s="343"/>
      <c r="L177" s="343"/>
    </row>
    <row r="178" spans="1:25" x14ac:dyDescent="0.35">
      <c r="A178" s="100" t="s">
        <v>654</v>
      </c>
      <c r="B178" s="100" t="s">
        <v>0</v>
      </c>
      <c r="C178" s="100" t="s">
        <v>167</v>
      </c>
      <c r="D178" s="100" t="s">
        <v>26</v>
      </c>
      <c r="E178" s="100" t="s">
        <v>781</v>
      </c>
      <c r="F178" s="332" t="s">
        <v>1078</v>
      </c>
      <c r="G178" s="332" t="s">
        <v>782</v>
      </c>
      <c r="H178" s="332" t="s">
        <v>783</v>
      </c>
      <c r="I178" s="334" t="s">
        <v>785</v>
      </c>
      <c r="J178" s="340" t="s">
        <v>1079</v>
      </c>
      <c r="K178" s="335"/>
      <c r="L178" s="343"/>
      <c r="S178" s="97"/>
      <c r="T178" s="97"/>
      <c r="X178" s="198"/>
      <c r="Y178" s="198"/>
    </row>
    <row r="179" spans="1:25" x14ac:dyDescent="0.35">
      <c r="A179" s="128">
        <v>4</v>
      </c>
      <c r="B179" s="132" t="s">
        <v>0</v>
      </c>
      <c r="C179" s="132" t="s">
        <v>174</v>
      </c>
      <c r="D179" s="133" t="s">
        <v>0</v>
      </c>
      <c r="E179" s="255">
        <v>0</v>
      </c>
      <c r="F179" s="255">
        <v>0</v>
      </c>
      <c r="G179" s="129">
        <f>0</f>
        <v>0</v>
      </c>
      <c r="H179" s="255">
        <f>IF(Masonry15219257181[[#This Row],[Actual Buyout]]+Masonry15219257181[[#This Row],[Change Orders]]=0,Masonry15219257181[[#This Row],[Original Contract]],Masonry15219257181[[#This Row],[Actual Buyout]]+Masonry15219257181[[#This Row],[Change Orders]])</f>
        <v>0</v>
      </c>
      <c r="I179" s="129">
        <v>0</v>
      </c>
      <c r="J179" s="129">
        <f>Masonry15219257181[[#This Row],[Original Contract]]-Masonry15219257181[[#This Row],[Revised Contract]]</f>
        <v>0</v>
      </c>
      <c r="K179" s="341"/>
      <c r="L179" s="343"/>
      <c r="S179" s="97"/>
      <c r="T179" s="97"/>
      <c r="X179" s="198"/>
      <c r="Y179" s="198"/>
    </row>
    <row r="180" spans="1:25" x14ac:dyDescent="0.35">
      <c r="A180" s="128">
        <v>4</v>
      </c>
      <c r="B180" s="132"/>
      <c r="C180" s="132"/>
      <c r="D180" s="133" t="s">
        <v>37</v>
      </c>
      <c r="E180" s="255">
        <v>0</v>
      </c>
      <c r="F180" s="255">
        <v>0</v>
      </c>
      <c r="G180" s="129">
        <f>0</f>
        <v>0</v>
      </c>
      <c r="H180" s="255">
        <f>IF(Masonry15219257181[[#This Row],[Actual Buyout]]+Masonry15219257181[[#This Row],[Change Orders]]=0,Masonry15219257181[[#This Row],[Original Contract]],Masonry15219257181[[#This Row],[Actual Buyout]]+Masonry15219257181[[#This Row],[Change Orders]])</f>
        <v>0</v>
      </c>
      <c r="I180" s="129">
        <v>0</v>
      </c>
      <c r="J180" s="129">
        <f>Masonry15219257181[[#This Row],[Original Contract]]-Masonry15219257181[[#This Row],[Revised Contract]]</f>
        <v>0</v>
      </c>
      <c r="K180" s="341"/>
      <c r="L180" s="343"/>
      <c r="S180" s="97"/>
      <c r="T180" s="97"/>
      <c r="X180" s="198"/>
      <c r="Y180" s="198"/>
    </row>
    <row r="181" spans="1:25" x14ac:dyDescent="0.35">
      <c r="A181" s="128">
        <v>4</v>
      </c>
      <c r="B181" s="132"/>
      <c r="C181" s="132"/>
      <c r="D181" s="133" t="s">
        <v>37</v>
      </c>
      <c r="E181" s="255">
        <v>0</v>
      </c>
      <c r="F181" s="255">
        <v>0</v>
      </c>
      <c r="G181" s="129">
        <f>0</f>
        <v>0</v>
      </c>
      <c r="H181" s="255">
        <f>IF(Masonry15219257181[[#This Row],[Actual Buyout]]+Masonry15219257181[[#This Row],[Change Orders]]=0,Masonry15219257181[[#This Row],[Original Contract]],Masonry15219257181[[#This Row],[Actual Buyout]]+Masonry15219257181[[#This Row],[Change Orders]])</f>
        <v>0</v>
      </c>
      <c r="I181" s="129">
        <v>0</v>
      </c>
      <c r="J181" s="129">
        <f>Masonry15219257181[[#This Row],[Original Contract]]-Masonry15219257181[[#This Row],[Revised Contract]]</f>
        <v>0</v>
      </c>
      <c r="K181" s="341"/>
      <c r="L181" s="343"/>
      <c r="S181" s="97"/>
      <c r="T181" s="97"/>
      <c r="X181" s="198"/>
      <c r="Y181" s="198"/>
    </row>
    <row r="182" spans="1:25" x14ac:dyDescent="0.35">
      <c r="A182" s="128">
        <v>4</v>
      </c>
      <c r="B182" s="132"/>
      <c r="C182" s="132"/>
      <c r="D182" s="133" t="s">
        <v>37</v>
      </c>
      <c r="E182" s="255">
        <v>0</v>
      </c>
      <c r="F182" s="255">
        <v>0</v>
      </c>
      <c r="G182" s="129">
        <f>0</f>
        <v>0</v>
      </c>
      <c r="H182" s="255">
        <f>IF(Masonry15219257181[[#This Row],[Actual Buyout]]+Masonry15219257181[[#This Row],[Change Orders]]=0,Masonry15219257181[[#This Row],[Original Contract]],Masonry15219257181[[#This Row],[Actual Buyout]]+Masonry15219257181[[#This Row],[Change Orders]])</f>
        <v>0</v>
      </c>
      <c r="I182" s="129">
        <v>0</v>
      </c>
      <c r="J182" s="129">
        <f>Masonry15219257181[[#This Row],[Original Contract]]-Masonry15219257181[[#This Row],[Revised Contract]]</f>
        <v>0</v>
      </c>
      <c r="K182" s="341"/>
      <c r="L182" s="343"/>
      <c r="S182" s="97"/>
      <c r="T182" s="97"/>
      <c r="X182" s="198"/>
      <c r="Y182" s="198"/>
    </row>
    <row r="183" spans="1:25" x14ac:dyDescent="0.35">
      <c r="A183" s="128">
        <v>4</v>
      </c>
      <c r="B183" s="132"/>
      <c r="C183" s="132"/>
      <c r="D183" s="133" t="s">
        <v>37</v>
      </c>
      <c r="E183" s="255">
        <v>0</v>
      </c>
      <c r="F183" s="255">
        <v>0</v>
      </c>
      <c r="G183" s="129">
        <f>0</f>
        <v>0</v>
      </c>
      <c r="H183" s="255">
        <f>IF(Masonry15219257181[[#This Row],[Actual Buyout]]+Masonry15219257181[[#This Row],[Change Orders]]=0,Masonry15219257181[[#This Row],[Original Contract]],Masonry15219257181[[#This Row],[Actual Buyout]]+Masonry15219257181[[#This Row],[Change Orders]])</f>
        <v>0</v>
      </c>
      <c r="I183" s="129">
        <v>0</v>
      </c>
      <c r="J183" s="129">
        <f>Masonry15219257181[[#This Row],[Original Contract]]-Masonry15219257181[[#This Row],[Revised Contract]]</f>
        <v>0</v>
      </c>
      <c r="K183" s="341"/>
      <c r="L183" s="343"/>
      <c r="S183" s="97"/>
      <c r="T183" s="97"/>
      <c r="X183" s="198"/>
      <c r="Y183" s="198"/>
    </row>
    <row r="184" spans="1:25" x14ac:dyDescent="0.35">
      <c r="A184" s="128">
        <v>4</v>
      </c>
      <c r="B184" s="132"/>
      <c r="C184" s="132"/>
      <c r="D184" s="133" t="s">
        <v>37</v>
      </c>
      <c r="E184" s="255">
        <v>0</v>
      </c>
      <c r="F184" s="255">
        <v>0</v>
      </c>
      <c r="G184" s="129">
        <f>0</f>
        <v>0</v>
      </c>
      <c r="H184" s="255">
        <f>IF(Masonry15219257181[[#This Row],[Actual Buyout]]+Masonry15219257181[[#This Row],[Change Orders]]=0,Masonry15219257181[[#This Row],[Original Contract]],Masonry15219257181[[#This Row],[Actual Buyout]]+Masonry15219257181[[#This Row],[Change Orders]])</f>
        <v>0</v>
      </c>
      <c r="I184" s="129">
        <v>0</v>
      </c>
      <c r="J184" s="129">
        <f>Masonry15219257181[[#This Row],[Original Contract]]-Masonry15219257181[[#This Row],[Revised Contract]]</f>
        <v>0</v>
      </c>
      <c r="K184" s="341"/>
      <c r="L184" s="343"/>
      <c r="S184" s="97"/>
      <c r="T184" s="97"/>
      <c r="X184" s="198"/>
      <c r="Y184" s="198"/>
    </row>
    <row r="185" spans="1:25" x14ac:dyDescent="0.35">
      <c r="A185" s="257"/>
      <c r="B185" s="258"/>
      <c r="C185" s="258"/>
      <c r="D185" s="256" t="s">
        <v>38</v>
      </c>
      <c r="E185" s="151">
        <f>SUM(Masonry15219257181[Original Contract])</f>
        <v>0</v>
      </c>
      <c r="F185" s="151">
        <f>SUM(Masonry15219257181[Actual Buyout])</f>
        <v>0</v>
      </c>
      <c r="G185" s="151">
        <f>SUM(Masonry15219257181[Change Orders])</f>
        <v>0</v>
      </c>
      <c r="H185" s="151">
        <f>SUM(Masonry15219257181[Revised Contract])</f>
        <v>0</v>
      </c>
      <c r="I185" s="151">
        <f>SUM(Masonry15219257181[Total completed and Stored])</f>
        <v>0</v>
      </c>
      <c r="J185" s="151">
        <f>SUM(Masonry15219257181[Delta])</f>
        <v>0</v>
      </c>
      <c r="K185" s="343"/>
      <c r="L185" s="343"/>
    </row>
    <row r="186" spans="1:25" x14ac:dyDescent="0.35">
      <c r="A186" s="100" t="s">
        <v>655</v>
      </c>
      <c r="B186" s="100" t="s">
        <v>1</v>
      </c>
      <c r="C186" s="100" t="s">
        <v>167</v>
      </c>
      <c r="D186" s="100" t="s">
        <v>26</v>
      </c>
      <c r="E186" s="100" t="s">
        <v>781</v>
      </c>
      <c r="F186" s="332" t="s">
        <v>1078</v>
      </c>
      <c r="G186" s="332" t="s">
        <v>782</v>
      </c>
      <c r="H186" s="332" t="s">
        <v>783</v>
      </c>
      <c r="I186" s="334" t="s">
        <v>785</v>
      </c>
      <c r="J186" s="340" t="s">
        <v>1079</v>
      </c>
      <c r="K186" s="335"/>
      <c r="L186" s="343"/>
      <c r="S186" s="97"/>
      <c r="T186" s="97"/>
      <c r="X186" s="198"/>
      <c r="Y186" s="198"/>
    </row>
    <row r="187" spans="1:25" x14ac:dyDescent="0.35">
      <c r="A187" s="128">
        <v>5</v>
      </c>
      <c r="B187" s="132" t="s">
        <v>298</v>
      </c>
      <c r="C187" s="132" t="s">
        <v>176</v>
      </c>
      <c r="D187" s="133" t="s">
        <v>74</v>
      </c>
      <c r="E187" s="255">
        <v>0</v>
      </c>
      <c r="F187" s="255">
        <v>0</v>
      </c>
      <c r="G187" s="129">
        <f>0</f>
        <v>0</v>
      </c>
      <c r="H187" s="255">
        <f>IF(StrucSteel16220258182[[#This Row],[Actual Buyout]]+StrucSteel16220258182[[#This Row],[Change Orders]]=0,StrucSteel16220258182[[#This Row],[Original Contract]],StrucSteel16220258182[[#This Row],[Actual Buyout]]+StrucSteel16220258182[[#This Row],[Change Orders]])</f>
        <v>0</v>
      </c>
      <c r="I187" s="129">
        <v>0</v>
      </c>
      <c r="J187" s="129">
        <f>StrucSteel16220258182[[#This Row],[Original Contract]]-StrucSteel16220258182[[#This Row],[Revised Contract]]</f>
        <v>0</v>
      </c>
      <c r="K187" s="341"/>
      <c r="L187" s="343"/>
      <c r="S187" s="97"/>
      <c r="T187" s="97"/>
      <c r="X187" s="198"/>
      <c r="Y187" s="198"/>
    </row>
    <row r="188" spans="1:25" x14ac:dyDescent="0.35">
      <c r="A188" s="128">
        <v>5</v>
      </c>
      <c r="B188" s="132" t="s">
        <v>300</v>
      </c>
      <c r="C188" s="132" t="s">
        <v>299</v>
      </c>
      <c r="D188" s="133" t="s">
        <v>75</v>
      </c>
      <c r="E188" s="255">
        <v>0</v>
      </c>
      <c r="F188" s="255">
        <v>0</v>
      </c>
      <c r="G188" s="129">
        <f>0</f>
        <v>0</v>
      </c>
      <c r="H188" s="255">
        <f>IF(StrucSteel16220258182[[#This Row],[Actual Buyout]]+StrucSteel16220258182[[#This Row],[Change Orders]]=0,StrucSteel16220258182[[#This Row],[Original Contract]],StrucSteel16220258182[[#This Row],[Actual Buyout]]+StrucSteel16220258182[[#This Row],[Change Orders]])</f>
        <v>0</v>
      </c>
      <c r="I188" s="129">
        <v>0</v>
      </c>
      <c r="J188" s="129">
        <f>StrucSteel16220258182[[#This Row],[Original Contract]]-StrucSteel16220258182[[#This Row],[Revised Contract]]</f>
        <v>0</v>
      </c>
      <c r="K188" s="341"/>
      <c r="L188" s="343"/>
      <c r="S188" s="97"/>
      <c r="T188" s="97"/>
      <c r="X188" s="198"/>
      <c r="Y188" s="198"/>
    </row>
    <row r="189" spans="1:25" x14ac:dyDescent="0.35">
      <c r="A189" s="128">
        <v>5</v>
      </c>
      <c r="B189" s="132" t="s">
        <v>302</v>
      </c>
      <c r="C189" s="132" t="s">
        <v>301</v>
      </c>
      <c r="D189" s="133" t="s">
        <v>748</v>
      </c>
      <c r="E189" s="255">
        <v>0</v>
      </c>
      <c r="F189" s="255">
        <v>0</v>
      </c>
      <c r="G189" s="129">
        <f>0</f>
        <v>0</v>
      </c>
      <c r="H189" s="255">
        <f>IF(StrucSteel16220258182[[#This Row],[Actual Buyout]]+StrucSteel16220258182[[#This Row],[Change Orders]]=0,StrucSteel16220258182[[#This Row],[Original Contract]],StrucSteel16220258182[[#This Row],[Actual Buyout]]+StrucSteel16220258182[[#This Row],[Change Orders]])</f>
        <v>0</v>
      </c>
      <c r="I189" s="129">
        <v>0</v>
      </c>
      <c r="J189" s="129">
        <f>StrucSteel16220258182[[#This Row],[Original Contract]]-StrucSteel16220258182[[#This Row],[Revised Contract]]</f>
        <v>0</v>
      </c>
      <c r="K189" s="341"/>
      <c r="L189" s="343"/>
      <c r="S189" s="97"/>
      <c r="T189" s="97"/>
      <c r="X189" s="198"/>
      <c r="Y189" s="198"/>
    </row>
    <row r="190" spans="1:25" x14ac:dyDescent="0.35">
      <c r="A190" s="128">
        <v>5</v>
      </c>
      <c r="B190" s="132" t="s">
        <v>303</v>
      </c>
      <c r="C190" s="132" t="s">
        <v>175</v>
      </c>
      <c r="D190" s="133" t="s">
        <v>749</v>
      </c>
      <c r="E190" s="255">
        <v>0</v>
      </c>
      <c r="F190" s="255">
        <v>0</v>
      </c>
      <c r="G190" s="129">
        <f>0</f>
        <v>0</v>
      </c>
      <c r="H190" s="255">
        <f>IF(StrucSteel16220258182[[#This Row],[Actual Buyout]]+StrucSteel16220258182[[#This Row],[Change Orders]]=0,StrucSteel16220258182[[#This Row],[Original Contract]],StrucSteel16220258182[[#This Row],[Actual Buyout]]+StrucSteel16220258182[[#This Row],[Change Orders]])</f>
        <v>0</v>
      </c>
      <c r="I190" s="129">
        <v>0</v>
      </c>
      <c r="J190" s="129">
        <f>StrucSteel16220258182[[#This Row],[Original Contract]]-StrucSteel16220258182[[#This Row],[Revised Contract]]</f>
        <v>0</v>
      </c>
      <c r="K190" s="341"/>
      <c r="L190" s="343"/>
      <c r="S190" s="97"/>
      <c r="T190" s="97"/>
      <c r="X190" s="198"/>
      <c r="Y190" s="198"/>
    </row>
    <row r="191" spans="1:25" x14ac:dyDescent="0.35">
      <c r="A191" s="128">
        <v>5</v>
      </c>
      <c r="B191" s="132" t="s">
        <v>298</v>
      </c>
      <c r="C191" s="132" t="s">
        <v>176</v>
      </c>
      <c r="D191" s="133" t="s">
        <v>750</v>
      </c>
      <c r="E191" s="255">
        <v>0</v>
      </c>
      <c r="F191" s="255">
        <v>0</v>
      </c>
      <c r="G191" s="129">
        <f>0</f>
        <v>0</v>
      </c>
      <c r="H191" s="255">
        <f>IF(StrucSteel16220258182[[#This Row],[Actual Buyout]]+StrucSteel16220258182[[#This Row],[Change Orders]]=0,StrucSteel16220258182[[#This Row],[Original Contract]],StrucSteel16220258182[[#This Row],[Actual Buyout]]+StrucSteel16220258182[[#This Row],[Change Orders]])</f>
        <v>0</v>
      </c>
      <c r="I191" s="129">
        <v>0</v>
      </c>
      <c r="J191" s="129">
        <f>StrucSteel16220258182[[#This Row],[Original Contract]]-StrucSteel16220258182[[#This Row],[Revised Contract]]</f>
        <v>0</v>
      </c>
      <c r="K191" s="341"/>
      <c r="L191" s="343"/>
      <c r="S191" s="97"/>
      <c r="T191" s="97"/>
      <c r="X191" s="198"/>
      <c r="Y191" s="198"/>
    </row>
    <row r="192" spans="1:25" x14ac:dyDescent="0.35">
      <c r="A192" s="128">
        <v>5</v>
      </c>
      <c r="B192" s="132" t="s">
        <v>298</v>
      </c>
      <c r="C192" s="132" t="s">
        <v>176</v>
      </c>
      <c r="D192" s="133" t="s">
        <v>751</v>
      </c>
      <c r="E192" s="255">
        <v>0</v>
      </c>
      <c r="F192" s="255">
        <v>0</v>
      </c>
      <c r="G192" s="129">
        <f>0</f>
        <v>0</v>
      </c>
      <c r="H192" s="255">
        <f>IF(StrucSteel16220258182[[#This Row],[Actual Buyout]]+StrucSteel16220258182[[#This Row],[Change Orders]]=0,StrucSteel16220258182[[#This Row],[Original Contract]],StrucSteel16220258182[[#This Row],[Actual Buyout]]+StrucSteel16220258182[[#This Row],[Change Orders]])</f>
        <v>0</v>
      </c>
      <c r="I192" s="129">
        <v>0</v>
      </c>
      <c r="J192" s="129">
        <f>StrucSteel16220258182[[#This Row],[Original Contract]]-StrucSteel16220258182[[#This Row],[Revised Contract]]</f>
        <v>0</v>
      </c>
      <c r="K192" s="341"/>
      <c r="L192" s="343"/>
      <c r="S192" s="97"/>
      <c r="T192" s="97"/>
      <c r="X192" s="198"/>
      <c r="Y192" s="198"/>
    </row>
    <row r="193" spans="1:25" x14ac:dyDescent="0.35">
      <c r="A193" s="128">
        <v>5</v>
      </c>
      <c r="B193" s="132" t="s">
        <v>298</v>
      </c>
      <c r="C193" s="132" t="s">
        <v>176</v>
      </c>
      <c r="D193" s="133" t="s">
        <v>752</v>
      </c>
      <c r="E193" s="255">
        <v>0</v>
      </c>
      <c r="F193" s="255">
        <v>0</v>
      </c>
      <c r="G193" s="129">
        <f>0</f>
        <v>0</v>
      </c>
      <c r="H193" s="255">
        <f>IF(StrucSteel16220258182[[#This Row],[Actual Buyout]]+StrucSteel16220258182[[#This Row],[Change Orders]]=0,StrucSteel16220258182[[#This Row],[Original Contract]],StrucSteel16220258182[[#This Row],[Actual Buyout]]+StrucSteel16220258182[[#This Row],[Change Orders]])</f>
        <v>0</v>
      </c>
      <c r="I193" s="129">
        <v>0</v>
      </c>
      <c r="J193" s="129">
        <f>StrucSteel16220258182[[#This Row],[Original Contract]]-StrucSteel16220258182[[#This Row],[Revised Contract]]</f>
        <v>0</v>
      </c>
      <c r="K193" s="341"/>
      <c r="L193" s="343"/>
      <c r="S193" s="97"/>
      <c r="T193" s="97"/>
      <c r="X193" s="198"/>
      <c r="Y193" s="198"/>
    </row>
    <row r="194" spans="1:25" x14ac:dyDescent="0.35">
      <c r="A194" s="128">
        <v>5</v>
      </c>
      <c r="B194" s="132" t="s">
        <v>300</v>
      </c>
      <c r="C194" s="132" t="s">
        <v>299</v>
      </c>
      <c r="D194" s="133" t="s">
        <v>753</v>
      </c>
      <c r="E194" s="255">
        <v>0</v>
      </c>
      <c r="F194" s="255">
        <v>0</v>
      </c>
      <c r="G194" s="129">
        <f>0</f>
        <v>0</v>
      </c>
      <c r="H194" s="255">
        <f>IF(StrucSteel16220258182[[#This Row],[Actual Buyout]]+StrucSteel16220258182[[#This Row],[Change Orders]]=0,StrucSteel16220258182[[#This Row],[Original Contract]],StrucSteel16220258182[[#This Row],[Actual Buyout]]+StrucSteel16220258182[[#This Row],[Change Orders]])</f>
        <v>0</v>
      </c>
      <c r="I194" s="129">
        <v>0</v>
      </c>
      <c r="J194" s="129">
        <f>StrucSteel16220258182[[#This Row],[Original Contract]]-StrucSteel16220258182[[#This Row],[Revised Contract]]</f>
        <v>0</v>
      </c>
      <c r="K194" s="341"/>
      <c r="L194" s="343"/>
      <c r="S194" s="97"/>
      <c r="T194" s="97"/>
      <c r="X194" s="198"/>
      <c r="Y194" s="198"/>
    </row>
    <row r="195" spans="1:25" x14ac:dyDescent="0.35">
      <c r="A195" s="128">
        <v>5</v>
      </c>
      <c r="B195" s="132" t="s">
        <v>302</v>
      </c>
      <c r="C195" s="132" t="s">
        <v>301</v>
      </c>
      <c r="D195" s="133" t="s">
        <v>754</v>
      </c>
      <c r="E195" s="255">
        <v>0</v>
      </c>
      <c r="F195" s="255">
        <v>0</v>
      </c>
      <c r="G195" s="129">
        <f>0</f>
        <v>0</v>
      </c>
      <c r="H195" s="255">
        <f>IF(StrucSteel16220258182[[#This Row],[Actual Buyout]]+StrucSteel16220258182[[#This Row],[Change Orders]]=0,StrucSteel16220258182[[#This Row],[Original Contract]],StrucSteel16220258182[[#This Row],[Actual Buyout]]+StrucSteel16220258182[[#This Row],[Change Orders]])</f>
        <v>0</v>
      </c>
      <c r="I195" s="129">
        <v>0</v>
      </c>
      <c r="J195" s="129">
        <f>StrucSteel16220258182[[#This Row],[Original Contract]]-StrucSteel16220258182[[#This Row],[Revised Contract]]</f>
        <v>0</v>
      </c>
      <c r="K195" s="341"/>
      <c r="L195" s="343"/>
      <c r="S195" s="97"/>
      <c r="T195" s="97"/>
      <c r="X195" s="198"/>
      <c r="Y195" s="198"/>
    </row>
    <row r="196" spans="1:25" x14ac:dyDescent="0.35">
      <c r="A196" s="128">
        <v>5</v>
      </c>
      <c r="B196" s="132"/>
      <c r="C196" s="132"/>
      <c r="D196" s="133" t="s">
        <v>37</v>
      </c>
      <c r="E196" s="255">
        <v>0</v>
      </c>
      <c r="F196" s="255">
        <v>0</v>
      </c>
      <c r="G196" s="129">
        <f>0</f>
        <v>0</v>
      </c>
      <c r="H196" s="255">
        <f>IF(StrucSteel16220258182[[#This Row],[Actual Buyout]]+StrucSteel16220258182[[#This Row],[Change Orders]]=0,StrucSteel16220258182[[#This Row],[Original Contract]],StrucSteel16220258182[[#This Row],[Actual Buyout]]+StrucSteel16220258182[[#This Row],[Change Orders]])</f>
        <v>0</v>
      </c>
      <c r="I196" s="129">
        <v>0</v>
      </c>
      <c r="J196" s="129">
        <f>StrucSteel16220258182[[#This Row],[Original Contract]]-StrucSteel16220258182[[#This Row],[Revised Contract]]</f>
        <v>0</v>
      </c>
      <c r="K196" s="341"/>
      <c r="L196" s="343"/>
      <c r="S196" s="97"/>
      <c r="T196" s="97"/>
      <c r="X196" s="198"/>
      <c r="Y196" s="198"/>
    </row>
    <row r="197" spans="1:25" x14ac:dyDescent="0.35">
      <c r="A197" s="128">
        <v>5</v>
      </c>
      <c r="B197" s="132"/>
      <c r="C197" s="132"/>
      <c r="D197" s="133" t="s">
        <v>37</v>
      </c>
      <c r="E197" s="255">
        <v>0</v>
      </c>
      <c r="F197" s="255">
        <v>0</v>
      </c>
      <c r="G197" s="129">
        <f>0</f>
        <v>0</v>
      </c>
      <c r="H197" s="255">
        <f>IF(StrucSteel16220258182[[#This Row],[Actual Buyout]]+StrucSteel16220258182[[#This Row],[Change Orders]]=0,StrucSteel16220258182[[#This Row],[Original Contract]],StrucSteel16220258182[[#This Row],[Actual Buyout]]+StrucSteel16220258182[[#This Row],[Change Orders]])</f>
        <v>0</v>
      </c>
      <c r="I197" s="129">
        <v>0</v>
      </c>
      <c r="J197" s="129">
        <f>StrucSteel16220258182[[#This Row],[Original Contract]]-StrucSteel16220258182[[#This Row],[Revised Contract]]</f>
        <v>0</v>
      </c>
      <c r="K197" s="341"/>
      <c r="L197" s="343"/>
      <c r="S197" s="97"/>
      <c r="T197" s="97"/>
      <c r="X197" s="198"/>
      <c r="Y197" s="198"/>
    </row>
    <row r="198" spans="1:25" x14ac:dyDescent="0.35">
      <c r="A198" s="128">
        <v>5</v>
      </c>
      <c r="B198" s="132"/>
      <c r="C198" s="132"/>
      <c r="D198" s="133" t="s">
        <v>37</v>
      </c>
      <c r="E198" s="255">
        <v>0</v>
      </c>
      <c r="F198" s="255">
        <v>0</v>
      </c>
      <c r="G198" s="129">
        <f>0</f>
        <v>0</v>
      </c>
      <c r="H198" s="255">
        <f>IF(StrucSteel16220258182[[#This Row],[Actual Buyout]]+StrucSteel16220258182[[#This Row],[Change Orders]]=0,StrucSteel16220258182[[#This Row],[Original Contract]],StrucSteel16220258182[[#This Row],[Actual Buyout]]+StrucSteel16220258182[[#This Row],[Change Orders]])</f>
        <v>0</v>
      </c>
      <c r="I198" s="129">
        <v>0</v>
      </c>
      <c r="J198" s="129">
        <f>StrucSteel16220258182[[#This Row],[Original Contract]]-StrucSteel16220258182[[#This Row],[Revised Contract]]</f>
        <v>0</v>
      </c>
      <c r="K198" s="341"/>
      <c r="L198" s="343"/>
      <c r="S198" s="97"/>
      <c r="T198" s="97"/>
      <c r="X198" s="198"/>
      <c r="Y198" s="198"/>
    </row>
    <row r="199" spans="1:25" x14ac:dyDescent="0.35">
      <c r="A199" s="128">
        <v>5</v>
      </c>
      <c r="B199" s="132"/>
      <c r="C199" s="132"/>
      <c r="D199" s="133" t="s">
        <v>37</v>
      </c>
      <c r="E199" s="255">
        <v>0</v>
      </c>
      <c r="F199" s="255">
        <v>0</v>
      </c>
      <c r="G199" s="129">
        <f>0</f>
        <v>0</v>
      </c>
      <c r="H199" s="255">
        <f>IF(StrucSteel16220258182[[#This Row],[Actual Buyout]]+StrucSteel16220258182[[#This Row],[Change Orders]]=0,StrucSteel16220258182[[#This Row],[Original Contract]],StrucSteel16220258182[[#This Row],[Actual Buyout]]+StrucSteel16220258182[[#This Row],[Change Orders]])</f>
        <v>0</v>
      </c>
      <c r="I199" s="129">
        <v>0</v>
      </c>
      <c r="J199" s="129">
        <f>StrucSteel16220258182[[#This Row],[Original Contract]]-StrucSteel16220258182[[#This Row],[Revised Contract]]</f>
        <v>0</v>
      </c>
      <c r="K199" s="341"/>
      <c r="L199" s="343"/>
      <c r="S199" s="97"/>
      <c r="T199" s="97"/>
      <c r="X199" s="198"/>
      <c r="Y199" s="198"/>
    </row>
    <row r="200" spans="1:25" x14ac:dyDescent="0.35">
      <c r="A200" s="128">
        <v>5</v>
      </c>
      <c r="B200" s="132"/>
      <c r="C200" s="132"/>
      <c r="D200" s="133" t="s">
        <v>37</v>
      </c>
      <c r="E200" s="255">
        <v>0</v>
      </c>
      <c r="F200" s="255">
        <v>0</v>
      </c>
      <c r="G200" s="129">
        <f>0</f>
        <v>0</v>
      </c>
      <c r="H200" s="255">
        <f>IF(StrucSteel16220258182[[#This Row],[Actual Buyout]]+StrucSteel16220258182[[#This Row],[Change Orders]]=0,StrucSteel16220258182[[#This Row],[Original Contract]],StrucSteel16220258182[[#This Row],[Actual Buyout]]+StrucSteel16220258182[[#This Row],[Change Orders]])</f>
        <v>0</v>
      </c>
      <c r="I200" s="129">
        <v>0</v>
      </c>
      <c r="J200" s="129">
        <f>StrucSteel16220258182[[#This Row],[Original Contract]]-StrucSteel16220258182[[#This Row],[Revised Contract]]</f>
        <v>0</v>
      </c>
      <c r="K200" s="341"/>
      <c r="L200" s="343"/>
      <c r="S200" s="97"/>
      <c r="T200" s="97"/>
      <c r="X200" s="198"/>
      <c r="Y200" s="198"/>
    </row>
    <row r="201" spans="1:25" x14ac:dyDescent="0.35">
      <c r="A201" s="128">
        <v>5</v>
      </c>
      <c r="B201" s="259"/>
      <c r="C201" s="259"/>
      <c r="D201" s="260" t="s">
        <v>37</v>
      </c>
      <c r="E201" s="255">
        <v>0</v>
      </c>
      <c r="F201" s="255">
        <v>0</v>
      </c>
      <c r="G201" s="129">
        <f>0</f>
        <v>0</v>
      </c>
      <c r="H201" s="255">
        <f>IF(StrucSteel16220258182[[#This Row],[Actual Buyout]]+StrucSteel16220258182[[#This Row],[Change Orders]]=0,StrucSteel16220258182[[#This Row],[Original Contract]],StrucSteel16220258182[[#This Row],[Actual Buyout]]+StrucSteel16220258182[[#This Row],[Change Orders]])</f>
        <v>0</v>
      </c>
      <c r="I201" s="129">
        <v>0</v>
      </c>
      <c r="J201" s="129">
        <f>StrucSteel16220258182[[#This Row],[Original Contract]]-StrucSteel16220258182[[#This Row],[Revised Contract]]</f>
        <v>0</v>
      </c>
      <c r="K201" s="341"/>
      <c r="L201" s="343"/>
      <c r="S201" s="97"/>
      <c r="T201" s="97"/>
      <c r="X201" s="198"/>
      <c r="Y201" s="198"/>
    </row>
    <row r="202" spans="1:25" x14ac:dyDescent="0.35">
      <c r="A202" s="128">
        <v>5</v>
      </c>
      <c r="B202" s="259"/>
      <c r="C202" s="259"/>
      <c r="D202" s="260" t="s">
        <v>37</v>
      </c>
      <c r="E202" s="255">
        <v>0</v>
      </c>
      <c r="F202" s="255">
        <v>0</v>
      </c>
      <c r="G202" s="129">
        <f>0</f>
        <v>0</v>
      </c>
      <c r="H202" s="255">
        <f>IF(StrucSteel16220258182[[#This Row],[Actual Buyout]]+StrucSteel16220258182[[#This Row],[Change Orders]]=0,StrucSteel16220258182[[#This Row],[Original Contract]],StrucSteel16220258182[[#This Row],[Actual Buyout]]+StrucSteel16220258182[[#This Row],[Change Orders]])</f>
        <v>0</v>
      </c>
      <c r="I202" s="129">
        <v>0</v>
      </c>
      <c r="J202" s="129">
        <f>StrucSteel16220258182[[#This Row],[Original Contract]]-StrucSteel16220258182[[#This Row],[Revised Contract]]</f>
        <v>0</v>
      </c>
      <c r="K202" s="341"/>
      <c r="L202" s="343"/>
      <c r="S202" s="97"/>
      <c r="T202" s="97"/>
      <c r="X202" s="198"/>
      <c r="Y202" s="198"/>
    </row>
    <row r="203" spans="1:25" x14ac:dyDescent="0.35">
      <c r="A203" s="128">
        <v>5</v>
      </c>
      <c r="B203" s="259"/>
      <c r="C203" s="259"/>
      <c r="D203" s="260" t="s">
        <v>37</v>
      </c>
      <c r="E203" s="255">
        <v>0</v>
      </c>
      <c r="F203" s="255">
        <v>0</v>
      </c>
      <c r="G203" s="129">
        <f>0</f>
        <v>0</v>
      </c>
      <c r="H203" s="255">
        <f>IF(StrucSteel16220258182[[#This Row],[Actual Buyout]]+StrucSteel16220258182[[#This Row],[Change Orders]]=0,StrucSteel16220258182[[#This Row],[Original Contract]],StrucSteel16220258182[[#This Row],[Actual Buyout]]+StrucSteel16220258182[[#This Row],[Change Orders]])</f>
        <v>0</v>
      </c>
      <c r="I203" s="129">
        <v>0</v>
      </c>
      <c r="J203" s="129">
        <f>StrucSteel16220258182[[#This Row],[Original Contract]]-StrucSteel16220258182[[#This Row],[Revised Contract]]</f>
        <v>0</v>
      </c>
      <c r="K203" s="341"/>
      <c r="L203" s="343"/>
      <c r="S203" s="97"/>
      <c r="T203" s="97"/>
      <c r="X203" s="198"/>
      <c r="Y203" s="198"/>
    </row>
    <row r="204" spans="1:25" x14ac:dyDescent="0.35">
      <c r="A204" s="128">
        <v>5</v>
      </c>
      <c r="B204" s="259"/>
      <c r="C204" s="259"/>
      <c r="D204" s="260" t="s">
        <v>37</v>
      </c>
      <c r="E204" s="255">
        <v>0</v>
      </c>
      <c r="F204" s="255">
        <v>0</v>
      </c>
      <c r="G204" s="129">
        <f>0</f>
        <v>0</v>
      </c>
      <c r="H204" s="255">
        <f>IF(StrucSteel16220258182[[#This Row],[Actual Buyout]]+StrucSteel16220258182[[#This Row],[Change Orders]]=0,StrucSteel16220258182[[#This Row],[Original Contract]],StrucSteel16220258182[[#This Row],[Actual Buyout]]+StrucSteel16220258182[[#This Row],[Change Orders]])</f>
        <v>0</v>
      </c>
      <c r="I204" s="129">
        <v>0</v>
      </c>
      <c r="J204" s="129">
        <f>StrucSteel16220258182[[#This Row],[Original Contract]]-StrucSteel16220258182[[#This Row],[Revised Contract]]</f>
        <v>0</v>
      </c>
      <c r="K204" s="341"/>
      <c r="L204" s="343"/>
      <c r="S204" s="97"/>
      <c r="T204" s="97"/>
      <c r="X204" s="198"/>
      <c r="Y204" s="198"/>
    </row>
    <row r="205" spans="1:25" x14ac:dyDescent="0.35">
      <c r="A205" s="128">
        <v>5</v>
      </c>
      <c r="B205" s="259"/>
      <c r="C205" s="259"/>
      <c r="D205" s="260" t="s">
        <v>37</v>
      </c>
      <c r="E205" s="255">
        <v>0</v>
      </c>
      <c r="F205" s="255">
        <v>0</v>
      </c>
      <c r="G205" s="129">
        <f>0</f>
        <v>0</v>
      </c>
      <c r="H205" s="255">
        <f>IF(StrucSteel16220258182[[#This Row],[Actual Buyout]]+StrucSteel16220258182[[#This Row],[Change Orders]]=0,StrucSteel16220258182[[#This Row],[Original Contract]],StrucSteel16220258182[[#This Row],[Actual Buyout]]+StrucSteel16220258182[[#This Row],[Change Orders]])</f>
        <v>0</v>
      </c>
      <c r="I205" s="129">
        <v>0</v>
      </c>
      <c r="J205" s="129">
        <f>StrucSteel16220258182[[#This Row],[Original Contract]]-StrucSteel16220258182[[#This Row],[Revised Contract]]</f>
        <v>0</v>
      </c>
      <c r="K205" s="341"/>
      <c r="L205" s="343"/>
      <c r="S205" s="97"/>
      <c r="T205" s="97"/>
      <c r="X205" s="198"/>
      <c r="Y205" s="198"/>
    </row>
    <row r="206" spans="1:25" x14ac:dyDescent="0.35">
      <c r="A206" s="128">
        <v>5</v>
      </c>
      <c r="B206" s="259"/>
      <c r="C206" s="259"/>
      <c r="D206" s="260" t="s">
        <v>37</v>
      </c>
      <c r="E206" s="255">
        <v>0</v>
      </c>
      <c r="F206" s="255">
        <v>0</v>
      </c>
      <c r="G206" s="129">
        <f>0</f>
        <v>0</v>
      </c>
      <c r="H206" s="255">
        <f>IF(StrucSteel16220258182[[#This Row],[Actual Buyout]]+StrucSteel16220258182[[#This Row],[Change Orders]]=0,StrucSteel16220258182[[#This Row],[Original Contract]],StrucSteel16220258182[[#This Row],[Actual Buyout]]+StrucSteel16220258182[[#This Row],[Change Orders]])</f>
        <v>0</v>
      </c>
      <c r="I206" s="129">
        <v>0</v>
      </c>
      <c r="J206" s="129">
        <f>StrucSteel16220258182[[#This Row],[Original Contract]]-StrucSteel16220258182[[#This Row],[Revised Contract]]</f>
        <v>0</v>
      </c>
      <c r="K206" s="341"/>
      <c r="L206" s="343"/>
      <c r="S206" s="97"/>
      <c r="T206" s="97"/>
      <c r="X206" s="198"/>
      <c r="Y206" s="198"/>
    </row>
    <row r="207" spans="1:25" x14ac:dyDescent="0.35">
      <c r="A207" s="257"/>
      <c r="B207" s="258"/>
      <c r="C207" s="258"/>
      <c r="D207" s="256" t="s">
        <v>38</v>
      </c>
      <c r="E207" s="151">
        <f>SUM(StrucSteel16220258182[Original Contract])</f>
        <v>0</v>
      </c>
      <c r="F207" s="151">
        <f>SUM(StrucSteel16220258182[Actual Buyout])</f>
        <v>0</v>
      </c>
      <c r="G207" s="151">
        <f>SUM(StrucSteel16220258182[Change Orders])</f>
        <v>0</v>
      </c>
      <c r="H207" s="151">
        <f>SUM(StrucSteel16220258182[Revised Contract])</f>
        <v>0</v>
      </c>
      <c r="I207" s="151">
        <f>SUM(StrucSteel16220258182[Total completed and Stored])</f>
        <v>0</v>
      </c>
      <c r="J207" s="151">
        <f>SUM(StrucSteel16220258182[Delta])</f>
        <v>0</v>
      </c>
      <c r="K207" s="343"/>
      <c r="L207" s="343"/>
    </row>
    <row r="208" spans="1:25" x14ac:dyDescent="0.35">
      <c r="A208" s="100" t="s">
        <v>655</v>
      </c>
      <c r="B208" s="100" t="s">
        <v>76</v>
      </c>
      <c r="C208" s="100" t="s">
        <v>167</v>
      </c>
      <c r="D208" s="100" t="s">
        <v>26</v>
      </c>
      <c r="E208" s="100" t="s">
        <v>781</v>
      </c>
      <c r="F208" s="332" t="s">
        <v>1078</v>
      </c>
      <c r="G208" s="332" t="s">
        <v>782</v>
      </c>
      <c r="H208" s="332" t="s">
        <v>783</v>
      </c>
      <c r="I208" s="334" t="s">
        <v>785</v>
      </c>
      <c r="J208" s="340" t="s">
        <v>1079</v>
      </c>
      <c r="K208" s="335"/>
      <c r="L208" s="343"/>
      <c r="S208" s="97"/>
      <c r="T208" s="97"/>
      <c r="X208" s="198"/>
      <c r="Y208" s="198"/>
    </row>
    <row r="209" spans="1:25" x14ac:dyDescent="0.35">
      <c r="A209" s="128">
        <v>5</v>
      </c>
      <c r="B209" s="132" t="s">
        <v>298</v>
      </c>
      <c r="C209" s="132" t="s">
        <v>176</v>
      </c>
      <c r="D209" s="133" t="s">
        <v>755</v>
      </c>
      <c r="E209" s="255">
        <v>0</v>
      </c>
      <c r="F209" s="255">
        <v>0</v>
      </c>
      <c r="G209" s="129">
        <f>0</f>
        <v>0</v>
      </c>
      <c r="H209" s="255">
        <f>IF(Steel17221259183[[#This Row],[Actual Buyout]]+Steel17221259183[[#This Row],[Change Orders]]=0,Steel17221259183[[#This Row],[Original Contract]],Steel17221259183[[#This Row],[Actual Buyout]]+Steel17221259183[[#This Row],[Change Orders]])</f>
        <v>0</v>
      </c>
      <c r="I209" s="129">
        <v>0</v>
      </c>
      <c r="J209" s="129">
        <f>Steel17221259183[[#This Row],[Original Contract]]-Steel17221259183[[#This Row],[Revised Contract]]</f>
        <v>0</v>
      </c>
      <c r="K209" s="341"/>
      <c r="L209" s="343"/>
      <c r="S209" s="97"/>
      <c r="T209" s="97"/>
      <c r="X209" s="198"/>
      <c r="Y209" s="198"/>
    </row>
    <row r="210" spans="1:25" x14ac:dyDescent="0.35">
      <c r="A210" s="128">
        <v>5</v>
      </c>
      <c r="B210" s="132" t="s">
        <v>298</v>
      </c>
      <c r="C210" s="132" t="s">
        <v>299</v>
      </c>
      <c r="D210" s="133" t="s">
        <v>756</v>
      </c>
      <c r="E210" s="255">
        <v>0</v>
      </c>
      <c r="F210" s="255">
        <v>0</v>
      </c>
      <c r="G210" s="129">
        <f>0</f>
        <v>0</v>
      </c>
      <c r="H210" s="255">
        <f>IF(Steel17221259183[[#This Row],[Actual Buyout]]+Steel17221259183[[#This Row],[Change Orders]]=0,Steel17221259183[[#This Row],[Original Contract]],Steel17221259183[[#This Row],[Actual Buyout]]+Steel17221259183[[#This Row],[Change Orders]])</f>
        <v>0</v>
      </c>
      <c r="I210" s="129">
        <v>0</v>
      </c>
      <c r="J210" s="129">
        <f>Steel17221259183[[#This Row],[Original Contract]]-Steel17221259183[[#This Row],[Revised Contract]]</f>
        <v>0</v>
      </c>
      <c r="K210" s="341"/>
      <c r="L210" s="343"/>
      <c r="S210" s="97"/>
      <c r="T210" s="97"/>
      <c r="X210" s="198"/>
      <c r="Y210" s="198"/>
    </row>
    <row r="211" spans="1:25" x14ac:dyDescent="0.35">
      <c r="A211" s="128">
        <v>5</v>
      </c>
      <c r="B211" s="132" t="s">
        <v>298</v>
      </c>
      <c r="C211" s="132" t="s">
        <v>175</v>
      </c>
      <c r="D211" s="133" t="s">
        <v>757</v>
      </c>
      <c r="E211" s="255">
        <v>0</v>
      </c>
      <c r="F211" s="255">
        <v>0</v>
      </c>
      <c r="G211" s="129">
        <f>0</f>
        <v>0</v>
      </c>
      <c r="H211" s="255">
        <f>IF(Steel17221259183[[#This Row],[Actual Buyout]]+Steel17221259183[[#This Row],[Change Orders]]=0,Steel17221259183[[#This Row],[Original Contract]],Steel17221259183[[#This Row],[Actual Buyout]]+Steel17221259183[[#This Row],[Change Orders]])</f>
        <v>0</v>
      </c>
      <c r="I211" s="129">
        <v>0</v>
      </c>
      <c r="J211" s="129">
        <f>Steel17221259183[[#This Row],[Original Contract]]-Steel17221259183[[#This Row],[Revised Contract]]</f>
        <v>0</v>
      </c>
      <c r="K211" s="341"/>
      <c r="L211" s="343"/>
      <c r="S211" s="97"/>
      <c r="T211" s="97"/>
      <c r="X211" s="198"/>
      <c r="Y211" s="198"/>
    </row>
    <row r="212" spans="1:25" x14ac:dyDescent="0.35">
      <c r="A212" s="128">
        <v>5</v>
      </c>
      <c r="B212" s="132" t="s">
        <v>298</v>
      </c>
      <c r="C212" s="132" t="s">
        <v>176</v>
      </c>
      <c r="D212" s="133" t="s">
        <v>758</v>
      </c>
      <c r="E212" s="255">
        <v>0</v>
      </c>
      <c r="F212" s="255">
        <v>0</v>
      </c>
      <c r="G212" s="129">
        <f>0</f>
        <v>0</v>
      </c>
      <c r="H212" s="255">
        <f>IF(Steel17221259183[[#This Row],[Actual Buyout]]+Steel17221259183[[#This Row],[Change Orders]]=0,Steel17221259183[[#This Row],[Original Contract]],Steel17221259183[[#This Row],[Actual Buyout]]+Steel17221259183[[#This Row],[Change Orders]])</f>
        <v>0</v>
      </c>
      <c r="I212" s="129">
        <v>0</v>
      </c>
      <c r="J212" s="129">
        <f>Steel17221259183[[#This Row],[Original Contract]]-Steel17221259183[[#This Row],[Revised Contract]]</f>
        <v>0</v>
      </c>
      <c r="K212" s="341"/>
      <c r="L212" s="343"/>
      <c r="S212" s="97"/>
      <c r="T212" s="97"/>
      <c r="X212" s="198"/>
      <c r="Y212" s="198"/>
    </row>
    <row r="213" spans="1:25" x14ac:dyDescent="0.35">
      <c r="A213" s="128">
        <v>5</v>
      </c>
      <c r="B213" s="132" t="s">
        <v>298</v>
      </c>
      <c r="C213" s="132" t="s">
        <v>176</v>
      </c>
      <c r="D213" s="133" t="s">
        <v>759</v>
      </c>
      <c r="E213" s="255">
        <v>0</v>
      </c>
      <c r="F213" s="255">
        <v>0</v>
      </c>
      <c r="G213" s="129">
        <f>0</f>
        <v>0</v>
      </c>
      <c r="H213" s="255">
        <f>IF(Steel17221259183[[#This Row],[Actual Buyout]]+Steel17221259183[[#This Row],[Change Orders]]=0,Steel17221259183[[#This Row],[Original Contract]],Steel17221259183[[#This Row],[Actual Buyout]]+Steel17221259183[[#This Row],[Change Orders]])</f>
        <v>0</v>
      </c>
      <c r="I213" s="129">
        <v>0</v>
      </c>
      <c r="J213" s="129">
        <f>Steel17221259183[[#This Row],[Original Contract]]-Steel17221259183[[#This Row],[Revised Contract]]</f>
        <v>0</v>
      </c>
      <c r="K213" s="341"/>
      <c r="L213" s="343"/>
      <c r="S213" s="97"/>
      <c r="T213" s="97"/>
      <c r="X213" s="198"/>
      <c r="Y213" s="198"/>
    </row>
    <row r="214" spans="1:25" x14ac:dyDescent="0.35">
      <c r="A214" s="128">
        <v>5</v>
      </c>
      <c r="B214" s="132"/>
      <c r="C214" s="132"/>
      <c r="D214" s="133" t="s">
        <v>37</v>
      </c>
      <c r="E214" s="255">
        <v>0</v>
      </c>
      <c r="F214" s="255">
        <v>0</v>
      </c>
      <c r="G214" s="129">
        <f>0</f>
        <v>0</v>
      </c>
      <c r="H214" s="255">
        <f>IF(Steel17221259183[[#This Row],[Actual Buyout]]+Steel17221259183[[#This Row],[Change Orders]]=0,Steel17221259183[[#This Row],[Original Contract]],Steel17221259183[[#This Row],[Actual Buyout]]+Steel17221259183[[#This Row],[Change Orders]])</f>
        <v>0</v>
      </c>
      <c r="I214" s="129">
        <v>0</v>
      </c>
      <c r="J214" s="129">
        <f>Steel17221259183[[#This Row],[Original Contract]]-Steel17221259183[[#This Row],[Revised Contract]]</f>
        <v>0</v>
      </c>
      <c r="K214" s="341"/>
      <c r="L214" s="343"/>
      <c r="S214" s="97"/>
      <c r="T214" s="97"/>
      <c r="X214" s="198"/>
      <c r="Y214" s="198"/>
    </row>
    <row r="215" spans="1:25" x14ac:dyDescent="0.35">
      <c r="A215" s="128">
        <v>5</v>
      </c>
      <c r="B215" s="132"/>
      <c r="C215" s="132"/>
      <c r="D215" s="133" t="s">
        <v>37</v>
      </c>
      <c r="E215" s="255">
        <v>0</v>
      </c>
      <c r="F215" s="255">
        <v>0</v>
      </c>
      <c r="G215" s="129">
        <f>0</f>
        <v>0</v>
      </c>
      <c r="H215" s="255">
        <f>IF(Steel17221259183[[#This Row],[Actual Buyout]]+Steel17221259183[[#This Row],[Change Orders]]=0,Steel17221259183[[#This Row],[Original Contract]],Steel17221259183[[#This Row],[Actual Buyout]]+Steel17221259183[[#This Row],[Change Orders]])</f>
        <v>0</v>
      </c>
      <c r="I215" s="129">
        <v>0</v>
      </c>
      <c r="J215" s="129">
        <f>Steel17221259183[[#This Row],[Original Contract]]-Steel17221259183[[#This Row],[Revised Contract]]</f>
        <v>0</v>
      </c>
      <c r="K215" s="341"/>
      <c r="L215" s="343"/>
      <c r="S215" s="97"/>
      <c r="T215" s="97"/>
      <c r="X215" s="198"/>
      <c r="Y215" s="198"/>
    </row>
    <row r="216" spans="1:25" x14ac:dyDescent="0.35">
      <c r="A216" s="128">
        <v>5</v>
      </c>
      <c r="B216" s="132"/>
      <c r="C216" s="132"/>
      <c r="D216" s="133" t="s">
        <v>37</v>
      </c>
      <c r="E216" s="255">
        <v>0</v>
      </c>
      <c r="F216" s="255">
        <v>0</v>
      </c>
      <c r="G216" s="129">
        <f>0</f>
        <v>0</v>
      </c>
      <c r="H216" s="255">
        <f>IF(Steel17221259183[[#This Row],[Actual Buyout]]+Steel17221259183[[#This Row],[Change Orders]]=0,Steel17221259183[[#This Row],[Original Contract]],Steel17221259183[[#This Row],[Actual Buyout]]+Steel17221259183[[#This Row],[Change Orders]])</f>
        <v>0</v>
      </c>
      <c r="I216" s="129">
        <v>0</v>
      </c>
      <c r="J216" s="129">
        <f>Steel17221259183[[#This Row],[Original Contract]]-Steel17221259183[[#This Row],[Revised Contract]]</f>
        <v>0</v>
      </c>
      <c r="K216" s="341"/>
      <c r="L216" s="343"/>
      <c r="S216" s="97"/>
      <c r="T216" s="97"/>
      <c r="X216" s="198"/>
      <c r="Y216" s="198"/>
    </row>
    <row r="217" spans="1:25" x14ac:dyDescent="0.35">
      <c r="A217" s="128">
        <v>5</v>
      </c>
      <c r="B217" s="132"/>
      <c r="C217" s="132"/>
      <c r="D217" s="133" t="s">
        <v>37</v>
      </c>
      <c r="E217" s="255">
        <v>0</v>
      </c>
      <c r="F217" s="255">
        <v>0</v>
      </c>
      <c r="G217" s="129">
        <f>0</f>
        <v>0</v>
      </c>
      <c r="H217" s="255">
        <f>IF(Steel17221259183[[#This Row],[Actual Buyout]]+Steel17221259183[[#This Row],[Change Orders]]=0,Steel17221259183[[#This Row],[Original Contract]],Steel17221259183[[#This Row],[Actual Buyout]]+Steel17221259183[[#This Row],[Change Orders]])</f>
        <v>0</v>
      </c>
      <c r="I217" s="129">
        <v>0</v>
      </c>
      <c r="J217" s="129">
        <f>Steel17221259183[[#This Row],[Original Contract]]-Steel17221259183[[#This Row],[Revised Contract]]</f>
        <v>0</v>
      </c>
      <c r="K217" s="341"/>
      <c r="L217" s="343"/>
      <c r="S217" s="97"/>
      <c r="T217" s="97"/>
      <c r="X217" s="198"/>
      <c r="Y217" s="198"/>
    </row>
    <row r="218" spans="1:25" x14ac:dyDescent="0.35">
      <c r="A218" s="128">
        <v>5</v>
      </c>
      <c r="B218" s="132"/>
      <c r="C218" s="132"/>
      <c r="D218" s="133" t="s">
        <v>37</v>
      </c>
      <c r="E218" s="255">
        <v>0</v>
      </c>
      <c r="F218" s="255">
        <v>0</v>
      </c>
      <c r="G218" s="129">
        <f>0</f>
        <v>0</v>
      </c>
      <c r="H218" s="255">
        <f>IF(Steel17221259183[[#This Row],[Actual Buyout]]+Steel17221259183[[#This Row],[Change Orders]]=0,Steel17221259183[[#This Row],[Original Contract]],Steel17221259183[[#This Row],[Actual Buyout]]+Steel17221259183[[#This Row],[Change Orders]])</f>
        <v>0</v>
      </c>
      <c r="I218" s="129">
        <v>0</v>
      </c>
      <c r="J218" s="129">
        <f>Steel17221259183[[#This Row],[Original Contract]]-Steel17221259183[[#This Row],[Revised Contract]]</f>
        <v>0</v>
      </c>
      <c r="K218" s="341"/>
      <c r="L218" s="343"/>
      <c r="S218" s="97"/>
      <c r="T218" s="97"/>
      <c r="X218" s="198"/>
      <c r="Y218" s="198"/>
    </row>
    <row r="219" spans="1:25" x14ac:dyDescent="0.35">
      <c r="A219" s="128">
        <v>5</v>
      </c>
      <c r="B219" s="259"/>
      <c r="C219" s="259"/>
      <c r="D219" s="260" t="s">
        <v>37</v>
      </c>
      <c r="E219" s="255">
        <v>0</v>
      </c>
      <c r="F219" s="255">
        <v>0</v>
      </c>
      <c r="G219" s="129">
        <f>0</f>
        <v>0</v>
      </c>
      <c r="H219" s="255">
        <f>IF(Steel17221259183[[#This Row],[Actual Buyout]]+Steel17221259183[[#This Row],[Change Orders]]=0,Steel17221259183[[#This Row],[Original Contract]],Steel17221259183[[#This Row],[Actual Buyout]]+Steel17221259183[[#This Row],[Change Orders]])</f>
        <v>0</v>
      </c>
      <c r="I219" s="129">
        <v>0</v>
      </c>
      <c r="J219" s="129">
        <f>Steel17221259183[[#This Row],[Original Contract]]-Steel17221259183[[#This Row],[Revised Contract]]</f>
        <v>0</v>
      </c>
      <c r="K219" s="341"/>
      <c r="L219" s="343"/>
      <c r="S219" s="97"/>
      <c r="T219" s="97"/>
      <c r="X219" s="198"/>
      <c r="Y219" s="198"/>
    </row>
    <row r="220" spans="1:25" x14ac:dyDescent="0.35">
      <c r="A220" s="128">
        <v>5</v>
      </c>
      <c r="B220" s="259"/>
      <c r="C220" s="259"/>
      <c r="D220" s="260" t="s">
        <v>37</v>
      </c>
      <c r="E220" s="255">
        <v>0</v>
      </c>
      <c r="F220" s="255">
        <v>0</v>
      </c>
      <c r="G220" s="129">
        <f>0</f>
        <v>0</v>
      </c>
      <c r="H220" s="255">
        <f>IF(Steel17221259183[[#This Row],[Actual Buyout]]+Steel17221259183[[#This Row],[Change Orders]]=0,Steel17221259183[[#This Row],[Original Contract]],Steel17221259183[[#This Row],[Actual Buyout]]+Steel17221259183[[#This Row],[Change Orders]])</f>
        <v>0</v>
      </c>
      <c r="I220" s="129">
        <v>0</v>
      </c>
      <c r="J220" s="129">
        <f>Steel17221259183[[#This Row],[Original Contract]]-Steel17221259183[[#This Row],[Revised Contract]]</f>
        <v>0</v>
      </c>
      <c r="K220" s="341"/>
      <c r="L220" s="343"/>
      <c r="S220" s="97"/>
      <c r="T220" s="97"/>
      <c r="X220" s="198"/>
      <c r="Y220" s="198"/>
    </row>
    <row r="221" spans="1:25" x14ac:dyDescent="0.35">
      <c r="A221" s="128">
        <v>5</v>
      </c>
      <c r="B221" s="259"/>
      <c r="C221" s="259"/>
      <c r="D221" s="260" t="s">
        <v>37</v>
      </c>
      <c r="E221" s="255">
        <v>0</v>
      </c>
      <c r="F221" s="255">
        <v>0</v>
      </c>
      <c r="G221" s="129">
        <f>0</f>
        <v>0</v>
      </c>
      <c r="H221" s="255">
        <f>IF(Steel17221259183[[#This Row],[Actual Buyout]]+Steel17221259183[[#This Row],[Change Orders]]=0,Steel17221259183[[#This Row],[Original Contract]],Steel17221259183[[#This Row],[Actual Buyout]]+Steel17221259183[[#This Row],[Change Orders]])</f>
        <v>0</v>
      </c>
      <c r="I221" s="129">
        <v>0</v>
      </c>
      <c r="J221" s="129">
        <f>Steel17221259183[[#This Row],[Original Contract]]-Steel17221259183[[#This Row],[Revised Contract]]</f>
        <v>0</v>
      </c>
      <c r="K221" s="341"/>
      <c r="L221" s="343"/>
      <c r="S221" s="97"/>
      <c r="T221" s="97"/>
      <c r="X221" s="198"/>
      <c r="Y221" s="198"/>
    </row>
    <row r="222" spans="1:25" x14ac:dyDescent="0.35">
      <c r="A222" s="128">
        <v>5</v>
      </c>
      <c r="B222" s="259"/>
      <c r="C222" s="259"/>
      <c r="D222" s="260" t="s">
        <v>37</v>
      </c>
      <c r="E222" s="255">
        <v>0</v>
      </c>
      <c r="F222" s="255">
        <v>0</v>
      </c>
      <c r="G222" s="129">
        <f>0</f>
        <v>0</v>
      </c>
      <c r="H222" s="255">
        <f>IF(Steel17221259183[[#This Row],[Actual Buyout]]+Steel17221259183[[#This Row],[Change Orders]]=0,Steel17221259183[[#This Row],[Original Contract]],Steel17221259183[[#This Row],[Actual Buyout]]+Steel17221259183[[#This Row],[Change Orders]])</f>
        <v>0</v>
      </c>
      <c r="I222" s="129">
        <v>0</v>
      </c>
      <c r="J222" s="129">
        <f>Steel17221259183[[#This Row],[Original Contract]]-Steel17221259183[[#This Row],[Revised Contract]]</f>
        <v>0</v>
      </c>
      <c r="K222" s="341"/>
      <c r="L222" s="343"/>
      <c r="S222" s="97"/>
      <c r="T222" s="97"/>
      <c r="X222" s="198"/>
      <c r="Y222" s="198"/>
    </row>
    <row r="223" spans="1:25" x14ac:dyDescent="0.35">
      <c r="A223" s="257"/>
      <c r="B223" s="258"/>
      <c r="C223" s="258"/>
      <c r="D223" s="256" t="s">
        <v>38</v>
      </c>
      <c r="E223" s="151">
        <f>SUM(Steel17221259183[Original Contract])</f>
        <v>0</v>
      </c>
      <c r="F223" s="151">
        <f>SUM(Steel17221259183[Actual Buyout])</f>
        <v>0</v>
      </c>
      <c r="G223" s="151">
        <f>SUM(Steel17221259183[Change Orders])</f>
        <v>0</v>
      </c>
      <c r="H223" s="151">
        <f>SUM(Steel17221259183[Revised Contract])</f>
        <v>0</v>
      </c>
      <c r="I223" s="151">
        <f>SUM(Steel17221259183[Total completed and Stored])</f>
        <v>0</v>
      </c>
      <c r="J223" s="151">
        <f>SUM(Steel17221259183[Delta])</f>
        <v>0</v>
      </c>
      <c r="K223" s="343"/>
      <c r="L223" s="343"/>
    </row>
    <row r="224" spans="1:25" x14ac:dyDescent="0.35">
      <c r="A224" s="100" t="s">
        <v>656</v>
      </c>
      <c r="B224" s="100" t="s">
        <v>77</v>
      </c>
      <c r="C224" s="100" t="s">
        <v>167</v>
      </c>
      <c r="D224" s="100" t="s">
        <v>26</v>
      </c>
      <c r="E224" s="100" t="s">
        <v>781</v>
      </c>
      <c r="F224" s="332" t="s">
        <v>1078</v>
      </c>
      <c r="G224" s="332" t="s">
        <v>782</v>
      </c>
      <c r="H224" s="332" t="s">
        <v>783</v>
      </c>
      <c r="I224" s="334" t="s">
        <v>785</v>
      </c>
      <c r="J224" s="340" t="s">
        <v>1079</v>
      </c>
      <c r="K224" s="335"/>
      <c r="L224" s="343"/>
      <c r="S224" s="97"/>
      <c r="T224" s="97"/>
      <c r="X224" s="198"/>
      <c r="Y224" s="198"/>
    </row>
    <row r="225" spans="1:25" x14ac:dyDescent="0.35">
      <c r="A225" s="128">
        <v>6</v>
      </c>
      <c r="B225" s="132" t="s">
        <v>305</v>
      </c>
      <c r="C225" s="132" t="s">
        <v>177</v>
      </c>
      <c r="D225" s="133" t="s">
        <v>78</v>
      </c>
      <c r="E225" s="255">
        <v>0</v>
      </c>
      <c r="F225" s="255">
        <v>0</v>
      </c>
      <c r="G225" s="129">
        <f>0</f>
        <v>0</v>
      </c>
      <c r="H225" s="255">
        <f>IF(Carpentry18222260184[[#This Row],[Actual Buyout]]+Carpentry18222260184[[#This Row],[Change Orders]]=0,Carpentry18222260184[[#This Row],[Original Contract]],Carpentry18222260184[[#This Row],[Actual Buyout]]+Carpentry18222260184[[#This Row],[Change Orders]])</f>
        <v>0</v>
      </c>
      <c r="I225" s="129">
        <v>0</v>
      </c>
      <c r="J225" s="129">
        <f>Carpentry18222260184[[#This Row],[Original Contract]]-Carpentry18222260184[[#This Row],[Revised Contract]]</f>
        <v>0</v>
      </c>
      <c r="K225" s="341"/>
      <c r="L225" s="343"/>
      <c r="S225" s="97"/>
      <c r="T225" s="97"/>
      <c r="X225" s="198"/>
      <c r="Y225" s="198"/>
    </row>
    <row r="226" spans="1:25" x14ac:dyDescent="0.35">
      <c r="A226" s="128">
        <v>6</v>
      </c>
      <c r="B226" s="132" t="s">
        <v>305</v>
      </c>
      <c r="C226" s="132" t="s">
        <v>177</v>
      </c>
      <c r="D226" s="133" t="s">
        <v>79</v>
      </c>
      <c r="E226" s="255">
        <v>0</v>
      </c>
      <c r="F226" s="255">
        <v>0</v>
      </c>
      <c r="G226" s="129">
        <f>0</f>
        <v>0</v>
      </c>
      <c r="H226" s="255">
        <f>IF(Carpentry18222260184[[#This Row],[Actual Buyout]]+Carpentry18222260184[[#This Row],[Change Orders]]=0,Carpentry18222260184[[#This Row],[Original Contract]],Carpentry18222260184[[#This Row],[Actual Buyout]]+Carpentry18222260184[[#This Row],[Change Orders]])</f>
        <v>0</v>
      </c>
      <c r="I226" s="129">
        <v>0</v>
      </c>
      <c r="J226" s="129">
        <f>Carpentry18222260184[[#This Row],[Original Contract]]-Carpentry18222260184[[#This Row],[Revised Contract]]</f>
        <v>0</v>
      </c>
      <c r="K226" s="341"/>
      <c r="L226" s="343"/>
      <c r="S226" s="97"/>
      <c r="T226" s="97"/>
      <c r="X226" s="198"/>
      <c r="Y226" s="198"/>
    </row>
    <row r="227" spans="1:25" x14ac:dyDescent="0.35">
      <c r="A227" s="128">
        <v>6</v>
      </c>
      <c r="B227" s="132" t="s">
        <v>306</v>
      </c>
      <c r="C227" s="132" t="s">
        <v>178</v>
      </c>
      <c r="D227" s="133" t="s">
        <v>80</v>
      </c>
      <c r="E227" s="255">
        <v>0</v>
      </c>
      <c r="F227" s="255">
        <v>0</v>
      </c>
      <c r="G227" s="129">
        <f>0</f>
        <v>0</v>
      </c>
      <c r="H227" s="255">
        <f>IF(Carpentry18222260184[[#This Row],[Actual Buyout]]+Carpentry18222260184[[#This Row],[Change Orders]]=0,Carpentry18222260184[[#This Row],[Original Contract]],Carpentry18222260184[[#This Row],[Actual Buyout]]+Carpentry18222260184[[#This Row],[Change Orders]])</f>
        <v>0</v>
      </c>
      <c r="I227" s="129">
        <v>0</v>
      </c>
      <c r="J227" s="129">
        <f>Carpentry18222260184[[#This Row],[Original Contract]]-Carpentry18222260184[[#This Row],[Revised Contract]]</f>
        <v>0</v>
      </c>
      <c r="K227" s="341"/>
      <c r="L227" s="343"/>
      <c r="S227" s="97"/>
      <c r="T227" s="97"/>
      <c r="X227" s="198"/>
      <c r="Y227" s="198"/>
    </row>
    <row r="228" spans="1:25" x14ac:dyDescent="0.35">
      <c r="A228" s="128">
        <v>6</v>
      </c>
      <c r="B228" s="132" t="s">
        <v>679</v>
      </c>
      <c r="C228" s="132" t="s">
        <v>680</v>
      </c>
      <c r="D228" s="133" t="s">
        <v>681</v>
      </c>
      <c r="E228" s="255">
        <v>0</v>
      </c>
      <c r="F228" s="255">
        <v>0</v>
      </c>
      <c r="G228" s="129">
        <f>0</f>
        <v>0</v>
      </c>
      <c r="H228" s="255">
        <f>IF(Carpentry18222260184[[#This Row],[Actual Buyout]]+Carpentry18222260184[[#This Row],[Change Orders]]=0,Carpentry18222260184[[#This Row],[Original Contract]],Carpentry18222260184[[#This Row],[Actual Buyout]]+Carpentry18222260184[[#This Row],[Change Orders]])</f>
        <v>0</v>
      </c>
      <c r="I228" s="129">
        <v>0</v>
      </c>
      <c r="J228" s="129">
        <f>Carpentry18222260184[[#This Row],[Original Contract]]-Carpentry18222260184[[#This Row],[Revised Contract]]</f>
        <v>0</v>
      </c>
      <c r="K228" s="341"/>
      <c r="L228" s="343"/>
      <c r="S228" s="97"/>
      <c r="T228" s="97"/>
      <c r="X228" s="198"/>
      <c r="Y228" s="198"/>
    </row>
    <row r="229" spans="1:25" x14ac:dyDescent="0.35">
      <c r="A229" s="128">
        <v>6</v>
      </c>
      <c r="B229" s="132"/>
      <c r="C229" s="132"/>
      <c r="D229" s="133" t="s">
        <v>37</v>
      </c>
      <c r="E229" s="255">
        <v>0</v>
      </c>
      <c r="F229" s="255">
        <v>0</v>
      </c>
      <c r="G229" s="129">
        <f>0</f>
        <v>0</v>
      </c>
      <c r="H229" s="255">
        <f>IF(Carpentry18222260184[[#This Row],[Actual Buyout]]+Carpentry18222260184[[#This Row],[Change Orders]]=0,Carpentry18222260184[[#This Row],[Original Contract]],Carpentry18222260184[[#This Row],[Actual Buyout]]+Carpentry18222260184[[#This Row],[Change Orders]])</f>
        <v>0</v>
      </c>
      <c r="I229" s="129">
        <v>0</v>
      </c>
      <c r="J229" s="129">
        <f>Carpentry18222260184[[#This Row],[Original Contract]]-Carpentry18222260184[[#This Row],[Revised Contract]]</f>
        <v>0</v>
      </c>
      <c r="K229" s="341"/>
      <c r="L229" s="343"/>
      <c r="S229" s="97"/>
      <c r="T229" s="97"/>
      <c r="X229" s="198"/>
      <c r="Y229" s="198"/>
    </row>
    <row r="230" spans="1:25" x14ac:dyDescent="0.35">
      <c r="A230" s="128">
        <v>6</v>
      </c>
      <c r="B230" s="132"/>
      <c r="C230" s="132"/>
      <c r="D230" s="133" t="s">
        <v>37</v>
      </c>
      <c r="E230" s="255">
        <v>0</v>
      </c>
      <c r="F230" s="255">
        <v>0</v>
      </c>
      <c r="G230" s="129">
        <f>0</f>
        <v>0</v>
      </c>
      <c r="H230" s="255">
        <f>IF(Carpentry18222260184[[#This Row],[Actual Buyout]]+Carpentry18222260184[[#This Row],[Change Orders]]=0,Carpentry18222260184[[#This Row],[Original Contract]],Carpentry18222260184[[#This Row],[Actual Buyout]]+Carpentry18222260184[[#This Row],[Change Orders]])</f>
        <v>0</v>
      </c>
      <c r="I230" s="129">
        <v>0</v>
      </c>
      <c r="J230" s="129">
        <f>Carpentry18222260184[[#This Row],[Original Contract]]-Carpentry18222260184[[#This Row],[Revised Contract]]</f>
        <v>0</v>
      </c>
      <c r="K230" s="341"/>
      <c r="L230" s="343"/>
      <c r="S230" s="97"/>
      <c r="T230" s="97"/>
      <c r="X230" s="198"/>
      <c r="Y230" s="198"/>
    </row>
    <row r="231" spans="1:25" x14ac:dyDescent="0.35">
      <c r="A231" s="128">
        <v>6</v>
      </c>
      <c r="B231" s="132"/>
      <c r="C231" s="132"/>
      <c r="D231" s="133" t="s">
        <v>37</v>
      </c>
      <c r="E231" s="255">
        <v>0</v>
      </c>
      <c r="F231" s="255">
        <v>0</v>
      </c>
      <c r="G231" s="129">
        <f>0</f>
        <v>0</v>
      </c>
      <c r="H231" s="255">
        <f>IF(Carpentry18222260184[[#This Row],[Actual Buyout]]+Carpentry18222260184[[#This Row],[Change Orders]]=0,Carpentry18222260184[[#This Row],[Original Contract]],Carpentry18222260184[[#This Row],[Actual Buyout]]+Carpentry18222260184[[#This Row],[Change Orders]])</f>
        <v>0</v>
      </c>
      <c r="I231" s="129">
        <v>0</v>
      </c>
      <c r="J231" s="129">
        <f>Carpentry18222260184[[#This Row],[Original Contract]]-Carpentry18222260184[[#This Row],[Revised Contract]]</f>
        <v>0</v>
      </c>
      <c r="K231" s="341"/>
      <c r="L231" s="343"/>
      <c r="S231" s="97"/>
      <c r="T231" s="97"/>
      <c r="X231" s="198"/>
      <c r="Y231" s="198"/>
    </row>
    <row r="232" spans="1:25" x14ac:dyDescent="0.35">
      <c r="A232" s="128">
        <v>6</v>
      </c>
      <c r="B232" s="132"/>
      <c r="C232" s="132"/>
      <c r="D232" s="133" t="s">
        <v>37</v>
      </c>
      <c r="E232" s="255">
        <v>0</v>
      </c>
      <c r="F232" s="255">
        <v>0</v>
      </c>
      <c r="G232" s="129">
        <f>0</f>
        <v>0</v>
      </c>
      <c r="H232" s="255">
        <f>IF(Carpentry18222260184[[#This Row],[Actual Buyout]]+Carpentry18222260184[[#This Row],[Change Orders]]=0,Carpentry18222260184[[#This Row],[Original Contract]],Carpentry18222260184[[#This Row],[Actual Buyout]]+Carpentry18222260184[[#This Row],[Change Orders]])</f>
        <v>0</v>
      </c>
      <c r="I232" s="129">
        <v>0</v>
      </c>
      <c r="J232" s="129">
        <f>Carpentry18222260184[[#This Row],[Original Contract]]-Carpentry18222260184[[#This Row],[Revised Contract]]</f>
        <v>0</v>
      </c>
      <c r="K232" s="341"/>
      <c r="L232" s="343"/>
      <c r="S232" s="97"/>
      <c r="T232" s="97"/>
      <c r="X232" s="198"/>
      <c r="Y232" s="198"/>
    </row>
    <row r="233" spans="1:25" x14ac:dyDescent="0.35">
      <c r="A233" s="128">
        <v>6</v>
      </c>
      <c r="B233" s="132"/>
      <c r="C233" s="132"/>
      <c r="D233" s="133" t="s">
        <v>37</v>
      </c>
      <c r="E233" s="255">
        <v>0</v>
      </c>
      <c r="F233" s="255">
        <v>0</v>
      </c>
      <c r="G233" s="129">
        <f>0</f>
        <v>0</v>
      </c>
      <c r="H233" s="255">
        <f>IF(Carpentry18222260184[[#This Row],[Actual Buyout]]+Carpentry18222260184[[#This Row],[Change Orders]]=0,Carpentry18222260184[[#This Row],[Original Contract]],Carpentry18222260184[[#This Row],[Actual Buyout]]+Carpentry18222260184[[#This Row],[Change Orders]])</f>
        <v>0</v>
      </c>
      <c r="I233" s="129">
        <v>0</v>
      </c>
      <c r="J233" s="129">
        <f>Carpentry18222260184[[#This Row],[Original Contract]]-Carpentry18222260184[[#This Row],[Revised Contract]]</f>
        <v>0</v>
      </c>
      <c r="K233" s="341"/>
      <c r="L233" s="343"/>
      <c r="S233" s="97"/>
      <c r="T233" s="97"/>
      <c r="X233" s="198"/>
      <c r="Y233" s="198"/>
    </row>
    <row r="234" spans="1:25" x14ac:dyDescent="0.35">
      <c r="A234" s="257"/>
      <c r="B234" s="258"/>
      <c r="C234" s="258"/>
      <c r="D234" s="256" t="s">
        <v>38</v>
      </c>
      <c r="E234" s="151">
        <f>SUM(Carpentry18222260184[Original Contract])</f>
        <v>0</v>
      </c>
      <c r="F234" s="151">
        <f>SUM(Carpentry18222260184[Actual Buyout])</f>
        <v>0</v>
      </c>
      <c r="G234" s="151">
        <f>SUM(Carpentry18222260184[Change Orders])</f>
        <v>0</v>
      </c>
      <c r="H234" s="151">
        <f>SUM(Carpentry18222260184[Revised Contract])</f>
        <v>0</v>
      </c>
      <c r="I234" s="151">
        <f>SUM(Carpentry18222260184[Total completed and Stored])</f>
        <v>0</v>
      </c>
      <c r="J234" s="151">
        <f>SUM(Carpentry18222260184[Delta])</f>
        <v>0</v>
      </c>
      <c r="K234" s="343"/>
      <c r="L234" s="343"/>
    </row>
    <row r="235" spans="1:25" x14ac:dyDescent="0.35">
      <c r="A235" s="100" t="s">
        <v>657</v>
      </c>
      <c r="B235" s="100" t="s">
        <v>255</v>
      </c>
      <c r="C235" s="100" t="s">
        <v>167</v>
      </c>
      <c r="D235" s="100" t="s">
        <v>26</v>
      </c>
      <c r="E235" s="100" t="s">
        <v>781</v>
      </c>
      <c r="F235" s="332" t="s">
        <v>1078</v>
      </c>
      <c r="G235" s="332" t="s">
        <v>782</v>
      </c>
      <c r="H235" s="332" t="s">
        <v>783</v>
      </c>
      <c r="I235" s="334" t="s">
        <v>785</v>
      </c>
      <c r="J235" s="340" t="s">
        <v>1079</v>
      </c>
      <c r="K235" s="335"/>
      <c r="L235" s="343"/>
      <c r="S235" s="97"/>
      <c r="T235" s="97"/>
      <c r="X235" s="198"/>
      <c r="Y235" s="198"/>
    </row>
    <row r="236" spans="1:25" x14ac:dyDescent="0.35">
      <c r="A236" s="128">
        <v>7</v>
      </c>
      <c r="B236" s="132" t="s">
        <v>308</v>
      </c>
      <c r="C236" s="132" t="s">
        <v>307</v>
      </c>
      <c r="D236" s="133" t="s">
        <v>81</v>
      </c>
      <c r="E236" s="255">
        <v>0</v>
      </c>
      <c r="F236" s="255">
        <v>0</v>
      </c>
      <c r="G236" s="129">
        <f>0</f>
        <v>0</v>
      </c>
      <c r="H236" s="255">
        <f>IF(Thermal19223261185[[#This Row],[Actual Buyout]]+Thermal19223261185[[#This Row],[Change Orders]]=0,Thermal19223261185[[#This Row],[Original Contract]],Thermal19223261185[[#This Row],[Actual Buyout]]+Thermal19223261185[[#This Row],[Change Orders]])</f>
        <v>0</v>
      </c>
      <c r="I236" s="129">
        <v>0</v>
      </c>
      <c r="J236" s="129">
        <f>Thermal19223261185[[#This Row],[Original Contract]]-Thermal19223261185[[#This Row],[Revised Contract]]</f>
        <v>0</v>
      </c>
      <c r="K236" s="341"/>
      <c r="L236" s="343"/>
      <c r="S236" s="97"/>
      <c r="T236" s="97"/>
      <c r="X236" s="198"/>
      <c r="Y236" s="198"/>
    </row>
    <row r="237" spans="1:25" x14ac:dyDescent="0.35">
      <c r="A237" s="128">
        <v>7</v>
      </c>
      <c r="B237" s="132" t="s">
        <v>308</v>
      </c>
      <c r="C237" s="132" t="s">
        <v>307</v>
      </c>
      <c r="D237" s="133" t="s">
        <v>82</v>
      </c>
      <c r="E237" s="255">
        <v>0</v>
      </c>
      <c r="F237" s="255">
        <v>0</v>
      </c>
      <c r="G237" s="129">
        <f>0</f>
        <v>0</v>
      </c>
      <c r="H237" s="255">
        <f>IF(Thermal19223261185[[#This Row],[Actual Buyout]]+Thermal19223261185[[#This Row],[Change Orders]]=0,Thermal19223261185[[#This Row],[Original Contract]],Thermal19223261185[[#This Row],[Actual Buyout]]+Thermal19223261185[[#This Row],[Change Orders]])</f>
        <v>0</v>
      </c>
      <c r="I237" s="129">
        <v>0</v>
      </c>
      <c r="J237" s="129">
        <f>Thermal19223261185[[#This Row],[Original Contract]]-Thermal19223261185[[#This Row],[Revised Contract]]</f>
        <v>0</v>
      </c>
      <c r="K237" s="341"/>
      <c r="L237" s="343"/>
      <c r="S237" s="97"/>
      <c r="T237" s="97"/>
      <c r="X237" s="198"/>
      <c r="Y237" s="198"/>
    </row>
    <row r="238" spans="1:25" x14ac:dyDescent="0.35">
      <c r="A238" s="128">
        <v>7</v>
      </c>
      <c r="B238" s="132" t="s">
        <v>308</v>
      </c>
      <c r="C238" s="132" t="s">
        <v>307</v>
      </c>
      <c r="D238" s="133" t="s">
        <v>710</v>
      </c>
      <c r="E238" s="255">
        <v>0</v>
      </c>
      <c r="F238" s="255">
        <v>0</v>
      </c>
      <c r="G238" s="129">
        <f>0</f>
        <v>0</v>
      </c>
      <c r="H238" s="255">
        <f>IF(Thermal19223261185[[#This Row],[Actual Buyout]]+Thermal19223261185[[#This Row],[Change Orders]]=0,Thermal19223261185[[#This Row],[Original Contract]],Thermal19223261185[[#This Row],[Actual Buyout]]+Thermal19223261185[[#This Row],[Change Orders]])</f>
        <v>0</v>
      </c>
      <c r="I238" s="129">
        <v>0</v>
      </c>
      <c r="J238" s="129">
        <f>Thermal19223261185[[#This Row],[Original Contract]]-Thermal19223261185[[#This Row],[Revised Contract]]</f>
        <v>0</v>
      </c>
      <c r="K238" s="341"/>
      <c r="L238" s="343"/>
      <c r="S238" s="97"/>
      <c r="T238" s="97"/>
      <c r="X238" s="198"/>
      <c r="Y238" s="198"/>
    </row>
    <row r="239" spans="1:25" x14ac:dyDescent="0.35">
      <c r="A239" s="128">
        <v>7</v>
      </c>
      <c r="B239" s="132" t="s">
        <v>308</v>
      </c>
      <c r="C239" s="132" t="s">
        <v>307</v>
      </c>
      <c r="D239" s="133" t="s">
        <v>83</v>
      </c>
      <c r="E239" s="255">
        <v>0</v>
      </c>
      <c r="F239" s="255">
        <v>0</v>
      </c>
      <c r="G239" s="129">
        <f>0</f>
        <v>0</v>
      </c>
      <c r="H239" s="255">
        <f>IF(Thermal19223261185[[#This Row],[Actual Buyout]]+Thermal19223261185[[#This Row],[Change Orders]]=0,Thermal19223261185[[#This Row],[Original Contract]],Thermal19223261185[[#This Row],[Actual Buyout]]+Thermal19223261185[[#This Row],[Change Orders]])</f>
        <v>0</v>
      </c>
      <c r="I239" s="129">
        <v>0</v>
      </c>
      <c r="J239" s="129">
        <f>Thermal19223261185[[#This Row],[Original Contract]]-Thermal19223261185[[#This Row],[Revised Contract]]</f>
        <v>0</v>
      </c>
      <c r="K239" s="341"/>
      <c r="L239" s="343"/>
      <c r="S239" s="97"/>
      <c r="T239" s="97"/>
      <c r="X239" s="198"/>
      <c r="Y239" s="198"/>
    </row>
    <row r="240" spans="1:25" x14ac:dyDescent="0.35">
      <c r="A240" s="128">
        <v>7</v>
      </c>
      <c r="B240" s="132" t="s">
        <v>310</v>
      </c>
      <c r="C240" s="132" t="s">
        <v>309</v>
      </c>
      <c r="D240" s="133" t="s">
        <v>84</v>
      </c>
      <c r="E240" s="255">
        <v>0</v>
      </c>
      <c r="F240" s="255">
        <v>0</v>
      </c>
      <c r="G240" s="129">
        <f>0</f>
        <v>0</v>
      </c>
      <c r="H240" s="255">
        <f>IF(Thermal19223261185[[#This Row],[Actual Buyout]]+Thermal19223261185[[#This Row],[Change Orders]]=0,Thermal19223261185[[#This Row],[Original Contract]],Thermal19223261185[[#This Row],[Actual Buyout]]+Thermal19223261185[[#This Row],[Change Orders]])</f>
        <v>0</v>
      </c>
      <c r="I240" s="129">
        <v>0</v>
      </c>
      <c r="J240" s="129">
        <f>Thermal19223261185[[#This Row],[Original Contract]]-Thermal19223261185[[#This Row],[Revised Contract]]</f>
        <v>0</v>
      </c>
      <c r="K240" s="341"/>
      <c r="L240" s="343"/>
      <c r="S240" s="97"/>
      <c r="T240" s="97"/>
      <c r="X240" s="198"/>
      <c r="Y240" s="198"/>
    </row>
    <row r="241" spans="1:25" x14ac:dyDescent="0.35">
      <c r="A241" s="128">
        <v>7</v>
      </c>
      <c r="B241" s="132" t="s">
        <v>311</v>
      </c>
      <c r="C241" s="132" t="s">
        <v>179</v>
      </c>
      <c r="D241" s="133" t="s">
        <v>85</v>
      </c>
      <c r="E241" s="255">
        <v>0</v>
      </c>
      <c r="F241" s="255">
        <v>0</v>
      </c>
      <c r="G241" s="129">
        <f>0</f>
        <v>0</v>
      </c>
      <c r="H241" s="255">
        <f>IF(Thermal19223261185[[#This Row],[Actual Buyout]]+Thermal19223261185[[#This Row],[Change Orders]]=0,Thermal19223261185[[#This Row],[Original Contract]],Thermal19223261185[[#This Row],[Actual Buyout]]+Thermal19223261185[[#This Row],[Change Orders]])</f>
        <v>0</v>
      </c>
      <c r="I241" s="129">
        <v>0</v>
      </c>
      <c r="J241" s="129">
        <f>Thermal19223261185[[#This Row],[Original Contract]]-Thermal19223261185[[#This Row],[Revised Contract]]</f>
        <v>0</v>
      </c>
      <c r="K241" s="341"/>
      <c r="L241" s="343"/>
      <c r="S241" s="97"/>
      <c r="T241" s="97"/>
      <c r="X241" s="198"/>
      <c r="Y241" s="198"/>
    </row>
    <row r="242" spans="1:25" x14ac:dyDescent="0.35">
      <c r="A242" s="128">
        <v>7</v>
      </c>
      <c r="B242" s="132" t="s">
        <v>310</v>
      </c>
      <c r="C242" s="132" t="s">
        <v>682</v>
      </c>
      <c r="D242" s="133" t="s">
        <v>760</v>
      </c>
      <c r="E242" s="255">
        <v>0</v>
      </c>
      <c r="F242" s="255">
        <v>0</v>
      </c>
      <c r="G242" s="129">
        <f>0</f>
        <v>0</v>
      </c>
      <c r="H242" s="255">
        <f>IF(Thermal19223261185[[#This Row],[Actual Buyout]]+Thermal19223261185[[#This Row],[Change Orders]]=0,Thermal19223261185[[#This Row],[Original Contract]],Thermal19223261185[[#This Row],[Actual Buyout]]+Thermal19223261185[[#This Row],[Change Orders]])</f>
        <v>0</v>
      </c>
      <c r="I242" s="129">
        <v>0</v>
      </c>
      <c r="J242" s="129">
        <f>Thermal19223261185[[#This Row],[Original Contract]]-Thermal19223261185[[#This Row],[Revised Contract]]</f>
        <v>0</v>
      </c>
      <c r="K242" s="341"/>
      <c r="L242" s="343"/>
      <c r="S242" s="97"/>
      <c r="T242" s="97"/>
      <c r="X242" s="198"/>
      <c r="Y242" s="198"/>
    </row>
    <row r="243" spans="1:25" x14ac:dyDescent="0.35">
      <c r="A243" s="128">
        <v>7</v>
      </c>
      <c r="B243" s="132" t="s">
        <v>683</v>
      </c>
      <c r="C243" s="132" t="s">
        <v>684</v>
      </c>
      <c r="D243" s="133" t="s">
        <v>685</v>
      </c>
      <c r="E243" s="255">
        <v>0</v>
      </c>
      <c r="F243" s="255">
        <v>0</v>
      </c>
      <c r="G243" s="129">
        <f>0</f>
        <v>0</v>
      </c>
      <c r="H243" s="255">
        <f>IF(Thermal19223261185[[#This Row],[Actual Buyout]]+Thermal19223261185[[#This Row],[Change Orders]]=0,Thermal19223261185[[#This Row],[Original Contract]],Thermal19223261185[[#This Row],[Actual Buyout]]+Thermal19223261185[[#This Row],[Change Orders]])</f>
        <v>0</v>
      </c>
      <c r="I243" s="129">
        <v>0</v>
      </c>
      <c r="J243" s="129">
        <f>Thermal19223261185[[#This Row],[Original Contract]]-Thermal19223261185[[#This Row],[Revised Contract]]</f>
        <v>0</v>
      </c>
      <c r="K243" s="341"/>
      <c r="L243" s="343"/>
      <c r="S243" s="97"/>
      <c r="T243" s="97"/>
      <c r="X243" s="198"/>
      <c r="Y243" s="198"/>
    </row>
    <row r="244" spans="1:25" x14ac:dyDescent="0.35">
      <c r="A244" s="128">
        <v>7</v>
      </c>
      <c r="B244" s="132"/>
      <c r="C244" s="132"/>
      <c r="D244" s="133" t="s">
        <v>37</v>
      </c>
      <c r="E244" s="255">
        <v>0</v>
      </c>
      <c r="F244" s="255">
        <v>0</v>
      </c>
      <c r="G244" s="129">
        <f>0</f>
        <v>0</v>
      </c>
      <c r="H244" s="255">
        <f>IF(Thermal19223261185[[#This Row],[Actual Buyout]]+Thermal19223261185[[#This Row],[Change Orders]]=0,Thermal19223261185[[#This Row],[Original Contract]],Thermal19223261185[[#This Row],[Actual Buyout]]+Thermal19223261185[[#This Row],[Change Orders]])</f>
        <v>0</v>
      </c>
      <c r="I244" s="129">
        <v>0</v>
      </c>
      <c r="J244" s="129">
        <f>Thermal19223261185[[#This Row],[Original Contract]]-Thermal19223261185[[#This Row],[Revised Contract]]</f>
        <v>0</v>
      </c>
      <c r="K244" s="341"/>
      <c r="L244" s="343"/>
      <c r="S244" s="97"/>
      <c r="T244" s="97"/>
      <c r="X244" s="198"/>
      <c r="Y244" s="198"/>
    </row>
    <row r="245" spans="1:25" x14ac:dyDescent="0.35">
      <c r="A245" s="128">
        <v>7</v>
      </c>
      <c r="B245" s="132"/>
      <c r="C245" s="132"/>
      <c r="D245" s="133" t="s">
        <v>37</v>
      </c>
      <c r="E245" s="255">
        <v>0</v>
      </c>
      <c r="F245" s="255">
        <v>0</v>
      </c>
      <c r="G245" s="129">
        <f>0</f>
        <v>0</v>
      </c>
      <c r="H245" s="255">
        <f>IF(Thermal19223261185[[#This Row],[Actual Buyout]]+Thermal19223261185[[#This Row],[Change Orders]]=0,Thermal19223261185[[#This Row],[Original Contract]],Thermal19223261185[[#This Row],[Actual Buyout]]+Thermal19223261185[[#This Row],[Change Orders]])</f>
        <v>0</v>
      </c>
      <c r="I245" s="129">
        <v>0</v>
      </c>
      <c r="J245" s="129">
        <f>Thermal19223261185[[#This Row],[Original Contract]]-Thermal19223261185[[#This Row],[Revised Contract]]</f>
        <v>0</v>
      </c>
      <c r="K245" s="341"/>
      <c r="L245" s="343"/>
      <c r="S245" s="97"/>
      <c r="T245" s="97"/>
      <c r="X245" s="198"/>
      <c r="Y245" s="198"/>
    </row>
    <row r="246" spans="1:25" x14ac:dyDescent="0.35">
      <c r="A246" s="128">
        <v>7</v>
      </c>
      <c r="B246" s="132"/>
      <c r="C246" s="132"/>
      <c r="D246" s="133" t="s">
        <v>37</v>
      </c>
      <c r="E246" s="255">
        <v>0</v>
      </c>
      <c r="F246" s="255">
        <v>0</v>
      </c>
      <c r="G246" s="129">
        <f>0</f>
        <v>0</v>
      </c>
      <c r="H246" s="255">
        <f>IF(Thermal19223261185[[#This Row],[Actual Buyout]]+Thermal19223261185[[#This Row],[Change Orders]]=0,Thermal19223261185[[#This Row],[Original Contract]],Thermal19223261185[[#This Row],[Actual Buyout]]+Thermal19223261185[[#This Row],[Change Orders]])</f>
        <v>0</v>
      </c>
      <c r="I246" s="129">
        <v>0</v>
      </c>
      <c r="J246" s="129">
        <f>Thermal19223261185[[#This Row],[Original Contract]]-Thermal19223261185[[#This Row],[Revised Contract]]</f>
        <v>0</v>
      </c>
      <c r="K246" s="341"/>
      <c r="L246" s="343"/>
      <c r="S246" s="97"/>
      <c r="T246" s="97"/>
      <c r="X246" s="198"/>
      <c r="Y246" s="198"/>
    </row>
    <row r="247" spans="1:25" x14ac:dyDescent="0.35">
      <c r="A247" s="128">
        <v>7</v>
      </c>
      <c r="B247" s="132"/>
      <c r="C247" s="132"/>
      <c r="D247" s="133" t="s">
        <v>37</v>
      </c>
      <c r="E247" s="255">
        <v>0</v>
      </c>
      <c r="F247" s="255">
        <v>0</v>
      </c>
      <c r="G247" s="129">
        <f>0</f>
        <v>0</v>
      </c>
      <c r="H247" s="255">
        <f>IF(Thermal19223261185[[#This Row],[Actual Buyout]]+Thermal19223261185[[#This Row],[Change Orders]]=0,Thermal19223261185[[#This Row],[Original Contract]],Thermal19223261185[[#This Row],[Actual Buyout]]+Thermal19223261185[[#This Row],[Change Orders]])</f>
        <v>0</v>
      </c>
      <c r="I247" s="129">
        <v>0</v>
      </c>
      <c r="J247" s="129">
        <f>Thermal19223261185[[#This Row],[Original Contract]]-Thermal19223261185[[#This Row],[Revised Contract]]</f>
        <v>0</v>
      </c>
      <c r="K247" s="341"/>
      <c r="L247" s="343"/>
      <c r="S247" s="97"/>
      <c r="T247" s="97"/>
      <c r="X247" s="198"/>
      <c r="Y247" s="198"/>
    </row>
    <row r="248" spans="1:25" x14ac:dyDescent="0.35">
      <c r="A248" s="128">
        <v>7</v>
      </c>
      <c r="B248" s="132"/>
      <c r="C248" s="132"/>
      <c r="D248" s="133" t="s">
        <v>37</v>
      </c>
      <c r="E248" s="255">
        <v>0</v>
      </c>
      <c r="F248" s="255">
        <v>0</v>
      </c>
      <c r="G248" s="129">
        <f>0</f>
        <v>0</v>
      </c>
      <c r="H248" s="255">
        <f>IF(Thermal19223261185[[#This Row],[Actual Buyout]]+Thermal19223261185[[#This Row],[Change Orders]]=0,Thermal19223261185[[#This Row],[Original Contract]],Thermal19223261185[[#This Row],[Actual Buyout]]+Thermal19223261185[[#This Row],[Change Orders]])</f>
        <v>0</v>
      </c>
      <c r="I248" s="129">
        <v>0</v>
      </c>
      <c r="J248" s="129">
        <f>Thermal19223261185[[#This Row],[Original Contract]]-Thermal19223261185[[#This Row],[Revised Contract]]</f>
        <v>0</v>
      </c>
      <c r="K248" s="341"/>
      <c r="L248" s="343"/>
      <c r="S248" s="97"/>
      <c r="T248" s="97"/>
      <c r="X248" s="198"/>
      <c r="Y248" s="198"/>
    </row>
    <row r="249" spans="1:25" x14ac:dyDescent="0.35">
      <c r="A249" s="257"/>
      <c r="B249" s="258"/>
      <c r="C249" s="258"/>
      <c r="D249" s="256" t="s">
        <v>38</v>
      </c>
      <c r="E249" s="151">
        <f>SUM(Thermal19223261185[Original Contract])</f>
        <v>0</v>
      </c>
      <c r="F249" s="151">
        <f>SUM(Thermal19223261185[Actual Buyout])</f>
        <v>0</v>
      </c>
      <c r="G249" s="151">
        <f>SUM(Thermal19223261185[Change Orders])</f>
        <v>0</v>
      </c>
      <c r="H249" s="151">
        <f>SUM(Thermal19223261185[Revised Contract])</f>
        <v>0</v>
      </c>
      <c r="I249" s="151">
        <f>SUM(Thermal19223261185[Total completed and Stored])</f>
        <v>0</v>
      </c>
      <c r="J249" s="151">
        <f>SUM(Thermal19223261185[Delta])</f>
        <v>0</v>
      </c>
      <c r="K249" s="343"/>
      <c r="L249" s="343"/>
    </row>
    <row r="250" spans="1:25" x14ac:dyDescent="0.35">
      <c r="A250" s="100" t="s">
        <v>657</v>
      </c>
      <c r="B250" s="100" t="s">
        <v>86</v>
      </c>
      <c r="C250" s="100" t="s">
        <v>167</v>
      </c>
      <c r="D250" s="100" t="s">
        <v>26</v>
      </c>
      <c r="E250" s="100" t="s">
        <v>781</v>
      </c>
      <c r="F250" s="332" t="s">
        <v>1078</v>
      </c>
      <c r="G250" s="332" t="s">
        <v>782</v>
      </c>
      <c r="H250" s="332" t="s">
        <v>783</v>
      </c>
      <c r="I250" s="334" t="s">
        <v>785</v>
      </c>
      <c r="J250" s="340" t="s">
        <v>1079</v>
      </c>
      <c r="K250" s="335"/>
      <c r="L250" s="343"/>
      <c r="S250" s="97"/>
      <c r="T250" s="97"/>
      <c r="X250" s="198"/>
      <c r="Y250" s="198"/>
    </row>
    <row r="251" spans="1:25" x14ac:dyDescent="0.35">
      <c r="A251" s="128">
        <v>7</v>
      </c>
      <c r="B251" s="132" t="s">
        <v>686</v>
      </c>
      <c r="C251" s="132" t="s">
        <v>687</v>
      </c>
      <c r="D251" s="133" t="s">
        <v>686</v>
      </c>
      <c r="E251" s="255">
        <v>0</v>
      </c>
      <c r="F251" s="255">
        <v>0</v>
      </c>
      <c r="G251" s="129">
        <f>0</f>
        <v>0</v>
      </c>
      <c r="H251" s="255">
        <f>IF(Sealant20224262186[[#This Row],[Actual Buyout]]+Sealant20224262186[[#This Row],[Change Orders]]=0,Sealant20224262186[[#This Row],[Original Contract]],Sealant20224262186[[#This Row],[Actual Buyout]]+Sealant20224262186[[#This Row],[Change Orders]])</f>
        <v>0</v>
      </c>
      <c r="I251" s="129">
        <v>0</v>
      </c>
      <c r="J251" s="129">
        <f>Sealant20224262186[[#This Row],[Original Contract]]-Sealant20224262186[[#This Row],[Revised Contract]]</f>
        <v>0</v>
      </c>
      <c r="K251" s="341"/>
      <c r="L251" s="343"/>
      <c r="S251" s="97"/>
      <c r="T251" s="97"/>
      <c r="X251" s="198"/>
      <c r="Y251" s="198"/>
    </row>
    <row r="252" spans="1:25" x14ac:dyDescent="0.35">
      <c r="A252" s="128">
        <v>7</v>
      </c>
      <c r="B252" s="132" t="s">
        <v>711</v>
      </c>
      <c r="C252" s="132" t="s">
        <v>688</v>
      </c>
      <c r="D252" s="133" t="s">
        <v>711</v>
      </c>
      <c r="E252" s="255">
        <v>0</v>
      </c>
      <c r="F252" s="255">
        <v>0</v>
      </c>
      <c r="G252" s="129">
        <f>0</f>
        <v>0</v>
      </c>
      <c r="H252" s="255">
        <f>IF(Sealant20224262186[[#This Row],[Actual Buyout]]+Sealant20224262186[[#This Row],[Change Orders]]=0,Sealant20224262186[[#This Row],[Original Contract]],Sealant20224262186[[#This Row],[Actual Buyout]]+Sealant20224262186[[#This Row],[Change Orders]])</f>
        <v>0</v>
      </c>
      <c r="I252" s="129">
        <v>0</v>
      </c>
      <c r="J252" s="129">
        <f>Sealant20224262186[[#This Row],[Original Contract]]-Sealant20224262186[[#This Row],[Revised Contract]]</f>
        <v>0</v>
      </c>
      <c r="K252" s="341"/>
      <c r="L252" s="343"/>
      <c r="S252" s="97"/>
      <c r="T252" s="97"/>
      <c r="X252" s="198"/>
      <c r="Y252" s="198"/>
    </row>
    <row r="253" spans="1:25" x14ac:dyDescent="0.35">
      <c r="A253" s="128">
        <v>7</v>
      </c>
      <c r="B253" s="132" t="s">
        <v>313</v>
      </c>
      <c r="C253" s="132" t="s">
        <v>312</v>
      </c>
      <c r="D253" s="133" t="s">
        <v>87</v>
      </c>
      <c r="E253" s="255">
        <v>0</v>
      </c>
      <c r="F253" s="255">
        <v>0</v>
      </c>
      <c r="G253" s="129">
        <f>0</f>
        <v>0</v>
      </c>
      <c r="H253" s="255">
        <f>IF(Sealant20224262186[[#This Row],[Actual Buyout]]+Sealant20224262186[[#This Row],[Change Orders]]=0,Sealant20224262186[[#This Row],[Original Contract]],Sealant20224262186[[#This Row],[Actual Buyout]]+Sealant20224262186[[#This Row],[Change Orders]])</f>
        <v>0</v>
      </c>
      <c r="I253" s="129">
        <v>0</v>
      </c>
      <c r="J253" s="129">
        <f>Sealant20224262186[[#This Row],[Original Contract]]-Sealant20224262186[[#This Row],[Revised Contract]]</f>
        <v>0</v>
      </c>
      <c r="K253" s="341"/>
      <c r="L253" s="343"/>
      <c r="S253" s="97"/>
      <c r="T253" s="97"/>
      <c r="X253" s="198"/>
      <c r="Y253" s="198"/>
    </row>
    <row r="254" spans="1:25" x14ac:dyDescent="0.35">
      <c r="A254" s="128">
        <v>7</v>
      </c>
      <c r="B254" s="132" t="s">
        <v>313</v>
      </c>
      <c r="C254" s="132" t="s">
        <v>312</v>
      </c>
      <c r="D254" s="133" t="s">
        <v>88</v>
      </c>
      <c r="E254" s="255">
        <v>0</v>
      </c>
      <c r="F254" s="255">
        <v>0</v>
      </c>
      <c r="G254" s="129">
        <f>0</f>
        <v>0</v>
      </c>
      <c r="H254" s="255">
        <f>IF(Sealant20224262186[[#This Row],[Actual Buyout]]+Sealant20224262186[[#This Row],[Change Orders]]=0,Sealant20224262186[[#This Row],[Original Contract]],Sealant20224262186[[#This Row],[Actual Buyout]]+Sealant20224262186[[#This Row],[Change Orders]])</f>
        <v>0</v>
      </c>
      <c r="I254" s="129">
        <v>0</v>
      </c>
      <c r="J254" s="129">
        <f>Sealant20224262186[[#This Row],[Original Contract]]-Sealant20224262186[[#This Row],[Revised Contract]]</f>
        <v>0</v>
      </c>
      <c r="K254" s="341"/>
      <c r="L254" s="343"/>
      <c r="S254" s="97"/>
      <c r="T254" s="97"/>
      <c r="X254" s="198"/>
      <c r="Y254" s="198"/>
    </row>
    <row r="255" spans="1:25" x14ac:dyDescent="0.35">
      <c r="A255" s="128">
        <v>7</v>
      </c>
      <c r="B255" s="132" t="s">
        <v>313</v>
      </c>
      <c r="C255" s="132" t="s">
        <v>312</v>
      </c>
      <c r="D255" s="133" t="s">
        <v>89</v>
      </c>
      <c r="E255" s="255">
        <v>0</v>
      </c>
      <c r="F255" s="255">
        <v>0</v>
      </c>
      <c r="G255" s="129">
        <f>0</f>
        <v>0</v>
      </c>
      <c r="H255" s="255">
        <f>IF(Sealant20224262186[[#This Row],[Actual Buyout]]+Sealant20224262186[[#This Row],[Change Orders]]=0,Sealant20224262186[[#This Row],[Original Contract]],Sealant20224262186[[#This Row],[Actual Buyout]]+Sealant20224262186[[#This Row],[Change Orders]])</f>
        <v>0</v>
      </c>
      <c r="I255" s="129">
        <v>0</v>
      </c>
      <c r="J255" s="129">
        <f>Sealant20224262186[[#This Row],[Original Contract]]-Sealant20224262186[[#This Row],[Revised Contract]]</f>
        <v>0</v>
      </c>
      <c r="K255" s="341"/>
      <c r="L255" s="343"/>
      <c r="S255" s="97"/>
      <c r="T255" s="97"/>
      <c r="X255" s="198"/>
      <c r="Y255" s="198"/>
    </row>
    <row r="256" spans="1:25" x14ac:dyDescent="0.35">
      <c r="A256" s="128">
        <v>7</v>
      </c>
      <c r="B256" s="132" t="s">
        <v>314</v>
      </c>
      <c r="C256" s="132" t="s">
        <v>304</v>
      </c>
      <c r="D256" s="133" t="s">
        <v>90</v>
      </c>
      <c r="E256" s="255">
        <v>0</v>
      </c>
      <c r="F256" s="255">
        <v>0</v>
      </c>
      <c r="G256" s="129">
        <f>0</f>
        <v>0</v>
      </c>
      <c r="H256" s="255">
        <f>IF(Sealant20224262186[[#This Row],[Actual Buyout]]+Sealant20224262186[[#This Row],[Change Orders]]=0,Sealant20224262186[[#This Row],[Original Contract]],Sealant20224262186[[#This Row],[Actual Buyout]]+Sealant20224262186[[#This Row],[Change Orders]])</f>
        <v>0</v>
      </c>
      <c r="I256" s="129">
        <v>0</v>
      </c>
      <c r="J256" s="129">
        <f>Sealant20224262186[[#This Row],[Original Contract]]-Sealant20224262186[[#This Row],[Revised Contract]]</f>
        <v>0</v>
      </c>
      <c r="K256" s="341"/>
      <c r="L256" s="343"/>
      <c r="S256" s="97"/>
      <c r="T256" s="97"/>
      <c r="X256" s="198"/>
      <c r="Y256" s="198"/>
    </row>
    <row r="257" spans="1:25" x14ac:dyDescent="0.35">
      <c r="A257" s="128">
        <v>7</v>
      </c>
      <c r="B257" s="132" t="s">
        <v>313</v>
      </c>
      <c r="C257" s="132" t="s">
        <v>312</v>
      </c>
      <c r="D257" s="133" t="s">
        <v>761</v>
      </c>
      <c r="E257" s="255">
        <v>0</v>
      </c>
      <c r="F257" s="255">
        <v>0</v>
      </c>
      <c r="G257" s="129">
        <f>0</f>
        <v>0</v>
      </c>
      <c r="H257" s="255">
        <f>IF(Sealant20224262186[[#This Row],[Actual Buyout]]+Sealant20224262186[[#This Row],[Change Orders]]=0,Sealant20224262186[[#This Row],[Original Contract]],Sealant20224262186[[#This Row],[Actual Buyout]]+Sealant20224262186[[#This Row],[Change Orders]])</f>
        <v>0</v>
      </c>
      <c r="I257" s="129">
        <v>0</v>
      </c>
      <c r="J257" s="129">
        <f>Sealant20224262186[[#This Row],[Original Contract]]-Sealant20224262186[[#This Row],[Revised Contract]]</f>
        <v>0</v>
      </c>
      <c r="K257" s="341"/>
      <c r="L257" s="343"/>
      <c r="S257" s="97"/>
      <c r="T257" s="97"/>
      <c r="X257" s="198"/>
      <c r="Y257" s="198"/>
    </row>
    <row r="258" spans="1:25" x14ac:dyDescent="0.35">
      <c r="A258" s="128">
        <v>7</v>
      </c>
      <c r="B258" s="132"/>
      <c r="C258" s="132"/>
      <c r="D258" s="133" t="s">
        <v>805</v>
      </c>
      <c r="E258" s="255">
        <v>0</v>
      </c>
      <c r="F258" s="255">
        <v>0</v>
      </c>
      <c r="G258" s="129">
        <f>0</f>
        <v>0</v>
      </c>
      <c r="H258" s="255">
        <f>IF(Sealant20224262186[[#This Row],[Actual Buyout]]+Sealant20224262186[[#This Row],[Change Orders]]=0,Sealant20224262186[[#This Row],[Original Contract]],Sealant20224262186[[#This Row],[Actual Buyout]]+Sealant20224262186[[#This Row],[Change Orders]])</f>
        <v>0</v>
      </c>
      <c r="I258" s="129">
        <v>0</v>
      </c>
      <c r="J258" s="129">
        <f>Sealant20224262186[[#This Row],[Original Contract]]-Sealant20224262186[[#This Row],[Revised Contract]]</f>
        <v>0</v>
      </c>
      <c r="K258" s="341"/>
      <c r="L258" s="343"/>
      <c r="S258" s="97"/>
      <c r="T258" s="97"/>
      <c r="X258" s="198"/>
      <c r="Y258" s="198"/>
    </row>
    <row r="259" spans="1:25" x14ac:dyDescent="0.35">
      <c r="A259" s="128">
        <v>7</v>
      </c>
      <c r="B259" s="132"/>
      <c r="C259" s="132"/>
      <c r="D259" s="133" t="s">
        <v>37</v>
      </c>
      <c r="E259" s="255">
        <v>0</v>
      </c>
      <c r="F259" s="255">
        <v>0</v>
      </c>
      <c r="G259" s="129">
        <f>0</f>
        <v>0</v>
      </c>
      <c r="H259" s="255">
        <f>IF(Sealant20224262186[[#This Row],[Actual Buyout]]+Sealant20224262186[[#This Row],[Change Orders]]=0,Sealant20224262186[[#This Row],[Original Contract]],Sealant20224262186[[#This Row],[Actual Buyout]]+Sealant20224262186[[#This Row],[Change Orders]])</f>
        <v>0</v>
      </c>
      <c r="I259" s="129">
        <v>0</v>
      </c>
      <c r="J259" s="129">
        <f>Sealant20224262186[[#This Row],[Original Contract]]-Sealant20224262186[[#This Row],[Revised Contract]]</f>
        <v>0</v>
      </c>
      <c r="K259" s="341"/>
      <c r="L259" s="343"/>
      <c r="S259" s="97"/>
      <c r="T259" s="97"/>
      <c r="X259" s="198"/>
      <c r="Y259" s="198"/>
    </row>
    <row r="260" spans="1:25" x14ac:dyDescent="0.35">
      <c r="A260" s="128">
        <v>7</v>
      </c>
      <c r="B260" s="132"/>
      <c r="C260" s="132"/>
      <c r="D260" s="133" t="s">
        <v>37</v>
      </c>
      <c r="E260" s="255">
        <v>0</v>
      </c>
      <c r="F260" s="255">
        <v>0</v>
      </c>
      <c r="G260" s="129">
        <f>0</f>
        <v>0</v>
      </c>
      <c r="H260" s="255">
        <f>IF(Sealant20224262186[[#This Row],[Actual Buyout]]+Sealant20224262186[[#This Row],[Change Orders]]=0,Sealant20224262186[[#This Row],[Original Contract]],Sealant20224262186[[#This Row],[Actual Buyout]]+Sealant20224262186[[#This Row],[Change Orders]])</f>
        <v>0</v>
      </c>
      <c r="I260" s="129">
        <v>0</v>
      </c>
      <c r="J260" s="129">
        <f>Sealant20224262186[[#This Row],[Original Contract]]-Sealant20224262186[[#This Row],[Revised Contract]]</f>
        <v>0</v>
      </c>
      <c r="K260" s="341"/>
      <c r="L260" s="343"/>
      <c r="S260" s="97"/>
      <c r="T260" s="97"/>
      <c r="X260" s="198"/>
      <c r="Y260" s="198"/>
    </row>
    <row r="261" spans="1:25" x14ac:dyDescent="0.35">
      <c r="A261" s="128">
        <v>7</v>
      </c>
      <c r="B261" s="132"/>
      <c r="C261" s="132"/>
      <c r="D261" s="133" t="s">
        <v>37</v>
      </c>
      <c r="E261" s="255">
        <v>0</v>
      </c>
      <c r="F261" s="255">
        <v>0</v>
      </c>
      <c r="G261" s="129">
        <f>0</f>
        <v>0</v>
      </c>
      <c r="H261" s="255">
        <f>IF(Sealant20224262186[[#This Row],[Actual Buyout]]+Sealant20224262186[[#This Row],[Change Orders]]=0,Sealant20224262186[[#This Row],[Original Contract]],Sealant20224262186[[#This Row],[Actual Buyout]]+Sealant20224262186[[#This Row],[Change Orders]])</f>
        <v>0</v>
      </c>
      <c r="I261" s="129">
        <v>0</v>
      </c>
      <c r="J261" s="129">
        <f>Sealant20224262186[[#This Row],[Original Contract]]-Sealant20224262186[[#This Row],[Revised Contract]]</f>
        <v>0</v>
      </c>
      <c r="K261" s="341"/>
      <c r="L261" s="343"/>
      <c r="S261" s="97"/>
      <c r="T261" s="97"/>
      <c r="X261" s="198"/>
      <c r="Y261" s="198"/>
    </row>
    <row r="262" spans="1:25" x14ac:dyDescent="0.35">
      <c r="A262" s="257"/>
      <c r="B262" s="258"/>
      <c r="C262" s="258"/>
      <c r="D262" s="256" t="s">
        <v>38</v>
      </c>
      <c r="E262" s="151">
        <f>SUM(Sealant20224262186[Original Contract])</f>
        <v>0</v>
      </c>
      <c r="F262" s="151">
        <f>SUM(Sealant20224262186[Actual Buyout])</f>
        <v>0</v>
      </c>
      <c r="G262" s="151">
        <f>SUM(Sealant20224262186[Change Orders])</f>
        <v>0</v>
      </c>
      <c r="H262" s="151">
        <f>SUM(Sealant20224262186[Revised Contract])</f>
        <v>0</v>
      </c>
      <c r="I262" s="151">
        <f>SUM(Sealant20224262186[Total completed and Stored])</f>
        <v>0</v>
      </c>
      <c r="J262" s="151">
        <f>SUM(Sealant20224262186[Delta])</f>
        <v>0</v>
      </c>
      <c r="K262" s="343"/>
      <c r="L262" s="343"/>
    </row>
    <row r="263" spans="1:25" x14ac:dyDescent="0.35">
      <c r="A263" s="100" t="s">
        <v>658</v>
      </c>
      <c r="B263" s="100" t="s">
        <v>91</v>
      </c>
      <c r="C263" s="100" t="s">
        <v>167</v>
      </c>
      <c r="D263" s="100" t="s">
        <v>26</v>
      </c>
      <c r="E263" s="100" t="s">
        <v>781</v>
      </c>
      <c r="F263" s="332" t="s">
        <v>1078</v>
      </c>
      <c r="G263" s="332" t="s">
        <v>782</v>
      </c>
      <c r="H263" s="332" t="s">
        <v>783</v>
      </c>
      <c r="I263" s="334" t="s">
        <v>785</v>
      </c>
      <c r="J263" s="340" t="s">
        <v>1079</v>
      </c>
      <c r="K263" s="335"/>
      <c r="L263" s="343"/>
      <c r="S263" s="97"/>
      <c r="T263" s="97"/>
      <c r="X263" s="198"/>
      <c r="Y263" s="198"/>
    </row>
    <row r="264" spans="1:25" x14ac:dyDescent="0.35">
      <c r="A264" s="128">
        <v>8</v>
      </c>
      <c r="B264" s="132" t="s">
        <v>317</v>
      </c>
      <c r="C264" s="132" t="s">
        <v>316</v>
      </c>
      <c r="D264" s="133" t="s">
        <v>92</v>
      </c>
      <c r="E264" s="255">
        <v>0</v>
      </c>
      <c r="F264" s="255">
        <v>0</v>
      </c>
      <c r="G264" s="129">
        <f>0</f>
        <v>0</v>
      </c>
      <c r="H264" s="255">
        <f>IF(Glass21225263187[[#This Row],[Actual Buyout]]+Glass21225263187[[#This Row],[Change Orders]]=0,Glass21225263187[[#This Row],[Original Contract]],Glass21225263187[[#This Row],[Actual Buyout]]+Glass21225263187[[#This Row],[Change Orders]])</f>
        <v>0</v>
      </c>
      <c r="I264" s="129">
        <v>0</v>
      </c>
      <c r="J264" s="129">
        <f>Glass21225263187[[#This Row],[Original Contract]]-Glass21225263187[[#This Row],[Revised Contract]]</f>
        <v>0</v>
      </c>
      <c r="K264" s="341"/>
      <c r="L264" s="343"/>
      <c r="S264" s="97"/>
      <c r="T264" s="97"/>
      <c r="X264" s="198"/>
      <c r="Y264" s="198"/>
    </row>
    <row r="265" spans="1:25" x14ac:dyDescent="0.35">
      <c r="A265" s="128">
        <v>8</v>
      </c>
      <c r="B265" s="132" t="s">
        <v>317</v>
      </c>
      <c r="C265" s="132" t="s">
        <v>316</v>
      </c>
      <c r="D265" s="133" t="s">
        <v>93</v>
      </c>
      <c r="E265" s="255">
        <v>0</v>
      </c>
      <c r="F265" s="255">
        <v>0</v>
      </c>
      <c r="G265" s="129">
        <f>0</f>
        <v>0</v>
      </c>
      <c r="H265" s="255">
        <f>IF(Glass21225263187[[#This Row],[Actual Buyout]]+Glass21225263187[[#This Row],[Change Orders]]=0,Glass21225263187[[#This Row],[Original Contract]],Glass21225263187[[#This Row],[Actual Buyout]]+Glass21225263187[[#This Row],[Change Orders]])</f>
        <v>0</v>
      </c>
      <c r="I265" s="129">
        <v>0</v>
      </c>
      <c r="J265" s="129">
        <f>Glass21225263187[[#This Row],[Original Contract]]-Glass21225263187[[#This Row],[Revised Contract]]</f>
        <v>0</v>
      </c>
      <c r="K265" s="341"/>
      <c r="L265" s="343"/>
      <c r="S265" s="97"/>
      <c r="T265" s="97"/>
      <c r="X265" s="198"/>
      <c r="Y265" s="198"/>
    </row>
    <row r="266" spans="1:25" x14ac:dyDescent="0.35">
      <c r="A266" s="128">
        <v>8</v>
      </c>
      <c r="B266" s="132" t="s">
        <v>318</v>
      </c>
      <c r="C266" s="132" t="s">
        <v>315</v>
      </c>
      <c r="D266" s="133" t="s">
        <v>94</v>
      </c>
      <c r="E266" s="255">
        <v>0</v>
      </c>
      <c r="F266" s="255">
        <v>0</v>
      </c>
      <c r="G266" s="129">
        <f>0</f>
        <v>0</v>
      </c>
      <c r="H266" s="255">
        <f>IF(Glass21225263187[[#This Row],[Actual Buyout]]+Glass21225263187[[#This Row],[Change Orders]]=0,Glass21225263187[[#This Row],[Original Contract]],Glass21225263187[[#This Row],[Actual Buyout]]+Glass21225263187[[#This Row],[Change Orders]])</f>
        <v>0</v>
      </c>
      <c r="I266" s="129">
        <v>0</v>
      </c>
      <c r="J266" s="129">
        <f>Glass21225263187[[#This Row],[Original Contract]]-Glass21225263187[[#This Row],[Revised Contract]]</f>
        <v>0</v>
      </c>
      <c r="K266" s="341"/>
      <c r="L266" s="343"/>
      <c r="S266" s="97"/>
      <c r="T266" s="97"/>
      <c r="X266" s="198"/>
      <c r="Y266" s="198"/>
    </row>
    <row r="267" spans="1:25" x14ac:dyDescent="0.35">
      <c r="A267" s="128">
        <v>8</v>
      </c>
      <c r="B267" s="132" t="s">
        <v>327</v>
      </c>
      <c r="C267" s="132" t="s">
        <v>326</v>
      </c>
      <c r="D267" s="133" t="s">
        <v>180</v>
      </c>
      <c r="E267" s="255">
        <v>0</v>
      </c>
      <c r="F267" s="255">
        <v>0</v>
      </c>
      <c r="G267" s="129">
        <f>0</f>
        <v>0</v>
      </c>
      <c r="H267" s="255">
        <f>IF(Glass21225263187[[#This Row],[Actual Buyout]]+Glass21225263187[[#This Row],[Change Orders]]=0,Glass21225263187[[#This Row],[Original Contract]],Glass21225263187[[#This Row],[Actual Buyout]]+Glass21225263187[[#This Row],[Change Orders]])</f>
        <v>0</v>
      </c>
      <c r="I267" s="129">
        <v>0</v>
      </c>
      <c r="J267" s="129">
        <f>Glass21225263187[[#This Row],[Original Contract]]-Glass21225263187[[#This Row],[Revised Contract]]</f>
        <v>0</v>
      </c>
      <c r="K267" s="341"/>
      <c r="L267" s="343"/>
      <c r="S267" s="97"/>
      <c r="T267" s="97"/>
      <c r="X267" s="198"/>
      <c r="Y267" s="198"/>
    </row>
    <row r="268" spans="1:25" x14ac:dyDescent="0.35">
      <c r="A268" s="128">
        <v>8</v>
      </c>
      <c r="B268" s="132" t="s">
        <v>319</v>
      </c>
      <c r="C268" s="132" t="s">
        <v>181</v>
      </c>
      <c r="D268" s="133" t="s">
        <v>182</v>
      </c>
      <c r="E268" s="255">
        <v>0</v>
      </c>
      <c r="F268" s="255">
        <v>0</v>
      </c>
      <c r="G268" s="129">
        <f>0</f>
        <v>0</v>
      </c>
      <c r="H268" s="255">
        <f>IF(Glass21225263187[[#This Row],[Actual Buyout]]+Glass21225263187[[#This Row],[Change Orders]]=0,Glass21225263187[[#This Row],[Original Contract]],Glass21225263187[[#This Row],[Actual Buyout]]+Glass21225263187[[#This Row],[Change Orders]])</f>
        <v>0</v>
      </c>
      <c r="I268" s="129">
        <v>0</v>
      </c>
      <c r="J268" s="129">
        <f>Glass21225263187[[#This Row],[Original Contract]]-Glass21225263187[[#This Row],[Revised Contract]]</f>
        <v>0</v>
      </c>
      <c r="K268" s="341"/>
      <c r="L268" s="343"/>
      <c r="S268" s="97"/>
      <c r="T268" s="97"/>
      <c r="X268" s="198"/>
      <c r="Y268" s="198"/>
    </row>
    <row r="269" spans="1:25" x14ac:dyDescent="0.35">
      <c r="A269" s="128">
        <v>8</v>
      </c>
      <c r="B269" s="132"/>
      <c r="C269" s="132"/>
      <c r="D269" s="133" t="s">
        <v>37</v>
      </c>
      <c r="E269" s="255">
        <v>0</v>
      </c>
      <c r="F269" s="255">
        <v>0</v>
      </c>
      <c r="G269" s="129">
        <f>0</f>
        <v>0</v>
      </c>
      <c r="H269" s="255">
        <f>IF(Glass21225263187[[#This Row],[Actual Buyout]]+Glass21225263187[[#This Row],[Change Orders]]=0,Glass21225263187[[#This Row],[Original Contract]],Glass21225263187[[#This Row],[Actual Buyout]]+Glass21225263187[[#This Row],[Change Orders]])</f>
        <v>0</v>
      </c>
      <c r="I269" s="129">
        <v>0</v>
      </c>
      <c r="J269" s="129">
        <f>Glass21225263187[[#This Row],[Original Contract]]-Glass21225263187[[#This Row],[Revised Contract]]</f>
        <v>0</v>
      </c>
      <c r="K269" s="341"/>
      <c r="L269" s="343"/>
      <c r="S269" s="97"/>
      <c r="T269" s="97"/>
      <c r="X269" s="198"/>
      <c r="Y269" s="198"/>
    </row>
    <row r="270" spans="1:25" x14ac:dyDescent="0.35">
      <c r="A270" s="128">
        <v>8</v>
      </c>
      <c r="B270" s="132"/>
      <c r="C270" s="132"/>
      <c r="D270" s="133" t="s">
        <v>37</v>
      </c>
      <c r="E270" s="255">
        <v>0</v>
      </c>
      <c r="F270" s="255">
        <v>0</v>
      </c>
      <c r="G270" s="129">
        <f>0</f>
        <v>0</v>
      </c>
      <c r="H270" s="255">
        <f>IF(Glass21225263187[[#This Row],[Actual Buyout]]+Glass21225263187[[#This Row],[Change Orders]]=0,Glass21225263187[[#This Row],[Original Contract]],Glass21225263187[[#This Row],[Actual Buyout]]+Glass21225263187[[#This Row],[Change Orders]])</f>
        <v>0</v>
      </c>
      <c r="I270" s="129">
        <v>0</v>
      </c>
      <c r="J270" s="129">
        <f>Glass21225263187[[#This Row],[Original Contract]]-Glass21225263187[[#This Row],[Revised Contract]]</f>
        <v>0</v>
      </c>
      <c r="K270" s="341"/>
      <c r="L270" s="343"/>
      <c r="S270" s="97"/>
      <c r="T270" s="97"/>
      <c r="X270" s="198"/>
      <c r="Y270" s="198"/>
    </row>
    <row r="271" spans="1:25" x14ac:dyDescent="0.35">
      <c r="A271" s="128">
        <v>8</v>
      </c>
      <c r="B271" s="132"/>
      <c r="C271" s="132"/>
      <c r="D271" s="133" t="s">
        <v>37</v>
      </c>
      <c r="E271" s="255">
        <v>0</v>
      </c>
      <c r="F271" s="255">
        <v>0</v>
      </c>
      <c r="G271" s="129">
        <f>0</f>
        <v>0</v>
      </c>
      <c r="H271" s="255">
        <f>IF(Glass21225263187[[#This Row],[Actual Buyout]]+Glass21225263187[[#This Row],[Change Orders]]=0,Glass21225263187[[#This Row],[Original Contract]],Glass21225263187[[#This Row],[Actual Buyout]]+Glass21225263187[[#This Row],[Change Orders]])</f>
        <v>0</v>
      </c>
      <c r="I271" s="129">
        <v>0</v>
      </c>
      <c r="J271" s="129">
        <f>Glass21225263187[[#This Row],[Original Contract]]-Glass21225263187[[#This Row],[Revised Contract]]</f>
        <v>0</v>
      </c>
      <c r="K271" s="341"/>
      <c r="L271" s="343"/>
      <c r="S271" s="97"/>
      <c r="T271" s="97"/>
      <c r="X271" s="198"/>
      <c r="Y271" s="198"/>
    </row>
    <row r="272" spans="1:25" x14ac:dyDescent="0.35">
      <c r="A272" s="128">
        <v>8</v>
      </c>
      <c r="B272" s="132"/>
      <c r="C272" s="132"/>
      <c r="D272" s="133" t="s">
        <v>37</v>
      </c>
      <c r="E272" s="255">
        <v>0</v>
      </c>
      <c r="F272" s="255">
        <v>0</v>
      </c>
      <c r="G272" s="129">
        <f>0</f>
        <v>0</v>
      </c>
      <c r="H272" s="255">
        <f>IF(Glass21225263187[[#This Row],[Actual Buyout]]+Glass21225263187[[#This Row],[Change Orders]]=0,Glass21225263187[[#This Row],[Original Contract]],Glass21225263187[[#This Row],[Actual Buyout]]+Glass21225263187[[#This Row],[Change Orders]])</f>
        <v>0</v>
      </c>
      <c r="I272" s="129">
        <v>0</v>
      </c>
      <c r="J272" s="129">
        <f>Glass21225263187[[#This Row],[Original Contract]]-Glass21225263187[[#This Row],[Revised Contract]]</f>
        <v>0</v>
      </c>
      <c r="K272" s="341"/>
      <c r="L272" s="343"/>
      <c r="S272" s="97"/>
      <c r="T272" s="97"/>
      <c r="X272" s="198"/>
      <c r="Y272" s="198"/>
    </row>
    <row r="273" spans="1:25" x14ac:dyDescent="0.35">
      <c r="A273" s="128">
        <v>8</v>
      </c>
      <c r="B273" s="132"/>
      <c r="C273" s="132"/>
      <c r="D273" s="133" t="s">
        <v>37</v>
      </c>
      <c r="E273" s="255">
        <v>0</v>
      </c>
      <c r="F273" s="255">
        <v>0</v>
      </c>
      <c r="G273" s="129">
        <f>0</f>
        <v>0</v>
      </c>
      <c r="H273" s="255">
        <f>IF(Glass21225263187[[#This Row],[Actual Buyout]]+Glass21225263187[[#This Row],[Change Orders]]=0,Glass21225263187[[#This Row],[Original Contract]],Glass21225263187[[#This Row],[Actual Buyout]]+Glass21225263187[[#This Row],[Change Orders]])</f>
        <v>0</v>
      </c>
      <c r="I273" s="129">
        <v>0</v>
      </c>
      <c r="J273" s="129">
        <f>Glass21225263187[[#This Row],[Original Contract]]-Glass21225263187[[#This Row],[Revised Contract]]</f>
        <v>0</v>
      </c>
      <c r="K273" s="341"/>
      <c r="L273" s="343"/>
      <c r="S273" s="97"/>
      <c r="T273" s="97"/>
      <c r="X273" s="198"/>
      <c r="Y273" s="198"/>
    </row>
    <row r="274" spans="1:25" x14ac:dyDescent="0.35">
      <c r="A274" s="257"/>
      <c r="B274" s="258"/>
      <c r="C274" s="258"/>
      <c r="D274" s="256" t="s">
        <v>38</v>
      </c>
      <c r="E274" s="151">
        <f>SUM(Glass21225263187[Original Contract])</f>
        <v>0</v>
      </c>
      <c r="F274" s="151">
        <f>SUM(Glass21225263187[Actual Buyout])</f>
        <v>0</v>
      </c>
      <c r="G274" s="151">
        <f>SUM(Glass21225263187[Change Orders])</f>
        <v>0</v>
      </c>
      <c r="H274" s="151">
        <f>SUM(Glass21225263187[Revised Contract])</f>
        <v>0</v>
      </c>
      <c r="I274" s="151">
        <f>SUM(Glass21225263187[Total completed and Stored])</f>
        <v>0</v>
      </c>
      <c r="J274" s="151">
        <f>SUM(Glass21225263187[Delta])</f>
        <v>0</v>
      </c>
      <c r="K274" s="343"/>
      <c r="L274" s="343"/>
    </row>
    <row r="275" spans="1:25" x14ac:dyDescent="0.35">
      <c r="A275" s="100" t="s">
        <v>658</v>
      </c>
      <c r="B275" s="100" t="s">
        <v>95</v>
      </c>
      <c r="C275" s="100" t="s">
        <v>167</v>
      </c>
      <c r="D275" s="100" t="s">
        <v>26</v>
      </c>
      <c r="E275" s="100" t="s">
        <v>781</v>
      </c>
      <c r="F275" s="332" t="s">
        <v>1078</v>
      </c>
      <c r="G275" s="332" t="s">
        <v>782</v>
      </c>
      <c r="H275" s="332" t="s">
        <v>783</v>
      </c>
      <c r="I275" s="334" t="s">
        <v>785</v>
      </c>
      <c r="J275" s="340" t="s">
        <v>1079</v>
      </c>
      <c r="K275" s="335"/>
      <c r="L275" s="343"/>
      <c r="S275" s="97"/>
      <c r="T275" s="97"/>
      <c r="X275" s="198"/>
      <c r="Y275" s="198"/>
    </row>
    <row r="276" spans="1:25" x14ac:dyDescent="0.35">
      <c r="A276" s="128">
        <v>8</v>
      </c>
      <c r="B276" s="132" t="s">
        <v>321</v>
      </c>
      <c r="C276" s="132" t="s">
        <v>320</v>
      </c>
      <c r="D276" s="133" t="s">
        <v>96</v>
      </c>
      <c r="E276" s="255">
        <v>0</v>
      </c>
      <c r="F276" s="255">
        <v>0</v>
      </c>
      <c r="G276" s="129">
        <f>0</f>
        <v>0</v>
      </c>
      <c r="H276" s="255">
        <f>IF(DockDoors22226264188[[#This Row],[Actual Buyout]]+DockDoors22226264188[[#This Row],[Change Orders]]=0,DockDoors22226264188[[#This Row],[Original Contract]],DockDoors22226264188[[#This Row],[Actual Buyout]]+DockDoors22226264188[[#This Row],[Change Orders]])</f>
        <v>0</v>
      </c>
      <c r="I276" s="129">
        <v>0</v>
      </c>
      <c r="J276" s="129">
        <f>DockDoors22226264188[[#This Row],[Original Contract]]-DockDoors22226264188[[#This Row],[Revised Contract]]</f>
        <v>0</v>
      </c>
      <c r="K276" s="341"/>
      <c r="L276" s="343"/>
      <c r="S276" s="97"/>
      <c r="T276" s="97"/>
      <c r="X276" s="198"/>
      <c r="Y276" s="198"/>
    </row>
    <row r="277" spans="1:25" x14ac:dyDescent="0.35">
      <c r="A277" s="128">
        <v>8</v>
      </c>
      <c r="B277" s="132" t="s">
        <v>321</v>
      </c>
      <c r="C277" s="132" t="s">
        <v>320</v>
      </c>
      <c r="D277" s="133" t="s">
        <v>97</v>
      </c>
      <c r="E277" s="255">
        <v>0</v>
      </c>
      <c r="F277" s="255">
        <v>0</v>
      </c>
      <c r="G277" s="129">
        <f>0</f>
        <v>0</v>
      </c>
      <c r="H277" s="255">
        <f>IF(DockDoors22226264188[[#This Row],[Actual Buyout]]+DockDoors22226264188[[#This Row],[Change Orders]]=0,DockDoors22226264188[[#This Row],[Original Contract]],DockDoors22226264188[[#This Row],[Actual Buyout]]+DockDoors22226264188[[#This Row],[Change Orders]])</f>
        <v>0</v>
      </c>
      <c r="I277" s="129">
        <v>0</v>
      </c>
      <c r="J277" s="129">
        <f>DockDoors22226264188[[#This Row],[Original Contract]]-DockDoors22226264188[[#This Row],[Revised Contract]]</f>
        <v>0</v>
      </c>
      <c r="K277" s="341"/>
      <c r="L277" s="343"/>
      <c r="S277" s="97"/>
      <c r="T277" s="97"/>
      <c r="X277" s="198"/>
      <c r="Y277" s="198"/>
    </row>
    <row r="278" spans="1:25" x14ac:dyDescent="0.35">
      <c r="A278" s="128">
        <v>8</v>
      </c>
      <c r="B278" s="132" t="s">
        <v>689</v>
      </c>
      <c r="C278" s="132" t="s">
        <v>690</v>
      </c>
      <c r="D278" s="133" t="s">
        <v>691</v>
      </c>
      <c r="E278" s="255">
        <v>0</v>
      </c>
      <c r="F278" s="255">
        <v>0</v>
      </c>
      <c r="G278" s="129">
        <f>0</f>
        <v>0</v>
      </c>
      <c r="H278" s="255">
        <f>IF(DockDoors22226264188[[#This Row],[Actual Buyout]]+DockDoors22226264188[[#This Row],[Change Orders]]=0,DockDoors22226264188[[#This Row],[Original Contract]],DockDoors22226264188[[#This Row],[Actual Buyout]]+DockDoors22226264188[[#This Row],[Change Orders]])</f>
        <v>0</v>
      </c>
      <c r="I278" s="129">
        <v>0</v>
      </c>
      <c r="J278" s="129">
        <f>DockDoors22226264188[[#This Row],[Original Contract]]-DockDoors22226264188[[#This Row],[Revised Contract]]</f>
        <v>0</v>
      </c>
      <c r="K278" s="341"/>
      <c r="L278" s="343"/>
      <c r="S278" s="97"/>
      <c r="T278" s="97"/>
      <c r="X278" s="198"/>
      <c r="Y278" s="198"/>
    </row>
    <row r="279" spans="1:25" x14ac:dyDescent="0.35">
      <c r="A279" s="128">
        <v>8</v>
      </c>
      <c r="B279" s="132"/>
      <c r="C279" s="132"/>
      <c r="D279" s="133" t="s">
        <v>37</v>
      </c>
      <c r="E279" s="255">
        <v>0</v>
      </c>
      <c r="F279" s="255">
        <v>0</v>
      </c>
      <c r="G279" s="129">
        <f>0</f>
        <v>0</v>
      </c>
      <c r="H279" s="255">
        <f>IF(DockDoors22226264188[[#This Row],[Actual Buyout]]+DockDoors22226264188[[#This Row],[Change Orders]]=0,DockDoors22226264188[[#This Row],[Original Contract]],DockDoors22226264188[[#This Row],[Actual Buyout]]+DockDoors22226264188[[#This Row],[Change Orders]])</f>
        <v>0</v>
      </c>
      <c r="I279" s="129">
        <v>0</v>
      </c>
      <c r="J279" s="129">
        <f>DockDoors22226264188[[#This Row],[Original Contract]]-DockDoors22226264188[[#This Row],[Revised Contract]]</f>
        <v>0</v>
      </c>
      <c r="K279" s="341"/>
      <c r="L279" s="343"/>
      <c r="S279" s="97"/>
      <c r="T279" s="97"/>
      <c r="X279" s="198"/>
      <c r="Y279" s="198"/>
    </row>
    <row r="280" spans="1:25" x14ac:dyDescent="0.35">
      <c r="A280" s="128">
        <v>8</v>
      </c>
      <c r="B280" s="132"/>
      <c r="C280" s="132"/>
      <c r="D280" s="133" t="s">
        <v>37</v>
      </c>
      <c r="E280" s="255">
        <v>0</v>
      </c>
      <c r="F280" s="255">
        <v>0</v>
      </c>
      <c r="G280" s="129">
        <f>0</f>
        <v>0</v>
      </c>
      <c r="H280" s="255">
        <f>IF(DockDoors22226264188[[#This Row],[Actual Buyout]]+DockDoors22226264188[[#This Row],[Change Orders]]=0,DockDoors22226264188[[#This Row],[Original Contract]],DockDoors22226264188[[#This Row],[Actual Buyout]]+DockDoors22226264188[[#This Row],[Change Orders]])</f>
        <v>0</v>
      </c>
      <c r="I280" s="129">
        <v>0</v>
      </c>
      <c r="J280" s="129">
        <f>DockDoors22226264188[[#This Row],[Original Contract]]-DockDoors22226264188[[#This Row],[Revised Contract]]</f>
        <v>0</v>
      </c>
      <c r="K280" s="341"/>
      <c r="L280" s="343"/>
      <c r="S280" s="97"/>
      <c r="T280" s="97"/>
      <c r="X280" s="198"/>
      <c r="Y280" s="198"/>
    </row>
    <row r="281" spans="1:25" x14ac:dyDescent="0.35">
      <c r="A281" s="128">
        <v>8</v>
      </c>
      <c r="B281" s="132"/>
      <c r="C281" s="132"/>
      <c r="D281" s="133" t="s">
        <v>37</v>
      </c>
      <c r="E281" s="255">
        <v>0</v>
      </c>
      <c r="F281" s="255">
        <v>0</v>
      </c>
      <c r="G281" s="129">
        <f>0</f>
        <v>0</v>
      </c>
      <c r="H281" s="255">
        <f>IF(DockDoors22226264188[[#This Row],[Actual Buyout]]+DockDoors22226264188[[#This Row],[Change Orders]]=0,DockDoors22226264188[[#This Row],[Original Contract]],DockDoors22226264188[[#This Row],[Actual Buyout]]+DockDoors22226264188[[#This Row],[Change Orders]])</f>
        <v>0</v>
      </c>
      <c r="I281" s="129">
        <v>0</v>
      </c>
      <c r="J281" s="129">
        <f>DockDoors22226264188[[#This Row],[Original Contract]]-DockDoors22226264188[[#This Row],[Revised Contract]]</f>
        <v>0</v>
      </c>
      <c r="K281" s="341"/>
      <c r="L281" s="343"/>
      <c r="S281" s="97"/>
      <c r="T281" s="97"/>
      <c r="X281" s="198"/>
      <c r="Y281" s="198"/>
    </row>
    <row r="282" spans="1:25" x14ac:dyDescent="0.35">
      <c r="A282" s="128">
        <v>8</v>
      </c>
      <c r="B282" s="132"/>
      <c r="C282" s="132"/>
      <c r="D282" s="133" t="s">
        <v>37</v>
      </c>
      <c r="E282" s="255">
        <v>0</v>
      </c>
      <c r="F282" s="255">
        <v>0</v>
      </c>
      <c r="G282" s="129">
        <f>0</f>
        <v>0</v>
      </c>
      <c r="H282" s="255">
        <f>IF(DockDoors22226264188[[#This Row],[Actual Buyout]]+DockDoors22226264188[[#This Row],[Change Orders]]=0,DockDoors22226264188[[#This Row],[Original Contract]],DockDoors22226264188[[#This Row],[Actual Buyout]]+DockDoors22226264188[[#This Row],[Change Orders]])</f>
        <v>0</v>
      </c>
      <c r="I282" s="129">
        <v>0</v>
      </c>
      <c r="J282" s="129">
        <f>DockDoors22226264188[[#This Row],[Original Contract]]-DockDoors22226264188[[#This Row],[Revised Contract]]</f>
        <v>0</v>
      </c>
      <c r="K282" s="341"/>
      <c r="L282" s="343"/>
      <c r="S282" s="97"/>
      <c r="T282" s="97"/>
      <c r="X282" s="198"/>
      <c r="Y282" s="198"/>
    </row>
    <row r="283" spans="1:25" x14ac:dyDescent="0.35">
      <c r="A283" s="128">
        <v>8</v>
      </c>
      <c r="B283" s="132"/>
      <c r="C283" s="132"/>
      <c r="D283" s="133" t="s">
        <v>37</v>
      </c>
      <c r="E283" s="255">
        <v>0</v>
      </c>
      <c r="F283" s="255">
        <v>0</v>
      </c>
      <c r="G283" s="129">
        <f>0</f>
        <v>0</v>
      </c>
      <c r="H283" s="255">
        <f>IF(DockDoors22226264188[[#This Row],[Actual Buyout]]+DockDoors22226264188[[#This Row],[Change Orders]]=0,DockDoors22226264188[[#This Row],[Original Contract]],DockDoors22226264188[[#This Row],[Actual Buyout]]+DockDoors22226264188[[#This Row],[Change Orders]])</f>
        <v>0</v>
      </c>
      <c r="I283" s="129">
        <v>0</v>
      </c>
      <c r="J283" s="129">
        <f>DockDoors22226264188[[#This Row],[Original Contract]]-DockDoors22226264188[[#This Row],[Revised Contract]]</f>
        <v>0</v>
      </c>
      <c r="K283" s="341"/>
      <c r="L283" s="343"/>
      <c r="S283" s="97"/>
      <c r="T283" s="97"/>
      <c r="X283" s="198"/>
      <c r="Y283" s="198"/>
    </row>
    <row r="284" spans="1:25" x14ac:dyDescent="0.35">
      <c r="A284" s="257"/>
      <c r="B284" s="258"/>
      <c r="C284" s="258"/>
      <c r="D284" s="256" t="s">
        <v>38</v>
      </c>
      <c r="E284" s="151">
        <f>SUM(DockDoors22226264188[Original Contract])</f>
        <v>0</v>
      </c>
      <c r="F284" s="151">
        <f>SUM(DockDoors22226264188[Actual Buyout])</f>
        <v>0</v>
      </c>
      <c r="G284" s="151">
        <f>SUM(DockDoors22226264188[Change Orders])</f>
        <v>0</v>
      </c>
      <c r="H284" s="151">
        <f>SUM(DockDoors22226264188[Revised Contract])</f>
        <v>0</v>
      </c>
      <c r="I284" s="151">
        <f>SUM(DockDoors22226264188[Total completed and Stored])</f>
        <v>0</v>
      </c>
      <c r="J284" s="151">
        <f>SUM(DockDoors22226264188[Delta])</f>
        <v>0</v>
      </c>
      <c r="K284" s="343"/>
      <c r="L284" s="343"/>
    </row>
    <row r="285" spans="1:25" x14ac:dyDescent="0.35">
      <c r="A285" s="100" t="s">
        <v>658</v>
      </c>
      <c r="B285" s="100" t="s">
        <v>98</v>
      </c>
      <c r="C285" s="100" t="s">
        <v>167</v>
      </c>
      <c r="D285" s="100" t="s">
        <v>26</v>
      </c>
      <c r="E285" s="100" t="s">
        <v>781</v>
      </c>
      <c r="F285" s="332" t="s">
        <v>1078</v>
      </c>
      <c r="G285" s="332" t="s">
        <v>782</v>
      </c>
      <c r="H285" s="332" t="s">
        <v>783</v>
      </c>
      <c r="I285" s="334" t="s">
        <v>785</v>
      </c>
      <c r="J285" s="340" t="s">
        <v>1079</v>
      </c>
      <c r="K285" s="335"/>
      <c r="L285" s="343"/>
      <c r="S285" s="97"/>
      <c r="T285" s="97"/>
      <c r="X285" s="198"/>
      <c r="Y285" s="198"/>
    </row>
    <row r="286" spans="1:25" x14ac:dyDescent="0.35">
      <c r="A286" s="128">
        <v>8</v>
      </c>
      <c r="B286" s="132" t="s">
        <v>323</v>
      </c>
      <c r="C286" s="132" t="s">
        <v>322</v>
      </c>
      <c r="D286" s="262" t="s">
        <v>712</v>
      </c>
      <c r="E286" s="255">
        <v>0</v>
      </c>
      <c r="F286" s="255">
        <v>0</v>
      </c>
      <c r="G286" s="129">
        <f>0</f>
        <v>0</v>
      </c>
      <c r="H286" s="255">
        <f>IF(Doors23227265189[[#This Row],[Actual Buyout]]+Doors23227265189[[#This Row],[Change Orders]]=0,Doors23227265189[[#This Row],[Original Contract]],Doors23227265189[[#This Row],[Actual Buyout]]+Doors23227265189[[#This Row],[Change Orders]])</f>
        <v>0</v>
      </c>
      <c r="I286" s="129">
        <v>0</v>
      </c>
      <c r="J286" s="129">
        <f>Doors23227265189[[#This Row],[Original Contract]]-Doors23227265189[[#This Row],[Revised Contract]]</f>
        <v>0</v>
      </c>
      <c r="K286" s="341"/>
      <c r="L286" s="343"/>
      <c r="S286" s="97"/>
      <c r="T286" s="97"/>
      <c r="X286" s="198"/>
      <c r="Y286" s="198"/>
    </row>
    <row r="287" spans="1:25" x14ac:dyDescent="0.35">
      <c r="A287" s="128">
        <v>8</v>
      </c>
      <c r="B287" s="132" t="s">
        <v>325</v>
      </c>
      <c r="C287" s="132" t="s">
        <v>324</v>
      </c>
      <c r="D287" s="262" t="s">
        <v>99</v>
      </c>
      <c r="E287" s="255">
        <v>0</v>
      </c>
      <c r="F287" s="255">
        <v>0</v>
      </c>
      <c r="G287" s="129">
        <f>0</f>
        <v>0</v>
      </c>
      <c r="H287" s="255">
        <f>IF(Doors23227265189[[#This Row],[Actual Buyout]]+Doors23227265189[[#This Row],[Change Orders]]=0,Doors23227265189[[#This Row],[Original Contract]],Doors23227265189[[#This Row],[Actual Buyout]]+Doors23227265189[[#This Row],[Change Orders]])</f>
        <v>0</v>
      </c>
      <c r="I287" s="129">
        <v>0</v>
      </c>
      <c r="J287" s="129">
        <f>Doors23227265189[[#This Row],[Original Contract]]-Doors23227265189[[#This Row],[Revised Contract]]</f>
        <v>0</v>
      </c>
      <c r="K287" s="341"/>
      <c r="L287" s="343"/>
      <c r="S287" s="97"/>
      <c r="T287" s="97"/>
      <c r="X287" s="198"/>
      <c r="Y287" s="198"/>
    </row>
    <row r="288" spans="1:25" x14ac:dyDescent="0.35">
      <c r="A288" s="128">
        <v>8</v>
      </c>
      <c r="B288" s="132" t="s">
        <v>329</v>
      </c>
      <c r="C288" s="132" t="s">
        <v>328</v>
      </c>
      <c r="D288" s="133" t="s">
        <v>30</v>
      </c>
      <c r="E288" s="255">
        <v>0</v>
      </c>
      <c r="F288" s="255">
        <v>0</v>
      </c>
      <c r="G288" s="129">
        <f>0</f>
        <v>0</v>
      </c>
      <c r="H288" s="255">
        <f>IF(Doors23227265189[[#This Row],[Actual Buyout]]+Doors23227265189[[#This Row],[Change Orders]]=0,Doors23227265189[[#This Row],[Original Contract]],Doors23227265189[[#This Row],[Actual Buyout]]+Doors23227265189[[#This Row],[Change Orders]])</f>
        <v>0</v>
      </c>
      <c r="I288" s="129">
        <v>0</v>
      </c>
      <c r="J288" s="129">
        <f>Doors23227265189[[#This Row],[Original Contract]]-Doors23227265189[[#This Row],[Revised Contract]]</f>
        <v>0</v>
      </c>
      <c r="K288" s="341"/>
      <c r="L288" s="343"/>
      <c r="S288" s="97"/>
      <c r="T288" s="97"/>
      <c r="X288" s="198"/>
      <c r="Y288" s="198"/>
    </row>
    <row r="289" spans="1:25" x14ac:dyDescent="0.35">
      <c r="A289" s="128">
        <v>8</v>
      </c>
      <c r="B289" s="132"/>
      <c r="C289" s="132"/>
      <c r="D289" s="133" t="s">
        <v>37</v>
      </c>
      <c r="E289" s="255">
        <v>0</v>
      </c>
      <c r="F289" s="255">
        <v>0</v>
      </c>
      <c r="G289" s="129">
        <f>0</f>
        <v>0</v>
      </c>
      <c r="H289" s="255">
        <f>IF(Doors23227265189[[#This Row],[Actual Buyout]]+Doors23227265189[[#This Row],[Change Orders]]=0,Doors23227265189[[#This Row],[Original Contract]],Doors23227265189[[#This Row],[Actual Buyout]]+Doors23227265189[[#This Row],[Change Orders]])</f>
        <v>0</v>
      </c>
      <c r="I289" s="129">
        <v>0</v>
      </c>
      <c r="J289" s="129">
        <f>Doors23227265189[[#This Row],[Original Contract]]-Doors23227265189[[#This Row],[Revised Contract]]</f>
        <v>0</v>
      </c>
      <c r="K289" s="341"/>
      <c r="L289" s="343"/>
      <c r="S289" s="97"/>
      <c r="T289" s="97"/>
      <c r="X289" s="198"/>
      <c r="Y289" s="198"/>
    </row>
    <row r="290" spans="1:25" x14ac:dyDescent="0.35">
      <c r="A290" s="128">
        <v>8</v>
      </c>
      <c r="B290" s="132"/>
      <c r="C290" s="132"/>
      <c r="D290" s="133" t="s">
        <v>37</v>
      </c>
      <c r="E290" s="255">
        <v>0</v>
      </c>
      <c r="F290" s="255">
        <v>0</v>
      </c>
      <c r="G290" s="129">
        <f>0</f>
        <v>0</v>
      </c>
      <c r="H290" s="255">
        <f>IF(Doors23227265189[[#This Row],[Actual Buyout]]+Doors23227265189[[#This Row],[Change Orders]]=0,Doors23227265189[[#This Row],[Original Contract]],Doors23227265189[[#This Row],[Actual Buyout]]+Doors23227265189[[#This Row],[Change Orders]])</f>
        <v>0</v>
      </c>
      <c r="I290" s="129">
        <v>0</v>
      </c>
      <c r="J290" s="129">
        <f>Doors23227265189[[#This Row],[Original Contract]]-Doors23227265189[[#This Row],[Revised Contract]]</f>
        <v>0</v>
      </c>
      <c r="K290" s="341"/>
      <c r="L290" s="343"/>
      <c r="S290" s="97"/>
      <c r="T290" s="97"/>
      <c r="X290" s="198"/>
      <c r="Y290" s="198"/>
    </row>
    <row r="291" spans="1:25" x14ac:dyDescent="0.35">
      <c r="A291" s="128">
        <v>8</v>
      </c>
      <c r="B291" s="132"/>
      <c r="C291" s="132"/>
      <c r="D291" s="133" t="s">
        <v>37</v>
      </c>
      <c r="E291" s="255">
        <v>0</v>
      </c>
      <c r="F291" s="255">
        <v>0</v>
      </c>
      <c r="G291" s="129">
        <f>0</f>
        <v>0</v>
      </c>
      <c r="H291" s="255">
        <f>IF(Doors23227265189[[#This Row],[Actual Buyout]]+Doors23227265189[[#This Row],[Change Orders]]=0,Doors23227265189[[#This Row],[Original Contract]],Doors23227265189[[#This Row],[Actual Buyout]]+Doors23227265189[[#This Row],[Change Orders]])</f>
        <v>0</v>
      </c>
      <c r="I291" s="129">
        <v>0</v>
      </c>
      <c r="J291" s="129">
        <f>Doors23227265189[[#This Row],[Original Contract]]-Doors23227265189[[#This Row],[Revised Contract]]</f>
        <v>0</v>
      </c>
      <c r="K291" s="341"/>
      <c r="L291" s="343"/>
      <c r="S291" s="97"/>
      <c r="T291" s="97"/>
      <c r="X291" s="198"/>
      <c r="Y291" s="198"/>
    </row>
    <row r="292" spans="1:25" x14ac:dyDescent="0.35">
      <c r="A292" s="128">
        <v>8</v>
      </c>
      <c r="B292" s="132"/>
      <c r="C292" s="132"/>
      <c r="D292" s="133" t="s">
        <v>37</v>
      </c>
      <c r="E292" s="255">
        <v>0</v>
      </c>
      <c r="F292" s="255">
        <v>0</v>
      </c>
      <c r="G292" s="129">
        <f>0</f>
        <v>0</v>
      </c>
      <c r="H292" s="255">
        <f>IF(Doors23227265189[[#This Row],[Actual Buyout]]+Doors23227265189[[#This Row],[Change Orders]]=0,Doors23227265189[[#This Row],[Original Contract]],Doors23227265189[[#This Row],[Actual Buyout]]+Doors23227265189[[#This Row],[Change Orders]])</f>
        <v>0</v>
      </c>
      <c r="I292" s="129">
        <v>0</v>
      </c>
      <c r="J292" s="129">
        <f>Doors23227265189[[#This Row],[Original Contract]]-Doors23227265189[[#This Row],[Revised Contract]]</f>
        <v>0</v>
      </c>
      <c r="K292" s="341"/>
      <c r="L292" s="343"/>
      <c r="S292" s="97"/>
      <c r="T292" s="97"/>
      <c r="X292" s="198"/>
      <c r="Y292" s="198"/>
    </row>
    <row r="293" spans="1:25" x14ac:dyDescent="0.35">
      <c r="A293" s="128">
        <v>8</v>
      </c>
      <c r="B293" s="132"/>
      <c r="C293" s="132"/>
      <c r="D293" s="133" t="s">
        <v>37</v>
      </c>
      <c r="E293" s="255">
        <v>0</v>
      </c>
      <c r="F293" s="255">
        <v>0</v>
      </c>
      <c r="G293" s="129">
        <f>0</f>
        <v>0</v>
      </c>
      <c r="H293" s="255">
        <f>IF(Doors23227265189[[#This Row],[Actual Buyout]]+Doors23227265189[[#This Row],[Change Orders]]=0,Doors23227265189[[#This Row],[Original Contract]],Doors23227265189[[#This Row],[Actual Buyout]]+Doors23227265189[[#This Row],[Change Orders]])</f>
        <v>0</v>
      </c>
      <c r="I293" s="129">
        <v>0</v>
      </c>
      <c r="J293" s="129">
        <f>Doors23227265189[[#This Row],[Original Contract]]-Doors23227265189[[#This Row],[Revised Contract]]</f>
        <v>0</v>
      </c>
      <c r="K293" s="341"/>
      <c r="L293" s="343"/>
      <c r="S293" s="97"/>
      <c r="T293" s="97"/>
      <c r="X293" s="198"/>
      <c r="Y293" s="198"/>
    </row>
    <row r="294" spans="1:25" x14ac:dyDescent="0.35">
      <c r="A294" s="257"/>
      <c r="B294" s="258"/>
      <c r="C294" s="258"/>
      <c r="D294" s="256" t="s">
        <v>38</v>
      </c>
      <c r="E294" s="151">
        <f>SUM(Doors23227265189[Original Contract])</f>
        <v>0</v>
      </c>
      <c r="F294" s="151">
        <f>SUM(Doors23227265189[Actual Buyout])</f>
        <v>0</v>
      </c>
      <c r="G294" s="151">
        <f>SUM(Doors23227265189[Change Orders])</f>
        <v>0</v>
      </c>
      <c r="H294" s="151">
        <f>SUM(Doors23227265189[Revised Contract])</f>
        <v>0</v>
      </c>
      <c r="I294" s="151">
        <f>SUM(Doors23227265189[Total completed and Stored])</f>
        <v>0</v>
      </c>
      <c r="J294" s="151">
        <f>SUM(Doors23227265189[Delta])</f>
        <v>0</v>
      </c>
      <c r="K294" s="343"/>
      <c r="L294" s="343"/>
    </row>
    <row r="295" spans="1:25" x14ac:dyDescent="0.35">
      <c r="A295" s="100" t="s">
        <v>659</v>
      </c>
      <c r="B295" s="100" t="s">
        <v>159</v>
      </c>
      <c r="C295" s="100" t="s">
        <v>167</v>
      </c>
      <c r="D295" s="100" t="s">
        <v>26</v>
      </c>
      <c r="E295" s="100" t="s">
        <v>781</v>
      </c>
      <c r="F295" s="332" t="s">
        <v>1078</v>
      </c>
      <c r="G295" s="332" t="s">
        <v>782</v>
      </c>
      <c r="H295" s="332" t="s">
        <v>783</v>
      </c>
      <c r="I295" s="334" t="s">
        <v>785</v>
      </c>
      <c r="J295" s="340" t="s">
        <v>1079</v>
      </c>
      <c r="K295" s="335"/>
      <c r="L295" s="343"/>
      <c r="S295" s="97"/>
      <c r="T295" s="97"/>
      <c r="X295" s="198"/>
      <c r="Y295" s="198"/>
    </row>
    <row r="296" spans="1:25" x14ac:dyDescent="0.35">
      <c r="A296" s="128">
        <v>9</v>
      </c>
      <c r="B296" s="132" t="s">
        <v>330</v>
      </c>
      <c r="C296" s="132" t="s">
        <v>183</v>
      </c>
      <c r="D296" s="133" t="s">
        <v>100</v>
      </c>
      <c r="E296" s="255">
        <v>0</v>
      </c>
      <c r="F296" s="255">
        <v>0</v>
      </c>
      <c r="G296" s="129">
        <f>0</f>
        <v>0</v>
      </c>
      <c r="H296" s="255">
        <f>IF(Walls24228266190[[#This Row],[Actual Buyout]]+Walls24228266190[[#This Row],[Change Orders]]=0,Walls24228266190[[#This Row],[Original Contract]],Walls24228266190[[#This Row],[Actual Buyout]]+Walls24228266190[[#This Row],[Change Orders]])</f>
        <v>0</v>
      </c>
      <c r="I296" s="129">
        <v>0</v>
      </c>
      <c r="J296" s="129">
        <f>Walls24228266190[[#This Row],[Original Contract]]-Walls24228266190[[#This Row],[Revised Contract]]</f>
        <v>0</v>
      </c>
      <c r="K296" s="341"/>
      <c r="L296" s="343"/>
      <c r="S296" s="97"/>
      <c r="T296" s="97"/>
      <c r="X296" s="198"/>
      <c r="Y296" s="198"/>
    </row>
    <row r="297" spans="1:25" x14ac:dyDescent="0.35">
      <c r="A297" s="128">
        <v>9</v>
      </c>
      <c r="B297" s="132" t="s">
        <v>330</v>
      </c>
      <c r="C297" s="132" t="s">
        <v>183</v>
      </c>
      <c r="D297" s="133" t="s">
        <v>101</v>
      </c>
      <c r="E297" s="255">
        <v>0</v>
      </c>
      <c r="F297" s="255">
        <v>0</v>
      </c>
      <c r="G297" s="129">
        <f>0</f>
        <v>0</v>
      </c>
      <c r="H297" s="255">
        <f>IF(Walls24228266190[[#This Row],[Actual Buyout]]+Walls24228266190[[#This Row],[Change Orders]]=0,Walls24228266190[[#This Row],[Original Contract]],Walls24228266190[[#This Row],[Actual Buyout]]+Walls24228266190[[#This Row],[Change Orders]])</f>
        <v>0</v>
      </c>
      <c r="I297" s="129">
        <v>0</v>
      </c>
      <c r="J297" s="129">
        <f>Walls24228266190[[#This Row],[Original Contract]]-Walls24228266190[[#This Row],[Revised Contract]]</f>
        <v>0</v>
      </c>
      <c r="K297" s="341"/>
      <c r="L297" s="343"/>
      <c r="S297" s="97"/>
      <c r="T297" s="97"/>
      <c r="X297" s="198"/>
      <c r="Y297" s="198"/>
    </row>
    <row r="298" spans="1:25" x14ac:dyDescent="0.35">
      <c r="A298" s="128">
        <v>9</v>
      </c>
      <c r="B298" s="132" t="s">
        <v>160</v>
      </c>
      <c r="C298" s="132" t="s">
        <v>331</v>
      </c>
      <c r="D298" s="133" t="s">
        <v>160</v>
      </c>
      <c r="E298" s="255">
        <v>0</v>
      </c>
      <c r="F298" s="255">
        <v>0</v>
      </c>
      <c r="G298" s="129">
        <f>0</f>
        <v>0</v>
      </c>
      <c r="H298" s="255">
        <f>IF(Walls24228266190[[#This Row],[Actual Buyout]]+Walls24228266190[[#This Row],[Change Orders]]=0,Walls24228266190[[#This Row],[Original Contract]],Walls24228266190[[#This Row],[Actual Buyout]]+Walls24228266190[[#This Row],[Change Orders]])</f>
        <v>0</v>
      </c>
      <c r="I298" s="129">
        <v>0</v>
      </c>
      <c r="J298" s="129">
        <f>Walls24228266190[[#This Row],[Original Contract]]-Walls24228266190[[#This Row],[Revised Contract]]</f>
        <v>0</v>
      </c>
      <c r="K298" s="341"/>
      <c r="L298" s="343"/>
      <c r="S298" s="97"/>
      <c r="T298" s="97"/>
      <c r="X298" s="198"/>
      <c r="Y298" s="198"/>
    </row>
    <row r="299" spans="1:25" x14ac:dyDescent="0.35">
      <c r="A299" s="128">
        <v>9</v>
      </c>
      <c r="B299" s="132" t="s">
        <v>333</v>
      </c>
      <c r="C299" s="132" t="s">
        <v>332</v>
      </c>
      <c r="D299" s="133" t="s">
        <v>186</v>
      </c>
      <c r="E299" s="255">
        <v>0</v>
      </c>
      <c r="F299" s="255">
        <v>0</v>
      </c>
      <c r="G299" s="129">
        <f>0</f>
        <v>0</v>
      </c>
      <c r="H299" s="255">
        <f>IF(Walls24228266190[[#This Row],[Actual Buyout]]+Walls24228266190[[#This Row],[Change Orders]]=0,Walls24228266190[[#This Row],[Original Contract]],Walls24228266190[[#This Row],[Actual Buyout]]+Walls24228266190[[#This Row],[Change Orders]])</f>
        <v>0</v>
      </c>
      <c r="I299" s="129">
        <v>0</v>
      </c>
      <c r="J299" s="129">
        <f>Walls24228266190[[#This Row],[Original Contract]]-Walls24228266190[[#This Row],[Revised Contract]]</f>
        <v>0</v>
      </c>
      <c r="K299" s="341"/>
      <c r="L299" s="343"/>
      <c r="S299" s="97"/>
      <c r="T299" s="97"/>
      <c r="X299" s="198"/>
      <c r="Y299" s="198"/>
    </row>
    <row r="300" spans="1:25" x14ac:dyDescent="0.35">
      <c r="A300" s="128">
        <v>9</v>
      </c>
      <c r="B300" s="132" t="s">
        <v>692</v>
      </c>
      <c r="C300" s="132" t="s">
        <v>693</v>
      </c>
      <c r="D300" s="133" t="s">
        <v>694</v>
      </c>
      <c r="E300" s="255">
        <v>0</v>
      </c>
      <c r="F300" s="255">
        <v>0</v>
      </c>
      <c r="G300" s="129">
        <f>0</f>
        <v>0</v>
      </c>
      <c r="H300" s="255">
        <f>IF(Walls24228266190[[#This Row],[Actual Buyout]]+Walls24228266190[[#This Row],[Change Orders]]=0,Walls24228266190[[#This Row],[Original Contract]],Walls24228266190[[#This Row],[Actual Buyout]]+Walls24228266190[[#This Row],[Change Orders]])</f>
        <v>0</v>
      </c>
      <c r="I300" s="129">
        <v>0</v>
      </c>
      <c r="J300" s="129">
        <f>Walls24228266190[[#This Row],[Original Contract]]-Walls24228266190[[#This Row],[Revised Contract]]</f>
        <v>0</v>
      </c>
      <c r="K300" s="341"/>
      <c r="L300" s="343"/>
      <c r="S300" s="97"/>
      <c r="T300" s="97"/>
      <c r="X300" s="198"/>
      <c r="Y300" s="198"/>
    </row>
    <row r="301" spans="1:25" x14ac:dyDescent="0.35">
      <c r="A301" s="128">
        <v>9</v>
      </c>
      <c r="B301" s="132" t="s">
        <v>330</v>
      </c>
      <c r="C301" s="132" t="s">
        <v>183</v>
      </c>
      <c r="D301" s="133" t="s">
        <v>762</v>
      </c>
      <c r="E301" s="255">
        <v>0</v>
      </c>
      <c r="F301" s="255">
        <v>0</v>
      </c>
      <c r="G301" s="129">
        <f>0</f>
        <v>0</v>
      </c>
      <c r="H301" s="255">
        <f>IF(Walls24228266190[[#This Row],[Actual Buyout]]+Walls24228266190[[#This Row],[Change Orders]]=0,Walls24228266190[[#This Row],[Original Contract]],Walls24228266190[[#This Row],[Actual Buyout]]+Walls24228266190[[#This Row],[Change Orders]])</f>
        <v>0</v>
      </c>
      <c r="I301" s="129">
        <v>0</v>
      </c>
      <c r="J301" s="129">
        <f>Walls24228266190[[#This Row],[Original Contract]]-Walls24228266190[[#This Row],[Revised Contract]]</f>
        <v>0</v>
      </c>
      <c r="K301" s="341"/>
      <c r="L301" s="343"/>
      <c r="S301" s="97"/>
      <c r="T301" s="97"/>
      <c r="X301" s="198"/>
      <c r="Y301" s="198"/>
    </row>
    <row r="302" spans="1:25" x14ac:dyDescent="0.35">
      <c r="A302" s="128">
        <v>9</v>
      </c>
      <c r="B302" s="132"/>
      <c r="C302" s="132"/>
      <c r="D302" s="133" t="s">
        <v>806</v>
      </c>
      <c r="E302" s="255">
        <v>0</v>
      </c>
      <c r="F302" s="255">
        <v>0</v>
      </c>
      <c r="G302" s="129">
        <f>0</f>
        <v>0</v>
      </c>
      <c r="H302" s="255">
        <f>IF(Walls24228266190[[#This Row],[Actual Buyout]]+Walls24228266190[[#This Row],[Change Orders]]=0,Walls24228266190[[#This Row],[Original Contract]],Walls24228266190[[#This Row],[Actual Buyout]]+Walls24228266190[[#This Row],[Change Orders]])</f>
        <v>0</v>
      </c>
      <c r="I302" s="129">
        <v>0</v>
      </c>
      <c r="J302" s="129">
        <f>Walls24228266190[[#This Row],[Original Contract]]-Walls24228266190[[#This Row],[Revised Contract]]</f>
        <v>0</v>
      </c>
      <c r="K302" s="341"/>
      <c r="L302" s="343"/>
      <c r="S302" s="97"/>
      <c r="T302" s="97"/>
      <c r="X302" s="198"/>
      <c r="Y302" s="198"/>
    </row>
    <row r="303" spans="1:25" x14ac:dyDescent="0.35">
      <c r="A303" s="128">
        <v>9</v>
      </c>
      <c r="B303" s="132"/>
      <c r="C303" s="132"/>
      <c r="D303" s="133" t="s">
        <v>37</v>
      </c>
      <c r="E303" s="255">
        <v>0</v>
      </c>
      <c r="F303" s="255">
        <v>0</v>
      </c>
      <c r="G303" s="129">
        <f>0</f>
        <v>0</v>
      </c>
      <c r="H303" s="255">
        <f>IF(Walls24228266190[[#This Row],[Actual Buyout]]+Walls24228266190[[#This Row],[Change Orders]]=0,Walls24228266190[[#This Row],[Original Contract]],Walls24228266190[[#This Row],[Actual Buyout]]+Walls24228266190[[#This Row],[Change Orders]])</f>
        <v>0</v>
      </c>
      <c r="I303" s="129">
        <v>0</v>
      </c>
      <c r="J303" s="129">
        <f>Walls24228266190[[#This Row],[Original Contract]]-Walls24228266190[[#This Row],[Revised Contract]]</f>
        <v>0</v>
      </c>
      <c r="K303" s="341"/>
      <c r="L303" s="343"/>
      <c r="S303" s="97"/>
      <c r="T303" s="97"/>
      <c r="X303" s="198"/>
      <c r="Y303" s="198"/>
    </row>
    <row r="304" spans="1:25" x14ac:dyDescent="0.35">
      <c r="A304" s="128">
        <v>9</v>
      </c>
      <c r="B304" s="132"/>
      <c r="C304" s="132"/>
      <c r="D304" s="133" t="s">
        <v>37</v>
      </c>
      <c r="E304" s="255">
        <v>0</v>
      </c>
      <c r="F304" s="255">
        <v>0</v>
      </c>
      <c r="G304" s="129">
        <f>0</f>
        <v>0</v>
      </c>
      <c r="H304" s="255">
        <f>IF(Walls24228266190[[#This Row],[Actual Buyout]]+Walls24228266190[[#This Row],[Change Orders]]=0,Walls24228266190[[#This Row],[Original Contract]],Walls24228266190[[#This Row],[Actual Buyout]]+Walls24228266190[[#This Row],[Change Orders]])</f>
        <v>0</v>
      </c>
      <c r="I304" s="129">
        <v>0</v>
      </c>
      <c r="J304" s="129">
        <f>Walls24228266190[[#This Row],[Original Contract]]-Walls24228266190[[#This Row],[Revised Contract]]</f>
        <v>0</v>
      </c>
      <c r="K304" s="341"/>
      <c r="L304" s="343"/>
      <c r="S304" s="97"/>
      <c r="T304" s="97"/>
      <c r="X304" s="198"/>
      <c r="Y304" s="198"/>
    </row>
    <row r="305" spans="1:25" x14ac:dyDescent="0.35">
      <c r="A305" s="128">
        <v>9</v>
      </c>
      <c r="B305" s="132"/>
      <c r="C305" s="132"/>
      <c r="D305" s="133" t="s">
        <v>807</v>
      </c>
      <c r="E305" s="255">
        <v>0</v>
      </c>
      <c r="F305" s="255">
        <v>0</v>
      </c>
      <c r="G305" s="129">
        <f>0</f>
        <v>0</v>
      </c>
      <c r="H305" s="255">
        <f>IF(Walls24228266190[[#This Row],[Actual Buyout]]+Walls24228266190[[#This Row],[Change Orders]]=0,Walls24228266190[[#This Row],[Original Contract]],Walls24228266190[[#This Row],[Actual Buyout]]+Walls24228266190[[#This Row],[Change Orders]])</f>
        <v>0</v>
      </c>
      <c r="I305" s="129">
        <v>0</v>
      </c>
      <c r="J305" s="129">
        <f>Walls24228266190[[#This Row],[Original Contract]]-Walls24228266190[[#This Row],[Revised Contract]]</f>
        <v>0</v>
      </c>
      <c r="K305" s="341"/>
      <c r="L305" s="343"/>
      <c r="S305" s="97"/>
      <c r="T305" s="97"/>
      <c r="X305" s="198"/>
      <c r="Y305" s="198"/>
    </row>
    <row r="306" spans="1:25" x14ac:dyDescent="0.35">
      <c r="A306" s="257"/>
      <c r="B306" s="258"/>
      <c r="C306" s="258"/>
      <c r="D306" s="256" t="s">
        <v>38</v>
      </c>
      <c r="E306" s="151">
        <f>SUM(Walls24228266190[Original Contract])</f>
        <v>0</v>
      </c>
      <c r="F306" s="151">
        <f>SUM(Walls24228266190[Actual Buyout])</f>
        <v>0</v>
      </c>
      <c r="G306" s="151">
        <f>SUM(Walls24228266190[Change Orders])</f>
        <v>0</v>
      </c>
      <c r="H306" s="151">
        <f>SUM(Walls24228266190[Revised Contract])</f>
        <v>0</v>
      </c>
      <c r="I306" s="151">
        <f>SUM(Walls24228266190[Total completed and Stored])</f>
        <v>0</v>
      </c>
      <c r="J306" s="151">
        <f>SUM(Walls24228266190[Delta])</f>
        <v>0</v>
      </c>
      <c r="K306" s="343"/>
      <c r="L306" s="343"/>
    </row>
    <row r="307" spans="1:25" x14ac:dyDescent="0.35">
      <c r="A307" s="100" t="s">
        <v>659</v>
      </c>
      <c r="B307" s="100" t="s">
        <v>4</v>
      </c>
      <c r="C307" s="100" t="s">
        <v>167</v>
      </c>
      <c r="D307" s="100" t="s">
        <v>26</v>
      </c>
      <c r="E307" s="100" t="s">
        <v>781</v>
      </c>
      <c r="F307" s="332" t="s">
        <v>1078</v>
      </c>
      <c r="G307" s="332" t="s">
        <v>782</v>
      </c>
      <c r="H307" s="332" t="s">
        <v>783</v>
      </c>
      <c r="I307" s="334" t="s">
        <v>785</v>
      </c>
      <c r="J307" s="340" t="s">
        <v>1079</v>
      </c>
      <c r="K307" s="335"/>
      <c r="L307" s="343"/>
      <c r="S307" s="97"/>
      <c r="T307" s="97"/>
      <c r="X307" s="198"/>
      <c r="Y307" s="198"/>
    </row>
    <row r="308" spans="1:25" x14ac:dyDescent="0.35">
      <c r="A308" s="128">
        <v>9</v>
      </c>
      <c r="B308" s="132" t="s">
        <v>334</v>
      </c>
      <c r="C308" s="132" t="s">
        <v>185</v>
      </c>
      <c r="D308" s="133" t="s">
        <v>102</v>
      </c>
      <c r="E308" s="255">
        <v>0</v>
      </c>
      <c r="F308" s="255">
        <v>0</v>
      </c>
      <c r="G308" s="129">
        <f>0</f>
        <v>0</v>
      </c>
      <c r="H308" s="255">
        <f>IF(Flooring25229267191[[#This Row],[Actual Buyout]]+Flooring25229267191[[#This Row],[Change Orders]]=0,Flooring25229267191[[#This Row],[Original Contract]],Flooring25229267191[[#This Row],[Actual Buyout]]+Flooring25229267191[[#This Row],[Change Orders]])</f>
        <v>0</v>
      </c>
      <c r="I308" s="129">
        <v>0</v>
      </c>
      <c r="J308" s="129">
        <f>Flooring25229267191[[#This Row],[Original Contract]]-Flooring25229267191[[#This Row],[Revised Contract]]</f>
        <v>0</v>
      </c>
      <c r="K308" s="341"/>
      <c r="L308" s="343"/>
      <c r="S308" s="97"/>
      <c r="T308" s="97"/>
      <c r="X308" s="198"/>
      <c r="Y308" s="198"/>
    </row>
    <row r="309" spans="1:25" x14ac:dyDescent="0.35">
      <c r="A309" s="128">
        <v>9</v>
      </c>
      <c r="B309" s="132" t="s">
        <v>336</v>
      </c>
      <c r="C309" s="132" t="s">
        <v>335</v>
      </c>
      <c r="D309" s="133" t="s">
        <v>103</v>
      </c>
      <c r="E309" s="255">
        <v>0</v>
      </c>
      <c r="F309" s="255">
        <v>0</v>
      </c>
      <c r="G309" s="129">
        <f>0</f>
        <v>0</v>
      </c>
      <c r="H309" s="255">
        <f>IF(Flooring25229267191[[#This Row],[Actual Buyout]]+Flooring25229267191[[#This Row],[Change Orders]]=0,Flooring25229267191[[#This Row],[Original Contract]],Flooring25229267191[[#This Row],[Actual Buyout]]+Flooring25229267191[[#This Row],[Change Orders]])</f>
        <v>0</v>
      </c>
      <c r="I309" s="129">
        <v>0</v>
      </c>
      <c r="J309" s="129">
        <f>Flooring25229267191[[#This Row],[Original Contract]]-Flooring25229267191[[#This Row],[Revised Contract]]</f>
        <v>0</v>
      </c>
      <c r="K309" s="341"/>
      <c r="L309" s="343"/>
      <c r="S309" s="97"/>
      <c r="T309" s="97"/>
      <c r="X309" s="198"/>
      <c r="Y309" s="198"/>
    </row>
    <row r="310" spans="1:25" x14ac:dyDescent="0.35">
      <c r="A310" s="128">
        <v>9</v>
      </c>
      <c r="B310" s="132" t="s">
        <v>337</v>
      </c>
      <c r="C310" s="132" t="s">
        <v>184</v>
      </c>
      <c r="D310" s="133" t="s">
        <v>104</v>
      </c>
      <c r="E310" s="255">
        <v>0</v>
      </c>
      <c r="F310" s="255">
        <v>0</v>
      </c>
      <c r="G310" s="129">
        <f>0</f>
        <v>0</v>
      </c>
      <c r="H310" s="255">
        <f>IF(Flooring25229267191[[#This Row],[Actual Buyout]]+Flooring25229267191[[#This Row],[Change Orders]]=0,Flooring25229267191[[#This Row],[Original Contract]],Flooring25229267191[[#This Row],[Actual Buyout]]+Flooring25229267191[[#This Row],[Change Orders]])</f>
        <v>0</v>
      </c>
      <c r="I310" s="129">
        <v>0</v>
      </c>
      <c r="J310" s="129">
        <f>Flooring25229267191[[#This Row],[Original Contract]]-Flooring25229267191[[#This Row],[Revised Contract]]</f>
        <v>0</v>
      </c>
      <c r="K310" s="341"/>
      <c r="L310" s="343"/>
      <c r="S310" s="97"/>
      <c r="T310" s="97"/>
      <c r="X310" s="198"/>
      <c r="Y310" s="198"/>
    </row>
    <row r="311" spans="1:25" x14ac:dyDescent="0.35">
      <c r="A311" s="128">
        <v>9</v>
      </c>
      <c r="B311" s="132"/>
      <c r="C311" s="132"/>
      <c r="D311" s="133" t="s">
        <v>37</v>
      </c>
      <c r="E311" s="255">
        <v>0</v>
      </c>
      <c r="F311" s="255">
        <v>0</v>
      </c>
      <c r="G311" s="129">
        <f>0</f>
        <v>0</v>
      </c>
      <c r="H311" s="255">
        <f>IF(Flooring25229267191[[#This Row],[Actual Buyout]]+Flooring25229267191[[#This Row],[Change Orders]]=0,Flooring25229267191[[#This Row],[Original Contract]],Flooring25229267191[[#This Row],[Actual Buyout]]+Flooring25229267191[[#This Row],[Change Orders]])</f>
        <v>0</v>
      </c>
      <c r="I311" s="129">
        <v>0</v>
      </c>
      <c r="J311" s="129">
        <f>Flooring25229267191[[#This Row],[Original Contract]]-Flooring25229267191[[#This Row],[Revised Contract]]</f>
        <v>0</v>
      </c>
      <c r="K311" s="341"/>
      <c r="L311" s="343"/>
      <c r="S311" s="97"/>
      <c r="T311" s="97"/>
      <c r="X311" s="198"/>
      <c r="Y311" s="198"/>
    </row>
    <row r="312" spans="1:25" x14ac:dyDescent="0.35">
      <c r="A312" s="128">
        <v>9</v>
      </c>
      <c r="B312" s="132"/>
      <c r="C312" s="132"/>
      <c r="D312" s="133" t="s">
        <v>37</v>
      </c>
      <c r="E312" s="255">
        <v>0</v>
      </c>
      <c r="F312" s="255">
        <v>0</v>
      </c>
      <c r="G312" s="129">
        <f>0</f>
        <v>0</v>
      </c>
      <c r="H312" s="255">
        <f>IF(Flooring25229267191[[#This Row],[Actual Buyout]]+Flooring25229267191[[#This Row],[Change Orders]]=0,Flooring25229267191[[#This Row],[Original Contract]],Flooring25229267191[[#This Row],[Actual Buyout]]+Flooring25229267191[[#This Row],[Change Orders]])</f>
        <v>0</v>
      </c>
      <c r="I312" s="129">
        <v>0</v>
      </c>
      <c r="J312" s="129">
        <f>Flooring25229267191[[#This Row],[Original Contract]]-Flooring25229267191[[#This Row],[Revised Contract]]</f>
        <v>0</v>
      </c>
      <c r="K312" s="341"/>
      <c r="L312" s="343"/>
      <c r="S312" s="97"/>
      <c r="T312" s="97"/>
      <c r="X312" s="198"/>
      <c r="Y312" s="198"/>
    </row>
    <row r="313" spans="1:25" x14ac:dyDescent="0.35">
      <c r="A313" s="128">
        <v>9</v>
      </c>
      <c r="B313" s="132"/>
      <c r="C313" s="132"/>
      <c r="D313" s="133" t="s">
        <v>37</v>
      </c>
      <c r="E313" s="255">
        <v>0</v>
      </c>
      <c r="F313" s="255">
        <v>0</v>
      </c>
      <c r="G313" s="129">
        <f>0</f>
        <v>0</v>
      </c>
      <c r="H313" s="255">
        <f>IF(Flooring25229267191[[#This Row],[Actual Buyout]]+Flooring25229267191[[#This Row],[Change Orders]]=0,Flooring25229267191[[#This Row],[Original Contract]],Flooring25229267191[[#This Row],[Actual Buyout]]+Flooring25229267191[[#This Row],[Change Orders]])</f>
        <v>0</v>
      </c>
      <c r="I313" s="129">
        <v>0</v>
      </c>
      <c r="J313" s="129">
        <f>Flooring25229267191[[#This Row],[Original Contract]]-Flooring25229267191[[#This Row],[Revised Contract]]</f>
        <v>0</v>
      </c>
      <c r="K313" s="341"/>
      <c r="L313" s="343"/>
      <c r="S313" s="97"/>
      <c r="T313" s="97"/>
      <c r="X313" s="198"/>
      <c r="Y313" s="198"/>
    </row>
    <row r="314" spans="1:25" x14ac:dyDescent="0.35">
      <c r="A314" s="128">
        <v>9</v>
      </c>
      <c r="B314" s="132"/>
      <c r="C314" s="132"/>
      <c r="D314" s="133" t="s">
        <v>37</v>
      </c>
      <c r="E314" s="255">
        <v>0</v>
      </c>
      <c r="F314" s="255">
        <v>0</v>
      </c>
      <c r="G314" s="129">
        <f>0</f>
        <v>0</v>
      </c>
      <c r="H314" s="255">
        <f>IF(Flooring25229267191[[#This Row],[Actual Buyout]]+Flooring25229267191[[#This Row],[Change Orders]]=0,Flooring25229267191[[#This Row],[Original Contract]],Flooring25229267191[[#This Row],[Actual Buyout]]+Flooring25229267191[[#This Row],[Change Orders]])</f>
        <v>0</v>
      </c>
      <c r="I314" s="129">
        <v>0</v>
      </c>
      <c r="J314" s="129">
        <f>Flooring25229267191[[#This Row],[Original Contract]]-Flooring25229267191[[#This Row],[Revised Contract]]</f>
        <v>0</v>
      </c>
      <c r="K314" s="341"/>
      <c r="L314" s="343"/>
      <c r="S314" s="97"/>
      <c r="T314" s="97"/>
      <c r="X314" s="198"/>
      <c r="Y314" s="198"/>
    </row>
    <row r="315" spans="1:25" x14ac:dyDescent="0.35">
      <c r="A315" s="128">
        <v>9</v>
      </c>
      <c r="B315" s="132"/>
      <c r="C315" s="132"/>
      <c r="D315" s="133" t="s">
        <v>37</v>
      </c>
      <c r="E315" s="255">
        <v>0</v>
      </c>
      <c r="F315" s="255">
        <v>0</v>
      </c>
      <c r="G315" s="129">
        <f>0</f>
        <v>0</v>
      </c>
      <c r="H315" s="255">
        <f>IF(Flooring25229267191[[#This Row],[Actual Buyout]]+Flooring25229267191[[#This Row],[Change Orders]]=0,Flooring25229267191[[#This Row],[Original Contract]],Flooring25229267191[[#This Row],[Actual Buyout]]+Flooring25229267191[[#This Row],[Change Orders]])</f>
        <v>0</v>
      </c>
      <c r="I315" s="129">
        <v>0</v>
      </c>
      <c r="J315" s="129">
        <f>Flooring25229267191[[#This Row],[Original Contract]]-Flooring25229267191[[#This Row],[Revised Contract]]</f>
        <v>0</v>
      </c>
      <c r="K315" s="341"/>
      <c r="L315" s="343"/>
      <c r="S315" s="97"/>
      <c r="T315" s="97"/>
      <c r="X315" s="198"/>
      <c r="Y315" s="198"/>
    </row>
    <row r="316" spans="1:25" x14ac:dyDescent="0.35">
      <c r="A316" s="257"/>
      <c r="B316" s="258"/>
      <c r="C316" s="258"/>
      <c r="D316" s="256" t="s">
        <v>38</v>
      </c>
      <c r="E316" s="151">
        <f>SUM(Flooring25229267191[Original Contract])</f>
        <v>0</v>
      </c>
      <c r="F316" s="151">
        <f>SUM(Flooring25229267191[Actual Buyout])</f>
        <v>0</v>
      </c>
      <c r="G316" s="151">
        <f>SUM(Flooring25229267191[Change Orders])</f>
        <v>0</v>
      </c>
      <c r="H316" s="151">
        <f>SUM(Flooring25229267191[Revised Contract])</f>
        <v>0</v>
      </c>
      <c r="I316" s="151">
        <f>SUM(Flooring25229267191[Total completed and Stored])</f>
        <v>0</v>
      </c>
      <c r="J316" s="151">
        <f>SUM(Flooring25229267191[Delta])</f>
        <v>0</v>
      </c>
      <c r="K316" s="343"/>
      <c r="L316" s="343"/>
    </row>
    <row r="317" spans="1:25" x14ac:dyDescent="0.35">
      <c r="A317" s="100" t="s">
        <v>659</v>
      </c>
      <c r="B317" s="100" t="s">
        <v>105</v>
      </c>
      <c r="C317" s="100" t="s">
        <v>167</v>
      </c>
      <c r="D317" s="100" t="s">
        <v>26</v>
      </c>
      <c r="E317" s="100" t="s">
        <v>781</v>
      </c>
      <c r="F317" s="332" t="s">
        <v>1078</v>
      </c>
      <c r="G317" s="332" t="s">
        <v>782</v>
      </c>
      <c r="H317" s="332" t="s">
        <v>783</v>
      </c>
      <c r="I317" s="334" t="s">
        <v>785</v>
      </c>
      <c r="J317" s="340" t="s">
        <v>1079</v>
      </c>
      <c r="K317" s="335"/>
      <c r="L317" s="343"/>
      <c r="S317" s="97"/>
      <c r="T317" s="97"/>
      <c r="X317" s="198"/>
      <c r="Y317" s="198"/>
    </row>
    <row r="318" spans="1:25" x14ac:dyDescent="0.35">
      <c r="A318" s="128">
        <v>9</v>
      </c>
      <c r="B318" s="132" t="s">
        <v>339</v>
      </c>
      <c r="C318" s="132" t="s">
        <v>338</v>
      </c>
      <c r="D318" s="133" t="s">
        <v>106</v>
      </c>
      <c r="E318" s="255">
        <v>0</v>
      </c>
      <c r="F318" s="255">
        <v>0</v>
      </c>
      <c r="G318" s="129">
        <f>0</f>
        <v>0</v>
      </c>
      <c r="H318" s="255">
        <f>IF(Paint26230268192[[#This Row],[Actual Buyout]]+Paint26230268192[[#This Row],[Change Orders]]=0,Paint26230268192[[#This Row],[Original Contract]],Paint26230268192[[#This Row],[Actual Buyout]]+Paint26230268192[[#This Row],[Change Orders]])</f>
        <v>0</v>
      </c>
      <c r="I318" s="129">
        <v>0</v>
      </c>
      <c r="J318" s="129">
        <f>Paint26230268192[[#This Row],[Original Contract]]-Paint26230268192[[#This Row],[Revised Contract]]</f>
        <v>0</v>
      </c>
      <c r="K318" s="341"/>
      <c r="L318" s="343"/>
      <c r="S318" s="97"/>
      <c r="T318" s="97"/>
      <c r="X318" s="198"/>
      <c r="Y318" s="198"/>
    </row>
    <row r="319" spans="1:25" x14ac:dyDescent="0.35">
      <c r="A319" s="128">
        <v>9</v>
      </c>
      <c r="B319" s="132" t="s">
        <v>340</v>
      </c>
      <c r="C319" s="132" t="s">
        <v>341</v>
      </c>
      <c r="D319" s="133" t="s">
        <v>107</v>
      </c>
      <c r="E319" s="255">
        <v>0</v>
      </c>
      <c r="F319" s="255">
        <v>0</v>
      </c>
      <c r="G319" s="129">
        <f>0</f>
        <v>0</v>
      </c>
      <c r="H319" s="255">
        <f>IF(Paint26230268192[[#This Row],[Actual Buyout]]+Paint26230268192[[#This Row],[Change Orders]]=0,Paint26230268192[[#This Row],[Original Contract]],Paint26230268192[[#This Row],[Actual Buyout]]+Paint26230268192[[#This Row],[Change Orders]])</f>
        <v>0</v>
      </c>
      <c r="I319" s="129">
        <v>0</v>
      </c>
      <c r="J319" s="129">
        <f>Paint26230268192[[#This Row],[Original Contract]]-Paint26230268192[[#This Row],[Revised Contract]]</f>
        <v>0</v>
      </c>
      <c r="K319" s="341"/>
      <c r="L319" s="343"/>
      <c r="S319" s="97"/>
      <c r="T319" s="97"/>
      <c r="X319" s="198"/>
      <c r="Y319" s="198"/>
    </row>
    <row r="320" spans="1:25" x14ac:dyDescent="0.35">
      <c r="A320" s="128">
        <v>9</v>
      </c>
      <c r="B320" s="132" t="s">
        <v>340</v>
      </c>
      <c r="C320" s="132" t="s">
        <v>341</v>
      </c>
      <c r="D320" s="133" t="s">
        <v>108</v>
      </c>
      <c r="E320" s="255">
        <v>0</v>
      </c>
      <c r="F320" s="255">
        <v>0</v>
      </c>
      <c r="G320" s="129">
        <f>0</f>
        <v>0</v>
      </c>
      <c r="H320" s="255">
        <f>IF(Paint26230268192[[#This Row],[Actual Buyout]]+Paint26230268192[[#This Row],[Change Orders]]=0,Paint26230268192[[#This Row],[Original Contract]],Paint26230268192[[#This Row],[Actual Buyout]]+Paint26230268192[[#This Row],[Change Orders]])</f>
        <v>0</v>
      </c>
      <c r="I320" s="129">
        <v>0</v>
      </c>
      <c r="J320" s="129">
        <f>Paint26230268192[[#This Row],[Original Contract]]-Paint26230268192[[#This Row],[Revised Contract]]</f>
        <v>0</v>
      </c>
      <c r="K320" s="341"/>
      <c r="L320" s="343"/>
      <c r="S320" s="97"/>
      <c r="T320" s="97"/>
      <c r="X320" s="198"/>
      <c r="Y320" s="198"/>
    </row>
    <row r="321" spans="1:25" x14ac:dyDescent="0.35">
      <c r="A321" s="128">
        <v>9</v>
      </c>
      <c r="B321" s="132" t="s">
        <v>340</v>
      </c>
      <c r="C321" s="132" t="s">
        <v>341</v>
      </c>
      <c r="D321" s="133" t="s">
        <v>109</v>
      </c>
      <c r="E321" s="255">
        <v>0</v>
      </c>
      <c r="F321" s="255">
        <v>0</v>
      </c>
      <c r="G321" s="129">
        <f>0</f>
        <v>0</v>
      </c>
      <c r="H321" s="255">
        <f>IF(Paint26230268192[[#This Row],[Actual Buyout]]+Paint26230268192[[#This Row],[Change Orders]]=0,Paint26230268192[[#This Row],[Original Contract]],Paint26230268192[[#This Row],[Actual Buyout]]+Paint26230268192[[#This Row],[Change Orders]])</f>
        <v>0</v>
      </c>
      <c r="I321" s="129">
        <v>0</v>
      </c>
      <c r="J321" s="129">
        <f>Paint26230268192[[#This Row],[Original Contract]]-Paint26230268192[[#This Row],[Revised Contract]]</f>
        <v>0</v>
      </c>
      <c r="K321" s="341"/>
      <c r="L321" s="343"/>
      <c r="S321" s="97"/>
      <c r="T321" s="97"/>
      <c r="X321" s="198"/>
      <c r="Y321" s="198"/>
    </row>
    <row r="322" spans="1:25" x14ac:dyDescent="0.35">
      <c r="A322" s="128">
        <v>9</v>
      </c>
      <c r="B322" s="132" t="s">
        <v>343</v>
      </c>
      <c r="C322" s="132" t="s">
        <v>342</v>
      </c>
      <c r="D322" s="133" t="s">
        <v>110</v>
      </c>
      <c r="E322" s="255">
        <v>0</v>
      </c>
      <c r="F322" s="255">
        <v>0</v>
      </c>
      <c r="G322" s="129">
        <f>0</f>
        <v>0</v>
      </c>
      <c r="H322" s="255">
        <f>IF(Paint26230268192[[#This Row],[Actual Buyout]]+Paint26230268192[[#This Row],[Change Orders]]=0,Paint26230268192[[#This Row],[Original Contract]],Paint26230268192[[#This Row],[Actual Buyout]]+Paint26230268192[[#This Row],[Change Orders]])</f>
        <v>0</v>
      </c>
      <c r="I322" s="129">
        <v>0</v>
      </c>
      <c r="J322" s="129">
        <f>Paint26230268192[[#This Row],[Original Contract]]-Paint26230268192[[#This Row],[Revised Contract]]</f>
        <v>0</v>
      </c>
      <c r="K322" s="341"/>
      <c r="L322" s="343"/>
      <c r="S322" s="97"/>
      <c r="T322" s="97"/>
      <c r="X322" s="198"/>
      <c r="Y322" s="198"/>
    </row>
    <row r="323" spans="1:25" x14ac:dyDescent="0.35">
      <c r="A323" s="128">
        <v>9</v>
      </c>
      <c r="B323" s="132" t="s">
        <v>343</v>
      </c>
      <c r="C323" s="132" t="s">
        <v>342</v>
      </c>
      <c r="D323" s="133" t="s">
        <v>111</v>
      </c>
      <c r="E323" s="255">
        <v>0</v>
      </c>
      <c r="F323" s="255">
        <v>0</v>
      </c>
      <c r="G323" s="129">
        <f>0</f>
        <v>0</v>
      </c>
      <c r="H323" s="255">
        <f>IF(Paint26230268192[[#This Row],[Actual Buyout]]+Paint26230268192[[#This Row],[Change Orders]]=0,Paint26230268192[[#This Row],[Original Contract]],Paint26230268192[[#This Row],[Actual Buyout]]+Paint26230268192[[#This Row],[Change Orders]])</f>
        <v>0</v>
      </c>
      <c r="I323" s="129">
        <v>0</v>
      </c>
      <c r="J323" s="129">
        <f>Paint26230268192[[#This Row],[Original Contract]]-Paint26230268192[[#This Row],[Revised Contract]]</f>
        <v>0</v>
      </c>
      <c r="K323" s="341"/>
      <c r="L323" s="343"/>
      <c r="S323" s="97"/>
      <c r="T323" s="97"/>
      <c r="X323" s="198"/>
      <c r="Y323" s="198"/>
    </row>
    <row r="324" spans="1:25" x14ac:dyDescent="0.35">
      <c r="A324" s="128">
        <v>9</v>
      </c>
      <c r="B324" s="132" t="s">
        <v>344</v>
      </c>
      <c r="C324" s="132" t="s">
        <v>345</v>
      </c>
      <c r="D324" s="133" t="s">
        <v>112</v>
      </c>
      <c r="E324" s="255">
        <v>0</v>
      </c>
      <c r="F324" s="255">
        <v>0</v>
      </c>
      <c r="G324" s="129">
        <f>0</f>
        <v>0</v>
      </c>
      <c r="H324" s="255">
        <f>IF(Paint26230268192[[#This Row],[Actual Buyout]]+Paint26230268192[[#This Row],[Change Orders]]=0,Paint26230268192[[#This Row],[Original Contract]],Paint26230268192[[#This Row],[Actual Buyout]]+Paint26230268192[[#This Row],[Change Orders]])</f>
        <v>0</v>
      </c>
      <c r="I324" s="129">
        <v>0</v>
      </c>
      <c r="J324" s="129">
        <f>Paint26230268192[[#This Row],[Original Contract]]-Paint26230268192[[#This Row],[Revised Contract]]</f>
        <v>0</v>
      </c>
      <c r="K324" s="341"/>
      <c r="L324" s="343"/>
      <c r="S324" s="97"/>
      <c r="T324" s="97"/>
      <c r="X324" s="198"/>
      <c r="Y324" s="198"/>
    </row>
    <row r="325" spans="1:25" x14ac:dyDescent="0.35">
      <c r="A325" s="128">
        <v>9</v>
      </c>
      <c r="B325" s="132"/>
      <c r="C325" s="132"/>
      <c r="D325" s="133" t="s">
        <v>37</v>
      </c>
      <c r="E325" s="255">
        <v>0</v>
      </c>
      <c r="F325" s="255">
        <v>0</v>
      </c>
      <c r="G325" s="129">
        <f>0</f>
        <v>0</v>
      </c>
      <c r="H325" s="255">
        <f>IF(Paint26230268192[[#This Row],[Actual Buyout]]+Paint26230268192[[#This Row],[Change Orders]]=0,Paint26230268192[[#This Row],[Original Contract]],Paint26230268192[[#This Row],[Actual Buyout]]+Paint26230268192[[#This Row],[Change Orders]])</f>
        <v>0</v>
      </c>
      <c r="I325" s="129">
        <v>0</v>
      </c>
      <c r="J325" s="129">
        <f>Paint26230268192[[#This Row],[Original Contract]]-Paint26230268192[[#This Row],[Revised Contract]]</f>
        <v>0</v>
      </c>
      <c r="K325" s="341"/>
      <c r="L325" s="343"/>
      <c r="S325" s="97"/>
      <c r="T325" s="97"/>
      <c r="X325" s="198"/>
      <c r="Y325" s="198"/>
    </row>
    <row r="326" spans="1:25" x14ac:dyDescent="0.35">
      <c r="A326" s="128">
        <v>9</v>
      </c>
      <c r="B326" s="132"/>
      <c r="C326" s="132"/>
      <c r="D326" s="133" t="s">
        <v>37</v>
      </c>
      <c r="E326" s="255">
        <v>0</v>
      </c>
      <c r="F326" s="255">
        <v>0</v>
      </c>
      <c r="G326" s="129">
        <f>0</f>
        <v>0</v>
      </c>
      <c r="H326" s="255">
        <f>IF(Paint26230268192[[#This Row],[Actual Buyout]]+Paint26230268192[[#This Row],[Change Orders]]=0,Paint26230268192[[#This Row],[Original Contract]],Paint26230268192[[#This Row],[Actual Buyout]]+Paint26230268192[[#This Row],[Change Orders]])</f>
        <v>0</v>
      </c>
      <c r="I326" s="129">
        <v>0</v>
      </c>
      <c r="J326" s="129">
        <f>Paint26230268192[[#This Row],[Original Contract]]-Paint26230268192[[#This Row],[Revised Contract]]</f>
        <v>0</v>
      </c>
      <c r="K326" s="341"/>
      <c r="L326" s="343"/>
      <c r="S326" s="97"/>
      <c r="T326" s="97"/>
      <c r="X326" s="198"/>
      <c r="Y326" s="198"/>
    </row>
    <row r="327" spans="1:25" x14ac:dyDescent="0.35">
      <c r="A327" s="128">
        <v>9</v>
      </c>
      <c r="B327" s="132"/>
      <c r="C327" s="132"/>
      <c r="D327" s="133" t="s">
        <v>37</v>
      </c>
      <c r="E327" s="255">
        <v>0</v>
      </c>
      <c r="F327" s="255">
        <v>0</v>
      </c>
      <c r="G327" s="129">
        <f>0</f>
        <v>0</v>
      </c>
      <c r="H327" s="255">
        <f>IF(Paint26230268192[[#This Row],[Actual Buyout]]+Paint26230268192[[#This Row],[Change Orders]]=0,Paint26230268192[[#This Row],[Original Contract]],Paint26230268192[[#This Row],[Actual Buyout]]+Paint26230268192[[#This Row],[Change Orders]])</f>
        <v>0</v>
      </c>
      <c r="I327" s="129">
        <v>0</v>
      </c>
      <c r="J327" s="129">
        <f>Paint26230268192[[#This Row],[Original Contract]]-Paint26230268192[[#This Row],[Revised Contract]]</f>
        <v>0</v>
      </c>
      <c r="K327" s="341"/>
      <c r="L327" s="343"/>
      <c r="S327" s="97"/>
      <c r="T327" s="97"/>
      <c r="X327" s="198"/>
      <c r="Y327" s="198"/>
    </row>
    <row r="328" spans="1:25" x14ac:dyDescent="0.35">
      <c r="A328" s="128">
        <v>9</v>
      </c>
      <c r="B328" s="132"/>
      <c r="C328" s="132"/>
      <c r="D328" s="133" t="s">
        <v>37</v>
      </c>
      <c r="E328" s="255">
        <v>0</v>
      </c>
      <c r="F328" s="255">
        <v>0</v>
      </c>
      <c r="G328" s="129">
        <f>0</f>
        <v>0</v>
      </c>
      <c r="H328" s="255">
        <f>IF(Paint26230268192[[#This Row],[Actual Buyout]]+Paint26230268192[[#This Row],[Change Orders]]=0,Paint26230268192[[#This Row],[Original Contract]],Paint26230268192[[#This Row],[Actual Buyout]]+Paint26230268192[[#This Row],[Change Orders]])</f>
        <v>0</v>
      </c>
      <c r="I328" s="129">
        <v>0</v>
      </c>
      <c r="J328" s="129">
        <f>Paint26230268192[[#This Row],[Original Contract]]-Paint26230268192[[#This Row],[Revised Contract]]</f>
        <v>0</v>
      </c>
      <c r="K328" s="341"/>
      <c r="L328" s="343"/>
      <c r="S328" s="97"/>
      <c r="T328" s="97"/>
      <c r="X328" s="198"/>
      <c r="Y328" s="198"/>
    </row>
    <row r="329" spans="1:25" x14ac:dyDescent="0.35">
      <c r="A329" s="128">
        <v>9</v>
      </c>
      <c r="B329" s="132"/>
      <c r="C329" s="132"/>
      <c r="D329" s="133" t="s">
        <v>37</v>
      </c>
      <c r="E329" s="255">
        <v>0</v>
      </c>
      <c r="F329" s="255">
        <v>0</v>
      </c>
      <c r="G329" s="129">
        <f>0</f>
        <v>0</v>
      </c>
      <c r="H329" s="255">
        <f>IF(Paint26230268192[[#This Row],[Actual Buyout]]+Paint26230268192[[#This Row],[Change Orders]]=0,Paint26230268192[[#This Row],[Original Contract]],Paint26230268192[[#This Row],[Actual Buyout]]+Paint26230268192[[#This Row],[Change Orders]])</f>
        <v>0</v>
      </c>
      <c r="I329" s="129">
        <v>0</v>
      </c>
      <c r="J329" s="129">
        <f>Paint26230268192[[#This Row],[Original Contract]]-Paint26230268192[[#This Row],[Revised Contract]]</f>
        <v>0</v>
      </c>
      <c r="K329" s="341"/>
      <c r="L329" s="343"/>
      <c r="S329" s="97"/>
      <c r="T329" s="97"/>
      <c r="X329" s="198"/>
      <c r="Y329" s="198"/>
    </row>
    <row r="330" spans="1:25" x14ac:dyDescent="0.35">
      <c r="A330" s="257"/>
      <c r="B330" s="258"/>
      <c r="C330" s="258"/>
      <c r="D330" s="256" t="s">
        <v>38</v>
      </c>
      <c r="E330" s="151">
        <f>SUM(Paint26230268192[Original Contract])</f>
        <v>0</v>
      </c>
      <c r="F330" s="151">
        <f>SUM(Paint26230268192[Actual Buyout])</f>
        <v>0</v>
      </c>
      <c r="G330" s="151">
        <f>SUM(Paint26230268192[Change Orders])</f>
        <v>0</v>
      </c>
      <c r="H330" s="151">
        <f>SUM(Paint26230268192[Revised Contract])</f>
        <v>0</v>
      </c>
      <c r="I330" s="151">
        <f>SUM(Paint26230268192[Total completed and Stored])</f>
        <v>0</v>
      </c>
      <c r="J330" s="151">
        <f>SUM(Paint26230268192[Delta])</f>
        <v>0</v>
      </c>
      <c r="K330" s="343"/>
      <c r="L330" s="343"/>
    </row>
    <row r="331" spans="1:25" x14ac:dyDescent="0.35">
      <c r="A331" s="100" t="s">
        <v>660</v>
      </c>
      <c r="B331" s="100" t="s">
        <v>113</v>
      </c>
      <c r="C331" s="100" t="s">
        <v>167</v>
      </c>
      <c r="D331" s="100" t="s">
        <v>26</v>
      </c>
      <c r="E331" s="100" t="s">
        <v>781</v>
      </c>
      <c r="F331" s="332" t="s">
        <v>1078</v>
      </c>
      <c r="G331" s="332" t="s">
        <v>782</v>
      </c>
      <c r="H331" s="332" t="s">
        <v>783</v>
      </c>
      <c r="I331" s="334" t="s">
        <v>785</v>
      </c>
      <c r="J331" s="340" t="s">
        <v>1079</v>
      </c>
      <c r="K331" s="335"/>
      <c r="L331" s="343"/>
      <c r="S331" s="97"/>
      <c r="T331" s="97"/>
      <c r="X331" s="198"/>
      <c r="Y331" s="198"/>
    </row>
    <row r="332" spans="1:25" x14ac:dyDescent="0.35">
      <c r="A332" s="128">
        <v>10</v>
      </c>
      <c r="B332" s="132" t="s">
        <v>352</v>
      </c>
      <c r="C332" s="132" t="s">
        <v>351</v>
      </c>
      <c r="D332" s="133" t="s">
        <v>114</v>
      </c>
      <c r="E332" s="255">
        <v>0</v>
      </c>
      <c r="F332" s="255">
        <v>0</v>
      </c>
      <c r="G332" s="129">
        <f>0</f>
        <v>0</v>
      </c>
      <c r="H332" s="255">
        <f>IF(Specialties27231269193[[#This Row],[Actual Buyout]]+Specialties27231269193[[#This Row],[Change Orders]]=0,Specialties27231269193[[#This Row],[Original Contract]],Specialties27231269193[[#This Row],[Actual Buyout]]+Specialties27231269193[[#This Row],[Change Orders]])</f>
        <v>0</v>
      </c>
      <c r="I332" s="129">
        <v>0</v>
      </c>
      <c r="J332" s="129">
        <f>Specialties27231269193[[#This Row],[Original Contract]]-Specialties27231269193[[#This Row],[Revised Contract]]</f>
        <v>0</v>
      </c>
      <c r="K332" s="341"/>
      <c r="L332" s="343"/>
      <c r="S332" s="97"/>
      <c r="T332" s="97"/>
      <c r="X332" s="198"/>
      <c r="Y332" s="198"/>
    </row>
    <row r="333" spans="1:25" x14ac:dyDescent="0.35">
      <c r="A333" s="128">
        <v>10</v>
      </c>
      <c r="B333" s="132" t="s">
        <v>350</v>
      </c>
      <c r="C333" s="132" t="s">
        <v>349</v>
      </c>
      <c r="D333" s="133" t="s">
        <v>31</v>
      </c>
      <c r="E333" s="255">
        <v>0</v>
      </c>
      <c r="F333" s="255">
        <v>0</v>
      </c>
      <c r="G333" s="129">
        <f>0</f>
        <v>0</v>
      </c>
      <c r="H333" s="255">
        <f>IF(Specialties27231269193[[#This Row],[Actual Buyout]]+Specialties27231269193[[#This Row],[Change Orders]]=0,Specialties27231269193[[#This Row],[Original Contract]],Specialties27231269193[[#This Row],[Actual Buyout]]+Specialties27231269193[[#This Row],[Change Orders]])</f>
        <v>0</v>
      </c>
      <c r="I333" s="129">
        <v>0</v>
      </c>
      <c r="J333" s="129">
        <f>Specialties27231269193[[#This Row],[Original Contract]]-Specialties27231269193[[#This Row],[Revised Contract]]</f>
        <v>0</v>
      </c>
      <c r="K333" s="341"/>
      <c r="L333" s="343"/>
      <c r="S333" s="97"/>
      <c r="T333" s="97"/>
      <c r="X333" s="198"/>
      <c r="Y333" s="198"/>
    </row>
    <row r="334" spans="1:25" x14ac:dyDescent="0.35">
      <c r="A334" s="128">
        <v>10</v>
      </c>
      <c r="B334" s="132" t="s">
        <v>347</v>
      </c>
      <c r="C334" s="132" t="s">
        <v>357</v>
      </c>
      <c r="D334" s="133" t="s">
        <v>115</v>
      </c>
      <c r="E334" s="255">
        <v>0</v>
      </c>
      <c r="F334" s="255">
        <v>0</v>
      </c>
      <c r="G334" s="129">
        <f>0</f>
        <v>0</v>
      </c>
      <c r="H334" s="255">
        <f>IF(Specialties27231269193[[#This Row],[Actual Buyout]]+Specialties27231269193[[#This Row],[Change Orders]]=0,Specialties27231269193[[#This Row],[Original Contract]],Specialties27231269193[[#This Row],[Actual Buyout]]+Specialties27231269193[[#This Row],[Change Orders]])</f>
        <v>0</v>
      </c>
      <c r="I334" s="129">
        <v>0</v>
      </c>
      <c r="J334" s="129">
        <f>Specialties27231269193[[#This Row],[Original Contract]]-Specialties27231269193[[#This Row],[Revised Contract]]</f>
        <v>0</v>
      </c>
      <c r="K334" s="341"/>
      <c r="L334" s="343"/>
      <c r="S334" s="97"/>
      <c r="T334" s="97"/>
      <c r="X334" s="198"/>
      <c r="Y334" s="198"/>
    </row>
    <row r="335" spans="1:25" x14ac:dyDescent="0.35">
      <c r="A335" s="128">
        <v>10</v>
      </c>
      <c r="B335" s="132" t="s">
        <v>347</v>
      </c>
      <c r="C335" s="132" t="s">
        <v>357</v>
      </c>
      <c r="D335" s="133" t="s">
        <v>116</v>
      </c>
      <c r="E335" s="255">
        <v>0</v>
      </c>
      <c r="F335" s="255">
        <v>0</v>
      </c>
      <c r="G335" s="129">
        <f>0</f>
        <v>0</v>
      </c>
      <c r="H335" s="255">
        <f>IF(Specialties27231269193[[#This Row],[Actual Buyout]]+Specialties27231269193[[#This Row],[Change Orders]]=0,Specialties27231269193[[#This Row],[Original Contract]],Specialties27231269193[[#This Row],[Actual Buyout]]+Specialties27231269193[[#This Row],[Change Orders]])</f>
        <v>0</v>
      </c>
      <c r="I335" s="129">
        <v>0</v>
      </c>
      <c r="J335" s="129">
        <f>Specialties27231269193[[#This Row],[Original Contract]]-Specialties27231269193[[#This Row],[Revised Contract]]</f>
        <v>0</v>
      </c>
      <c r="K335" s="341"/>
      <c r="L335" s="343"/>
      <c r="S335" s="97"/>
      <c r="T335" s="97"/>
      <c r="X335" s="198"/>
      <c r="Y335" s="198"/>
    </row>
    <row r="336" spans="1:25" x14ac:dyDescent="0.35">
      <c r="A336" s="128">
        <v>10</v>
      </c>
      <c r="B336" s="132" t="s">
        <v>360</v>
      </c>
      <c r="C336" s="132" t="s">
        <v>361</v>
      </c>
      <c r="D336" s="133" t="s">
        <v>117</v>
      </c>
      <c r="E336" s="255">
        <v>0</v>
      </c>
      <c r="F336" s="255">
        <v>0</v>
      </c>
      <c r="G336" s="129">
        <f>0</f>
        <v>0</v>
      </c>
      <c r="H336" s="255">
        <f>IF(Specialties27231269193[[#This Row],[Actual Buyout]]+Specialties27231269193[[#This Row],[Change Orders]]=0,Specialties27231269193[[#This Row],[Original Contract]],Specialties27231269193[[#This Row],[Actual Buyout]]+Specialties27231269193[[#This Row],[Change Orders]])</f>
        <v>0</v>
      </c>
      <c r="I336" s="129">
        <v>0</v>
      </c>
      <c r="J336" s="129">
        <f>Specialties27231269193[[#This Row],[Original Contract]]-Specialties27231269193[[#This Row],[Revised Contract]]</f>
        <v>0</v>
      </c>
      <c r="K336" s="341"/>
      <c r="L336" s="343"/>
      <c r="S336" s="97"/>
      <c r="T336" s="97"/>
      <c r="X336" s="198"/>
      <c r="Y336" s="198"/>
    </row>
    <row r="337" spans="1:25" x14ac:dyDescent="0.35">
      <c r="A337" s="128">
        <v>10</v>
      </c>
      <c r="B337" s="132" t="s">
        <v>358</v>
      </c>
      <c r="C337" s="132" t="s">
        <v>359</v>
      </c>
      <c r="D337" s="133" t="s">
        <v>118</v>
      </c>
      <c r="E337" s="255">
        <v>0</v>
      </c>
      <c r="F337" s="255">
        <v>0</v>
      </c>
      <c r="G337" s="129">
        <f>0</f>
        <v>0</v>
      </c>
      <c r="H337" s="255">
        <f>IF(Specialties27231269193[[#This Row],[Actual Buyout]]+Specialties27231269193[[#This Row],[Change Orders]]=0,Specialties27231269193[[#This Row],[Original Contract]],Specialties27231269193[[#This Row],[Actual Buyout]]+Specialties27231269193[[#This Row],[Change Orders]])</f>
        <v>0</v>
      </c>
      <c r="I337" s="129">
        <v>0</v>
      </c>
      <c r="J337" s="129">
        <f>Specialties27231269193[[#This Row],[Original Contract]]-Specialties27231269193[[#This Row],[Revised Contract]]</f>
        <v>0</v>
      </c>
      <c r="K337" s="341"/>
      <c r="L337" s="343"/>
      <c r="S337" s="97"/>
      <c r="T337" s="97"/>
      <c r="X337" s="198"/>
      <c r="Y337" s="198"/>
    </row>
    <row r="338" spans="1:25" x14ac:dyDescent="0.35">
      <c r="A338" s="128">
        <v>10</v>
      </c>
      <c r="B338" s="132" t="s">
        <v>356</v>
      </c>
      <c r="C338" s="132" t="s">
        <v>355</v>
      </c>
      <c r="D338" s="133" t="s">
        <v>119</v>
      </c>
      <c r="E338" s="255">
        <v>0</v>
      </c>
      <c r="F338" s="255">
        <v>0</v>
      </c>
      <c r="G338" s="129">
        <f>0</f>
        <v>0</v>
      </c>
      <c r="H338" s="255">
        <f>IF(Specialties27231269193[[#This Row],[Actual Buyout]]+Specialties27231269193[[#This Row],[Change Orders]]=0,Specialties27231269193[[#This Row],[Original Contract]],Specialties27231269193[[#This Row],[Actual Buyout]]+Specialties27231269193[[#This Row],[Change Orders]])</f>
        <v>0</v>
      </c>
      <c r="I338" s="129">
        <v>0</v>
      </c>
      <c r="J338" s="129">
        <f>Specialties27231269193[[#This Row],[Original Contract]]-Specialties27231269193[[#This Row],[Revised Contract]]</f>
        <v>0</v>
      </c>
      <c r="K338" s="341"/>
      <c r="L338" s="343"/>
      <c r="S338" s="97"/>
      <c r="T338" s="97"/>
      <c r="X338" s="198"/>
      <c r="Y338" s="198"/>
    </row>
    <row r="339" spans="1:25" x14ac:dyDescent="0.35">
      <c r="A339" s="128">
        <v>10</v>
      </c>
      <c r="B339" s="132" t="s">
        <v>354</v>
      </c>
      <c r="C339" s="132" t="s">
        <v>353</v>
      </c>
      <c r="D339" s="133" t="s">
        <v>120</v>
      </c>
      <c r="E339" s="255">
        <v>0</v>
      </c>
      <c r="F339" s="255">
        <v>0</v>
      </c>
      <c r="G339" s="129">
        <f>0</f>
        <v>0</v>
      </c>
      <c r="H339" s="255">
        <f>IF(Specialties27231269193[[#This Row],[Actual Buyout]]+Specialties27231269193[[#This Row],[Change Orders]]=0,Specialties27231269193[[#This Row],[Original Contract]],Specialties27231269193[[#This Row],[Actual Buyout]]+Specialties27231269193[[#This Row],[Change Orders]])</f>
        <v>0</v>
      </c>
      <c r="I339" s="129">
        <v>0</v>
      </c>
      <c r="J339" s="129">
        <f>Specialties27231269193[[#This Row],[Original Contract]]-Specialties27231269193[[#This Row],[Revised Contract]]</f>
        <v>0</v>
      </c>
      <c r="K339" s="341"/>
      <c r="L339" s="343"/>
      <c r="S339" s="97"/>
      <c r="T339" s="97"/>
      <c r="X339" s="198"/>
      <c r="Y339" s="198"/>
    </row>
    <row r="340" spans="1:25" x14ac:dyDescent="0.35">
      <c r="A340" s="128">
        <v>10</v>
      </c>
      <c r="B340" s="132" t="s">
        <v>346</v>
      </c>
      <c r="C340" s="132" t="s">
        <v>187</v>
      </c>
      <c r="D340" s="133" t="s">
        <v>121</v>
      </c>
      <c r="E340" s="255">
        <v>0</v>
      </c>
      <c r="F340" s="255">
        <v>0</v>
      </c>
      <c r="G340" s="129">
        <f>0</f>
        <v>0</v>
      </c>
      <c r="H340" s="255">
        <f>IF(Specialties27231269193[[#This Row],[Actual Buyout]]+Specialties27231269193[[#This Row],[Change Orders]]=0,Specialties27231269193[[#This Row],[Original Contract]],Specialties27231269193[[#This Row],[Actual Buyout]]+Specialties27231269193[[#This Row],[Change Orders]])</f>
        <v>0</v>
      </c>
      <c r="I340" s="129">
        <v>0</v>
      </c>
      <c r="J340" s="129">
        <f>Specialties27231269193[[#This Row],[Original Contract]]-Specialties27231269193[[#This Row],[Revised Contract]]</f>
        <v>0</v>
      </c>
      <c r="K340" s="341"/>
      <c r="L340" s="343"/>
      <c r="S340" s="97"/>
      <c r="T340" s="97"/>
      <c r="X340" s="198"/>
      <c r="Y340" s="198"/>
    </row>
    <row r="341" spans="1:25" x14ac:dyDescent="0.35">
      <c r="A341" s="128">
        <v>10</v>
      </c>
      <c r="B341" s="132" t="s">
        <v>346</v>
      </c>
      <c r="C341" s="132" t="s">
        <v>187</v>
      </c>
      <c r="D341" s="133" t="s">
        <v>238</v>
      </c>
      <c r="E341" s="255">
        <v>0</v>
      </c>
      <c r="F341" s="255">
        <v>0</v>
      </c>
      <c r="G341" s="129">
        <f>0</f>
        <v>0</v>
      </c>
      <c r="H341" s="255">
        <f>IF(Specialties27231269193[[#This Row],[Actual Buyout]]+Specialties27231269193[[#This Row],[Change Orders]]=0,Specialties27231269193[[#This Row],[Original Contract]],Specialties27231269193[[#This Row],[Actual Buyout]]+Specialties27231269193[[#This Row],[Change Orders]])</f>
        <v>0</v>
      </c>
      <c r="I341" s="129">
        <v>0</v>
      </c>
      <c r="J341" s="129">
        <f>Specialties27231269193[[#This Row],[Original Contract]]-Specialties27231269193[[#This Row],[Revised Contract]]</f>
        <v>0</v>
      </c>
      <c r="K341" s="341"/>
      <c r="L341" s="343"/>
      <c r="S341" s="97"/>
      <c r="T341" s="97"/>
      <c r="X341" s="198"/>
      <c r="Y341" s="198"/>
    </row>
    <row r="342" spans="1:25" x14ac:dyDescent="0.35">
      <c r="A342" s="128">
        <v>10</v>
      </c>
      <c r="B342" s="132" t="s">
        <v>346</v>
      </c>
      <c r="C342" s="132" t="s">
        <v>187</v>
      </c>
      <c r="D342" s="133" t="s">
        <v>713</v>
      </c>
      <c r="E342" s="255">
        <v>0</v>
      </c>
      <c r="F342" s="255">
        <v>0</v>
      </c>
      <c r="G342" s="129">
        <f>0</f>
        <v>0</v>
      </c>
      <c r="H342" s="255">
        <f>IF(Specialties27231269193[[#This Row],[Actual Buyout]]+Specialties27231269193[[#This Row],[Change Orders]]=0,Specialties27231269193[[#This Row],[Original Contract]],Specialties27231269193[[#This Row],[Actual Buyout]]+Specialties27231269193[[#This Row],[Change Orders]])</f>
        <v>0</v>
      </c>
      <c r="I342" s="129">
        <v>0</v>
      </c>
      <c r="J342" s="129">
        <f>Specialties27231269193[[#This Row],[Original Contract]]-Specialties27231269193[[#This Row],[Revised Contract]]</f>
        <v>0</v>
      </c>
      <c r="K342" s="341"/>
      <c r="L342" s="343"/>
      <c r="S342" s="97"/>
      <c r="T342" s="97"/>
      <c r="X342" s="198"/>
      <c r="Y342" s="198"/>
    </row>
    <row r="343" spans="1:25" x14ac:dyDescent="0.35">
      <c r="A343" s="128">
        <v>10</v>
      </c>
      <c r="B343" s="132" t="s">
        <v>348</v>
      </c>
      <c r="C343" s="132" t="s">
        <v>188</v>
      </c>
      <c r="D343" s="133" t="s">
        <v>714</v>
      </c>
      <c r="E343" s="255">
        <v>0</v>
      </c>
      <c r="F343" s="255">
        <v>0</v>
      </c>
      <c r="G343" s="129">
        <f>0</f>
        <v>0</v>
      </c>
      <c r="H343" s="255">
        <f>IF(Specialties27231269193[[#This Row],[Actual Buyout]]+Specialties27231269193[[#This Row],[Change Orders]]=0,Specialties27231269193[[#This Row],[Original Contract]],Specialties27231269193[[#This Row],[Actual Buyout]]+Specialties27231269193[[#This Row],[Change Orders]])</f>
        <v>0</v>
      </c>
      <c r="I343" s="129">
        <v>0</v>
      </c>
      <c r="J343" s="129">
        <f>Specialties27231269193[[#This Row],[Original Contract]]-Specialties27231269193[[#This Row],[Revised Contract]]</f>
        <v>0</v>
      </c>
      <c r="K343" s="341"/>
      <c r="L343" s="343"/>
      <c r="S343" s="97"/>
      <c r="T343" s="97"/>
      <c r="X343" s="198"/>
      <c r="Y343" s="198"/>
    </row>
    <row r="344" spans="1:25" x14ac:dyDescent="0.35">
      <c r="A344" s="128">
        <v>10</v>
      </c>
      <c r="B344" s="132" t="s">
        <v>715</v>
      </c>
      <c r="C344" s="132" t="s">
        <v>189</v>
      </c>
      <c r="D344" s="133" t="s">
        <v>190</v>
      </c>
      <c r="E344" s="255">
        <v>0</v>
      </c>
      <c r="F344" s="255">
        <v>0</v>
      </c>
      <c r="G344" s="129">
        <f>0</f>
        <v>0</v>
      </c>
      <c r="H344" s="255">
        <f>IF(Specialties27231269193[[#This Row],[Actual Buyout]]+Specialties27231269193[[#This Row],[Change Orders]]=0,Specialties27231269193[[#This Row],[Original Contract]],Specialties27231269193[[#This Row],[Actual Buyout]]+Specialties27231269193[[#This Row],[Change Orders]])</f>
        <v>0</v>
      </c>
      <c r="I344" s="129">
        <v>0</v>
      </c>
      <c r="J344" s="129">
        <f>Specialties27231269193[[#This Row],[Original Contract]]-Specialties27231269193[[#This Row],[Revised Contract]]</f>
        <v>0</v>
      </c>
      <c r="K344" s="341"/>
      <c r="L344" s="343"/>
      <c r="S344" s="97"/>
      <c r="T344" s="97"/>
      <c r="X344" s="198"/>
      <c r="Y344" s="198"/>
    </row>
    <row r="345" spans="1:25" x14ac:dyDescent="0.35">
      <c r="A345" s="128">
        <v>10</v>
      </c>
      <c r="B345" s="132" t="s">
        <v>347</v>
      </c>
      <c r="C345" s="132" t="s">
        <v>357</v>
      </c>
      <c r="D345" s="133" t="s">
        <v>191</v>
      </c>
      <c r="E345" s="255">
        <v>0</v>
      </c>
      <c r="F345" s="255">
        <v>0</v>
      </c>
      <c r="G345" s="129">
        <f>0</f>
        <v>0</v>
      </c>
      <c r="H345" s="255">
        <f>IF(Specialties27231269193[[#This Row],[Actual Buyout]]+Specialties27231269193[[#This Row],[Change Orders]]=0,Specialties27231269193[[#This Row],[Original Contract]],Specialties27231269193[[#This Row],[Actual Buyout]]+Specialties27231269193[[#This Row],[Change Orders]])</f>
        <v>0</v>
      </c>
      <c r="I345" s="129">
        <v>0</v>
      </c>
      <c r="J345" s="129">
        <f>Specialties27231269193[[#This Row],[Original Contract]]-Specialties27231269193[[#This Row],[Revised Contract]]</f>
        <v>0</v>
      </c>
      <c r="K345" s="341"/>
      <c r="L345" s="343"/>
      <c r="S345" s="97"/>
      <c r="T345" s="97"/>
      <c r="X345" s="198"/>
      <c r="Y345" s="198"/>
    </row>
    <row r="346" spans="1:25" x14ac:dyDescent="0.35">
      <c r="A346" s="128">
        <v>10</v>
      </c>
      <c r="B346" s="132" t="s">
        <v>763</v>
      </c>
      <c r="C346" s="132" t="s">
        <v>764</v>
      </c>
      <c r="D346" s="133" t="s">
        <v>765</v>
      </c>
      <c r="E346" s="255">
        <v>0</v>
      </c>
      <c r="F346" s="255">
        <v>0</v>
      </c>
      <c r="G346" s="129">
        <f>0</f>
        <v>0</v>
      </c>
      <c r="H346" s="255">
        <f>IF(Specialties27231269193[[#This Row],[Actual Buyout]]+Specialties27231269193[[#This Row],[Change Orders]]=0,Specialties27231269193[[#This Row],[Original Contract]],Specialties27231269193[[#This Row],[Actual Buyout]]+Specialties27231269193[[#This Row],[Change Orders]])</f>
        <v>0</v>
      </c>
      <c r="I346" s="129">
        <v>0</v>
      </c>
      <c r="J346" s="129">
        <f>Specialties27231269193[[#This Row],[Original Contract]]-Specialties27231269193[[#This Row],[Revised Contract]]</f>
        <v>0</v>
      </c>
      <c r="K346" s="341"/>
      <c r="L346" s="343"/>
      <c r="S346" s="97"/>
      <c r="T346" s="97"/>
      <c r="X346" s="198"/>
      <c r="Y346" s="198"/>
    </row>
    <row r="347" spans="1:25" x14ac:dyDescent="0.35">
      <c r="A347" s="128">
        <v>10</v>
      </c>
      <c r="B347" s="132" t="s">
        <v>766</v>
      </c>
      <c r="C347" s="132" t="s">
        <v>767</v>
      </c>
      <c r="D347" s="133" t="s">
        <v>768</v>
      </c>
      <c r="E347" s="255">
        <v>0</v>
      </c>
      <c r="F347" s="255">
        <v>0</v>
      </c>
      <c r="G347" s="129">
        <f>0</f>
        <v>0</v>
      </c>
      <c r="H347" s="255">
        <f>IF(Specialties27231269193[[#This Row],[Actual Buyout]]+Specialties27231269193[[#This Row],[Change Orders]]=0,Specialties27231269193[[#This Row],[Original Contract]],Specialties27231269193[[#This Row],[Actual Buyout]]+Specialties27231269193[[#This Row],[Change Orders]])</f>
        <v>0</v>
      </c>
      <c r="I347" s="129">
        <v>0</v>
      </c>
      <c r="J347" s="129">
        <f>Specialties27231269193[[#This Row],[Original Contract]]-Specialties27231269193[[#This Row],[Revised Contract]]</f>
        <v>0</v>
      </c>
      <c r="K347" s="341"/>
      <c r="L347" s="343"/>
      <c r="S347" s="97"/>
      <c r="T347" s="97"/>
      <c r="X347" s="198"/>
      <c r="Y347" s="198"/>
    </row>
    <row r="348" spans="1:25" x14ac:dyDescent="0.35">
      <c r="A348" s="128">
        <v>10</v>
      </c>
      <c r="B348" s="132" t="s">
        <v>769</v>
      </c>
      <c r="C348" s="132" t="s">
        <v>770</v>
      </c>
      <c r="D348" s="133" t="s">
        <v>771</v>
      </c>
      <c r="E348" s="255">
        <v>0</v>
      </c>
      <c r="F348" s="255">
        <v>0</v>
      </c>
      <c r="G348" s="129">
        <f>0</f>
        <v>0</v>
      </c>
      <c r="H348" s="255">
        <f>IF(Specialties27231269193[[#This Row],[Actual Buyout]]+Specialties27231269193[[#This Row],[Change Orders]]=0,Specialties27231269193[[#This Row],[Original Contract]],Specialties27231269193[[#This Row],[Actual Buyout]]+Specialties27231269193[[#This Row],[Change Orders]])</f>
        <v>0</v>
      </c>
      <c r="I348" s="129">
        <v>0</v>
      </c>
      <c r="J348" s="129">
        <f>Specialties27231269193[[#This Row],[Original Contract]]-Specialties27231269193[[#This Row],[Revised Contract]]</f>
        <v>0</v>
      </c>
      <c r="K348" s="341"/>
      <c r="L348" s="343"/>
      <c r="S348" s="97"/>
      <c r="T348" s="97"/>
      <c r="X348" s="198"/>
      <c r="Y348" s="198"/>
    </row>
    <row r="349" spans="1:25" x14ac:dyDescent="0.35">
      <c r="A349" s="128">
        <v>10</v>
      </c>
      <c r="B349" s="132"/>
      <c r="C349" s="132"/>
      <c r="D349" s="133" t="s">
        <v>37</v>
      </c>
      <c r="E349" s="255">
        <v>0</v>
      </c>
      <c r="F349" s="255">
        <v>0</v>
      </c>
      <c r="G349" s="129">
        <f>0</f>
        <v>0</v>
      </c>
      <c r="H349" s="255">
        <f>IF(Specialties27231269193[[#This Row],[Actual Buyout]]+Specialties27231269193[[#This Row],[Change Orders]]=0,Specialties27231269193[[#This Row],[Original Contract]],Specialties27231269193[[#This Row],[Actual Buyout]]+Specialties27231269193[[#This Row],[Change Orders]])</f>
        <v>0</v>
      </c>
      <c r="I349" s="129">
        <v>0</v>
      </c>
      <c r="J349" s="129">
        <f>Specialties27231269193[[#This Row],[Original Contract]]-Specialties27231269193[[#This Row],[Revised Contract]]</f>
        <v>0</v>
      </c>
      <c r="K349" s="341"/>
      <c r="L349" s="343"/>
      <c r="S349" s="97"/>
      <c r="T349" s="97"/>
      <c r="X349" s="198"/>
      <c r="Y349" s="198"/>
    </row>
    <row r="350" spans="1:25" x14ac:dyDescent="0.35">
      <c r="A350" s="128">
        <v>10</v>
      </c>
      <c r="B350" s="132"/>
      <c r="C350" s="132"/>
      <c r="D350" s="133" t="s">
        <v>37</v>
      </c>
      <c r="E350" s="255">
        <v>0</v>
      </c>
      <c r="F350" s="255">
        <v>0</v>
      </c>
      <c r="G350" s="129">
        <f>0</f>
        <v>0</v>
      </c>
      <c r="H350" s="255">
        <f>IF(Specialties27231269193[[#This Row],[Actual Buyout]]+Specialties27231269193[[#This Row],[Change Orders]]=0,Specialties27231269193[[#This Row],[Original Contract]],Specialties27231269193[[#This Row],[Actual Buyout]]+Specialties27231269193[[#This Row],[Change Orders]])</f>
        <v>0</v>
      </c>
      <c r="I350" s="129">
        <v>0</v>
      </c>
      <c r="J350" s="129">
        <f>Specialties27231269193[[#This Row],[Original Contract]]-Specialties27231269193[[#This Row],[Revised Contract]]</f>
        <v>0</v>
      </c>
      <c r="K350" s="341"/>
      <c r="L350" s="343"/>
      <c r="S350" s="97"/>
      <c r="T350" s="97"/>
      <c r="X350" s="198"/>
      <c r="Y350" s="198"/>
    </row>
    <row r="351" spans="1:25" x14ac:dyDescent="0.35">
      <c r="A351" s="128">
        <v>10</v>
      </c>
      <c r="B351" s="132"/>
      <c r="C351" s="132"/>
      <c r="D351" s="133" t="s">
        <v>37</v>
      </c>
      <c r="E351" s="255">
        <v>0</v>
      </c>
      <c r="F351" s="255">
        <v>0</v>
      </c>
      <c r="G351" s="129">
        <f>0</f>
        <v>0</v>
      </c>
      <c r="H351" s="255">
        <f>IF(Specialties27231269193[[#This Row],[Actual Buyout]]+Specialties27231269193[[#This Row],[Change Orders]]=0,Specialties27231269193[[#This Row],[Original Contract]],Specialties27231269193[[#This Row],[Actual Buyout]]+Specialties27231269193[[#This Row],[Change Orders]])</f>
        <v>0</v>
      </c>
      <c r="I351" s="129">
        <v>0</v>
      </c>
      <c r="J351" s="129">
        <f>Specialties27231269193[[#This Row],[Original Contract]]-Specialties27231269193[[#This Row],[Revised Contract]]</f>
        <v>0</v>
      </c>
      <c r="K351" s="341"/>
      <c r="L351" s="343"/>
      <c r="S351" s="97"/>
      <c r="T351" s="97"/>
      <c r="X351" s="198"/>
      <c r="Y351" s="198"/>
    </row>
    <row r="352" spans="1:25" x14ac:dyDescent="0.35">
      <c r="A352" s="128">
        <v>10</v>
      </c>
      <c r="B352" s="132"/>
      <c r="C352" s="132"/>
      <c r="D352" s="133" t="s">
        <v>37</v>
      </c>
      <c r="E352" s="255">
        <v>0</v>
      </c>
      <c r="F352" s="255">
        <v>0</v>
      </c>
      <c r="G352" s="129">
        <f>0</f>
        <v>0</v>
      </c>
      <c r="H352" s="255">
        <f>IF(Specialties27231269193[[#This Row],[Actual Buyout]]+Specialties27231269193[[#This Row],[Change Orders]]=0,Specialties27231269193[[#This Row],[Original Contract]],Specialties27231269193[[#This Row],[Actual Buyout]]+Specialties27231269193[[#This Row],[Change Orders]])</f>
        <v>0</v>
      </c>
      <c r="I352" s="129">
        <v>0</v>
      </c>
      <c r="J352" s="129">
        <f>Specialties27231269193[[#This Row],[Original Contract]]-Specialties27231269193[[#This Row],[Revised Contract]]</f>
        <v>0</v>
      </c>
      <c r="K352" s="341"/>
      <c r="L352" s="343"/>
      <c r="S352" s="97"/>
      <c r="T352" s="97"/>
      <c r="X352" s="198"/>
      <c r="Y352" s="198"/>
    </row>
    <row r="353" spans="1:25" x14ac:dyDescent="0.35">
      <c r="A353" s="128">
        <v>10</v>
      </c>
      <c r="B353" s="132"/>
      <c r="C353" s="132"/>
      <c r="D353" s="133" t="s">
        <v>37</v>
      </c>
      <c r="E353" s="255">
        <v>0</v>
      </c>
      <c r="F353" s="255">
        <v>0</v>
      </c>
      <c r="G353" s="129">
        <f>0</f>
        <v>0</v>
      </c>
      <c r="H353" s="255">
        <f>IF(Specialties27231269193[[#This Row],[Actual Buyout]]+Specialties27231269193[[#This Row],[Change Orders]]=0,Specialties27231269193[[#This Row],[Original Contract]],Specialties27231269193[[#This Row],[Actual Buyout]]+Specialties27231269193[[#This Row],[Change Orders]])</f>
        <v>0</v>
      </c>
      <c r="I353" s="129">
        <v>0</v>
      </c>
      <c r="J353" s="129">
        <f>Specialties27231269193[[#This Row],[Original Contract]]-Specialties27231269193[[#This Row],[Revised Contract]]</f>
        <v>0</v>
      </c>
      <c r="K353" s="341"/>
      <c r="L353" s="343"/>
      <c r="S353" s="97"/>
      <c r="T353" s="97"/>
      <c r="X353" s="198"/>
      <c r="Y353" s="198"/>
    </row>
    <row r="354" spans="1:25" x14ac:dyDescent="0.35">
      <c r="A354" s="128">
        <v>10</v>
      </c>
      <c r="B354" s="259"/>
      <c r="C354" s="259"/>
      <c r="D354" s="260" t="s">
        <v>37</v>
      </c>
      <c r="E354" s="255">
        <v>0</v>
      </c>
      <c r="F354" s="255">
        <v>0</v>
      </c>
      <c r="G354" s="129">
        <f>0</f>
        <v>0</v>
      </c>
      <c r="H354" s="255">
        <f>IF(Specialties27231269193[[#This Row],[Actual Buyout]]+Specialties27231269193[[#This Row],[Change Orders]]=0,Specialties27231269193[[#This Row],[Original Contract]],Specialties27231269193[[#This Row],[Actual Buyout]]+Specialties27231269193[[#This Row],[Change Orders]])</f>
        <v>0</v>
      </c>
      <c r="I354" s="129">
        <v>0</v>
      </c>
      <c r="J354" s="129">
        <f>Specialties27231269193[[#This Row],[Original Contract]]-Specialties27231269193[[#This Row],[Revised Contract]]</f>
        <v>0</v>
      </c>
      <c r="K354" s="341"/>
      <c r="L354" s="343"/>
      <c r="S354" s="97"/>
      <c r="T354" s="97"/>
      <c r="X354" s="198"/>
      <c r="Y354" s="198"/>
    </row>
    <row r="355" spans="1:25" x14ac:dyDescent="0.35">
      <c r="A355" s="128">
        <v>10</v>
      </c>
      <c r="B355" s="259"/>
      <c r="C355" s="259"/>
      <c r="D355" s="260" t="s">
        <v>37</v>
      </c>
      <c r="E355" s="255">
        <v>0</v>
      </c>
      <c r="F355" s="255">
        <v>0</v>
      </c>
      <c r="G355" s="129">
        <f>0</f>
        <v>0</v>
      </c>
      <c r="H355" s="255">
        <f>IF(Specialties27231269193[[#This Row],[Actual Buyout]]+Specialties27231269193[[#This Row],[Change Orders]]=0,Specialties27231269193[[#This Row],[Original Contract]],Specialties27231269193[[#This Row],[Actual Buyout]]+Specialties27231269193[[#This Row],[Change Orders]])</f>
        <v>0</v>
      </c>
      <c r="I355" s="129">
        <v>0</v>
      </c>
      <c r="J355" s="129">
        <f>Specialties27231269193[[#This Row],[Original Contract]]-Specialties27231269193[[#This Row],[Revised Contract]]</f>
        <v>0</v>
      </c>
      <c r="K355" s="341"/>
      <c r="L355" s="343"/>
      <c r="S355" s="97"/>
      <c r="T355" s="97"/>
      <c r="X355" s="198"/>
      <c r="Y355" s="198"/>
    </row>
    <row r="356" spans="1:25" x14ac:dyDescent="0.35">
      <c r="A356" s="257"/>
      <c r="B356" s="258"/>
      <c r="C356" s="258"/>
      <c r="D356" s="256" t="s">
        <v>38</v>
      </c>
      <c r="E356" s="151">
        <f>SUM(Specialties27231269193[Original Contract])</f>
        <v>0</v>
      </c>
      <c r="F356" s="151">
        <f>SUM(Specialties27231269193[Actual Buyout])</f>
        <v>0</v>
      </c>
      <c r="G356" s="151">
        <f>SUM(Specialties27231269193[Change Orders])</f>
        <v>0</v>
      </c>
      <c r="H356" s="151">
        <f>SUM(Specialties27231269193[Revised Contract])</f>
        <v>0</v>
      </c>
      <c r="I356" s="151">
        <f>SUM(Specialties27231269193[Total completed and Stored])</f>
        <v>0</v>
      </c>
      <c r="J356" s="151">
        <f>SUM(Specialties27231269193[Delta])</f>
        <v>0</v>
      </c>
      <c r="K356" s="343"/>
      <c r="L356" s="343"/>
    </row>
    <row r="357" spans="1:25" x14ac:dyDescent="0.35">
      <c r="A357" s="100" t="s">
        <v>661</v>
      </c>
      <c r="B357" s="100" t="s">
        <v>122</v>
      </c>
      <c r="C357" s="100" t="s">
        <v>167</v>
      </c>
      <c r="D357" s="100" t="s">
        <v>26</v>
      </c>
      <c r="E357" s="100" t="s">
        <v>781</v>
      </c>
      <c r="F357" s="332" t="s">
        <v>1078</v>
      </c>
      <c r="G357" s="332" t="s">
        <v>782</v>
      </c>
      <c r="H357" s="332" t="s">
        <v>783</v>
      </c>
      <c r="I357" s="334" t="s">
        <v>785</v>
      </c>
      <c r="J357" s="340" t="s">
        <v>1079</v>
      </c>
      <c r="K357" s="335"/>
      <c r="L357" s="343"/>
      <c r="S357" s="97"/>
      <c r="T357" s="97"/>
      <c r="X357" s="198"/>
      <c r="Y357" s="198"/>
    </row>
    <row r="358" spans="1:25" x14ac:dyDescent="0.35">
      <c r="A358" s="128">
        <v>11</v>
      </c>
      <c r="B358" s="132" t="s">
        <v>362</v>
      </c>
      <c r="C358" s="132" t="s">
        <v>236</v>
      </c>
      <c r="D358" s="133" t="s">
        <v>123</v>
      </c>
      <c r="E358" s="255">
        <v>0</v>
      </c>
      <c r="F358" s="255">
        <v>0</v>
      </c>
      <c r="G358" s="129">
        <f>0</f>
        <v>0</v>
      </c>
      <c r="H358" s="255">
        <f>IF(DockEquip28232270194[[#This Row],[Actual Buyout]]+DockEquip28232270194[[#This Row],[Change Orders]]=0,DockEquip28232270194[[#This Row],[Original Contract]],DockEquip28232270194[[#This Row],[Actual Buyout]]+DockEquip28232270194[[#This Row],[Change Orders]])</f>
        <v>0</v>
      </c>
      <c r="I358" s="129">
        <v>0</v>
      </c>
      <c r="J358" s="129">
        <f>DockEquip28232270194[[#This Row],[Original Contract]]-DockEquip28232270194[[#This Row],[Revised Contract]]</f>
        <v>0</v>
      </c>
      <c r="K358" s="341"/>
      <c r="L358" s="343"/>
      <c r="S358" s="97"/>
      <c r="T358" s="97"/>
      <c r="X358" s="198"/>
      <c r="Y358" s="198"/>
    </row>
    <row r="359" spans="1:25" x14ac:dyDescent="0.35">
      <c r="A359" s="128">
        <v>11</v>
      </c>
      <c r="B359" s="132" t="s">
        <v>362</v>
      </c>
      <c r="C359" s="132" t="s">
        <v>236</v>
      </c>
      <c r="D359" s="133" t="s">
        <v>124</v>
      </c>
      <c r="E359" s="255">
        <v>0</v>
      </c>
      <c r="F359" s="255">
        <v>0</v>
      </c>
      <c r="G359" s="129">
        <f>0</f>
        <v>0</v>
      </c>
      <c r="H359" s="255">
        <f>IF(DockEquip28232270194[[#This Row],[Actual Buyout]]+DockEquip28232270194[[#This Row],[Change Orders]]=0,DockEquip28232270194[[#This Row],[Original Contract]],DockEquip28232270194[[#This Row],[Actual Buyout]]+DockEquip28232270194[[#This Row],[Change Orders]])</f>
        <v>0</v>
      </c>
      <c r="I359" s="129">
        <v>0</v>
      </c>
      <c r="J359" s="129">
        <f>DockEquip28232270194[[#This Row],[Original Contract]]-DockEquip28232270194[[#This Row],[Revised Contract]]</f>
        <v>0</v>
      </c>
      <c r="K359" s="341"/>
      <c r="L359" s="343"/>
      <c r="S359" s="97"/>
      <c r="T359" s="97"/>
      <c r="X359" s="198"/>
      <c r="Y359" s="198"/>
    </row>
    <row r="360" spans="1:25" x14ac:dyDescent="0.35">
      <c r="A360" s="128">
        <v>11</v>
      </c>
      <c r="B360" s="132" t="s">
        <v>362</v>
      </c>
      <c r="C360" s="132" t="s">
        <v>236</v>
      </c>
      <c r="D360" s="133" t="s">
        <v>125</v>
      </c>
      <c r="E360" s="255">
        <v>0</v>
      </c>
      <c r="F360" s="255">
        <v>0</v>
      </c>
      <c r="G360" s="129">
        <f>0</f>
        <v>0</v>
      </c>
      <c r="H360" s="255">
        <f>IF(DockEquip28232270194[[#This Row],[Actual Buyout]]+DockEquip28232270194[[#This Row],[Change Orders]]=0,DockEquip28232270194[[#This Row],[Original Contract]],DockEquip28232270194[[#This Row],[Actual Buyout]]+DockEquip28232270194[[#This Row],[Change Orders]])</f>
        <v>0</v>
      </c>
      <c r="I360" s="129">
        <v>0</v>
      </c>
      <c r="J360" s="129">
        <f>DockEquip28232270194[[#This Row],[Original Contract]]-DockEquip28232270194[[#This Row],[Revised Contract]]</f>
        <v>0</v>
      </c>
      <c r="K360" s="341"/>
      <c r="L360" s="343"/>
      <c r="S360" s="97"/>
      <c r="T360" s="97"/>
      <c r="X360" s="198"/>
      <c r="Y360" s="198"/>
    </row>
    <row r="361" spans="1:25" x14ac:dyDescent="0.35">
      <c r="A361" s="128">
        <v>11</v>
      </c>
      <c r="B361" s="132" t="s">
        <v>362</v>
      </c>
      <c r="C361" s="132" t="s">
        <v>236</v>
      </c>
      <c r="D361" s="133" t="s">
        <v>126</v>
      </c>
      <c r="E361" s="255">
        <v>0</v>
      </c>
      <c r="F361" s="255">
        <v>0</v>
      </c>
      <c r="G361" s="129">
        <f>0</f>
        <v>0</v>
      </c>
      <c r="H361" s="255">
        <f>IF(DockEquip28232270194[[#This Row],[Actual Buyout]]+DockEquip28232270194[[#This Row],[Change Orders]]=0,DockEquip28232270194[[#This Row],[Original Contract]],DockEquip28232270194[[#This Row],[Actual Buyout]]+DockEquip28232270194[[#This Row],[Change Orders]])</f>
        <v>0</v>
      </c>
      <c r="I361" s="129">
        <v>0</v>
      </c>
      <c r="J361" s="129">
        <f>DockEquip28232270194[[#This Row],[Original Contract]]-DockEquip28232270194[[#This Row],[Revised Contract]]</f>
        <v>0</v>
      </c>
      <c r="K361" s="341"/>
      <c r="L361" s="343"/>
      <c r="S361" s="97"/>
      <c r="T361" s="97"/>
      <c r="X361" s="198"/>
      <c r="Y361" s="198"/>
    </row>
    <row r="362" spans="1:25" x14ac:dyDescent="0.35">
      <c r="A362" s="128">
        <v>11</v>
      </c>
      <c r="B362" s="132" t="s">
        <v>362</v>
      </c>
      <c r="C362" s="132" t="s">
        <v>236</v>
      </c>
      <c r="D362" s="133" t="s">
        <v>127</v>
      </c>
      <c r="E362" s="255">
        <v>0</v>
      </c>
      <c r="F362" s="255">
        <v>0</v>
      </c>
      <c r="G362" s="129">
        <f>0</f>
        <v>0</v>
      </c>
      <c r="H362" s="255">
        <f>IF(DockEquip28232270194[[#This Row],[Actual Buyout]]+DockEquip28232270194[[#This Row],[Change Orders]]=0,DockEquip28232270194[[#This Row],[Original Contract]],DockEquip28232270194[[#This Row],[Actual Buyout]]+DockEquip28232270194[[#This Row],[Change Orders]])</f>
        <v>0</v>
      </c>
      <c r="I362" s="129">
        <v>0</v>
      </c>
      <c r="J362" s="129">
        <f>DockEquip28232270194[[#This Row],[Original Contract]]-DockEquip28232270194[[#This Row],[Revised Contract]]</f>
        <v>0</v>
      </c>
      <c r="K362" s="341"/>
      <c r="L362" s="343"/>
      <c r="S362" s="97"/>
      <c r="T362" s="97"/>
      <c r="X362" s="198"/>
      <c r="Y362" s="198"/>
    </row>
    <row r="363" spans="1:25" x14ac:dyDescent="0.35">
      <c r="A363" s="128">
        <v>11</v>
      </c>
      <c r="B363" s="132" t="s">
        <v>362</v>
      </c>
      <c r="C363" s="132" t="s">
        <v>695</v>
      </c>
      <c r="D363" s="133" t="s">
        <v>696</v>
      </c>
      <c r="E363" s="255">
        <v>0</v>
      </c>
      <c r="F363" s="255">
        <v>0</v>
      </c>
      <c r="G363" s="129">
        <f>0</f>
        <v>0</v>
      </c>
      <c r="H363" s="255">
        <f>IF(DockEquip28232270194[[#This Row],[Actual Buyout]]+DockEquip28232270194[[#This Row],[Change Orders]]=0,DockEquip28232270194[[#This Row],[Original Contract]],DockEquip28232270194[[#This Row],[Actual Buyout]]+DockEquip28232270194[[#This Row],[Change Orders]])</f>
        <v>0</v>
      </c>
      <c r="I363" s="129">
        <v>0</v>
      </c>
      <c r="J363" s="129">
        <f>DockEquip28232270194[[#This Row],[Original Contract]]-DockEquip28232270194[[#This Row],[Revised Contract]]</f>
        <v>0</v>
      </c>
      <c r="K363" s="341"/>
      <c r="L363" s="343"/>
      <c r="S363" s="97"/>
      <c r="T363" s="97"/>
      <c r="X363" s="198"/>
      <c r="Y363" s="198"/>
    </row>
    <row r="364" spans="1:25" x14ac:dyDescent="0.35">
      <c r="A364" s="128">
        <v>11</v>
      </c>
      <c r="B364" s="132" t="s">
        <v>362</v>
      </c>
      <c r="C364" s="132" t="s">
        <v>697</v>
      </c>
      <c r="D364" s="133" t="s">
        <v>698</v>
      </c>
      <c r="E364" s="255">
        <v>0</v>
      </c>
      <c r="F364" s="255">
        <v>0</v>
      </c>
      <c r="G364" s="129">
        <f>0</f>
        <v>0</v>
      </c>
      <c r="H364" s="255">
        <f>IF(DockEquip28232270194[[#This Row],[Actual Buyout]]+DockEquip28232270194[[#This Row],[Change Orders]]=0,DockEquip28232270194[[#This Row],[Original Contract]],DockEquip28232270194[[#This Row],[Actual Buyout]]+DockEquip28232270194[[#This Row],[Change Orders]])</f>
        <v>0</v>
      </c>
      <c r="I364" s="129">
        <v>0</v>
      </c>
      <c r="J364" s="129">
        <f>DockEquip28232270194[[#This Row],[Original Contract]]-DockEquip28232270194[[#This Row],[Revised Contract]]</f>
        <v>0</v>
      </c>
      <c r="K364" s="341"/>
      <c r="L364" s="343"/>
      <c r="S364" s="97"/>
      <c r="T364" s="97"/>
      <c r="X364" s="198"/>
      <c r="Y364" s="198"/>
    </row>
    <row r="365" spans="1:25" x14ac:dyDescent="0.35">
      <c r="A365" s="128">
        <v>11</v>
      </c>
      <c r="B365" s="132" t="s">
        <v>362</v>
      </c>
      <c r="C365" s="132" t="s">
        <v>699</v>
      </c>
      <c r="D365" s="133" t="s">
        <v>700</v>
      </c>
      <c r="E365" s="255">
        <v>0</v>
      </c>
      <c r="F365" s="255">
        <v>0</v>
      </c>
      <c r="G365" s="129">
        <f>0</f>
        <v>0</v>
      </c>
      <c r="H365" s="255">
        <f>IF(DockEquip28232270194[[#This Row],[Actual Buyout]]+DockEquip28232270194[[#This Row],[Change Orders]]=0,DockEquip28232270194[[#This Row],[Original Contract]],DockEquip28232270194[[#This Row],[Actual Buyout]]+DockEquip28232270194[[#This Row],[Change Orders]])</f>
        <v>0</v>
      </c>
      <c r="I365" s="129">
        <v>0</v>
      </c>
      <c r="J365" s="129">
        <f>DockEquip28232270194[[#This Row],[Original Contract]]-DockEquip28232270194[[#This Row],[Revised Contract]]</f>
        <v>0</v>
      </c>
      <c r="K365" s="341"/>
      <c r="L365" s="343"/>
      <c r="S365" s="97"/>
      <c r="T365" s="97"/>
      <c r="X365" s="198"/>
      <c r="Y365" s="198"/>
    </row>
    <row r="366" spans="1:25" x14ac:dyDescent="0.35">
      <c r="A366" s="128">
        <v>11</v>
      </c>
      <c r="B366" s="132" t="s">
        <v>362</v>
      </c>
      <c r="C366" s="132" t="s">
        <v>701</v>
      </c>
      <c r="D366" s="133" t="s">
        <v>702</v>
      </c>
      <c r="E366" s="255">
        <v>0</v>
      </c>
      <c r="F366" s="255">
        <v>0</v>
      </c>
      <c r="G366" s="129">
        <f>0</f>
        <v>0</v>
      </c>
      <c r="H366" s="255">
        <f>IF(DockEquip28232270194[[#This Row],[Actual Buyout]]+DockEquip28232270194[[#This Row],[Change Orders]]=0,DockEquip28232270194[[#This Row],[Original Contract]],DockEquip28232270194[[#This Row],[Actual Buyout]]+DockEquip28232270194[[#This Row],[Change Orders]])</f>
        <v>0</v>
      </c>
      <c r="I366" s="129">
        <v>0</v>
      </c>
      <c r="J366" s="129">
        <f>DockEquip28232270194[[#This Row],[Original Contract]]-DockEquip28232270194[[#This Row],[Revised Contract]]</f>
        <v>0</v>
      </c>
      <c r="K366" s="341"/>
      <c r="L366" s="343"/>
      <c r="S366" s="97"/>
      <c r="T366" s="97"/>
      <c r="X366" s="198"/>
      <c r="Y366" s="198"/>
    </row>
    <row r="367" spans="1:25" x14ac:dyDescent="0.35">
      <c r="A367" s="128">
        <v>11</v>
      </c>
      <c r="B367" s="132"/>
      <c r="C367" s="132"/>
      <c r="D367" s="133" t="s">
        <v>37</v>
      </c>
      <c r="E367" s="255">
        <v>0</v>
      </c>
      <c r="F367" s="255">
        <v>0</v>
      </c>
      <c r="G367" s="129">
        <f>0</f>
        <v>0</v>
      </c>
      <c r="H367" s="255">
        <f>IF(DockEquip28232270194[[#This Row],[Actual Buyout]]+DockEquip28232270194[[#This Row],[Change Orders]]=0,DockEquip28232270194[[#This Row],[Original Contract]],DockEquip28232270194[[#This Row],[Actual Buyout]]+DockEquip28232270194[[#This Row],[Change Orders]])</f>
        <v>0</v>
      </c>
      <c r="I367" s="129">
        <v>0</v>
      </c>
      <c r="J367" s="129">
        <f>DockEquip28232270194[[#This Row],[Original Contract]]-DockEquip28232270194[[#This Row],[Revised Contract]]</f>
        <v>0</v>
      </c>
      <c r="K367" s="341"/>
      <c r="L367" s="343"/>
      <c r="S367" s="97"/>
      <c r="T367" s="97"/>
      <c r="X367" s="198"/>
      <c r="Y367" s="198"/>
    </row>
    <row r="368" spans="1:25" x14ac:dyDescent="0.35">
      <c r="A368" s="128">
        <v>11</v>
      </c>
      <c r="B368" s="132"/>
      <c r="C368" s="132"/>
      <c r="D368" s="133" t="s">
        <v>37</v>
      </c>
      <c r="E368" s="255">
        <v>0</v>
      </c>
      <c r="F368" s="255">
        <v>0</v>
      </c>
      <c r="G368" s="129">
        <f>0</f>
        <v>0</v>
      </c>
      <c r="H368" s="255">
        <f>IF(DockEquip28232270194[[#This Row],[Actual Buyout]]+DockEquip28232270194[[#This Row],[Change Orders]]=0,DockEquip28232270194[[#This Row],[Original Contract]],DockEquip28232270194[[#This Row],[Actual Buyout]]+DockEquip28232270194[[#This Row],[Change Orders]])</f>
        <v>0</v>
      </c>
      <c r="I368" s="129">
        <v>0</v>
      </c>
      <c r="J368" s="129">
        <f>DockEquip28232270194[[#This Row],[Original Contract]]-DockEquip28232270194[[#This Row],[Revised Contract]]</f>
        <v>0</v>
      </c>
      <c r="K368" s="341"/>
      <c r="L368" s="343"/>
      <c r="S368" s="97"/>
      <c r="T368" s="97"/>
      <c r="X368" s="198"/>
      <c r="Y368" s="198"/>
    </row>
    <row r="369" spans="1:25" x14ac:dyDescent="0.35">
      <c r="A369" s="128">
        <v>11</v>
      </c>
      <c r="B369" s="132"/>
      <c r="C369" s="132"/>
      <c r="D369" s="133" t="s">
        <v>37</v>
      </c>
      <c r="E369" s="255">
        <v>0</v>
      </c>
      <c r="F369" s="255">
        <v>0</v>
      </c>
      <c r="G369" s="129">
        <f>0</f>
        <v>0</v>
      </c>
      <c r="H369" s="255">
        <f>IF(DockEquip28232270194[[#This Row],[Actual Buyout]]+DockEquip28232270194[[#This Row],[Change Orders]]=0,DockEquip28232270194[[#This Row],[Original Contract]],DockEquip28232270194[[#This Row],[Actual Buyout]]+DockEquip28232270194[[#This Row],[Change Orders]])</f>
        <v>0</v>
      </c>
      <c r="I369" s="129">
        <v>0</v>
      </c>
      <c r="J369" s="129">
        <f>DockEquip28232270194[[#This Row],[Original Contract]]-DockEquip28232270194[[#This Row],[Revised Contract]]</f>
        <v>0</v>
      </c>
      <c r="K369" s="341"/>
      <c r="L369" s="343"/>
      <c r="S369" s="97"/>
      <c r="T369" s="97"/>
      <c r="X369" s="198"/>
      <c r="Y369" s="198"/>
    </row>
    <row r="370" spans="1:25" x14ac:dyDescent="0.35">
      <c r="A370" s="128">
        <v>11</v>
      </c>
      <c r="B370" s="132"/>
      <c r="C370" s="132"/>
      <c r="D370" s="133" t="s">
        <v>37</v>
      </c>
      <c r="E370" s="255">
        <v>0</v>
      </c>
      <c r="F370" s="255">
        <v>0</v>
      </c>
      <c r="G370" s="129">
        <f>0</f>
        <v>0</v>
      </c>
      <c r="H370" s="255">
        <f>IF(DockEquip28232270194[[#This Row],[Actual Buyout]]+DockEquip28232270194[[#This Row],[Change Orders]]=0,DockEquip28232270194[[#This Row],[Original Contract]],DockEquip28232270194[[#This Row],[Actual Buyout]]+DockEquip28232270194[[#This Row],[Change Orders]])</f>
        <v>0</v>
      </c>
      <c r="I370" s="129">
        <v>0</v>
      </c>
      <c r="J370" s="129">
        <f>DockEquip28232270194[[#This Row],[Original Contract]]-DockEquip28232270194[[#This Row],[Revised Contract]]</f>
        <v>0</v>
      </c>
      <c r="K370" s="341"/>
      <c r="L370" s="343"/>
      <c r="S370" s="97"/>
      <c r="T370" s="97"/>
      <c r="X370" s="198"/>
      <c r="Y370" s="198"/>
    </row>
    <row r="371" spans="1:25" x14ac:dyDescent="0.35">
      <c r="A371" s="128">
        <v>11</v>
      </c>
      <c r="B371" s="132"/>
      <c r="C371" s="132"/>
      <c r="D371" s="133" t="s">
        <v>37</v>
      </c>
      <c r="E371" s="255">
        <v>0</v>
      </c>
      <c r="F371" s="255">
        <v>0</v>
      </c>
      <c r="G371" s="129">
        <f>0</f>
        <v>0</v>
      </c>
      <c r="H371" s="255">
        <f>IF(DockEquip28232270194[[#This Row],[Actual Buyout]]+DockEquip28232270194[[#This Row],[Change Orders]]=0,DockEquip28232270194[[#This Row],[Original Contract]],DockEquip28232270194[[#This Row],[Actual Buyout]]+DockEquip28232270194[[#This Row],[Change Orders]])</f>
        <v>0</v>
      </c>
      <c r="I371" s="129">
        <v>0</v>
      </c>
      <c r="J371" s="129">
        <f>DockEquip28232270194[[#This Row],[Original Contract]]-DockEquip28232270194[[#This Row],[Revised Contract]]</f>
        <v>0</v>
      </c>
      <c r="K371" s="341"/>
      <c r="L371" s="343"/>
      <c r="S371" s="97"/>
      <c r="T371" s="97"/>
      <c r="X371" s="198"/>
      <c r="Y371" s="198"/>
    </row>
    <row r="372" spans="1:25" x14ac:dyDescent="0.35">
      <c r="A372" s="257"/>
      <c r="B372" s="258"/>
      <c r="C372" s="258"/>
      <c r="D372" s="256" t="s">
        <v>38</v>
      </c>
      <c r="E372" s="151">
        <f>SUM(DockEquip28232270194[Original Contract])</f>
        <v>0</v>
      </c>
      <c r="F372" s="151">
        <f>SUM(DockEquip28232270194[Actual Buyout])</f>
        <v>0</v>
      </c>
      <c r="G372" s="151">
        <f>SUM(DockEquip28232270194[Change Orders])</f>
        <v>0</v>
      </c>
      <c r="H372" s="151">
        <f>SUM(DockEquip28232270194[Revised Contract])</f>
        <v>0</v>
      </c>
      <c r="I372" s="151">
        <f>SUM(DockEquip28232270194[Total completed and Stored])</f>
        <v>0</v>
      </c>
      <c r="J372" s="151">
        <f>SUM(DockEquip28232270194[Delta])</f>
        <v>0</v>
      </c>
      <c r="K372" s="343"/>
      <c r="L372" s="343"/>
    </row>
    <row r="373" spans="1:25" x14ac:dyDescent="0.35">
      <c r="A373" s="100" t="s">
        <v>662</v>
      </c>
      <c r="B373" s="100" t="s">
        <v>239</v>
      </c>
      <c r="C373" s="100" t="s">
        <v>167</v>
      </c>
      <c r="D373" s="100" t="s">
        <v>26</v>
      </c>
      <c r="E373" s="100" t="s">
        <v>781</v>
      </c>
      <c r="F373" s="332" t="s">
        <v>1078</v>
      </c>
      <c r="G373" s="332" t="s">
        <v>782</v>
      </c>
      <c r="H373" s="332" t="s">
        <v>783</v>
      </c>
      <c r="I373" s="334" t="s">
        <v>785</v>
      </c>
      <c r="J373" s="340" t="s">
        <v>1079</v>
      </c>
      <c r="K373" s="335"/>
      <c r="L373" s="343"/>
      <c r="S373" s="97"/>
      <c r="T373" s="97"/>
      <c r="X373" s="198"/>
      <c r="Y373" s="198"/>
    </row>
    <row r="374" spans="1:25" x14ac:dyDescent="0.35">
      <c r="A374" s="128">
        <v>12</v>
      </c>
      <c r="B374" s="132" t="s">
        <v>240</v>
      </c>
      <c r="C374" s="132" t="s">
        <v>241</v>
      </c>
      <c r="D374" s="133" t="s">
        <v>240</v>
      </c>
      <c r="E374" s="255">
        <v>0</v>
      </c>
      <c r="F374" s="255">
        <v>0</v>
      </c>
      <c r="G374" s="129">
        <f>0</f>
        <v>0</v>
      </c>
      <c r="H374" s="255">
        <f>IF(Furnishings29233271195[[#This Row],[Actual Buyout]]+Furnishings29233271195[[#This Row],[Change Orders]]=0,Furnishings29233271195[[#This Row],[Original Contract]],Furnishings29233271195[[#This Row],[Actual Buyout]]+Furnishings29233271195[[#This Row],[Change Orders]])</f>
        <v>0</v>
      </c>
      <c r="I374" s="129">
        <v>0</v>
      </c>
      <c r="J374" s="129">
        <f>Furnishings29233271195[[#This Row],[Original Contract]]-Furnishings29233271195[[#This Row],[Revised Contract]]</f>
        <v>0</v>
      </c>
      <c r="K374" s="341"/>
      <c r="L374" s="343"/>
      <c r="S374" s="97"/>
      <c r="T374" s="97"/>
      <c r="X374" s="198"/>
      <c r="Y374" s="198"/>
    </row>
    <row r="375" spans="1:25" x14ac:dyDescent="0.35">
      <c r="A375" s="128">
        <v>12</v>
      </c>
      <c r="B375" s="132"/>
      <c r="C375" s="132"/>
      <c r="D375" s="133" t="s">
        <v>37</v>
      </c>
      <c r="E375" s="255">
        <v>0</v>
      </c>
      <c r="F375" s="255">
        <v>0</v>
      </c>
      <c r="G375" s="129">
        <f>0</f>
        <v>0</v>
      </c>
      <c r="H375" s="255">
        <f>IF(Furnishings29233271195[[#This Row],[Actual Buyout]]+Furnishings29233271195[[#This Row],[Change Orders]]=0,Furnishings29233271195[[#This Row],[Original Contract]],Furnishings29233271195[[#This Row],[Actual Buyout]]+Furnishings29233271195[[#This Row],[Change Orders]])</f>
        <v>0</v>
      </c>
      <c r="I375" s="129">
        <v>0</v>
      </c>
      <c r="J375" s="129">
        <f>Furnishings29233271195[[#This Row],[Original Contract]]-Furnishings29233271195[[#This Row],[Revised Contract]]</f>
        <v>0</v>
      </c>
      <c r="K375" s="341"/>
      <c r="L375" s="343"/>
      <c r="S375" s="97"/>
      <c r="T375" s="97"/>
      <c r="X375" s="198"/>
      <c r="Y375" s="198"/>
    </row>
    <row r="376" spans="1:25" x14ac:dyDescent="0.35">
      <c r="A376" s="128">
        <v>12</v>
      </c>
      <c r="B376" s="132"/>
      <c r="C376" s="132"/>
      <c r="D376" s="133" t="s">
        <v>37</v>
      </c>
      <c r="E376" s="255">
        <v>0</v>
      </c>
      <c r="F376" s="255">
        <v>0</v>
      </c>
      <c r="G376" s="129">
        <f>0</f>
        <v>0</v>
      </c>
      <c r="H376" s="255">
        <f>IF(Furnishings29233271195[[#This Row],[Actual Buyout]]+Furnishings29233271195[[#This Row],[Change Orders]]=0,Furnishings29233271195[[#This Row],[Original Contract]],Furnishings29233271195[[#This Row],[Actual Buyout]]+Furnishings29233271195[[#This Row],[Change Orders]])</f>
        <v>0</v>
      </c>
      <c r="I376" s="129">
        <v>0</v>
      </c>
      <c r="J376" s="129">
        <f>Furnishings29233271195[[#This Row],[Original Contract]]-Furnishings29233271195[[#This Row],[Revised Contract]]</f>
        <v>0</v>
      </c>
      <c r="K376" s="341"/>
      <c r="L376" s="343"/>
      <c r="S376" s="97"/>
      <c r="T376" s="97"/>
      <c r="X376" s="198"/>
      <c r="Y376" s="198"/>
    </row>
    <row r="377" spans="1:25" x14ac:dyDescent="0.35">
      <c r="A377" s="128">
        <v>12</v>
      </c>
      <c r="B377" s="132"/>
      <c r="C377" s="132"/>
      <c r="D377" s="133" t="s">
        <v>37</v>
      </c>
      <c r="E377" s="255">
        <v>0</v>
      </c>
      <c r="F377" s="255">
        <v>0</v>
      </c>
      <c r="G377" s="129">
        <f>0</f>
        <v>0</v>
      </c>
      <c r="H377" s="255">
        <f>IF(Furnishings29233271195[[#This Row],[Actual Buyout]]+Furnishings29233271195[[#This Row],[Change Orders]]=0,Furnishings29233271195[[#This Row],[Original Contract]],Furnishings29233271195[[#This Row],[Actual Buyout]]+Furnishings29233271195[[#This Row],[Change Orders]])</f>
        <v>0</v>
      </c>
      <c r="I377" s="129">
        <v>0</v>
      </c>
      <c r="J377" s="129">
        <f>Furnishings29233271195[[#This Row],[Original Contract]]-Furnishings29233271195[[#This Row],[Revised Contract]]</f>
        <v>0</v>
      </c>
      <c r="K377" s="341"/>
      <c r="L377" s="343"/>
      <c r="S377" s="97"/>
      <c r="T377" s="97"/>
      <c r="X377" s="198"/>
      <c r="Y377" s="198"/>
    </row>
    <row r="378" spans="1:25" x14ac:dyDescent="0.35">
      <c r="A378" s="128">
        <v>12</v>
      </c>
      <c r="B378" s="132"/>
      <c r="C378" s="132"/>
      <c r="D378" s="133" t="s">
        <v>37</v>
      </c>
      <c r="E378" s="255">
        <v>0</v>
      </c>
      <c r="F378" s="255">
        <v>0</v>
      </c>
      <c r="G378" s="129">
        <f>0</f>
        <v>0</v>
      </c>
      <c r="H378" s="255">
        <f>IF(Furnishings29233271195[[#This Row],[Actual Buyout]]+Furnishings29233271195[[#This Row],[Change Orders]]=0,Furnishings29233271195[[#This Row],[Original Contract]],Furnishings29233271195[[#This Row],[Actual Buyout]]+Furnishings29233271195[[#This Row],[Change Orders]])</f>
        <v>0</v>
      </c>
      <c r="I378" s="129">
        <v>0</v>
      </c>
      <c r="J378" s="129">
        <f>Furnishings29233271195[[#This Row],[Original Contract]]-Furnishings29233271195[[#This Row],[Revised Contract]]</f>
        <v>0</v>
      </c>
      <c r="K378" s="341"/>
      <c r="L378" s="343"/>
      <c r="S378" s="97"/>
      <c r="T378" s="97"/>
      <c r="X378" s="198"/>
      <c r="Y378" s="198"/>
    </row>
    <row r="379" spans="1:25" ht="15" customHeight="1" x14ac:dyDescent="0.35">
      <c r="A379" s="128">
        <v>12</v>
      </c>
      <c r="B379" s="132"/>
      <c r="C379" s="132"/>
      <c r="D379" s="133" t="s">
        <v>37</v>
      </c>
      <c r="E379" s="255">
        <v>0</v>
      </c>
      <c r="F379" s="255">
        <v>0</v>
      </c>
      <c r="G379" s="129">
        <f>0</f>
        <v>0</v>
      </c>
      <c r="H379" s="255">
        <f>IF(Furnishings29233271195[[#This Row],[Actual Buyout]]+Furnishings29233271195[[#This Row],[Change Orders]]=0,Furnishings29233271195[[#This Row],[Original Contract]],Furnishings29233271195[[#This Row],[Actual Buyout]]+Furnishings29233271195[[#This Row],[Change Orders]])</f>
        <v>0</v>
      </c>
      <c r="I379" s="129">
        <v>0</v>
      </c>
      <c r="J379" s="129">
        <f>Furnishings29233271195[[#This Row],[Original Contract]]-Furnishings29233271195[[#This Row],[Revised Contract]]</f>
        <v>0</v>
      </c>
      <c r="K379" s="341"/>
      <c r="L379" s="343"/>
      <c r="S379" s="97"/>
      <c r="T379" s="97"/>
      <c r="X379" s="198"/>
      <c r="Y379" s="198"/>
    </row>
    <row r="380" spans="1:25" x14ac:dyDescent="0.35">
      <c r="A380" s="257"/>
      <c r="B380" s="258"/>
      <c r="C380" s="258"/>
      <c r="D380" s="256" t="s">
        <v>38</v>
      </c>
      <c r="E380" s="151">
        <f>SUM(Furnishings29233271195[Original Contract])</f>
        <v>0</v>
      </c>
      <c r="F380" s="151">
        <f>SUM(Furnishings29233271195[Actual Buyout])</f>
        <v>0</v>
      </c>
      <c r="G380" s="151">
        <f>SUM(Furnishings29233271195[Change Orders])</f>
        <v>0</v>
      </c>
      <c r="H380" s="151">
        <f>SUM(Furnishings29233271195[Revised Contract])</f>
        <v>0</v>
      </c>
      <c r="I380" s="151">
        <f>SUM(Furnishings29233271195[Total completed and Stored])</f>
        <v>0</v>
      </c>
      <c r="J380" s="151">
        <f>SUM(Furnishings29233271195[Delta])</f>
        <v>0</v>
      </c>
      <c r="K380" s="343"/>
      <c r="L380" s="343"/>
    </row>
    <row r="381" spans="1:25" x14ac:dyDescent="0.35">
      <c r="A381" s="100" t="s">
        <v>663</v>
      </c>
      <c r="B381" s="100" t="s">
        <v>192</v>
      </c>
      <c r="C381" s="100" t="s">
        <v>167</v>
      </c>
      <c r="D381" s="100" t="s">
        <v>26</v>
      </c>
      <c r="E381" s="100" t="s">
        <v>781</v>
      </c>
      <c r="F381" s="332" t="s">
        <v>1078</v>
      </c>
      <c r="G381" s="332" t="s">
        <v>782</v>
      </c>
      <c r="H381" s="332" t="s">
        <v>783</v>
      </c>
      <c r="I381" s="334" t="s">
        <v>785</v>
      </c>
      <c r="J381" s="340" t="s">
        <v>1079</v>
      </c>
      <c r="K381" s="335"/>
      <c r="L381" s="343"/>
      <c r="S381" s="97"/>
      <c r="T381" s="97"/>
      <c r="X381" s="198"/>
      <c r="Y381" s="198"/>
    </row>
    <row r="382" spans="1:25" x14ac:dyDescent="0.35">
      <c r="A382" s="128">
        <v>13</v>
      </c>
      <c r="B382" s="132" t="s">
        <v>192</v>
      </c>
      <c r="C382" s="132" t="s">
        <v>193</v>
      </c>
      <c r="D382" s="133" t="s">
        <v>194</v>
      </c>
      <c r="E382" s="255">
        <v>0</v>
      </c>
      <c r="F382" s="255">
        <v>0</v>
      </c>
      <c r="G382" s="129">
        <f>0</f>
        <v>0</v>
      </c>
      <c r="H382" s="255">
        <f>IF(SpecConst30234272196[[#This Row],[Actual Buyout]]+SpecConst30234272196[[#This Row],[Change Orders]]=0,SpecConst30234272196[[#This Row],[Original Contract]],SpecConst30234272196[[#This Row],[Actual Buyout]]+SpecConst30234272196[[#This Row],[Change Orders]])</f>
        <v>0</v>
      </c>
      <c r="I382" s="129">
        <v>0</v>
      </c>
      <c r="J382" s="129">
        <f>SpecConst30234272196[[#This Row],[Original Contract]]-SpecConst30234272196[[#This Row],[Revised Contract]]</f>
        <v>0</v>
      </c>
      <c r="K382" s="341"/>
      <c r="L382" s="343"/>
      <c r="S382" s="97"/>
      <c r="T382" s="97"/>
      <c r="X382" s="198"/>
      <c r="Y382" s="198"/>
    </row>
    <row r="383" spans="1:25" x14ac:dyDescent="0.35">
      <c r="A383" s="128">
        <v>13</v>
      </c>
      <c r="B383" s="132" t="s">
        <v>192</v>
      </c>
      <c r="C383" s="132" t="s">
        <v>193</v>
      </c>
      <c r="D383" s="133" t="s">
        <v>703</v>
      </c>
      <c r="E383" s="255">
        <v>0</v>
      </c>
      <c r="F383" s="255">
        <v>0</v>
      </c>
      <c r="G383" s="129">
        <f>0</f>
        <v>0</v>
      </c>
      <c r="H383" s="255">
        <f>IF(SpecConst30234272196[[#This Row],[Actual Buyout]]+SpecConst30234272196[[#This Row],[Change Orders]]=0,SpecConst30234272196[[#This Row],[Original Contract]],SpecConst30234272196[[#This Row],[Actual Buyout]]+SpecConst30234272196[[#This Row],[Change Orders]])</f>
        <v>0</v>
      </c>
      <c r="I383" s="129">
        <v>0</v>
      </c>
      <c r="J383" s="129">
        <f>SpecConst30234272196[[#This Row],[Original Contract]]-SpecConst30234272196[[#This Row],[Revised Contract]]</f>
        <v>0</v>
      </c>
      <c r="K383" s="341"/>
      <c r="L383" s="343"/>
      <c r="S383" s="97"/>
      <c r="T383" s="97"/>
      <c r="X383" s="198"/>
      <c r="Y383" s="198"/>
    </row>
    <row r="384" spans="1:25" x14ac:dyDescent="0.35">
      <c r="A384" s="128">
        <v>13</v>
      </c>
      <c r="B384" s="132"/>
      <c r="C384" s="132"/>
      <c r="D384" s="133" t="s">
        <v>37</v>
      </c>
      <c r="E384" s="255">
        <v>0</v>
      </c>
      <c r="F384" s="255">
        <v>0</v>
      </c>
      <c r="G384" s="129">
        <f>0</f>
        <v>0</v>
      </c>
      <c r="H384" s="255">
        <f>IF(SpecConst30234272196[[#This Row],[Actual Buyout]]+SpecConst30234272196[[#This Row],[Change Orders]]=0,SpecConst30234272196[[#This Row],[Original Contract]],SpecConst30234272196[[#This Row],[Actual Buyout]]+SpecConst30234272196[[#This Row],[Change Orders]])</f>
        <v>0</v>
      </c>
      <c r="I384" s="129">
        <v>0</v>
      </c>
      <c r="J384" s="129">
        <f>SpecConst30234272196[[#This Row],[Original Contract]]-SpecConst30234272196[[#This Row],[Revised Contract]]</f>
        <v>0</v>
      </c>
      <c r="K384" s="341"/>
      <c r="L384" s="343"/>
      <c r="S384" s="97"/>
      <c r="T384" s="97"/>
      <c r="X384" s="198"/>
      <c r="Y384" s="198"/>
    </row>
    <row r="385" spans="1:25" x14ac:dyDescent="0.35">
      <c r="A385" s="128">
        <v>13</v>
      </c>
      <c r="B385" s="132"/>
      <c r="C385" s="132"/>
      <c r="D385" s="133" t="s">
        <v>37</v>
      </c>
      <c r="E385" s="255">
        <v>0</v>
      </c>
      <c r="F385" s="255">
        <v>0</v>
      </c>
      <c r="G385" s="129">
        <f>0</f>
        <v>0</v>
      </c>
      <c r="H385" s="255">
        <f>IF(SpecConst30234272196[[#This Row],[Actual Buyout]]+SpecConst30234272196[[#This Row],[Change Orders]]=0,SpecConst30234272196[[#This Row],[Original Contract]],SpecConst30234272196[[#This Row],[Actual Buyout]]+SpecConst30234272196[[#This Row],[Change Orders]])</f>
        <v>0</v>
      </c>
      <c r="I385" s="129">
        <v>0</v>
      </c>
      <c r="J385" s="129">
        <f>SpecConst30234272196[[#This Row],[Original Contract]]-SpecConst30234272196[[#This Row],[Revised Contract]]</f>
        <v>0</v>
      </c>
      <c r="K385" s="341"/>
      <c r="L385" s="343"/>
      <c r="S385" s="97"/>
      <c r="T385" s="97"/>
      <c r="X385" s="198"/>
      <c r="Y385" s="198"/>
    </row>
    <row r="386" spans="1:25" x14ac:dyDescent="0.35">
      <c r="A386" s="128">
        <v>13</v>
      </c>
      <c r="B386" s="132"/>
      <c r="C386" s="132"/>
      <c r="D386" s="133" t="s">
        <v>37</v>
      </c>
      <c r="E386" s="255">
        <v>0</v>
      </c>
      <c r="F386" s="255">
        <v>0</v>
      </c>
      <c r="G386" s="129">
        <f>0</f>
        <v>0</v>
      </c>
      <c r="H386" s="255">
        <f>IF(SpecConst30234272196[[#This Row],[Actual Buyout]]+SpecConst30234272196[[#This Row],[Change Orders]]=0,SpecConst30234272196[[#This Row],[Original Contract]],SpecConst30234272196[[#This Row],[Actual Buyout]]+SpecConst30234272196[[#This Row],[Change Orders]])</f>
        <v>0</v>
      </c>
      <c r="I386" s="129">
        <v>0</v>
      </c>
      <c r="J386" s="129">
        <f>SpecConst30234272196[[#This Row],[Original Contract]]-SpecConst30234272196[[#This Row],[Revised Contract]]</f>
        <v>0</v>
      </c>
      <c r="K386" s="341"/>
      <c r="L386" s="343"/>
      <c r="S386" s="97"/>
      <c r="T386" s="97"/>
      <c r="X386" s="198"/>
      <c r="Y386" s="198"/>
    </row>
    <row r="387" spans="1:25" x14ac:dyDescent="0.35">
      <c r="A387" s="128">
        <v>13</v>
      </c>
      <c r="B387" s="132"/>
      <c r="C387" s="132"/>
      <c r="D387" s="133" t="s">
        <v>37</v>
      </c>
      <c r="E387" s="255">
        <v>0</v>
      </c>
      <c r="F387" s="255">
        <v>0</v>
      </c>
      <c r="G387" s="129">
        <f>0</f>
        <v>0</v>
      </c>
      <c r="H387" s="255">
        <f>IF(SpecConst30234272196[[#This Row],[Actual Buyout]]+SpecConst30234272196[[#This Row],[Change Orders]]=0,SpecConst30234272196[[#This Row],[Original Contract]],SpecConst30234272196[[#This Row],[Actual Buyout]]+SpecConst30234272196[[#This Row],[Change Orders]])</f>
        <v>0</v>
      </c>
      <c r="I387" s="129">
        <v>0</v>
      </c>
      <c r="J387" s="129">
        <f>SpecConst30234272196[[#This Row],[Original Contract]]-SpecConst30234272196[[#This Row],[Revised Contract]]</f>
        <v>0</v>
      </c>
      <c r="K387" s="341"/>
      <c r="L387" s="343"/>
      <c r="S387" s="97"/>
      <c r="T387" s="97"/>
      <c r="X387" s="198"/>
      <c r="Y387" s="198"/>
    </row>
    <row r="388" spans="1:25" x14ac:dyDescent="0.35">
      <c r="A388" s="128">
        <v>13</v>
      </c>
      <c r="B388" s="132"/>
      <c r="C388" s="132"/>
      <c r="D388" s="133" t="s">
        <v>37</v>
      </c>
      <c r="E388" s="255">
        <v>0</v>
      </c>
      <c r="F388" s="255">
        <v>0</v>
      </c>
      <c r="G388" s="129">
        <f>0</f>
        <v>0</v>
      </c>
      <c r="H388" s="255">
        <f>IF(SpecConst30234272196[[#This Row],[Actual Buyout]]+SpecConst30234272196[[#This Row],[Change Orders]]=0,SpecConst30234272196[[#This Row],[Original Contract]],SpecConst30234272196[[#This Row],[Actual Buyout]]+SpecConst30234272196[[#This Row],[Change Orders]])</f>
        <v>0</v>
      </c>
      <c r="I388" s="129">
        <v>0</v>
      </c>
      <c r="J388" s="129">
        <f>SpecConst30234272196[[#This Row],[Original Contract]]-SpecConst30234272196[[#This Row],[Revised Contract]]</f>
        <v>0</v>
      </c>
      <c r="K388" s="341"/>
      <c r="L388" s="343"/>
      <c r="S388" s="97"/>
      <c r="T388" s="97"/>
      <c r="X388" s="198"/>
      <c r="Y388" s="198"/>
    </row>
    <row r="389" spans="1:25" x14ac:dyDescent="0.35">
      <c r="A389" s="257"/>
      <c r="B389" s="258"/>
      <c r="C389" s="258"/>
      <c r="D389" s="256" t="s">
        <v>38</v>
      </c>
      <c r="E389" s="151">
        <f>SUM(SpecConst30234272196[Original Contract])</f>
        <v>0</v>
      </c>
      <c r="F389" s="151">
        <f>SUM(SpecConst30234272196[Actual Buyout])</f>
        <v>0</v>
      </c>
      <c r="G389" s="151">
        <f>SUM(SpecConst30234272196[Change Orders])</f>
        <v>0</v>
      </c>
      <c r="H389" s="151">
        <f>SUM(SpecConst30234272196[Revised Contract])</f>
        <v>0</v>
      </c>
      <c r="I389" s="151">
        <f>SUM(SpecConst30234272196[Total completed and Stored])</f>
        <v>0</v>
      </c>
      <c r="J389" s="151">
        <f>SUM(SpecConst30234272196[Delta])</f>
        <v>0</v>
      </c>
      <c r="K389" s="343"/>
      <c r="L389" s="343"/>
    </row>
    <row r="390" spans="1:25" x14ac:dyDescent="0.35">
      <c r="A390" s="100" t="s">
        <v>664</v>
      </c>
      <c r="B390" s="100" t="s">
        <v>128</v>
      </c>
      <c r="C390" s="100" t="s">
        <v>167</v>
      </c>
      <c r="D390" s="100" t="s">
        <v>26</v>
      </c>
      <c r="E390" s="100" t="s">
        <v>781</v>
      </c>
      <c r="F390" s="332" t="s">
        <v>1078</v>
      </c>
      <c r="G390" s="332" t="s">
        <v>782</v>
      </c>
      <c r="H390" s="332" t="s">
        <v>783</v>
      </c>
      <c r="I390" s="334" t="s">
        <v>785</v>
      </c>
      <c r="J390" s="340" t="s">
        <v>1079</v>
      </c>
      <c r="K390" s="335"/>
      <c r="L390" s="343"/>
      <c r="S390" s="97"/>
      <c r="T390" s="97"/>
      <c r="X390" s="198"/>
      <c r="Y390" s="198"/>
    </row>
    <row r="391" spans="1:25" x14ac:dyDescent="0.35">
      <c r="A391" s="128">
        <v>14</v>
      </c>
      <c r="B391" s="132" t="s">
        <v>128</v>
      </c>
      <c r="C391" s="132" t="s">
        <v>195</v>
      </c>
      <c r="D391" s="133" t="s">
        <v>32</v>
      </c>
      <c r="E391" s="255">
        <v>0</v>
      </c>
      <c r="F391" s="255">
        <v>0</v>
      </c>
      <c r="G391" s="129">
        <f>0</f>
        <v>0</v>
      </c>
      <c r="H391" s="255">
        <f>IF(Elevators31235273197[[#This Row],[Actual Buyout]]+Elevators31235273197[[#This Row],[Change Orders]]=0,Elevators31235273197[[#This Row],[Original Contract]],Elevators31235273197[[#This Row],[Actual Buyout]]+Elevators31235273197[[#This Row],[Change Orders]])</f>
        <v>0</v>
      </c>
      <c r="I391" s="129">
        <v>0</v>
      </c>
      <c r="J391" s="129">
        <f>Elevators31235273197[[#This Row],[Original Contract]]-Elevators31235273197[[#This Row],[Revised Contract]]</f>
        <v>0</v>
      </c>
      <c r="K391" s="341"/>
      <c r="L391" s="343"/>
      <c r="S391" s="97"/>
      <c r="T391" s="97"/>
      <c r="X391" s="198"/>
      <c r="Y391" s="198"/>
    </row>
    <row r="392" spans="1:25" x14ac:dyDescent="0.35">
      <c r="A392" s="128">
        <v>14</v>
      </c>
      <c r="B392" s="132" t="s">
        <v>704</v>
      </c>
      <c r="C392" s="132" t="s">
        <v>705</v>
      </c>
      <c r="D392" s="133" t="s">
        <v>706</v>
      </c>
      <c r="E392" s="255">
        <v>0</v>
      </c>
      <c r="F392" s="255">
        <v>0</v>
      </c>
      <c r="G392" s="129">
        <f>0</f>
        <v>0</v>
      </c>
      <c r="H392" s="255">
        <f>IF(Elevators31235273197[[#This Row],[Actual Buyout]]+Elevators31235273197[[#This Row],[Change Orders]]=0,Elevators31235273197[[#This Row],[Original Contract]],Elevators31235273197[[#This Row],[Actual Buyout]]+Elevators31235273197[[#This Row],[Change Orders]])</f>
        <v>0</v>
      </c>
      <c r="I392" s="129">
        <v>0</v>
      </c>
      <c r="J392" s="129">
        <f>Elevators31235273197[[#This Row],[Original Contract]]-Elevators31235273197[[#This Row],[Revised Contract]]</f>
        <v>0</v>
      </c>
      <c r="K392" s="341"/>
      <c r="L392" s="343"/>
      <c r="S392" s="97"/>
      <c r="T392" s="97"/>
      <c r="X392" s="198"/>
      <c r="Y392" s="198"/>
    </row>
    <row r="393" spans="1:25" x14ac:dyDescent="0.35">
      <c r="A393" s="128">
        <v>14</v>
      </c>
      <c r="B393" s="132"/>
      <c r="C393" s="132"/>
      <c r="D393" s="133" t="s">
        <v>37</v>
      </c>
      <c r="E393" s="255">
        <v>0</v>
      </c>
      <c r="F393" s="255">
        <v>0</v>
      </c>
      <c r="G393" s="129">
        <f>0</f>
        <v>0</v>
      </c>
      <c r="H393" s="255">
        <f>IF(Elevators31235273197[[#This Row],[Actual Buyout]]+Elevators31235273197[[#This Row],[Change Orders]]=0,Elevators31235273197[[#This Row],[Original Contract]],Elevators31235273197[[#This Row],[Actual Buyout]]+Elevators31235273197[[#This Row],[Change Orders]])</f>
        <v>0</v>
      </c>
      <c r="I393" s="129">
        <v>0</v>
      </c>
      <c r="J393" s="129">
        <f>Elevators31235273197[[#This Row],[Original Contract]]-Elevators31235273197[[#This Row],[Revised Contract]]</f>
        <v>0</v>
      </c>
      <c r="K393" s="341"/>
      <c r="L393" s="343"/>
      <c r="S393" s="97"/>
      <c r="T393" s="97"/>
      <c r="X393" s="198"/>
      <c r="Y393" s="198"/>
    </row>
    <row r="394" spans="1:25" x14ac:dyDescent="0.35">
      <c r="A394" s="128">
        <v>14</v>
      </c>
      <c r="B394" s="132"/>
      <c r="C394" s="132"/>
      <c r="D394" s="133" t="s">
        <v>37</v>
      </c>
      <c r="E394" s="255">
        <v>0</v>
      </c>
      <c r="F394" s="255">
        <v>0</v>
      </c>
      <c r="G394" s="129">
        <f>0</f>
        <v>0</v>
      </c>
      <c r="H394" s="255">
        <f>IF(Elevators31235273197[[#This Row],[Actual Buyout]]+Elevators31235273197[[#This Row],[Change Orders]]=0,Elevators31235273197[[#This Row],[Original Contract]],Elevators31235273197[[#This Row],[Actual Buyout]]+Elevators31235273197[[#This Row],[Change Orders]])</f>
        <v>0</v>
      </c>
      <c r="I394" s="129">
        <v>0</v>
      </c>
      <c r="J394" s="129">
        <f>Elevators31235273197[[#This Row],[Original Contract]]-Elevators31235273197[[#This Row],[Revised Contract]]</f>
        <v>0</v>
      </c>
      <c r="K394" s="341"/>
      <c r="L394" s="343"/>
      <c r="S394" s="97"/>
      <c r="T394" s="97"/>
      <c r="X394" s="198"/>
      <c r="Y394" s="198"/>
    </row>
    <row r="395" spans="1:25" x14ac:dyDescent="0.35">
      <c r="A395" s="128">
        <v>14</v>
      </c>
      <c r="B395" s="132"/>
      <c r="C395" s="132"/>
      <c r="D395" s="133" t="s">
        <v>37</v>
      </c>
      <c r="E395" s="255">
        <v>0</v>
      </c>
      <c r="F395" s="255">
        <v>0</v>
      </c>
      <c r="G395" s="129">
        <f>0</f>
        <v>0</v>
      </c>
      <c r="H395" s="255">
        <f>IF(Elevators31235273197[[#This Row],[Actual Buyout]]+Elevators31235273197[[#This Row],[Change Orders]]=0,Elevators31235273197[[#This Row],[Original Contract]],Elevators31235273197[[#This Row],[Actual Buyout]]+Elevators31235273197[[#This Row],[Change Orders]])</f>
        <v>0</v>
      </c>
      <c r="I395" s="129">
        <v>0</v>
      </c>
      <c r="J395" s="129">
        <f>Elevators31235273197[[#This Row],[Original Contract]]-Elevators31235273197[[#This Row],[Revised Contract]]</f>
        <v>0</v>
      </c>
      <c r="K395" s="341"/>
      <c r="L395" s="343"/>
      <c r="S395" s="97"/>
      <c r="T395" s="97"/>
      <c r="X395" s="198"/>
      <c r="Y395" s="198"/>
    </row>
    <row r="396" spans="1:25" x14ac:dyDescent="0.35">
      <c r="A396" s="128">
        <v>14</v>
      </c>
      <c r="B396" s="132"/>
      <c r="C396" s="132"/>
      <c r="D396" s="133" t="s">
        <v>37</v>
      </c>
      <c r="E396" s="255">
        <v>0</v>
      </c>
      <c r="F396" s="255">
        <v>0</v>
      </c>
      <c r="G396" s="129">
        <f>0</f>
        <v>0</v>
      </c>
      <c r="H396" s="255">
        <f>IF(Elevators31235273197[[#This Row],[Actual Buyout]]+Elevators31235273197[[#This Row],[Change Orders]]=0,Elevators31235273197[[#This Row],[Original Contract]],Elevators31235273197[[#This Row],[Actual Buyout]]+Elevators31235273197[[#This Row],[Change Orders]])</f>
        <v>0</v>
      </c>
      <c r="I396" s="129">
        <v>0</v>
      </c>
      <c r="J396" s="129">
        <f>Elevators31235273197[[#This Row],[Original Contract]]-Elevators31235273197[[#This Row],[Revised Contract]]</f>
        <v>0</v>
      </c>
      <c r="K396" s="341"/>
      <c r="L396" s="343"/>
      <c r="S396" s="97"/>
      <c r="T396" s="97"/>
      <c r="X396" s="198"/>
      <c r="Y396" s="198"/>
    </row>
    <row r="397" spans="1:25" x14ac:dyDescent="0.35">
      <c r="A397" s="128">
        <v>14</v>
      </c>
      <c r="B397" s="132"/>
      <c r="C397" s="132"/>
      <c r="D397" s="133" t="s">
        <v>37</v>
      </c>
      <c r="E397" s="255">
        <v>0</v>
      </c>
      <c r="F397" s="255">
        <v>0</v>
      </c>
      <c r="G397" s="129">
        <f>0</f>
        <v>0</v>
      </c>
      <c r="H397" s="255">
        <f>IF(Elevators31235273197[[#This Row],[Actual Buyout]]+Elevators31235273197[[#This Row],[Change Orders]]=0,Elevators31235273197[[#This Row],[Original Contract]],Elevators31235273197[[#This Row],[Actual Buyout]]+Elevators31235273197[[#This Row],[Change Orders]])</f>
        <v>0</v>
      </c>
      <c r="I397" s="129">
        <v>0</v>
      </c>
      <c r="J397" s="129">
        <f>Elevators31235273197[[#This Row],[Original Contract]]-Elevators31235273197[[#This Row],[Revised Contract]]</f>
        <v>0</v>
      </c>
      <c r="K397" s="341"/>
      <c r="L397" s="343"/>
      <c r="S397" s="97"/>
      <c r="T397" s="97"/>
      <c r="X397" s="198"/>
      <c r="Y397" s="198"/>
    </row>
    <row r="398" spans="1:25" x14ac:dyDescent="0.35">
      <c r="A398" s="257"/>
      <c r="B398" s="258"/>
      <c r="C398" s="258"/>
      <c r="D398" s="256" t="s">
        <v>38</v>
      </c>
      <c r="E398" s="151">
        <f>SUM(Elevators31235273197[Original Contract])</f>
        <v>0</v>
      </c>
      <c r="F398" s="151">
        <f>SUM(Elevators31235273197[Actual Buyout])</f>
        <v>0</v>
      </c>
      <c r="G398" s="151">
        <f>SUM(Elevators31235273197[Change Orders])</f>
        <v>0</v>
      </c>
      <c r="H398" s="151">
        <f>SUM(Elevators31235273197[Revised Contract])</f>
        <v>0</v>
      </c>
      <c r="I398" s="151">
        <f>SUM(Elevators31235273197[Total completed and Stored])</f>
        <v>0</v>
      </c>
      <c r="J398" s="151">
        <f>SUM(Elevators31235273197[Delta])</f>
        <v>0</v>
      </c>
      <c r="K398" s="343"/>
      <c r="L398" s="343"/>
    </row>
    <row r="399" spans="1:25" x14ac:dyDescent="0.35">
      <c r="A399" s="100" t="s">
        <v>665</v>
      </c>
      <c r="B399" s="100" t="s">
        <v>129</v>
      </c>
      <c r="C399" s="100" t="s">
        <v>167</v>
      </c>
      <c r="D399" s="100" t="s">
        <v>26</v>
      </c>
      <c r="E399" s="100" t="s">
        <v>781</v>
      </c>
      <c r="F399" s="332" t="s">
        <v>1078</v>
      </c>
      <c r="G399" s="332" t="s">
        <v>782</v>
      </c>
      <c r="H399" s="332" t="s">
        <v>783</v>
      </c>
      <c r="I399" s="334" t="s">
        <v>785</v>
      </c>
      <c r="J399" s="340" t="s">
        <v>1079</v>
      </c>
      <c r="K399" s="335"/>
      <c r="L399" s="343"/>
      <c r="S399" s="97"/>
      <c r="T399" s="97"/>
      <c r="X399" s="198"/>
      <c r="Y399" s="198"/>
    </row>
    <row r="400" spans="1:25" x14ac:dyDescent="0.35">
      <c r="A400" s="128">
        <v>21</v>
      </c>
      <c r="B400" s="132" t="s">
        <v>716</v>
      </c>
      <c r="C400" s="132" t="s">
        <v>363</v>
      </c>
      <c r="D400" s="133" t="s">
        <v>130</v>
      </c>
      <c r="E400" s="255">
        <v>0</v>
      </c>
      <c r="F400" s="255">
        <v>0</v>
      </c>
      <c r="G400" s="129">
        <f>0</f>
        <v>0</v>
      </c>
      <c r="H400" s="255">
        <f>IF(Fire32236274198[[#This Row],[Actual Buyout]]+Fire32236274198[[#This Row],[Change Orders]]=0,Fire32236274198[[#This Row],[Original Contract]],Fire32236274198[[#This Row],[Actual Buyout]]+Fire32236274198[[#This Row],[Change Orders]])</f>
        <v>0</v>
      </c>
      <c r="I400" s="129">
        <v>0</v>
      </c>
      <c r="J400" s="129">
        <f>Fire32236274198[[#This Row],[Original Contract]]-Fire32236274198[[#This Row],[Revised Contract]]</f>
        <v>0</v>
      </c>
      <c r="K400" s="341"/>
      <c r="L400" s="343"/>
      <c r="S400" s="97"/>
      <c r="T400" s="97"/>
      <c r="X400" s="198"/>
      <c r="Y400" s="198"/>
    </row>
    <row r="401" spans="1:25" x14ac:dyDescent="0.35">
      <c r="A401" s="128">
        <v>21</v>
      </c>
      <c r="B401" s="132" t="s">
        <v>717</v>
      </c>
      <c r="C401" s="132" t="s">
        <v>365</v>
      </c>
      <c r="D401" s="133" t="s">
        <v>131</v>
      </c>
      <c r="E401" s="255">
        <v>0</v>
      </c>
      <c r="F401" s="255">
        <v>0</v>
      </c>
      <c r="G401" s="129">
        <f>0</f>
        <v>0</v>
      </c>
      <c r="H401" s="255">
        <f>IF(Fire32236274198[[#This Row],[Actual Buyout]]+Fire32236274198[[#This Row],[Change Orders]]=0,Fire32236274198[[#This Row],[Original Contract]],Fire32236274198[[#This Row],[Actual Buyout]]+Fire32236274198[[#This Row],[Change Orders]])</f>
        <v>0</v>
      </c>
      <c r="I401" s="129">
        <v>0</v>
      </c>
      <c r="J401" s="129">
        <f>Fire32236274198[[#This Row],[Original Contract]]-Fire32236274198[[#This Row],[Revised Contract]]</f>
        <v>0</v>
      </c>
      <c r="K401" s="341"/>
      <c r="L401" s="343"/>
      <c r="S401" s="97"/>
      <c r="T401" s="97"/>
      <c r="X401" s="198"/>
      <c r="Y401" s="198"/>
    </row>
    <row r="402" spans="1:25" x14ac:dyDescent="0.35">
      <c r="A402" s="128">
        <v>21</v>
      </c>
      <c r="B402" s="132" t="s">
        <v>366</v>
      </c>
      <c r="C402" s="132" t="s">
        <v>196</v>
      </c>
      <c r="D402" s="133" t="s">
        <v>132</v>
      </c>
      <c r="E402" s="255">
        <v>0</v>
      </c>
      <c r="F402" s="255">
        <v>0</v>
      </c>
      <c r="G402" s="129">
        <f>0</f>
        <v>0</v>
      </c>
      <c r="H402" s="255">
        <f>IF(Fire32236274198[[#This Row],[Actual Buyout]]+Fire32236274198[[#This Row],[Change Orders]]=0,Fire32236274198[[#This Row],[Original Contract]],Fire32236274198[[#This Row],[Actual Buyout]]+Fire32236274198[[#This Row],[Change Orders]])</f>
        <v>0</v>
      </c>
      <c r="I402" s="129">
        <v>0</v>
      </c>
      <c r="J402" s="129">
        <f>Fire32236274198[[#This Row],[Original Contract]]-Fire32236274198[[#This Row],[Revised Contract]]</f>
        <v>0</v>
      </c>
      <c r="K402" s="341"/>
      <c r="L402" s="343"/>
      <c r="S402" s="97"/>
      <c r="T402" s="97"/>
      <c r="X402" s="198"/>
      <c r="Y402" s="198"/>
    </row>
    <row r="403" spans="1:25" x14ac:dyDescent="0.35">
      <c r="A403" s="128">
        <v>21</v>
      </c>
      <c r="B403" s="132" t="s">
        <v>367</v>
      </c>
      <c r="C403" s="132" t="s">
        <v>197</v>
      </c>
      <c r="D403" s="133" t="s">
        <v>133</v>
      </c>
      <c r="E403" s="255">
        <v>0</v>
      </c>
      <c r="F403" s="255">
        <v>0</v>
      </c>
      <c r="G403" s="129">
        <f>0</f>
        <v>0</v>
      </c>
      <c r="H403" s="255">
        <f>IF(Fire32236274198[[#This Row],[Actual Buyout]]+Fire32236274198[[#This Row],[Change Orders]]=0,Fire32236274198[[#This Row],[Original Contract]],Fire32236274198[[#This Row],[Actual Buyout]]+Fire32236274198[[#This Row],[Change Orders]])</f>
        <v>0</v>
      </c>
      <c r="I403" s="129">
        <v>0</v>
      </c>
      <c r="J403" s="129">
        <f>Fire32236274198[[#This Row],[Original Contract]]-Fire32236274198[[#This Row],[Revised Contract]]</f>
        <v>0</v>
      </c>
      <c r="K403" s="341"/>
      <c r="L403" s="343"/>
      <c r="S403" s="97"/>
      <c r="T403" s="97"/>
      <c r="X403" s="198"/>
      <c r="Y403" s="198"/>
    </row>
    <row r="404" spans="1:25" x14ac:dyDescent="0.35">
      <c r="A404" s="128">
        <v>21</v>
      </c>
      <c r="B404" s="132" t="s">
        <v>716</v>
      </c>
      <c r="C404" s="132" t="s">
        <v>363</v>
      </c>
      <c r="D404" s="133" t="s">
        <v>772</v>
      </c>
      <c r="E404" s="255">
        <v>0</v>
      </c>
      <c r="F404" s="255">
        <v>0</v>
      </c>
      <c r="G404" s="129">
        <f>0</f>
        <v>0</v>
      </c>
      <c r="H404" s="255">
        <f>IF(Fire32236274198[[#This Row],[Actual Buyout]]+Fire32236274198[[#This Row],[Change Orders]]=0,Fire32236274198[[#This Row],[Original Contract]],Fire32236274198[[#This Row],[Actual Buyout]]+Fire32236274198[[#This Row],[Change Orders]])</f>
        <v>0</v>
      </c>
      <c r="I404" s="129">
        <v>0</v>
      </c>
      <c r="J404" s="129">
        <f>Fire32236274198[[#This Row],[Original Contract]]-Fire32236274198[[#This Row],[Revised Contract]]</f>
        <v>0</v>
      </c>
      <c r="K404" s="341"/>
      <c r="L404" s="343"/>
      <c r="S404" s="97"/>
      <c r="T404" s="97"/>
      <c r="X404" s="198"/>
      <c r="Y404" s="198"/>
    </row>
    <row r="405" spans="1:25" x14ac:dyDescent="0.35">
      <c r="A405" s="128">
        <v>21</v>
      </c>
      <c r="B405" s="132" t="s">
        <v>716</v>
      </c>
      <c r="C405" s="132" t="s">
        <v>363</v>
      </c>
      <c r="D405" s="133" t="s">
        <v>134</v>
      </c>
      <c r="E405" s="255">
        <v>0</v>
      </c>
      <c r="F405" s="255">
        <v>0</v>
      </c>
      <c r="G405" s="129">
        <f>0</f>
        <v>0</v>
      </c>
      <c r="H405" s="255">
        <f>IF(Fire32236274198[[#This Row],[Actual Buyout]]+Fire32236274198[[#This Row],[Change Orders]]=0,Fire32236274198[[#This Row],[Original Contract]],Fire32236274198[[#This Row],[Actual Buyout]]+Fire32236274198[[#This Row],[Change Orders]])</f>
        <v>0</v>
      </c>
      <c r="I405" s="129">
        <v>0</v>
      </c>
      <c r="J405" s="129">
        <f>Fire32236274198[[#This Row],[Original Contract]]-Fire32236274198[[#This Row],[Revised Contract]]</f>
        <v>0</v>
      </c>
      <c r="K405" s="341"/>
      <c r="L405" s="343"/>
      <c r="S405" s="97"/>
      <c r="T405" s="97"/>
      <c r="X405" s="198"/>
      <c r="Y405" s="198"/>
    </row>
    <row r="406" spans="1:25" x14ac:dyDescent="0.35">
      <c r="A406" s="128">
        <v>21</v>
      </c>
      <c r="B406" s="132" t="s">
        <v>716</v>
      </c>
      <c r="C406" s="132" t="s">
        <v>363</v>
      </c>
      <c r="D406" s="133" t="s">
        <v>135</v>
      </c>
      <c r="E406" s="255">
        <v>0</v>
      </c>
      <c r="F406" s="255">
        <v>0</v>
      </c>
      <c r="G406" s="129">
        <f>0</f>
        <v>0</v>
      </c>
      <c r="H406" s="255">
        <f>IF(Fire32236274198[[#This Row],[Actual Buyout]]+Fire32236274198[[#This Row],[Change Orders]]=0,Fire32236274198[[#This Row],[Original Contract]],Fire32236274198[[#This Row],[Actual Buyout]]+Fire32236274198[[#This Row],[Change Orders]])</f>
        <v>0</v>
      </c>
      <c r="I406" s="129">
        <v>0</v>
      </c>
      <c r="J406" s="129">
        <f>Fire32236274198[[#This Row],[Original Contract]]-Fire32236274198[[#This Row],[Revised Contract]]</f>
        <v>0</v>
      </c>
      <c r="K406" s="341"/>
      <c r="L406" s="343"/>
      <c r="S406" s="97"/>
      <c r="T406" s="97"/>
      <c r="X406" s="198"/>
      <c r="Y406" s="198"/>
    </row>
    <row r="407" spans="1:25" x14ac:dyDescent="0.35">
      <c r="A407" s="128">
        <v>21</v>
      </c>
      <c r="B407" s="132" t="s">
        <v>716</v>
      </c>
      <c r="C407" s="132" t="s">
        <v>363</v>
      </c>
      <c r="D407" s="133" t="s">
        <v>773</v>
      </c>
      <c r="E407" s="255">
        <v>0</v>
      </c>
      <c r="F407" s="255">
        <v>0</v>
      </c>
      <c r="G407" s="129">
        <f>0</f>
        <v>0</v>
      </c>
      <c r="H407" s="255">
        <f>IF(Fire32236274198[[#This Row],[Actual Buyout]]+Fire32236274198[[#This Row],[Change Orders]]=0,Fire32236274198[[#This Row],[Original Contract]],Fire32236274198[[#This Row],[Actual Buyout]]+Fire32236274198[[#This Row],[Change Orders]])</f>
        <v>0</v>
      </c>
      <c r="I407" s="129">
        <v>0</v>
      </c>
      <c r="J407" s="129">
        <f>Fire32236274198[[#This Row],[Original Contract]]-Fire32236274198[[#This Row],[Revised Contract]]</f>
        <v>0</v>
      </c>
      <c r="K407" s="341"/>
      <c r="L407" s="343"/>
      <c r="S407" s="97"/>
      <c r="T407" s="97"/>
      <c r="X407" s="198"/>
      <c r="Y407" s="198"/>
    </row>
    <row r="408" spans="1:25" x14ac:dyDescent="0.35">
      <c r="A408" s="128">
        <v>21</v>
      </c>
      <c r="B408" s="132" t="s">
        <v>716</v>
      </c>
      <c r="C408" s="132" t="s">
        <v>363</v>
      </c>
      <c r="D408" s="133" t="s">
        <v>774</v>
      </c>
      <c r="E408" s="255">
        <v>0</v>
      </c>
      <c r="F408" s="255">
        <v>0</v>
      </c>
      <c r="G408" s="129">
        <f>0</f>
        <v>0</v>
      </c>
      <c r="H408" s="255">
        <f>IF(Fire32236274198[[#This Row],[Actual Buyout]]+Fire32236274198[[#This Row],[Change Orders]]=0,Fire32236274198[[#This Row],[Original Contract]],Fire32236274198[[#This Row],[Actual Buyout]]+Fire32236274198[[#This Row],[Change Orders]])</f>
        <v>0</v>
      </c>
      <c r="I408" s="129">
        <v>0</v>
      </c>
      <c r="J408" s="129">
        <f>Fire32236274198[[#This Row],[Original Contract]]-Fire32236274198[[#This Row],[Revised Contract]]</f>
        <v>0</v>
      </c>
      <c r="K408" s="341"/>
      <c r="L408" s="343"/>
      <c r="S408" s="97"/>
      <c r="T408" s="97"/>
      <c r="X408" s="198"/>
      <c r="Y408" s="198"/>
    </row>
    <row r="409" spans="1:25" x14ac:dyDescent="0.35">
      <c r="A409" s="128">
        <v>21</v>
      </c>
      <c r="B409" s="132"/>
      <c r="C409" s="132"/>
      <c r="D409" s="133" t="s">
        <v>37</v>
      </c>
      <c r="E409" s="255">
        <v>0</v>
      </c>
      <c r="F409" s="255">
        <v>0</v>
      </c>
      <c r="G409" s="129">
        <f>0</f>
        <v>0</v>
      </c>
      <c r="H409" s="255">
        <f>IF(Fire32236274198[[#This Row],[Actual Buyout]]+Fire32236274198[[#This Row],[Change Orders]]=0,Fire32236274198[[#This Row],[Original Contract]],Fire32236274198[[#This Row],[Actual Buyout]]+Fire32236274198[[#This Row],[Change Orders]])</f>
        <v>0</v>
      </c>
      <c r="I409" s="129">
        <v>0</v>
      </c>
      <c r="J409" s="129">
        <f>Fire32236274198[[#This Row],[Original Contract]]-Fire32236274198[[#This Row],[Revised Contract]]</f>
        <v>0</v>
      </c>
      <c r="K409" s="341"/>
      <c r="L409" s="343"/>
      <c r="S409" s="97"/>
      <c r="T409" s="97"/>
      <c r="X409" s="198"/>
      <c r="Y409" s="198"/>
    </row>
    <row r="410" spans="1:25" x14ac:dyDescent="0.35">
      <c r="A410" s="128">
        <v>21</v>
      </c>
      <c r="B410" s="132"/>
      <c r="C410" s="132"/>
      <c r="D410" s="133" t="s">
        <v>37</v>
      </c>
      <c r="E410" s="255">
        <v>0</v>
      </c>
      <c r="F410" s="255">
        <v>0</v>
      </c>
      <c r="G410" s="129">
        <f>0</f>
        <v>0</v>
      </c>
      <c r="H410" s="255">
        <f>IF(Fire32236274198[[#This Row],[Actual Buyout]]+Fire32236274198[[#This Row],[Change Orders]]=0,Fire32236274198[[#This Row],[Original Contract]],Fire32236274198[[#This Row],[Actual Buyout]]+Fire32236274198[[#This Row],[Change Orders]])</f>
        <v>0</v>
      </c>
      <c r="I410" s="129">
        <v>0</v>
      </c>
      <c r="J410" s="129">
        <f>Fire32236274198[[#This Row],[Original Contract]]-Fire32236274198[[#This Row],[Revised Contract]]</f>
        <v>0</v>
      </c>
      <c r="K410" s="341"/>
      <c r="L410" s="343"/>
      <c r="S410" s="97"/>
      <c r="T410" s="97"/>
      <c r="X410" s="198"/>
      <c r="Y410" s="198"/>
    </row>
    <row r="411" spans="1:25" x14ac:dyDescent="0.35">
      <c r="A411" s="128">
        <v>21</v>
      </c>
      <c r="B411" s="132"/>
      <c r="C411" s="132"/>
      <c r="D411" s="133" t="s">
        <v>37</v>
      </c>
      <c r="E411" s="255">
        <v>0</v>
      </c>
      <c r="F411" s="255">
        <v>0</v>
      </c>
      <c r="G411" s="129">
        <f>0</f>
        <v>0</v>
      </c>
      <c r="H411" s="255">
        <f>IF(Fire32236274198[[#This Row],[Actual Buyout]]+Fire32236274198[[#This Row],[Change Orders]]=0,Fire32236274198[[#This Row],[Original Contract]],Fire32236274198[[#This Row],[Actual Buyout]]+Fire32236274198[[#This Row],[Change Orders]])</f>
        <v>0</v>
      </c>
      <c r="I411" s="129">
        <v>0</v>
      </c>
      <c r="J411" s="129">
        <f>Fire32236274198[[#This Row],[Original Contract]]-Fire32236274198[[#This Row],[Revised Contract]]</f>
        <v>0</v>
      </c>
      <c r="K411" s="341"/>
      <c r="L411" s="343"/>
      <c r="S411" s="97"/>
      <c r="T411" s="97"/>
      <c r="X411" s="198"/>
      <c r="Y411" s="198"/>
    </row>
    <row r="412" spans="1:25" x14ac:dyDescent="0.35">
      <c r="A412" s="128">
        <v>21</v>
      </c>
      <c r="B412" s="132"/>
      <c r="C412" s="132"/>
      <c r="D412" s="133" t="s">
        <v>37</v>
      </c>
      <c r="E412" s="255">
        <v>0</v>
      </c>
      <c r="F412" s="255">
        <v>0</v>
      </c>
      <c r="G412" s="129">
        <f>0</f>
        <v>0</v>
      </c>
      <c r="H412" s="255">
        <f>IF(Fire32236274198[[#This Row],[Actual Buyout]]+Fire32236274198[[#This Row],[Change Orders]]=0,Fire32236274198[[#This Row],[Original Contract]],Fire32236274198[[#This Row],[Actual Buyout]]+Fire32236274198[[#This Row],[Change Orders]])</f>
        <v>0</v>
      </c>
      <c r="I412" s="129">
        <v>0</v>
      </c>
      <c r="J412" s="129">
        <f>Fire32236274198[[#This Row],[Original Contract]]-Fire32236274198[[#This Row],[Revised Contract]]</f>
        <v>0</v>
      </c>
      <c r="K412" s="341"/>
      <c r="L412" s="343"/>
      <c r="S412" s="97"/>
      <c r="T412" s="97"/>
      <c r="X412" s="198"/>
      <c r="Y412" s="198"/>
    </row>
    <row r="413" spans="1:25" x14ac:dyDescent="0.35">
      <c r="A413" s="128">
        <v>21</v>
      </c>
      <c r="B413" s="132"/>
      <c r="C413" s="132"/>
      <c r="D413" s="133" t="s">
        <v>37</v>
      </c>
      <c r="E413" s="255">
        <v>0</v>
      </c>
      <c r="F413" s="255">
        <v>0</v>
      </c>
      <c r="G413" s="129">
        <f>0</f>
        <v>0</v>
      </c>
      <c r="H413" s="255">
        <f>IF(Fire32236274198[[#This Row],[Actual Buyout]]+Fire32236274198[[#This Row],[Change Orders]]=0,Fire32236274198[[#This Row],[Original Contract]],Fire32236274198[[#This Row],[Actual Buyout]]+Fire32236274198[[#This Row],[Change Orders]])</f>
        <v>0</v>
      </c>
      <c r="I413" s="129">
        <v>0</v>
      </c>
      <c r="J413" s="129">
        <f>Fire32236274198[[#This Row],[Original Contract]]-Fire32236274198[[#This Row],[Revised Contract]]</f>
        <v>0</v>
      </c>
      <c r="K413" s="341"/>
      <c r="L413" s="343"/>
      <c r="S413" s="97"/>
      <c r="T413" s="97"/>
      <c r="X413" s="198"/>
      <c r="Y413" s="198"/>
    </row>
    <row r="414" spans="1:25" x14ac:dyDescent="0.35">
      <c r="A414" s="128">
        <v>21</v>
      </c>
      <c r="B414" s="259"/>
      <c r="C414" s="259"/>
      <c r="D414" s="260" t="s">
        <v>37</v>
      </c>
      <c r="E414" s="255">
        <v>0</v>
      </c>
      <c r="F414" s="255">
        <v>0</v>
      </c>
      <c r="G414" s="129">
        <f>0</f>
        <v>0</v>
      </c>
      <c r="H414" s="255">
        <f>IF(Fire32236274198[[#This Row],[Actual Buyout]]+Fire32236274198[[#This Row],[Change Orders]]=0,Fire32236274198[[#This Row],[Original Contract]],Fire32236274198[[#This Row],[Actual Buyout]]+Fire32236274198[[#This Row],[Change Orders]])</f>
        <v>0</v>
      </c>
      <c r="I414" s="129">
        <v>0</v>
      </c>
      <c r="J414" s="129">
        <f>Fire32236274198[[#This Row],[Original Contract]]-Fire32236274198[[#This Row],[Revised Contract]]</f>
        <v>0</v>
      </c>
      <c r="K414" s="341"/>
      <c r="L414" s="343"/>
      <c r="S414" s="97"/>
      <c r="T414" s="97"/>
      <c r="X414" s="198"/>
      <c r="Y414" s="198"/>
    </row>
    <row r="415" spans="1:25" x14ac:dyDescent="0.35">
      <c r="A415" s="257"/>
      <c r="B415" s="258"/>
      <c r="C415" s="258"/>
      <c r="D415" s="256" t="s">
        <v>38</v>
      </c>
      <c r="E415" s="151">
        <f>SUM(Fire32236274198[Original Contract])</f>
        <v>0</v>
      </c>
      <c r="F415" s="151">
        <f>SUM(Fire32236274198[Actual Buyout])</f>
        <v>0</v>
      </c>
      <c r="G415" s="151">
        <f>SUM(Fire32236274198[Change Orders])</f>
        <v>0</v>
      </c>
      <c r="H415" s="151">
        <f>SUM(Fire32236274198[Revised Contract])</f>
        <v>0</v>
      </c>
      <c r="I415" s="151">
        <f>SUM(Fire32236274198[Total completed and Stored])</f>
        <v>0</v>
      </c>
      <c r="J415" s="151">
        <f>SUM(Fire32236274198[Delta])</f>
        <v>0</v>
      </c>
      <c r="K415" s="343"/>
      <c r="L415" s="343"/>
    </row>
    <row r="416" spans="1:25" x14ac:dyDescent="0.35">
      <c r="A416" s="100" t="s">
        <v>666</v>
      </c>
      <c r="B416" s="100" t="s">
        <v>5</v>
      </c>
      <c r="C416" s="100" t="s">
        <v>167</v>
      </c>
      <c r="D416" s="100" t="s">
        <v>26</v>
      </c>
      <c r="E416" s="100" t="s">
        <v>781</v>
      </c>
      <c r="F416" s="332" t="s">
        <v>1078</v>
      </c>
      <c r="G416" s="332" t="s">
        <v>782</v>
      </c>
      <c r="H416" s="332" t="s">
        <v>783</v>
      </c>
      <c r="I416" s="334" t="s">
        <v>785</v>
      </c>
      <c r="J416" s="340" t="s">
        <v>1079</v>
      </c>
      <c r="K416" s="335"/>
      <c r="L416" s="343"/>
      <c r="S416" s="97"/>
      <c r="T416" s="97"/>
      <c r="X416" s="198"/>
      <c r="Y416" s="198"/>
    </row>
    <row r="417" spans="1:25" x14ac:dyDescent="0.35">
      <c r="A417" s="128">
        <v>22</v>
      </c>
      <c r="B417" s="132" t="s">
        <v>368</v>
      </c>
      <c r="C417" s="132" t="s">
        <v>364</v>
      </c>
      <c r="D417" s="133" t="s">
        <v>136</v>
      </c>
      <c r="E417" s="255">
        <v>0</v>
      </c>
      <c r="F417" s="255">
        <v>0</v>
      </c>
      <c r="G417" s="129">
        <f>0</f>
        <v>0</v>
      </c>
      <c r="H417" s="255">
        <f>IF(Plumbing33237275199[[#This Row],[Actual Buyout]]+Plumbing33237275199[[#This Row],[Change Orders]]=0,Plumbing33237275199[[#This Row],[Original Contract]],Plumbing33237275199[[#This Row],[Actual Buyout]]+Plumbing33237275199[[#This Row],[Change Orders]])</f>
        <v>0</v>
      </c>
      <c r="I417" s="129">
        <v>0</v>
      </c>
      <c r="J417" s="129">
        <f>Plumbing33237275199[[#This Row],[Original Contract]]-Plumbing33237275199[[#This Row],[Revised Contract]]</f>
        <v>0</v>
      </c>
      <c r="K417" s="341"/>
      <c r="L417" s="343"/>
      <c r="S417" s="97"/>
      <c r="T417" s="97"/>
      <c r="X417" s="198"/>
      <c r="Y417" s="198"/>
    </row>
    <row r="418" spans="1:25" x14ac:dyDescent="0.35">
      <c r="A418" s="128">
        <v>22</v>
      </c>
      <c r="B418" s="132" t="s">
        <v>368</v>
      </c>
      <c r="C418" s="132" t="s">
        <v>364</v>
      </c>
      <c r="D418" s="133" t="s">
        <v>137</v>
      </c>
      <c r="E418" s="255">
        <v>0</v>
      </c>
      <c r="F418" s="255">
        <v>0</v>
      </c>
      <c r="G418" s="129">
        <f>0</f>
        <v>0</v>
      </c>
      <c r="H418" s="255">
        <f>IF(Plumbing33237275199[[#This Row],[Actual Buyout]]+Plumbing33237275199[[#This Row],[Change Orders]]=0,Plumbing33237275199[[#This Row],[Original Contract]],Plumbing33237275199[[#This Row],[Actual Buyout]]+Plumbing33237275199[[#This Row],[Change Orders]])</f>
        <v>0</v>
      </c>
      <c r="I418" s="129">
        <v>0</v>
      </c>
      <c r="J418" s="129">
        <f>Plumbing33237275199[[#This Row],[Original Contract]]-Plumbing33237275199[[#This Row],[Revised Contract]]</f>
        <v>0</v>
      </c>
      <c r="K418" s="341"/>
      <c r="L418" s="343"/>
      <c r="S418" s="97"/>
      <c r="T418" s="97"/>
      <c r="X418" s="198"/>
      <c r="Y418" s="198"/>
    </row>
    <row r="419" spans="1:25" x14ac:dyDescent="0.35">
      <c r="A419" s="128">
        <v>22</v>
      </c>
      <c r="B419" s="132" t="s">
        <v>368</v>
      </c>
      <c r="C419" s="132" t="s">
        <v>364</v>
      </c>
      <c r="D419" s="133" t="s">
        <v>138</v>
      </c>
      <c r="E419" s="255">
        <v>0</v>
      </c>
      <c r="F419" s="255">
        <v>0</v>
      </c>
      <c r="G419" s="129">
        <f>0</f>
        <v>0</v>
      </c>
      <c r="H419" s="255">
        <f>IF(Plumbing33237275199[[#This Row],[Actual Buyout]]+Plumbing33237275199[[#This Row],[Change Orders]]=0,Plumbing33237275199[[#This Row],[Original Contract]],Plumbing33237275199[[#This Row],[Actual Buyout]]+Plumbing33237275199[[#This Row],[Change Orders]])</f>
        <v>0</v>
      </c>
      <c r="I419" s="129">
        <v>0</v>
      </c>
      <c r="J419" s="129">
        <f>Plumbing33237275199[[#This Row],[Original Contract]]-Plumbing33237275199[[#This Row],[Revised Contract]]</f>
        <v>0</v>
      </c>
      <c r="K419" s="341"/>
      <c r="L419" s="343"/>
      <c r="S419" s="97"/>
      <c r="T419" s="97"/>
      <c r="X419" s="198"/>
      <c r="Y419" s="198"/>
    </row>
    <row r="420" spans="1:25" x14ac:dyDescent="0.35">
      <c r="A420" s="128">
        <v>22</v>
      </c>
      <c r="B420" s="132" t="s">
        <v>368</v>
      </c>
      <c r="C420" s="132" t="s">
        <v>364</v>
      </c>
      <c r="D420" s="133" t="s">
        <v>161</v>
      </c>
      <c r="E420" s="255">
        <v>0</v>
      </c>
      <c r="F420" s="255">
        <v>0</v>
      </c>
      <c r="G420" s="129">
        <f>0</f>
        <v>0</v>
      </c>
      <c r="H420" s="255">
        <f>IF(Plumbing33237275199[[#This Row],[Actual Buyout]]+Plumbing33237275199[[#This Row],[Change Orders]]=0,Plumbing33237275199[[#This Row],[Original Contract]],Plumbing33237275199[[#This Row],[Actual Buyout]]+Plumbing33237275199[[#This Row],[Change Orders]])</f>
        <v>0</v>
      </c>
      <c r="I420" s="129">
        <v>0</v>
      </c>
      <c r="J420" s="129">
        <f>Plumbing33237275199[[#This Row],[Original Contract]]-Plumbing33237275199[[#This Row],[Revised Contract]]</f>
        <v>0</v>
      </c>
      <c r="K420" s="341"/>
      <c r="L420" s="343"/>
      <c r="S420" s="97"/>
      <c r="T420" s="97"/>
      <c r="X420" s="198"/>
      <c r="Y420" s="198"/>
    </row>
    <row r="421" spans="1:25" x14ac:dyDescent="0.35">
      <c r="A421" s="128">
        <v>22</v>
      </c>
      <c r="B421" s="132" t="s">
        <v>370</v>
      </c>
      <c r="C421" s="132" t="s">
        <v>369</v>
      </c>
      <c r="D421" s="133" t="s">
        <v>198</v>
      </c>
      <c r="E421" s="255">
        <v>0</v>
      </c>
      <c r="F421" s="255">
        <v>0</v>
      </c>
      <c r="G421" s="129">
        <f>0</f>
        <v>0</v>
      </c>
      <c r="H421" s="255">
        <f>IF(Plumbing33237275199[[#This Row],[Actual Buyout]]+Plumbing33237275199[[#This Row],[Change Orders]]=0,Plumbing33237275199[[#This Row],[Original Contract]],Plumbing33237275199[[#This Row],[Actual Buyout]]+Plumbing33237275199[[#This Row],[Change Orders]])</f>
        <v>0</v>
      </c>
      <c r="I421" s="129">
        <v>0</v>
      </c>
      <c r="J421" s="129">
        <f>Plumbing33237275199[[#This Row],[Original Contract]]-Plumbing33237275199[[#This Row],[Revised Contract]]</f>
        <v>0</v>
      </c>
      <c r="K421" s="341"/>
      <c r="L421" s="343"/>
      <c r="S421" s="97"/>
      <c r="T421" s="97"/>
      <c r="X421" s="198"/>
      <c r="Y421" s="198"/>
    </row>
    <row r="422" spans="1:25" x14ac:dyDescent="0.35">
      <c r="A422" s="128">
        <v>22</v>
      </c>
      <c r="B422" s="132" t="s">
        <v>368</v>
      </c>
      <c r="C422" s="132" t="s">
        <v>364</v>
      </c>
      <c r="D422" s="133" t="s">
        <v>199</v>
      </c>
      <c r="E422" s="255">
        <v>0</v>
      </c>
      <c r="F422" s="255">
        <v>0</v>
      </c>
      <c r="G422" s="129">
        <f>0</f>
        <v>0</v>
      </c>
      <c r="H422" s="255">
        <f>IF(Plumbing33237275199[[#This Row],[Actual Buyout]]+Plumbing33237275199[[#This Row],[Change Orders]]=0,Plumbing33237275199[[#This Row],[Original Contract]],Plumbing33237275199[[#This Row],[Actual Buyout]]+Plumbing33237275199[[#This Row],[Change Orders]])</f>
        <v>0</v>
      </c>
      <c r="I422" s="129">
        <v>0</v>
      </c>
      <c r="J422" s="129">
        <f>Plumbing33237275199[[#This Row],[Original Contract]]-Plumbing33237275199[[#This Row],[Revised Contract]]</f>
        <v>0</v>
      </c>
      <c r="K422" s="341"/>
      <c r="L422" s="343"/>
      <c r="S422" s="97"/>
      <c r="T422" s="97"/>
      <c r="X422" s="198"/>
      <c r="Y422" s="198"/>
    </row>
    <row r="423" spans="1:25" x14ac:dyDescent="0.35">
      <c r="A423" s="128">
        <v>22</v>
      </c>
      <c r="B423" s="132" t="s">
        <v>368</v>
      </c>
      <c r="C423" s="132" t="s">
        <v>364</v>
      </c>
      <c r="D423" s="133" t="s">
        <v>200</v>
      </c>
      <c r="E423" s="255">
        <v>0</v>
      </c>
      <c r="F423" s="255">
        <v>0</v>
      </c>
      <c r="G423" s="129">
        <f>0</f>
        <v>0</v>
      </c>
      <c r="H423" s="255">
        <f>IF(Plumbing33237275199[[#This Row],[Actual Buyout]]+Plumbing33237275199[[#This Row],[Change Orders]]=0,Plumbing33237275199[[#This Row],[Original Contract]],Plumbing33237275199[[#This Row],[Actual Buyout]]+Plumbing33237275199[[#This Row],[Change Orders]])</f>
        <v>0</v>
      </c>
      <c r="I423" s="129">
        <v>0</v>
      </c>
      <c r="J423" s="129">
        <f>Plumbing33237275199[[#This Row],[Original Contract]]-Plumbing33237275199[[#This Row],[Revised Contract]]</f>
        <v>0</v>
      </c>
      <c r="K423" s="341"/>
      <c r="L423" s="343"/>
      <c r="S423" s="97"/>
      <c r="T423" s="97"/>
      <c r="X423" s="198"/>
      <c r="Y423" s="198"/>
    </row>
    <row r="424" spans="1:25" x14ac:dyDescent="0.35">
      <c r="A424" s="128">
        <v>22</v>
      </c>
      <c r="B424" s="132"/>
      <c r="C424" s="132"/>
      <c r="D424" s="133" t="s">
        <v>808</v>
      </c>
      <c r="E424" s="255">
        <v>0</v>
      </c>
      <c r="F424" s="255">
        <v>0</v>
      </c>
      <c r="G424" s="129">
        <f>0</f>
        <v>0</v>
      </c>
      <c r="H424" s="255">
        <f>IF(Plumbing33237275199[[#This Row],[Actual Buyout]]+Plumbing33237275199[[#This Row],[Change Orders]]=0,Plumbing33237275199[[#This Row],[Original Contract]],Plumbing33237275199[[#This Row],[Actual Buyout]]+Plumbing33237275199[[#This Row],[Change Orders]])</f>
        <v>0</v>
      </c>
      <c r="I424" s="129">
        <v>0</v>
      </c>
      <c r="J424" s="129">
        <f>Plumbing33237275199[[#This Row],[Original Contract]]-Plumbing33237275199[[#This Row],[Revised Contract]]</f>
        <v>0</v>
      </c>
      <c r="K424" s="341"/>
      <c r="L424" s="343"/>
      <c r="S424" s="97"/>
      <c r="T424" s="97"/>
      <c r="X424" s="198"/>
      <c r="Y424" s="198"/>
    </row>
    <row r="425" spans="1:25" x14ac:dyDescent="0.35">
      <c r="A425" s="128">
        <v>22</v>
      </c>
      <c r="B425" s="132"/>
      <c r="C425" s="132"/>
      <c r="D425" s="133" t="s">
        <v>37</v>
      </c>
      <c r="E425" s="255">
        <v>0</v>
      </c>
      <c r="F425" s="255">
        <v>0</v>
      </c>
      <c r="G425" s="129">
        <f>0</f>
        <v>0</v>
      </c>
      <c r="H425" s="255">
        <f>IF(Plumbing33237275199[[#This Row],[Actual Buyout]]+Plumbing33237275199[[#This Row],[Change Orders]]=0,Plumbing33237275199[[#This Row],[Original Contract]],Plumbing33237275199[[#This Row],[Actual Buyout]]+Plumbing33237275199[[#This Row],[Change Orders]])</f>
        <v>0</v>
      </c>
      <c r="I425" s="129">
        <v>0</v>
      </c>
      <c r="J425" s="129">
        <f>Plumbing33237275199[[#This Row],[Original Contract]]-Plumbing33237275199[[#This Row],[Revised Contract]]</f>
        <v>0</v>
      </c>
      <c r="K425" s="341"/>
      <c r="L425" s="343"/>
      <c r="S425" s="97"/>
      <c r="T425" s="97"/>
      <c r="X425" s="198"/>
      <c r="Y425" s="198"/>
    </row>
    <row r="426" spans="1:25" x14ac:dyDescent="0.35">
      <c r="A426" s="128">
        <v>22</v>
      </c>
      <c r="B426" s="132"/>
      <c r="C426" s="132"/>
      <c r="D426" s="133" t="s">
        <v>37</v>
      </c>
      <c r="E426" s="255">
        <v>0</v>
      </c>
      <c r="F426" s="255">
        <v>0</v>
      </c>
      <c r="G426" s="129">
        <f>0</f>
        <v>0</v>
      </c>
      <c r="H426" s="255">
        <f>IF(Plumbing33237275199[[#This Row],[Actual Buyout]]+Plumbing33237275199[[#This Row],[Change Orders]]=0,Plumbing33237275199[[#This Row],[Original Contract]],Plumbing33237275199[[#This Row],[Actual Buyout]]+Plumbing33237275199[[#This Row],[Change Orders]])</f>
        <v>0</v>
      </c>
      <c r="I426" s="129">
        <v>0</v>
      </c>
      <c r="J426" s="129">
        <f>Plumbing33237275199[[#This Row],[Original Contract]]-Plumbing33237275199[[#This Row],[Revised Contract]]</f>
        <v>0</v>
      </c>
      <c r="K426" s="341"/>
      <c r="L426" s="343"/>
      <c r="S426" s="97"/>
      <c r="T426" s="97"/>
      <c r="X426" s="198"/>
      <c r="Y426" s="198"/>
    </row>
    <row r="427" spans="1:25" x14ac:dyDescent="0.35">
      <c r="A427" s="128">
        <v>22</v>
      </c>
      <c r="B427" s="132"/>
      <c r="C427" s="132"/>
      <c r="D427" s="133" t="s">
        <v>37</v>
      </c>
      <c r="E427" s="255">
        <v>0</v>
      </c>
      <c r="F427" s="255">
        <v>0</v>
      </c>
      <c r="G427" s="129">
        <f>0</f>
        <v>0</v>
      </c>
      <c r="H427" s="255">
        <f>IF(Plumbing33237275199[[#This Row],[Actual Buyout]]+Plumbing33237275199[[#This Row],[Change Orders]]=0,Plumbing33237275199[[#This Row],[Original Contract]],Plumbing33237275199[[#This Row],[Actual Buyout]]+Plumbing33237275199[[#This Row],[Change Orders]])</f>
        <v>0</v>
      </c>
      <c r="I427" s="129">
        <v>0</v>
      </c>
      <c r="J427" s="129">
        <f>Plumbing33237275199[[#This Row],[Original Contract]]-Plumbing33237275199[[#This Row],[Revised Contract]]</f>
        <v>0</v>
      </c>
      <c r="K427" s="341"/>
      <c r="L427" s="343"/>
      <c r="S427" s="97"/>
      <c r="T427" s="97"/>
      <c r="X427" s="198"/>
      <c r="Y427" s="198"/>
    </row>
    <row r="428" spans="1:25" x14ac:dyDescent="0.35">
      <c r="A428" s="128">
        <v>22</v>
      </c>
      <c r="B428" s="132"/>
      <c r="C428" s="132"/>
      <c r="D428" s="133" t="s">
        <v>37</v>
      </c>
      <c r="E428" s="255">
        <v>0</v>
      </c>
      <c r="F428" s="255">
        <v>0</v>
      </c>
      <c r="G428" s="129">
        <f>0</f>
        <v>0</v>
      </c>
      <c r="H428" s="255">
        <f>IF(Plumbing33237275199[[#This Row],[Actual Buyout]]+Plumbing33237275199[[#This Row],[Change Orders]]=0,Plumbing33237275199[[#This Row],[Original Contract]],Plumbing33237275199[[#This Row],[Actual Buyout]]+Plumbing33237275199[[#This Row],[Change Orders]])</f>
        <v>0</v>
      </c>
      <c r="I428" s="129">
        <v>0</v>
      </c>
      <c r="J428" s="129">
        <f>Plumbing33237275199[[#This Row],[Original Contract]]-Plumbing33237275199[[#This Row],[Revised Contract]]</f>
        <v>0</v>
      </c>
      <c r="K428" s="341"/>
      <c r="L428" s="343"/>
      <c r="S428" s="97"/>
      <c r="T428" s="97"/>
      <c r="X428" s="198"/>
      <c r="Y428" s="198"/>
    </row>
    <row r="429" spans="1:25" x14ac:dyDescent="0.35">
      <c r="A429" s="257"/>
      <c r="B429" s="258"/>
      <c r="C429" s="258"/>
      <c r="D429" s="256" t="s">
        <v>38</v>
      </c>
      <c r="E429" s="151">
        <f>SUM(Plumbing33237275199[Original Contract])</f>
        <v>0</v>
      </c>
      <c r="F429" s="151">
        <f>SUM(Plumbing33237275199[Actual Buyout])</f>
        <v>0</v>
      </c>
      <c r="G429" s="151">
        <f>SUM(Plumbing33237275199[Change Orders])</f>
        <v>0</v>
      </c>
      <c r="H429" s="151">
        <f>SUM(Plumbing33237275199[Revised Contract])</f>
        <v>0</v>
      </c>
      <c r="I429" s="151">
        <f>SUM(Plumbing33237275199[Total completed and Stored])</f>
        <v>0</v>
      </c>
      <c r="J429" s="151">
        <f>SUM(Plumbing33237275199[Delta])</f>
        <v>0</v>
      </c>
      <c r="K429" s="343"/>
      <c r="L429" s="343"/>
    </row>
    <row r="430" spans="1:25" x14ac:dyDescent="0.35">
      <c r="A430" s="100" t="s">
        <v>667</v>
      </c>
      <c r="B430" s="100" t="s">
        <v>6</v>
      </c>
      <c r="C430" s="100" t="s">
        <v>167</v>
      </c>
      <c r="D430" s="100" t="s">
        <v>26</v>
      </c>
      <c r="E430" s="100" t="s">
        <v>781</v>
      </c>
      <c r="F430" s="332" t="s">
        <v>1078</v>
      </c>
      <c r="G430" s="332" t="s">
        <v>782</v>
      </c>
      <c r="H430" s="332" t="s">
        <v>783</v>
      </c>
      <c r="I430" s="334" t="s">
        <v>785</v>
      </c>
      <c r="J430" s="340" t="s">
        <v>1079</v>
      </c>
      <c r="K430" s="335"/>
      <c r="L430" s="343"/>
      <c r="S430" s="97"/>
      <c r="T430" s="97"/>
      <c r="X430" s="198"/>
      <c r="Y430" s="198"/>
    </row>
    <row r="431" spans="1:25" x14ac:dyDescent="0.35">
      <c r="A431" s="128">
        <v>23</v>
      </c>
      <c r="B431" s="132" t="s">
        <v>371</v>
      </c>
      <c r="C431" s="132" t="s">
        <v>202</v>
      </c>
      <c r="D431" s="133" t="s">
        <v>139</v>
      </c>
      <c r="E431" s="255">
        <v>0</v>
      </c>
      <c r="F431" s="255">
        <v>0</v>
      </c>
      <c r="G431" s="129">
        <f>0</f>
        <v>0</v>
      </c>
      <c r="H431" s="255">
        <f>IF(HVAC34238276200[[#This Row],[Actual Buyout]]+HVAC34238276200[[#This Row],[Change Orders]]=0,HVAC34238276200[[#This Row],[Original Contract]],HVAC34238276200[[#This Row],[Actual Buyout]]+HVAC34238276200[[#This Row],[Change Orders]])</f>
        <v>0</v>
      </c>
      <c r="I431" s="129">
        <v>0</v>
      </c>
      <c r="J431" s="129">
        <f>HVAC34238276200[[#This Row],[Original Contract]]-HVAC34238276200[[#This Row],[Revised Contract]]</f>
        <v>0</v>
      </c>
      <c r="K431" s="341"/>
      <c r="L431" s="343"/>
      <c r="S431" s="97"/>
      <c r="T431" s="97"/>
      <c r="X431" s="198"/>
      <c r="Y431" s="198"/>
    </row>
    <row r="432" spans="1:25" x14ac:dyDescent="0.35">
      <c r="A432" s="128">
        <v>23</v>
      </c>
      <c r="B432" s="132" t="s">
        <v>376</v>
      </c>
      <c r="C432" s="132" t="s">
        <v>375</v>
      </c>
      <c r="D432" s="133" t="s">
        <v>140</v>
      </c>
      <c r="E432" s="255">
        <v>0</v>
      </c>
      <c r="F432" s="255">
        <v>0</v>
      </c>
      <c r="G432" s="129">
        <f>0</f>
        <v>0</v>
      </c>
      <c r="H432" s="255">
        <f>IF(HVAC34238276200[[#This Row],[Actual Buyout]]+HVAC34238276200[[#This Row],[Change Orders]]=0,HVAC34238276200[[#This Row],[Original Contract]],HVAC34238276200[[#This Row],[Actual Buyout]]+HVAC34238276200[[#This Row],[Change Orders]])</f>
        <v>0</v>
      </c>
      <c r="I432" s="129">
        <v>0</v>
      </c>
      <c r="J432" s="129">
        <f>HVAC34238276200[[#This Row],[Original Contract]]-HVAC34238276200[[#This Row],[Revised Contract]]</f>
        <v>0</v>
      </c>
      <c r="K432" s="341"/>
      <c r="L432" s="343"/>
      <c r="S432" s="97"/>
      <c r="T432" s="97"/>
      <c r="X432" s="198"/>
      <c r="Y432" s="198"/>
    </row>
    <row r="433" spans="1:25" x14ac:dyDescent="0.35">
      <c r="A433" s="128">
        <v>23</v>
      </c>
      <c r="B433" s="132" t="s">
        <v>371</v>
      </c>
      <c r="C433" s="132" t="s">
        <v>202</v>
      </c>
      <c r="D433" s="133" t="s">
        <v>141</v>
      </c>
      <c r="E433" s="255">
        <v>0</v>
      </c>
      <c r="F433" s="255">
        <v>0</v>
      </c>
      <c r="G433" s="129">
        <f>0</f>
        <v>0</v>
      </c>
      <c r="H433" s="255">
        <f>IF(HVAC34238276200[[#This Row],[Actual Buyout]]+HVAC34238276200[[#This Row],[Change Orders]]=0,HVAC34238276200[[#This Row],[Original Contract]],HVAC34238276200[[#This Row],[Actual Buyout]]+HVAC34238276200[[#This Row],[Change Orders]])</f>
        <v>0</v>
      </c>
      <c r="I433" s="129">
        <v>0</v>
      </c>
      <c r="J433" s="129">
        <f>HVAC34238276200[[#This Row],[Original Contract]]-HVAC34238276200[[#This Row],[Revised Contract]]</f>
        <v>0</v>
      </c>
      <c r="K433" s="341"/>
      <c r="L433" s="343"/>
      <c r="S433" s="97"/>
      <c r="T433" s="97"/>
      <c r="X433" s="198"/>
      <c r="Y433" s="198"/>
    </row>
    <row r="434" spans="1:25" x14ac:dyDescent="0.35">
      <c r="A434" s="128">
        <v>23</v>
      </c>
      <c r="B434" s="132" t="s">
        <v>372</v>
      </c>
      <c r="C434" s="132" t="s">
        <v>201</v>
      </c>
      <c r="D434" s="133" t="s">
        <v>162</v>
      </c>
      <c r="E434" s="255">
        <v>0</v>
      </c>
      <c r="F434" s="255">
        <v>0</v>
      </c>
      <c r="G434" s="129">
        <f>0</f>
        <v>0</v>
      </c>
      <c r="H434" s="255">
        <f>IF(HVAC34238276200[[#This Row],[Actual Buyout]]+HVAC34238276200[[#This Row],[Change Orders]]=0,HVAC34238276200[[#This Row],[Original Contract]],HVAC34238276200[[#This Row],[Actual Buyout]]+HVAC34238276200[[#This Row],[Change Orders]])</f>
        <v>0</v>
      </c>
      <c r="I434" s="129">
        <v>0</v>
      </c>
      <c r="J434" s="129">
        <f>HVAC34238276200[[#This Row],[Original Contract]]-HVAC34238276200[[#This Row],[Revised Contract]]</f>
        <v>0</v>
      </c>
      <c r="K434" s="341"/>
      <c r="L434" s="343"/>
      <c r="S434" s="97"/>
      <c r="T434" s="97"/>
      <c r="X434" s="198"/>
      <c r="Y434" s="198"/>
    </row>
    <row r="435" spans="1:25" x14ac:dyDescent="0.35">
      <c r="A435" s="128">
        <v>23</v>
      </c>
      <c r="B435" s="132" t="s">
        <v>718</v>
      </c>
      <c r="C435" s="132" t="s">
        <v>373</v>
      </c>
      <c r="D435" s="133" t="s">
        <v>142</v>
      </c>
      <c r="E435" s="255">
        <v>0</v>
      </c>
      <c r="F435" s="255">
        <v>0</v>
      </c>
      <c r="G435" s="129">
        <f>0</f>
        <v>0</v>
      </c>
      <c r="H435" s="255">
        <f>IF(HVAC34238276200[[#This Row],[Actual Buyout]]+HVAC34238276200[[#This Row],[Change Orders]]=0,HVAC34238276200[[#This Row],[Original Contract]],HVAC34238276200[[#This Row],[Actual Buyout]]+HVAC34238276200[[#This Row],[Change Orders]])</f>
        <v>0</v>
      </c>
      <c r="I435" s="129">
        <v>0</v>
      </c>
      <c r="J435" s="129">
        <f>HVAC34238276200[[#This Row],[Original Contract]]-HVAC34238276200[[#This Row],[Revised Contract]]</f>
        <v>0</v>
      </c>
      <c r="K435" s="341"/>
      <c r="L435" s="343"/>
      <c r="S435" s="97"/>
      <c r="T435" s="97"/>
      <c r="X435" s="198"/>
      <c r="Y435" s="198"/>
    </row>
    <row r="436" spans="1:25" x14ac:dyDescent="0.35">
      <c r="A436" s="128">
        <v>23</v>
      </c>
      <c r="B436" s="132" t="s">
        <v>371</v>
      </c>
      <c r="C436" s="132" t="s">
        <v>202</v>
      </c>
      <c r="D436" s="133" t="s">
        <v>707</v>
      </c>
      <c r="E436" s="255">
        <v>0</v>
      </c>
      <c r="F436" s="255">
        <v>0</v>
      </c>
      <c r="G436" s="129">
        <f>0</f>
        <v>0</v>
      </c>
      <c r="H436" s="255">
        <f>IF(HVAC34238276200[[#This Row],[Actual Buyout]]+HVAC34238276200[[#This Row],[Change Orders]]=0,HVAC34238276200[[#This Row],[Original Contract]],HVAC34238276200[[#This Row],[Actual Buyout]]+HVAC34238276200[[#This Row],[Change Orders]])</f>
        <v>0</v>
      </c>
      <c r="I436" s="129">
        <v>0</v>
      </c>
      <c r="J436" s="129">
        <f>HVAC34238276200[[#This Row],[Original Contract]]-HVAC34238276200[[#This Row],[Revised Contract]]</f>
        <v>0</v>
      </c>
      <c r="K436" s="341"/>
      <c r="L436" s="343"/>
      <c r="S436" s="97"/>
      <c r="T436" s="97"/>
      <c r="X436" s="198"/>
      <c r="Y436" s="198"/>
    </row>
    <row r="437" spans="1:25" x14ac:dyDescent="0.35">
      <c r="A437" s="128">
        <v>23</v>
      </c>
      <c r="B437" s="132" t="s">
        <v>374</v>
      </c>
      <c r="C437" s="132" t="s">
        <v>203</v>
      </c>
      <c r="D437" s="133" t="s">
        <v>204</v>
      </c>
      <c r="E437" s="255">
        <v>0</v>
      </c>
      <c r="F437" s="255">
        <v>0</v>
      </c>
      <c r="G437" s="129">
        <f>0</f>
        <v>0</v>
      </c>
      <c r="H437" s="255">
        <f>IF(HVAC34238276200[[#This Row],[Actual Buyout]]+HVAC34238276200[[#This Row],[Change Orders]]=0,HVAC34238276200[[#This Row],[Original Contract]],HVAC34238276200[[#This Row],[Actual Buyout]]+HVAC34238276200[[#This Row],[Change Orders]])</f>
        <v>0</v>
      </c>
      <c r="I437" s="129">
        <v>0</v>
      </c>
      <c r="J437" s="129">
        <f>HVAC34238276200[[#This Row],[Original Contract]]-HVAC34238276200[[#This Row],[Revised Contract]]</f>
        <v>0</v>
      </c>
      <c r="K437" s="341"/>
      <c r="L437" s="343"/>
      <c r="S437" s="97"/>
      <c r="T437" s="97"/>
      <c r="X437" s="198"/>
      <c r="Y437" s="198"/>
    </row>
    <row r="438" spans="1:25" x14ac:dyDescent="0.35">
      <c r="A438" s="128">
        <v>23</v>
      </c>
      <c r="B438" s="132"/>
      <c r="C438" s="132"/>
      <c r="D438" s="133" t="s">
        <v>37</v>
      </c>
      <c r="E438" s="255">
        <v>0</v>
      </c>
      <c r="F438" s="255">
        <v>0</v>
      </c>
      <c r="G438" s="129">
        <f>0</f>
        <v>0</v>
      </c>
      <c r="H438" s="255">
        <f>IF(HVAC34238276200[[#This Row],[Actual Buyout]]+HVAC34238276200[[#This Row],[Change Orders]]=0,HVAC34238276200[[#This Row],[Original Contract]],HVAC34238276200[[#This Row],[Actual Buyout]]+HVAC34238276200[[#This Row],[Change Orders]])</f>
        <v>0</v>
      </c>
      <c r="I438" s="129">
        <v>0</v>
      </c>
      <c r="J438" s="129">
        <f>HVAC34238276200[[#This Row],[Original Contract]]-HVAC34238276200[[#This Row],[Revised Contract]]</f>
        <v>0</v>
      </c>
      <c r="K438" s="341"/>
      <c r="L438" s="343"/>
      <c r="S438" s="97"/>
      <c r="T438" s="97"/>
      <c r="X438" s="198"/>
      <c r="Y438" s="198"/>
    </row>
    <row r="439" spans="1:25" x14ac:dyDescent="0.35">
      <c r="A439" s="128">
        <v>23</v>
      </c>
      <c r="B439" s="132"/>
      <c r="C439" s="132"/>
      <c r="D439" s="133" t="s">
        <v>37</v>
      </c>
      <c r="E439" s="255">
        <v>0</v>
      </c>
      <c r="F439" s="255">
        <v>0</v>
      </c>
      <c r="G439" s="129">
        <f>0</f>
        <v>0</v>
      </c>
      <c r="H439" s="255">
        <f>IF(HVAC34238276200[[#This Row],[Actual Buyout]]+HVAC34238276200[[#This Row],[Change Orders]]=0,HVAC34238276200[[#This Row],[Original Contract]],HVAC34238276200[[#This Row],[Actual Buyout]]+HVAC34238276200[[#This Row],[Change Orders]])</f>
        <v>0</v>
      </c>
      <c r="I439" s="129">
        <v>0</v>
      </c>
      <c r="J439" s="129">
        <f>HVAC34238276200[[#This Row],[Original Contract]]-HVAC34238276200[[#This Row],[Revised Contract]]</f>
        <v>0</v>
      </c>
      <c r="K439" s="341"/>
      <c r="L439" s="343"/>
      <c r="S439" s="97"/>
      <c r="T439" s="97"/>
      <c r="X439" s="198"/>
      <c r="Y439" s="198"/>
    </row>
    <row r="440" spans="1:25" x14ac:dyDescent="0.35">
      <c r="A440" s="128">
        <v>23</v>
      </c>
      <c r="B440" s="132"/>
      <c r="C440" s="132"/>
      <c r="D440" s="133" t="s">
        <v>37</v>
      </c>
      <c r="E440" s="255">
        <v>0</v>
      </c>
      <c r="F440" s="255">
        <v>0</v>
      </c>
      <c r="G440" s="129">
        <f>0</f>
        <v>0</v>
      </c>
      <c r="H440" s="255">
        <f>IF(HVAC34238276200[[#This Row],[Actual Buyout]]+HVAC34238276200[[#This Row],[Change Orders]]=0,HVAC34238276200[[#This Row],[Original Contract]],HVAC34238276200[[#This Row],[Actual Buyout]]+HVAC34238276200[[#This Row],[Change Orders]])</f>
        <v>0</v>
      </c>
      <c r="I440" s="129">
        <v>0</v>
      </c>
      <c r="J440" s="129">
        <f>HVAC34238276200[[#This Row],[Original Contract]]-HVAC34238276200[[#This Row],[Revised Contract]]</f>
        <v>0</v>
      </c>
      <c r="K440" s="341"/>
      <c r="L440" s="343"/>
      <c r="S440" s="97"/>
      <c r="T440" s="97"/>
      <c r="X440" s="198"/>
      <c r="Y440" s="198"/>
    </row>
    <row r="441" spans="1:25" x14ac:dyDescent="0.35">
      <c r="A441" s="128">
        <v>23</v>
      </c>
      <c r="B441" s="132"/>
      <c r="C441" s="132"/>
      <c r="D441" s="133" t="s">
        <v>37</v>
      </c>
      <c r="E441" s="255">
        <v>0</v>
      </c>
      <c r="F441" s="255">
        <v>0</v>
      </c>
      <c r="G441" s="129">
        <f>0</f>
        <v>0</v>
      </c>
      <c r="H441" s="255">
        <f>IF(HVAC34238276200[[#This Row],[Actual Buyout]]+HVAC34238276200[[#This Row],[Change Orders]]=0,HVAC34238276200[[#This Row],[Original Contract]],HVAC34238276200[[#This Row],[Actual Buyout]]+HVAC34238276200[[#This Row],[Change Orders]])</f>
        <v>0</v>
      </c>
      <c r="I441" s="129">
        <v>0</v>
      </c>
      <c r="J441" s="129">
        <f>HVAC34238276200[[#This Row],[Original Contract]]-HVAC34238276200[[#This Row],[Revised Contract]]</f>
        <v>0</v>
      </c>
      <c r="K441" s="341"/>
      <c r="L441" s="343"/>
      <c r="S441" s="97"/>
      <c r="T441" s="97"/>
      <c r="X441" s="198"/>
      <c r="Y441" s="198"/>
    </row>
    <row r="442" spans="1:25" x14ac:dyDescent="0.35">
      <c r="A442" s="128">
        <v>23</v>
      </c>
      <c r="B442" s="132"/>
      <c r="C442" s="132"/>
      <c r="D442" s="133" t="s">
        <v>37</v>
      </c>
      <c r="E442" s="255">
        <v>0</v>
      </c>
      <c r="F442" s="255">
        <v>0</v>
      </c>
      <c r="G442" s="129">
        <f>0</f>
        <v>0</v>
      </c>
      <c r="H442" s="255">
        <f>IF(HVAC34238276200[[#This Row],[Actual Buyout]]+HVAC34238276200[[#This Row],[Change Orders]]=0,HVAC34238276200[[#This Row],[Original Contract]],HVAC34238276200[[#This Row],[Actual Buyout]]+HVAC34238276200[[#This Row],[Change Orders]])</f>
        <v>0</v>
      </c>
      <c r="I442" s="129">
        <v>0</v>
      </c>
      <c r="J442" s="129">
        <f>HVAC34238276200[[#This Row],[Original Contract]]-HVAC34238276200[[#This Row],[Revised Contract]]</f>
        <v>0</v>
      </c>
      <c r="K442" s="341"/>
      <c r="L442" s="343"/>
      <c r="S442" s="97"/>
      <c r="T442" s="97"/>
      <c r="X442" s="198"/>
      <c r="Y442" s="198"/>
    </row>
    <row r="443" spans="1:25" x14ac:dyDescent="0.35">
      <c r="A443" s="257"/>
      <c r="B443" s="258"/>
      <c r="C443" s="258"/>
      <c r="D443" s="256" t="s">
        <v>38</v>
      </c>
      <c r="E443" s="151">
        <f>SUM(HVAC34238276200[Original Contract])</f>
        <v>0</v>
      </c>
      <c r="F443" s="151">
        <f>SUM(HVAC34238276200[Actual Buyout])</f>
        <v>0</v>
      </c>
      <c r="G443" s="151">
        <f>SUM(HVAC34238276200[Change Orders])</f>
        <v>0</v>
      </c>
      <c r="H443" s="151">
        <f>SUM(HVAC34238276200[Revised Contract])</f>
        <v>0</v>
      </c>
      <c r="I443" s="151">
        <f>SUM(HVAC34238276200[Total completed and Stored])</f>
        <v>0</v>
      </c>
      <c r="J443" s="151">
        <f>SUM(HVAC34238276200[Delta])</f>
        <v>0</v>
      </c>
      <c r="K443" s="343"/>
      <c r="L443" s="343"/>
    </row>
    <row r="444" spans="1:25" x14ac:dyDescent="0.35">
      <c r="A444" s="100" t="s">
        <v>668</v>
      </c>
      <c r="B444" s="100" t="s">
        <v>7</v>
      </c>
      <c r="C444" s="100" t="s">
        <v>167</v>
      </c>
      <c r="D444" s="100" t="s">
        <v>26</v>
      </c>
      <c r="E444" s="100" t="s">
        <v>781</v>
      </c>
      <c r="F444" s="332" t="s">
        <v>1078</v>
      </c>
      <c r="G444" s="332" t="s">
        <v>782</v>
      </c>
      <c r="H444" s="332" t="s">
        <v>783</v>
      </c>
      <c r="I444" s="334" t="s">
        <v>785</v>
      </c>
      <c r="J444" s="340" t="s">
        <v>1079</v>
      </c>
      <c r="K444" s="335"/>
      <c r="L444" s="343"/>
      <c r="S444" s="97"/>
      <c r="T444" s="97"/>
      <c r="X444" s="198"/>
      <c r="Y444" s="198"/>
    </row>
    <row r="445" spans="1:25" x14ac:dyDescent="0.35">
      <c r="A445" s="128">
        <v>26</v>
      </c>
      <c r="B445" s="132" t="s">
        <v>378</v>
      </c>
      <c r="C445" s="132" t="s">
        <v>377</v>
      </c>
      <c r="D445" s="133" t="s">
        <v>143</v>
      </c>
      <c r="E445" s="255">
        <v>0</v>
      </c>
      <c r="F445" s="255">
        <v>0</v>
      </c>
      <c r="G445" s="129">
        <f>0</f>
        <v>0</v>
      </c>
      <c r="H445" s="255">
        <f>IF(Electrical35239277201[[#This Row],[Actual Buyout]]+Electrical35239277201[[#This Row],[Change Orders]]=0,Electrical35239277201[[#This Row],[Original Contract]],Electrical35239277201[[#This Row],[Actual Buyout]]+Electrical35239277201[[#This Row],[Change Orders]])</f>
        <v>0</v>
      </c>
      <c r="I445" s="129">
        <v>0</v>
      </c>
      <c r="J445" s="129">
        <f>Electrical35239277201[[#This Row],[Original Contract]]-Electrical35239277201[[#This Row],[Revised Contract]]</f>
        <v>0</v>
      </c>
      <c r="K445" s="341"/>
      <c r="L445" s="343"/>
      <c r="S445" s="97"/>
      <c r="T445" s="97"/>
      <c r="X445" s="198"/>
      <c r="Y445" s="198"/>
    </row>
    <row r="446" spans="1:25" x14ac:dyDescent="0.35">
      <c r="A446" s="128">
        <v>26</v>
      </c>
      <c r="B446" s="132" t="s">
        <v>719</v>
      </c>
      <c r="C446" s="132" t="s">
        <v>206</v>
      </c>
      <c r="D446" s="133" t="s">
        <v>163</v>
      </c>
      <c r="E446" s="255">
        <v>0</v>
      </c>
      <c r="F446" s="255">
        <v>0</v>
      </c>
      <c r="G446" s="129">
        <f>0</f>
        <v>0</v>
      </c>
      <c r="H446" s="255">
        <f>IF(Electrical35239277201[[#This Row],[Actual Buyout]]+Electrical35239277201[[#This Row],[Change Orders]]=0,Electrical35239277201[[#This Row],[Original Contract]],Electrical35239277201[[#This Row],[Actual Buyout]]+Electrical35239277201[[#This Row],[Change Orders]])</f>
        <v>0</v>
      </c>
      <c r="I446" s="129">
        <v>0</v>
      </c>
      <c r="J446" s="129">
        <f>Electrical35239277201[[#This Row],[Original Contract]]-Electrical35239277201[[#This Row],[Revised Contract]]</f>
        <v>0</v>
      </c>
      <c r="K446" s="341"/>
      <c r="L446" s="343"/>
      <c r="S446" s="97"/>
      <c r="T446" s="97"/>
      <c r="X446" s="198"/>
      <c r="Y446" s="198"/>
    </row>
    <row r="447" spans="1:25" x14ac:dyDescent="0.35">
      <c r="A447" s="128">
        <v>26</v>
      </c>
      <c r="B447" s="132" t="s">
        <v>719</v>
      </c>
      <c r="C447" s="132" t="s">
        <v>206</v>
      </c>
      <c r="D447" s="133" t="s">
        <v>144</v>
      </c>
      <c r="E447" s="255">
        <v>0</v>
      </c>
      <c r="F447" s="255">
        <v>0</v>
      </c>
      <c r="G447" s="129">
        <f>0</f>
        <v>0</v>
      </c>
      <c r="H447" s="255">
        <f>IF(Electrical35239277201[[#This Row],[Actual Buyout]]+Electrical35239277201[[#This Row],[Change Orders]]=0,Electrical35239277201[[#This Row],[Original Contract]],Electrical35239277201[[#This Row],[Actual Buyout]]+Electrical35239277201[[#This Row],[Change Orders]])</f>
        <v>0</v>
      </c>
      <c r="I447" s="129">
        <v>0</v>
      </c>
      <c r="J447" s="129">
        <f>Electrical35239277201[[#This Row],[Original Contract]]-Electrical35239277201[[#This Row],[Revised Contract]]</f>
        <v>0</v>
      </c>
      <c r="K447" s="341"/>
      <c r="L447" s="343"/>
      <c r="S447" s="97"/>
      <c r="T447" s="97"/>
      <c r="X447" s="198"/>
      <c r="Y447" s="198"/>
    </row>
    <row r="448" spans="1:25" x14ac:dyDescent="0.35">
      <c r="A448" s="128">
        <v>26</v>
      </c>
      <c r="B448" s="132" t="s">
        <v>380</v>
      </c>
      <c r="C448" s="132" t="s">
        <v>379</v>
      </c>
      <c r="D448" s="133" t="s">
        <v>164</v>
      </c>
      <c r="E448" s="255">
        <v>0</v>
      </c>
      <c r="F448" s="255">
        <v>0</v>
      </c>
      <c r="G448" s="129">
        <f>0</f>
        <v>0</v>
      </c>
      <c r="H448" s="255">
        <f>IF(Electrical35239277201[[#This Row],[Actual Buyout]]+Electrical35239277201[[#This Row],[Change Orders]]=0,Electrical35239277201[[#This Row],[Original Contract]],Electrical35239277201[[#This Row],[Actual Buyout]]+Electrical35239277201[[#This Row],[Change Orders]])</f>
        <v>0</v>
      </c>
      <c r="I448" s="129">
        <v>0</v>
      </c>
      <c r="J448" s="129">
        <f>Electrical35239277201[[#This Row],[Original Contract]]-Electrical35239277201[[#This Row],[Revised Contract]]</f>
        <v>0</v>
      </c>
      <c r="K448" s="341"/>
      <c r="L448" s="343"/>
      <c r="S448" s="97"/>
      <c r="T448" s="97"/>
      <c r="X448" s="198"/>
      <c r="Y448" s="198"/>
    </row>
    <row r="449" spans="1:25" x14ac:dyDescent="0.35">
      <c r="A449" s="128">
        <v>26</v>
      </c>
      <c r="B449" s="132" t="s">
        <v>380</v>
      </c>
      <c r="C449" s="132" t="s">
        <v>379</v>
      </c>
      <c r="D449" s="133" t="s">
        <v>145</v>
      </c>
      <c r="E449" s="255">
        <v>0</v>
      </c>
      <c r="F449" s="255">
        <v>0</v>
      </c>
      <c r="G449" s="129">
        <f>0</f>
        <v>0</v>
      </c>
      <c r="H449" s="255">
        <f>IF(Electrical35239277201[[#This Row],[Actual Buyout]]+Electrical35239277201[[#This Row],[Change Orders]]=0,Electrical35239277201[[#This Row],[Original Contract]],Electrical35239277201[[#This Row],[Actual Buyout]]+Electrical35239277201[[#This Row],[Change Orders]])</f>
        <v>0</v>
      </c>
      <c r="I449" s="129">
        <v>0</v>
      </c>
      <c r="J449" s="129">
        <f>Electrical35239277201[[#This Row],[Original Contract]]-Electrical35239277201[[#This Row],[Revised Contract]]</f>
        <v>0</v>
      </c>
      <c r="K449" s="341"/>
      <c r="L449" s="343"/>
      <c r="S449" s="97"/>
      <c r="T449" s="97"/>
      <c r="X449" s="198"/>
      <c r="Y449" s="198"/>
    </row>
    <row r="450" spans="1:25" x14ac:dyDescent="0.35">
      <c r="A450" s="128">
        <v>26</v>
      </c>
      <c r="B450" s="132" t="s">
        <v>380</v>
      </c>
      <c r="C450" s="132" t="s">
        <v>379</v>
      </c>
      <c r="D450" s="133" t="s">
        <v>775</v>
      </c>
      <c r="E450" s="255">
        <v>0</v>
      </c>
      <c r="F450" s="255">
        <v>0</v>
      </c>
      <c r="G450" s="129">
        <f>0</f>
        <v>0</v>
      </c>
      <c r="H450" s="255">
        <f>IF(Electrical35239277201[[#This Row],[Actual Buyout]]+Electrical35239277201[[#This Row],[Change Orders]]=0,Electrical35239277201[[#This Row],[Original Contract]],Electrical35239277201[[#This Row],[Actual Buyout]]+Electrical35239277201[[#This Row],[Change Orders]])</f>
        <v>0</v>
      </c>
      <c r="I450" s="129">
        <v>0</v>
      </c>
      <c r="J450" s="129">
        <f>Electrical35239277201[[#This Row],[Original Contract]]-Electrical35239277201[[#This Row],[Revised Contract]]</f>
        <v>0</v>
      </c>
      <c r="K450" s="341"/>
      <c r="L450" s="343"/>
      <c r="S450" s="97"/>
      <c r="T450" s="97"/>
      <c r="X450" s="198"/>
      <c r="Y450" s="198"/>
    </row>
    <row r="451" spans="1:25" x14ac:dyDescent="0.35">
      <c r="A451" s="128">
        <v>26</v>
      </c>
      <c r="B451" s="132" t="s">
        <v>385</v>
      </c>
      <c r="C451" s="132" t="s">
        <v>208</v>
      </c>
      <c r="D451" s="133" t="s">
        <v>8</v>
      </c>
      <c r="E451" s="255">
        <v>0</v>
      </c>
      <c r="F451" s="255">
        <v>0</v>
      </c>
      <c r="G451" s="129">
        <f>0</f>
        <v>0</v>
      </c>
      <c r="H451" s="255">
        <f>IF(Electrical35239277201[[#This Row],[Actual Buyout]]+Electrical35239277201[[#This Row],[Change Orders]]=0,Electrical35239277201[[#This Row],[Original Contract]],Electrical35239277201[[#This Row],[Actual Buyout]]+Electrical35239277201[[#This Row],[Change Orders]])</f>
        <v>0</v>
      </c>
      <c r="I451" s="129">
        <v>0</v>
      </c>
      <c r="J451" s="129">
        <f>Electrical35239277201[[#This Row],[Original Contract]]-Electrical35239277201[[#This Row],[Revised Contract]]</f>
        <v>0</v>
      </c>
      <c r="K451" s="341"/>
      <c r="L451" s="343"/>
      <c r="S451" s="97"/>
      <c r="T451" s="97"/>
      <c r="X451" s="198"/>
      <c r="Y451" s="198"/>
    </row>
    <row r="452" spans="1:25" x14ac:dyDescent="0.35">
      <c r="A452" s="128">
        <v>26</v>
      </c>
      <c r="B452" s="132" t="s">
        <v>378</v>
      </c>
      <c r="C452" s="132" t="s">
        <v>377</v>
      </c>
      <c r="D452" s="133" t="s">
        <v>720</v>
      </c>
      <c r="E452" s="255">
        <v>0</v>
      </c>
      <c r="F452" s="255">
        <v>0</v>
      </c>
      <c r="G452" s="129">
        <f>0</f>
        <v>0</v>
      </c>
      <c r="H452" s="255">
        <f>IF(Electrical35239277201[[#This Row],[Actual Buyout]]+Electrical35239277201[[#This Row],[Change Orders]]=0,Electrical35239277201[[#This Row],[Original Contract]],Electrical35239277201[[#This Row],[Actual Buyout]]+Electrical35239277201[[#This Row],[Change Orders]])</f>
        <v>0</v>
      </c>
      <c r="I452" s="129">
        <v>0</v>
      </c>
      <c r="J452" s="129">
        <f>Electrical35239277201[[#This Row],[Original Contract]]-Electrical35239277201[[#This Row],[Revised Contract]]</f>
        <v>0</v>
      </c>
      <c r="K452" s="341"/>
      <c r="L452" s="343"/>
      <c r="S452" s="97"/>
      <c r="T452" s="97"/>
      <c r="X452" s="198"/>
      <c r="Y452" s="198"/>
    </row>
    <row r="453" spans="1:25" x14ac:dyDescent="0.35">
      <c r="A453" s="128">
        <v>26</v>
      </c>
      <c r="B453" s="132" t="s">
        <v>380</v>
      </c>
      <c r="C453" s="132" t="s">
        <v>379</v>
      </c>
      <c r="D453" s="133" t="s">
        <v>146</v>
      </c>
      <c r="E453" s="255">
        <v>0</v>
      </c>
      <c r="F453" s="255">
        <v>0</v>
      </c>
      <c r="G453" s="129">
        <f>0</f>
        <v>0</v>
      </c>
      <c r="H453" s="255">
        <f>IF(Electrical35239277201[[#This Row],[Actual Buyout]]+Electrical35239277201[[#This Row],[Change Orders]]=0,Electrical35239277201[[#This Row],[Original Contract]],Electrical35239277201[[#This Row],[Actual Buyout]]+Electrical35239277201[[#This Row],[Change Orders]])</f>
        <v>0</v>
      </c>
      <c r="I453" s="129">
        <v>0</v>
      </c>
      <c r="J453" s="129">
        <f>Electrical35239277201[[#This Row],[Original Contract]]-Electrical35239277201[[#This Row],[Revised Contract]]</f>
        <v>0</v>
      </c>
      <c r="K453" s="341"/>
      <c r="L453" s="343"/>
      <c r="S453" s="97"/>
      <c r="T453" s="97"/>
      <c r="X453" s="198"/>
      <c r="Y453" s="198"/>
    </row>
    <row r="454" spans="1:25" x14ac:dyDescent="0.35">
      <c r="A454" s="128">
        <v>26</v>
      </c>
      <c r="B454" s="132" t="s">
        <v>382</v>
      </c>
      <c r="C454" s="132" t="s">
        <v>381</v>
      </c>
      <c r="D454" s="133" t="s">
        <v>147</v>
      </c>
      <c r="E454" s="255">
        <v>0</v>
      </c>
      <c r="F454" s="255">
        <v>0</v>
      </c>
      <c r="G454" s="129">
        <f>0</f>
        <v>0</v>
      </c>
      <c r="H454" s="255">
        <f>IF(Electrical35239277201[[#This Row],[Actual Buyout]]+Electrical35239277201[[#This Row],[Change Orders]]=0,Electrical35239277201[[#This Row],[Original Contract]],Electrical35239277201[[#This Row],[Actual Buyout]]+Electrical35239277201[[#This Row],[Change Orders]])</f>
        <v>0</v>
      </c>
      <c r="I454" s="129">
        <v>0</v>
      </c>
      <c r="J454" s="129">
        <f>Electrical35239277201[[#This Row],[Original Contract]]-Electrical35239277201[[#This Row],[Revised Contract]]</f>
        <v>0</v>
      </c>
      <c r="K454" s="341"/>
      <c r="L454" s="343"/>
      <c r="S454" s="97"/>
      <c r="T454" s="97"/>
      <c r="X454" s="198"/>
      <c r="Y454" s="198"/>
    </row>
    <row r="455" spans="1:25" x14ac:dyDescent="0.35">
      <c r="A455" s="128">
        <v>26</v>
      </c>
      <c r="B455" s="132" t="s">
        <v>719</v>
      </c>
      <c r="C455" s="132" t="s">
        <v>206</v>
      </c>
      <c r="D455" s="133" t="s">
        <v>205</v>
      </c>
      <c r="E455" s="255">
        <v>0</v>
      </c>
      <c r="F455" s="255">
        <v>0</v>
      </c>
      <c r="G455" s="129">
        <f>0</f>
        <v>0</v>
      </c>
      <c r="H455" s="255">
        <f>IF(Electrical35239277201[[#This Row],[Actual Buyout]]+Electrical35239277201[[#This Row],[Change Orders]]=0,Electrical35239277201[[#This Row],[Original Contract]],Electrical35239277201[[#This Row],[Actual Buyout]]+Electrical35239277201[[#This Row],[Change Orders]])</f>
        <v>0</v>
      </c>
      <c r="I455" s="129">
        <v>0</v>
      </c>
      <c r="J455" s="129">
        <f>Electrical35239277201[[#This Row],[Original Contract]]-Electrical35239277201[[#This Row],[Revised Contract]]</f>
        <v>0</v>
      </c>
      <c r="K455" s="341"/>
      <c r="L455" s="343"/>
      <c r="S455" s="97"/>
      <c r="T455" s="97"/>
      <c r="X455" s="198"/>
      <c r="Y455" s="198"/>
    </row>
    <row r="456" spans="1:25" x14ac:dyDescent="0.35">
      <c r="A456" s="128">
        <v>26</v>
      </c>
      <c r="B456" s="132" t="s">
        <v>384</v>
      </c>
      <c r="C456" s="132" t="s">
        <v>383</v>
      </c>
      <c r="D456" s="133" t="s">
        <v>207</v>
      </c>
      <c r="E456" s="255">
        <v>0</v>
      </c>
      <c r="F456" s="255">
        <v>0</v>
      </c>
      <c r="G456" s="129">
        <f>0</f>
        <v>0</v>
      </c>
      <c r="H456" s="255">
        <f>IF(Electrical35239277201[[#This Row],[Actual Buyout]]+Electrical35239277201[[#This Row],[Change Orders]]=0,Electrical35239277201[[#This Row],[Original Contract]],Electrical35239277201[[#This Row],[Actual Buyout]]+Electrical35239277201[[#This Row],[Change Orders]])</f>
        <v>0</v>
      </c>
      <c r="I456" s="129">
        <v>0</v>
      </c>
      <c r="J456" s="129">
        <f>Electrical35239277201[[#This Row],[Original Contract]]-Electrical35239277201[[#This Row],[Revised Contract]]</f>
        <v>0</v>
      </c>
      <c r="K456" s="341"/>
      <c r="L456" s="343"/>
      <c r="S456" s="97"/>
      <c r="T456" s="97"/>
      <c r="X456" s="198"/>
      <c r="Y456" s="198"/>
    </row>
    <row r="457" spans="1:25" x14ac:dyDescent="0.35">
      <c r="A457" s="128">
        <v>26</v>
      </c>
      <c r="B457" s="132" t="s">
        <v>719</v>
      </c>
      <c r="C457" s="132" t="s">
        <v>206</v>
      </c>
      <c r="D457" s="133" t="s">
        <v>776</v>
      </c>
      <c r="E457" s="255">
        <v>0</v>
      </c>
      <c r="F457" s="255">
        <v>0</v>
      </c>
      <c r="G457" s="129">
        <f>0</f>
        <v>0</v>
      </c>
      <c r="H457" s="255">
        <f>IF(Electrical35239277201[[#This Row],[Actual Buyout]]+Electrical35239277201[[#This Row],[Change Orders]]=0,Electrical35239277201[[#This Row],[Original Contract]],Electrical35239277201[[#This Row],[Actual Buyout]]+Electrical35239277201[[#This Row],[Change Orders]])</f>
        <v>0</v>
      </c>
      <c r="I457" s="129">
        <v>0</v>
      </c>
      <c r="J457" s="129">
        <f>Electrical35239277201[[#This Row],[Original Contract]]-Electrical35239277201[[#This Row],[Revised Contract]]</f>
        <v>0</v>
      </c>
      <c r="K457" s="341"/>
      <c r="L457" s="343"/>
      <c r="S457" s="97"/>
      <c r="T457" s="97"/>
      <c r="X457" s="198"/>
      <c r="Y457" s="198"/>
    </row>
    <row r="458" spans="1:25" x14ac:dyDescent="0.35">
      <c r="A458" s="128">
        <v>26</v>
      </c>
      <c r="B458" s="132" t="s">
        <v>719</v>
      </c>
      <c r="C458" s="132" t="s">
        <v>377</v>
      </c>
      <c r="D458" s="133" t="s">
        <v>777</v>
      </c>
      <c r="E458" s="255">
        <v>0</v>
      </c>
      <c r="F458" s="255">
        <v>0</v>
      </c>
      <c r="G458" s="129">
        <f>0</f>
        <v>0</v>
      </c>
      <c r="H458" s="255">
        <f>IF(Electrical35239277201[[#This Row],[Actual Buyout]]+Electrical35239277201[[#This Row],[Change Orders]]=0,Electrical35239277201[[#This Row],[Original Contract]],Electrical35239277201[[#This Row],[Actual Buyout]]+Electrical35239277201[[#This Row],[Change Orders]])</f>
        <v>0</v>
      </c>
      <c r="I458" s="129">
        <v>0</v>
      </c>
      <c r="J458" s="129">
        <f>Electrical35239277201[[#This Row],[Original Contract]]-Electrical35239277201[[#This Row],[Revised Contract]]</f>
        <v>0</v>
      </c>
      <c r="K458" s="341"/>
      <c r="L458" s="343"/>
      <c r="S458" s="97"/>
      <c r="T458" s="97"/>
      <c r="X458" s="198"/>
      <c r="Y458" s="198"/>
    </row>
    <row r="459" spans="1:25" x14ac:dyDescent="0.35">
      <c r="A459" s="128">
        <v>26</v>
      </c>
      <c r="B459" s="132"/>
      <c r="C459" s="132"/>
      <c r="D459" s="133" t="s">
        <v>37</v>
      </c>
      <c r="E459" s="255">
        <v>0</v>
      </c>
      <c r="F459" s="255">
        <v>0</v>
      </c>
      <c r="G459" s="129">
        <f>0</f>
        <v>0</v>
      </c>
      <c r="H459" s="255">
        <f>IF(Electrical35239277201[[#This Row],[Actual Buyout]]+Electrical35239277201[[#This Row],[Change Orders]]=0,Electrical35239277201[[#This Row],[Original Contract]],Electrical35239277201[[#This Row],[Actual Buyout]]+Electrical35239277201[[#This Row],[Change Orders]])</f>
        <v>0</v>
      </c>
      <c r="I459" s="129">
        <v>0</v>
      </c>
      <c r="J459" s="129">
        <f>Electrical35239277201[[#This Row],[Original Contract]]-Electrical35239277201[[#This Row],[Revised Contract]]</f>
        <v>0</v>
      </c>
      <c r="K459" s="341"/>
      <c r="L459" s="343"/>
      <c r="S459" s="97"/>
      <c r="T459" s="97"/>
      <c r="X459" s="198"/>
      <c r="Y459" s="198"/>
    </row>
    <row r="460" spans="1:25" x14ac:dyDescent="0.35">
      <c r="A460" s="128">
        <v>26</v>
      </c>
      <c r="B460" s="132"/>
      <c r="C460" s="132"/>
      <c r="D460" s="133" t="s">
        <v>37</v>
      </c>
      <c r="E460" s="255">
        <v>0</v>
      </c>
      <c r="F460" s="255">
        <v>0</v>
      </c>
      <c r="G460" s="129">
        <f>0</f>
        <v>0</v>
      </c>
      <c r="H460" s="255">
        <f>IF(Electrical35239277201[[#This Row],[Actual Buyout]]+Electrical35239277201[[#This Row],[Change Orders]]=0,Electrical35239277201[[#This Row],[Original Contract]],Electrical35239277201[[#This Row],[Actual Buyout]]+Electrical35239277201[[#This Row],[Change Orders]])</f>
        <v>0</v>
      </c>
      <c r="I460" s="129">
        <v>0</v>
      </c>
      <c r="J460" s="129">
        <f>Electrical35239277201[[#This Row],[Original Contract]]-Electrical35239277201[[#This Row],[Revised Contract]]</f>
        <v>0</v>
      </c>
      <c r="K460" s="341"/>
      <c r="L460" s="343"/>
      <c r="S460" s="97"/>
      <c r="T460" s="97"/>
      <c r="X460" s="198"/>
      <c r="Y460" s="198"/>
    </row>
    <row r="461" spans="1:25" x14ac:dyDescent="0.35">
      <c r="A461" s="128">
        <v>26</v>
      </c>
      <c r="B461" s="132"/>
      <c r="C461" s="132"/>
      <c r="D461" s="133" t="s">
        <v>37</v>
      </c>
      <c r="E461" s="255">
        <v>0</v>
      </c>
      <c r="F461" s="255">
        <v>0</v>
      </c>
      <c r="G461" s="129">
        <f>0</f>
        <v>0</v>
      </c>
      <c r="H461" s="255">
        <f>IF(Electrical35239277201[[#This Row],[Actual Buyout]]+Electrical35239277201[[#This Row],[Change Orders]]=0,Electrical35239277201[[#This Row],[Original Contract]],Electrical35239277201[[#This Row],[Actual Buyout]]+Electrical35239277201[[#This Row],[Change Orders]])</f>
        <v>0</v>
      </c>
      <c r="I461" s="129">
        <v>0</v>
      </c>
      <c r="J461" s="129">
        <f>Electrical35239277201[[#This Row],[Original Contract]]-Electrical35239277201[[#This Row],[Revised Contract]]</f>
        <v>0</v>
      </c>
      <c r="K461" s="341"/>
      <c r="L461" s="343"/>
      <c r="S461" s="97"/>
      <c r="T461" s="97"/>
      <c r="X461" s="198"/>
      <c r="Y461" s="198"/>
    </row>
    <row r="462" spans="1:25" x14ac:dyDescent="0.35">
      <c r="A462" s="128">
        <v>26</v>
      </c>
      <c r="B462" s="132"/>
      <c r="C462" s="132"/>
      <c r="D462" s="133" t="s">
        <v>37</v>
      </c>
      <c r="E462" s="255">
        <v>0</v>
      </c>
      <c r="F462" s="255">
        <v>0</v>
      </c>
      <c r="G462" s="129">
        <f>0</f>
        <v>0</v>
      </c>
      <c r="H462" s="255">
        <f>IF(Electrical35239277201[[#This Row],[Actual Buyout]]+Electrical35239277201[[#This Row],[Change Orders]]=0,Electrical35239277201[[#This Row],[Original Contract]],Electrical35239277201[[#This Row],[Actual Buyout]]+Electrical35239277201[[#This Row],[Change Orders]])</f>
        <v>0</v>
      </c>
      <c r="I462" s="129">
        <v>0</v>
      </c>
      <c r="J462" s="129">
        <f>Electrical35239277201[[#This Row],[Original Contract]]-Electrical35239277201[[#This Row],[Revised Contract]]</f>
        <v>0</v>
      </c>
      <c r="K462" s="341"/>
      <c r="L462" s="343"/>
      <c r="S462" s="97"/>
      <c r="T462" s="97"/>
      <c r="X462" s="198"/>
      <c r="Y462" s="198"/>
    </row>
    <row r="463" spans="1:25" x14ac:dyDescent="0.35">
      <c r="A463" s="128">
        <v>26</v>
      </c>
      <c r="B463" s="132"/>
      <c r="C463" s="132"/>
      <c r="D463" s="133" t="s">
        <v>37</v>
      </c>
      <c r="E463" s="255">
        <v>0</v>
      </c>
      <c r="F463" s="255">
        <v>0</v>
      </c>
      <c r="G463" s="129">
        <f>0</f>
        <v>0</v>
      </c>
      <c r="H463" s="255">
        <f>IF(Electrical35239277201[[#This Row],[Actual Buyout]]+Electrical35239277201[[#This Row],[Change Orders]]=0,Electrical35239277201[[#This Row],[Original Contract]],Electrical35239277201[[#This Row],[Actual Buyout]]+Electrical35239277201[[#This Row],[Change Orders]])</f>
        <v>0</v>
      </c>
      <c r="I463" s="129">
        <v>0</v>
      </c>
      <c r="J463" s="129">
        <f>Electrical35239277201[[#This Row],[Original Contract]]-Electrical35239277201[[#This Row],[Revised Contract]]</f>
        <v>0</v>
      </c>
      <c r="K463" s="341"/>
      <c r="L463" s="343"/>
      <c r="S463" s="97"/>
      <c r="T463" s="97"/>
      <c r="X463" s="198"/>
      <c r="Y463" s="198"/>
    </row>
    <row r="464" spans="1:25" x14ac:dyDescent="0.35">
      <c r="A464" s="128">
        <v>26</v>
      </c>
      <c r="B464" s="132"/>
      <c r="C464" s="132"/>
      <c r="D464" s="133" t="s">
        <v>37</v>
      </c>
      <c r="E464" s="255">
        <v>0</v>
      </c>
      <c r="F464" s="255">
        <v>0</v>
      </c>
      <c r="G464" s="129">
        <f>0</f>
        <v>0</v>
      </c>
      <c r="H464" s="255">
        <f>IF(Electrical35239277201[[#This Row],[Actual Buyout]]+Electrical35239277201[[#This Row],[Change Orders]]=0,Electrical35239277201[[#This Row],[Original Contract]],Electrical35239277201[[#This Row],[Actual Buyout]]+Electrical35239277201[[#This Row],[Change Orders]])</f>
        <v>0</v>
      </c>
      <c r="I464" s="129">
        <v>0</v>
      </c>
      <c r="J464" s="129">
        <f>Electrical35239277201[[#This Row],[Original Contract]]-Electrical35239277201[[#This Row],[Revised Contract]]</f>
        <v>0</v>
      </c>
      <c r="K464" s="341"/>
      <c r="L464" s="343"/>
      <c r="S464" s="97"/>
      <c r="T464" s="97"/>
      <c r="X464" s="198"/>
      <c r="Y464" s="198"/>
    </row>
    <row r="465" spans="1:25" x14ac:dyDescent="0.35">
      <c r="A465" s="128">
        <v>26</v>
      </c>
      <c r="B465" s="132"/>
      <c r="C465" s="132"/>
      <c r="D465" s="133" t="s">
        <v>37</v>
      </c>
      <c r="E465" s="255">
        <v>0</v>
      </c>
      <c r="F465" s="255">
        <v>0</v>
      </c>
      <c r="G465" s="129">
        <f>0</f>
        <v>0</v>
      </c>
      <c r="H465" s="255">
        <f>IF(Electrical35239277201[[#This Row],[Actual Buyout]]+Electrical35239277201[[#This Row],[Change Orders]]=0,Electrical35239277201[[#This Row],[Original Contract]],Electrical35239277201[[#This Row],[Actual Buyout]]+Electrical35239277201[[#This Row],[Change Orders]])</f>
        <v>0</v>
      </c>
      <c r="I465" s="129">
        <v>0</v>
      </c>
      <c r="J465" s="129">
        <f>Electrical35239277201[[#This Row],[Original Contract]]-Electrical35239277201[[#This Row],[Revised Contract]]</f>
        <v>0</v>
      </c>
      <c r="K465" s="341"/>
      <c r="L465" s="343"/>
      <c r="S465" s="97"/>
      <c r="T465" s="97"/>
      <c r="X465" s="198"/>
      <c r="Y465" s="198"/>
    </row>
    <row r="466" spans="1:25" x14ac:dyDescent="0.35">
      <c r="A466" s="128">
        <v>26</v>
      </c>
      <c r="B466" s="132"/>
      <c r="C466" s="132"/>
      <c r="D466" s="133" t="s">
        <v>37</v>
      </c>
      <c r="E466" s="255">
        <v>0</v>
      </c>
      <c r="F466" s="255">
        <v>0</v>
      </c>
      <c r="G466" s="129">
        <f>0</f>
        <v>0</v>
      </c>
      <c r="H466" s="255">
        <f>IF(Electrical35239277201[[#This Row],[Actual Buyout]]+Electrical35239277201[[#This Row],[Change Orders]]=0,Electrical35239277201[[#This Row],[Original Contract]],Electrical35239277201[[#This Row],[Actual Buyout]]+Electrical35239277201[[#This Row],[Change Orders]])</f>
        <v>0</v>
      </c>
      <c r="I466" s="129">
        <v>0</v>
      </c>
      <c r="J466" s="129">
        <f>Electrical35239277201[[#This Row],[Original Contract]]-Electrical35239277201[[#This Row],[Revised Contract]]</f>
        <v>0</v>
      </c>
      <c r="K466" s="341"/>
      <c r="L466" s="343"/>
      <c r="S466" s="97"/>
      <c r="T466" s="97"/>
      <c r="X466" s="198"/>
      <c r="Y466" s="198"/>
    </row>
    <row r="467" spans="1:25" x14ac:dyDescent="0.35">
      <c r="A467" s="257"/>
      <c r="B467" s="258"/>
      <c r="C467" s="258"/>
      <c r="D467" s="256" t="s">
        <v>38</v>
      </c>
      <c r="E467" s="151">
        <f>SUM(Electrical35239277201[Original Contract])</f>
        <v>0</v>
      </c>
      <c r="F467" s="151">
        <f>SUM(Electrical35239277201[Actual Buyout])</f>
        <v>0</v>
      </c>
      <c r="G467" s="151">
        <f>SUM(Electrical35239277201[Change Orders])</f>
        <v>0</v>
      </c>
      <c r="H467" s="151">
        <f>SUM(Electrical35239277201[Revised Contract])</f>
        <v>0</v>
      </c>
      <c r="I467" s="151">
        <f>SUM(Electrical35239277201[Total completed and Stored])</f>
        <v>0</v>
      </c>
      <c r="J467" s="151">
        <f>SUM(Electrical35239277201[Delta])</f>
        <v>0</v>
      </c>
      <c r="K467" s="343"/>
      <c r="L467" s="343"/>
    </row>
    <row r="468" spans="1:25" x14ac:dyDescent="0.35">
      <c r="A468" s="100" t="s">
        <v>669</v>
      </c>
      <c r="B468" s="100" t="s">
        <v>209</v>
      </c>
      <c r="C468" s="100" t="s">
        <v>167</v>
      </c>
      <c r="D468" s="100" t="s">
        <v>26</v>
      </c>
      <c r="E468" s="100" t="s">
        <v>781</v>
      </c>
      <c r="F468" s="332" t="s">
        <v>1078</v>
      </c>
      <c r="G468" s="332" t="s">
        <v>782</v>
      </c>
      <c r="H468" s="332" t="s">
        <v>783</v>
      </c>
      <c r="I468" s="334" t="s">
        <v>785</v>
      </c>
      <c r="J468" s="340" t="s">
        <v>1079</v>
      </c>
      <c r="K468" s="335"/>
      <c r="L468" s="343"/>
      <c r="S468" s="97"/>
      <c r="T468" s="97"/>
      <c r="X468" s="198"/>
      <c r="Y468" s="198"/>
    </row>
    <row r="469" spans="1:25" x14ac:dyDescent="0.35">
      <c r="A469" s="128">
        <v>28</v>
      </c>
      <c r="B469" s="132" t="s">
        <v>386</v>
      </c>
      <c r="C469" s="132" t="s">
        <v>211</v>
      </c>
      <c r="D469" s="133" t="s">
        <v>148</v>
      </c>
      <c r="E469" s="255">
        <v>0</v>
      </c>
      <c r="F469" s="255">
        <v>0</v>
      </c>
      <c r="G469" s="129">
        <f>0</f>
        <v>0</v>
      </c>
      <c r="H469" s="255">
        <f>IF(ElectricSafety36240278202[[#This Row],[Actual Buyout]]+ElectricSafety36240278202[[#This Row],[Change Orders]]=0,ElectricSafety36240278202[[#This Row],[Original Contract]],ElectricSafety36240278202[[#This Row],[Actual Buyout]]+ElectricSafety36240278202[[#This Row],[Change Orders]])</f>
        <v>0</v>
      </c>
      <c r="I469" s="129">
        <v>0</v>
      </c>
      <c r="J469" s="129">
        <f>ElectricSafety36240278202[[#This Row],[Original Contract]]-ElectricSafety36240278202[[#This Row],[Revised Contract]]</f>
        <v>0</v>
      </c>
      <c r="K469" s="341"/>
      <c r="L469" s="343"/>
      <c r="S469" s="97"/>
      <c r="T469" s="97"/>
      <c r="X469" s="198"/>
      <c r="Y469" s="198"/>
    </row>
    <row r="470" spans="1:25" x14ac:dyDescent="0.35">
      <c r="A470" s="128">
        <v>28</v>
      </c>
      <c r="B470" s="132" t="s">
        <v>386</v>
      </c>
      <c r="C470" s="132" t="s">
        <v>211</v>
      </c>
      <c r="D470" s="133" t="s">
        <v>149</v>
      </c>
      <c r="E470" s="255">
        <v>0</v>
      </c>
      <c r="F470" s="255">
        <v>0</v>
      </c>
      <c r="G470" s="129">
        <f>0</f>
        <v>0</v>
      </c>
      <c r="H470" s="255">
        <f>IF(ElectricSafety36240278202[[#This Row],[Actual Buyout]]+ElectricSafety36240278202[[#This Row],[Change Orders]]=0,ElectricSafety36240278202[[#This Row],[Original Contract]],ElectricSafety36240278202[[#This Row],[Actual Buyout]]+ElectricSafety36240278202[[#This Row],[Change Orders]])</f>
        <v>0</v>
      </c>
      <c r="I470" s="129">
        <v>0</v>
      </c>
      <c r="J470" s="129">
        <f>ElectricSafety36240278202[[#This Row],[Original Contract]]-ElectricSafety36240278202[[#This Row],[Revised Contract]]</f>
        <v>0</v>
      </c>
      <c r="K470" s="341"/>
      <c r="L470" s="343"/>
      <c r="S470" s="97"/>
      <c r="T470" s="97"/>
      <c r="X470" s="198"/>
      <c r="Y470" s="198"/>
    </row>
    <row r="471" spans="1:25" x14ac:dyDescent="0.35">
      <c r="A471" s="128">
        <v>28</v>
      </c>
      <c r="B471" s="132" t="s">
        <v>386</v>
      </c>
      <c r="C471" s="132" t="s">
        <v>211</v>
      </c>
      <c r="D471" s="133" t="s">
        <v>150</v>
      </c>
      <c r="E471" s="255">
        <v>0</v>
      </c>
      <c r="F471" s="255">
        <v>0</v>
      </c>
      <c r="G471" s="129">
        <f>0</f>
        <v>0</v>
      </c>
      <c r="H471" s="255">
        <f>IF(ElectricSafety36240278202[[#This Row],[Actual Buyout]]+ElectricSafety36240278202[[#This Row],[Change Orders]]=0,ElectricSafety36240278202[[#This Row],[Original Contract]],ElectricSafety36240278202[[#This Row],[Actual Buyout]]+ElectricSafety36240278202[[#This Row],[Change Orders]])</f>
        <v>0</v>
      </c>
      <c r="I471" s="129">
        <v>0</v>
      </c>
      <c r="J471" s="129">
        <f>ElectricSafety36240278202[[#This Row],[Original Contract]]-ElectricSafety36240278202[[#This Row],[Revised Contract]]</f>
        <v>0</v>
      </c>
      <c r="K471" s="341"/>
      <c r="L471" s="343"/>
      <c r="S471" s="97"/>
      <c r="T471" s="97"/>
      <c r="X471" s="198"/>
      <c r="Y471" s="198"/>
    </row>
    <row r="472" spans="1:25" x14ac:dyDescent="0.35">
      <c r="A472" s="128">
        <v>28</v>
      </c>
      <c r="B472" s="132" t="s">
        <v>386</v>
      </c>
      <c r="C472" s="132" t="s">
        <v>211</v>
      </c>
      <c r="D472" s="133" t="s">
        <v>151</v>
      </c>
      <c r="E472" s="255">
        <v>0</v>
      </c>
      <c r="F472" s="255">
        <v>0</v>
      </c>
      <c r="G472" s="129">
        <f>0</f>
        <v>0</v>
      </c>
      <c r="H472" s="255">
        <f>IF(ElectricSafety36240278202[[#This Row],[Actual Buyout]]+ElectricSafety36240278202[[#This Row],[Change Orders]]=0,ElectricSafety36240278202[[#This Row],[Original Contract]],ElectricSafety36240278202[[#This Row],[Actual Buyout]]+ElectricSafety36240278202[[#This Row],[Change Orders]])</f>
        <v>0</v>
      </c>
      <c r="I472" s="129">
        <v>0</v>
      </c>
      <c r="J472" s="129">
        <f>ElectricSafety36240278202[[#This Row],[Original Contract]]-ElectricSafety36240278202[[#This Row],[Revised Contract]]</f>
        <v>0</v>
      </c>
      <c r="K472" s="341"/>
      <c r="L472" s="343"/>
      <c r="S472" s="97"/>
      <c r="T472" s="97"/>
      <c r="X472" s="198"/>
      <c r="Y472" s="198"/>
    </row>
    <row r="473" spans="1:25" x14ac:dyDescent="0.35">
      <c r="A473" s="128">
        <v>28</v>
      </c>
      <c r="B473" s="132" t="s">
        <v>778</v>
      </c>
      <c r="C473" s="132" t="s">
        <v>210</v>
      </c>
      <c r="D473" s="133" t="s">
        <v>778</v>
      </c>
      <c r="E473" s="255">
        <v>0</v>
      </c>
      <c r="F473" s="255">
        <v>0</v>
      </c>
      <c r="G473" s="129">
        <f>0</f>
        <v>0</v>
      </c>
      <c r="H473" s="255">
        <f>IF(ElectricSafety36240278202[[#This Row],[Actual Buyout]]+ElectricSafety36240278202[[#This Row],[Change Orders]]=0,ElectricSafety36240278202[[#This Row],[Original Contract]],ElectricSafety36240278202[[#This Row],[Actual Buyout]]+ElectricSafety36240278202[[#This Row],[Change Orders]])</f>
        <v>0</v>
      </c>
      <c r="I473" s="129">
        <v>0</v>
      </c>
      <c r="J473" s="129">
        <f>ElectricSafety36240278202[[#This Row],[Original Contract]]-ElectricSafety36240278202[[#This Row],[Revised Contract]]</f>
        <v>0</v>
      </c>
      <c r="K473" s="341"/>
      <c r="L473" s="343"/>
      <c r="S473" s="97"/>
      <c r="T473" s="97"/>
      <c r="X473" s="198"/>
      <c r="Y473" s="198"/>
    </row>
    <row r="474" spans="1:25" x14ac:dyDescent="0.35">
      <c r="A474" s="128">
        <v>28</v>
      </c>
      <c r="B474" s="132" t="s">
        <v>387</v>
      </c>
      <c r="C474" s="132" t="s">
        <v>242</v>
      </c>
      <c r="D474" s="133" t="s">
        <v>779</v>
      </c>
      <c r="E474" s="255">
        <v>0</v>
      </c>
      <c r="F474" s="255">
        <v>0</v>
      </c>
      <c r="G474" s="129">
        <f>0</f>
        <v>0</v>
      </c>
      <c r="H474" s="255">
        <f>IF(ElectricSafety36240278202[[#This Row],[Actual Buyout]]+ElectricSafety36240278202[[#This Row],[Change Orders]]=0,ElectricSafety36240278202[[#This Row],[Original Contract]],ElectricSafety36240278202[[#This Row],[Actual Buyout]]+ElectricSafety36240278202[[#This Row],[Change Orders]])</f>
        <v>0</v>
      </c>
      <c r="I474" s="129">
        <v>0</v>
      </c>
      <c r="J474" s="129">
        <f>ElectricSafety36240278202[[#This Row],[Original Contract]]-ElectricSafety36240278202[[#This Row],[Revised Contract]]</f>
        <v>0</v>
      </c>
      <c r="K474" s="341"/>
      <c r="L474" s="343"/>
      <c r="S474" s="97"/>
      <c r="T474" s="97"/>
      <c r="X474" s="198"/>
      <c r="Y474" s="198"/>
    </row>
    <row r="475" spans="1:25" x14ac:dyDescent="0.35">
      <c r="A475" s="128">
        <v>28</v>
      </c>
      <c r="B475" s="132"/>
      <c r="C475" s="132"/>
      <c r="D475" s="133" t="s">
        <v>809</v>
      </c>
      <c r="E475" s="255">
        <v>0</v>
      </c>
      <c r="F475" s="255">
        <v>0</v>
      </c>
      <c r="G475" s="129">
        <f>0</f>
        <v>0</v>
      </c>
      <c r="H475" s="255">
        <f>IF(ElectricSafety36240278202[[#This Row],[Actual Buyout]]+ElectricSafety36240278202[[#This Row],[Change Orders]]=0,ElectricSafety36240278202[[#This Row],[Original Contract]],ElectricSafety36240278202[[#This Row],[Actual Buyout]]+ElectricSafety36240278202[[#This Row],[Change Orders]])</f>
        <v>0</v>
      </c>
      <c r="I475" s="129">
        <v>0</v>
      </c>
      <c r="J475" s="129">
        <f>ElectricSafety36240278202[[#This Row],[Original Contract]]-ElectricSafety36240278202[[#This Row],[Revised Contract]]</f>
        <v>0</v>
      </c>
      <c r="K475" s="341"/>
      <c r="L475" s="343"/>
      <c r="S475" s="97"/>
      <c r="T475" s="97"/>
      <c r="X475" s="198"/>
      <c r="Y475" s="198"/>
    </row>
    <row r="476" spans="1:25" x14ac:dyDescent="0.35">
      <c r="A476" s="128">
        <v>28</v>
      </c>
      <c r="B476" s="132"/>
      <c r="C476" s="132"/>
      <c r="D476" s="133" t="s">
        <v>810</v>
      </c>
      <c r="E476" s="255">
        <v>0</v>
      </c>
      <c r="F476" s="255">
        <v>0</v>
      </c>
      <c r="G476" s="129">
        <f>0</f>
        <v>0</v>
      </c>
      <c r="H476" s="255">
        <f>IF(ElectricSafety36240278202[[#This Row],[Actual Buyout]]+ElectricSafety36240278202[[#This Row],[Change Orders]]=0,ElectricSafety36240278202[[#This Row],[Original Contract]],ElectricSafety36240278202[[#This Row],[Actual Buyout]]+ElectricSafety36240278202[[#This Row],[Change Orders]])</f>
        <v>0</v>
      </c>
      <c r="I476" s="129">
        <v>0</v>
      </c>
      <c r="J476" s="129">
        <f>ElectricSafety36240278202[[#This Row],[Original Contract]]-ElectricSafety36240278202[[#This Row],[Revised Contract]]</f>
        <v>0</v>
      </c>
      <c r="K476" s="341"/>
      <c r="L476" s="343"/>
      <c r="S476" s="97"/>
      <c r="T476" s="97"/>
      <c r="X476" s="198"/>
      <c r="Y476" s="198"/>
    </row>
    <row r="477" spans="1:25" x14ac:dyDescent="0.35">
      <c r="A477" s="128">
        <v>28</v>
      </c>
      <c r="B477" s="132"/>
      <c r="C477" s="132"/>
      <c r="D477" s="133" t="s">
        <v>811</v>
      </c>
      <c r="E477" s="255">
        <v>0</v>
      </c>
      <c r="F477" s="255">
        <v>0</v>
      </c>
      <c r="G477" s="129">
        <f>0</f>
        <v>0</v>
      </c>
      <c r="H477" s="255">
        <f>IF(ElectricSafety36240278202[[#This Row],[Actual Buyout]]+ElectricSafety36240278202[[#This Row],[Change Orders]]=0,ElectricSafety36240278202[[#This Row],[Original Contract]],ElectricSafety36240278202[[#This Row],[Actual Buyout]]+ElectricSafety36240278202[[#This Row],[Change Orders]])</f>
        <v>0</v>
      </c>
      <c r="I477" s="129">
        <v>0</v>
      </c>
      <c r="J477" s="129">
        <f>ElectricSafety36240278202[[#This Row],[Original Contract]]-ElectricSafety36240278202[[#This Row],[Revised Contract]]</f>
        <v>0</v>
      </c>
      <c r="K477" s="341"/>
      <c r="L477" s="343"/>
      <c r="S477" s="97"/>
      <c r="T477" s="97"/>
      <c r="X477" s="198"/>
      <c r="Y477" s="198"/>
    </row>
    <row r="478" spans="1:25" x14ac:dyDescent="0.35">
      <c r="A478" s="128">
        <v>28</v>
      </c>
      <c r="B478" s="132"/>
      <c r="C478" s="132"/>
      <c r="D478" s="133" t="s">
        <v>37</v>
      </c>
      <c r="E478" s="255">
        <v>0</v>
      </c>
      <c r="F478" s="255">
        <v>0</v>
      </c>
      <c r="G478" s="129">
        <f>0</f>
        <v>0</v>
      </c>
      <c r="H478" s="255">
        <f>IF(ElectricSafety36240278202[[#This Row],[Actual Buyout]]+ElectricSafety36240278202[[#This Row],[Change Orders]]=0,ElectricSafety36240278202[[#This Row],[Original Contract]],ElectricSafety36240278202[[#This Row],[Actual Buyout]]+ElectricSafety36240278202[[#This Row],[Change Orders]])</f>
        <v>0</v>
      </c>
      <c r="I478" s="129">
        <v>0</v>
      </c>
      <c r="J478" s="129">
        <f>ElectricSafety36240278202[[#This Row],[Original Contract]]-ElectricSafety36240278202[[#This Row],[Revised Contract]]</f>
        <v>0</v>
      </c>
      <c r="K478" s="341"/>
      <c r="L478" s="343"/>
      <c r="S478" s="97"/>
      <c r="T478" s="97"/>
      <c r="X478" s="198"/>
      <c r="Y478" s="198"/>
    </row>
    <row r="479" spans="1:25" x14ac:dyDescent="0.35">
      <c r="A479" s="128">
        <v>28</v>
      </c>
      <c r="B479" s="132"/>
      <c r="C479" s="132"/>
      <c r="D479" s="133" t="s">
        <v>37</v>
      </c>
      <c r="E479" s="255">
        <v>0</v>
      </c>
      <c r="F479" s="255">
        <v>0</v>
      </c>
      <c r="G479" s="129">
        <f>0</f>
        <v>0</v>
      </c>
      <c r="H479" s="255">
        <f>IF(ElectricSafety36240278202[[#This Row],[Actual Buyout]]+ElectricSafety36240278202[[#This Row],[Change Orders]]=0,ElectricSafety36240278202[[#This Row],[Original Contract]],ElectricSafety36240278202[[#This Row],[Actual Buyout]]+ElectricSafety36240278202[[#This Row],[Change Orders]])</f>
        <v>0</v>
      </c>
      <c r="I479" s="129">
        <v>0</v>
      </c>
      <c r="J479" s="129">
        <f>ElectricSafety36240278202[[#This Row],[Original Contract]]-ElectricSafety36240278202[[#This Row],[Revised Contract]]</f>
        <v>0</v>
      </c>
      <c r="K479" s="341"/>
      <c r="L479" s="343"/>
      <c r="S479" s="97"/>
      <c r="T479" s="97"/>
      <c r="X479" s="198"/>
      <c r="Y479" s="198"/>
    </row>
    <row r="480" spans="1:25" x14ac:dyDescent="0.35">
      <c r="A480" s="128">
        <v>28</v>
      </c>
      <c r="B480" s="132"/>
      <c r="C480" s="132"/>
      <c r="D480" s="133" t="s">
        <v>37</v>
      </c>
      <c r="E480" s="255">
        <v>0</v>
      </c>
      <c r="F480" s="255">
        <v>0</v>
      </c>
      <c r="G480" s="129">
        <f>0</f>
        <v>0</v>
      </c>
      <c r="H480" s="255">
        <f>IF(ElectricSafety36240278202[[#This Row],[Actual Buyout]]+ElectricSafety36240278202[[#This Row],[Change Orders]]=0,ElectricSafety36240278202[[#This Row],[Original Contract]],ElectricSafety36240278202[[#This Row],[Actual Buyout]]+ElectricSafety36240278202[[#This Row],[Change Orders]])</f>
        <v>0</v>
      </c>
      <c r="I480" s="129">
        <v>0</v>
      </c>
      <c r="J480" s="129">
        <f>ElectricSafety36240278202[[#This Row],[Original Contract]]-ElectricSafety36240278202[[#This Row],[Revised Contract]]</f>
        <v>0</v>
      </c>
      <c r="K480" s="341"/>
      <c r="L480" s="343"/>
      <c r="S480" s="97"/>
      <c r="T480" s="97"/>
      <c r="X480" s="198"/>
      <c r="Y480" s="198"/>
    </row>
    <row r="481" spans="1:25" x14ac:dyDescent="0.35">
      <c r="A481" s="257"/>
      <c r="B481" s="258"/>
      <c r="C481" s="258"/>
      <c r="D481" s="256" t="s">
        <v>38</v>
      </c>
      <c r="E481" s="151">
        <f>SUM(ElectricSafety36240278202[Original Contract])</f>
        <v>0</v>
      </c>
      <c r="F481" s="151">
        <f>SUM(ElectricSafety36240278202[Actual Buyout])</f>
        <v>0</v>
      </c>
      <c r="G481" s="151">
        <f>SUM(ElectricSafety36240278202[Change Orders])</f>
        <v>0</v>
      </c>
      <c r="H481" s="151">
        <f>SUM(ElectricSafety36240278202[Revised Contract])</f>
        <v>0</v>
      </c>
      <c r="I481" s="151">
        <f>SUM(ElectricSafety36240278202[Total completed and Stored])</f>
        <v>0</v>
      </c>
      <c r="J481" s="151">
        <f>SUM(ElectricSafety36240278202[Delta])</f>
        <v>0</v>
      </c>
      <c r="K481" s="343"/>
      <c r="L481" s="343"/>
    </row>
    <row r="482" spans="1:25" x14ac:dyDescent="0.35">
      <c r="A482" s="100" t="s">
        <v>670</v>
      </c>
      <c r="B482" s="100" t="s">
        <v>165</v>
      </c>
      <c r="C482" s="100" t="s">
        <v>167</v>
      </c>
      <c r="D482" s="100" t="s">
        <v>26</v>
      </c>
      <c r="E482" s="100" t="s">
        <v>781</v>
      </c>
      <c r="F482" s="332" t="s">
        <v>1078</v>
      </c>
      <c r="G482" s="332" t="s">
        <v>782</v>
      </c>
      <c r="H482" s="332" t="s">
        <v>783</v>
      </c>
      <c r="I482" s="334" t="s">
        <v>785</v>
      </c>
      <c r="J482" s="340" t="s">
        <v>1079</v>
      </c>
      <c r="K482" s="335"/>
      <c r="L482" s="343"/>
      <c r="S482" s="97"/>
      <c r="T482" s="97"/>
      <c r="X482" s="198"/>
      <c r="Y482" s="198"/>
    </row>
    <row r="483" spans="1:25" x14ac:dyDescent="0.35">
      <c r="A483" s="128"/>
      <c r="B483" s="132"/>
      <c r="C483" s="132"/>
      <c r="D483" s="133" t="s">
        <v>812</v>
      </c>
      <c r="E483" s="255">
        <v>0</v>
      </c>
      <c r="F483" s="255">
        <v>0</v>
      </c>
      <c r="G483" s="129">
        <f>0</f>
        <v>0</v>
      </c>
      <c r="H483" s="255">
        <f>IF(Misc37241279203[[#This Row],[Actual Buyout]]+Misc37241279203[[#This Row],[Change Orders]]=0,Misc37241279203[[#This Row],[Original Contract]],Misc37241279203[[#This Row],[Actual Buyout]]+Misc37241279203[[#This Row],[Change Orders]])</f>
        <v>0</v>
      </c>
      <c r="I483" s="129">
        <v>0</v>
      </c>
      <c r="J483" s="129">
        <f>Misc37241279203[[#This Row],[Original Contract]]-Misc37241279203[[#This Row],[Revised Contract]]</f>
        <v>0</v>
      </c>
      <c r="K483" s="341"/>
      <c r="L483" s="343"/>
      <c r="S483" s="97"/>
      <c r="T483" s="97"/>
      <c r="X483" s="198"/>
      <c r="Y483" s="198"/>
    </row>
    <row r="484" spans="1:25" x14ac:dyDescent="0.35">
      <c r="A484" s="128"/>
      <c r="B484" s="132"/>
      <c r="C484" s="132"/>
      <c r="D484" s="133" t="s">
        <v>813</v>
      </c>
      <c r="E484" s="255">
        <v>0</v>
      </c>
      <c r="F484" s="255">
        <v>0</v>
      </c>
      <c r="G484" s="129">
        <f>0</f>
        <v>0</v>
      </c>
      <c r="H484" s="255">
        <f>IF(Misc37241279203[[#This Row],[Actual Buyout]]+Misc37241279203[[#This Row],[Change Orders]]=0,Misc37241279203[[#This Row],[Original Contract]],Misc37241279203[[#This Row],[Actual Buyout]]+Misc37241279203[[#This Row],[Change Orders]])</f>
        <v>0</v>
      </c>
      <c r="I484" s="129">
        <v>0</v>
      </c>
      <c r="J484" s="129">
        <f>Misc37241279203[[#This Row],[Original Contract]]-Misc37241279203[[#This Row],[Revised Contract]]</f>
        <v>0</v>
      </c>
      <c r="K484" s="341"/>
      <c r="L484" s="343"/>
      <c r="S484" s="97"/>
      <c r="T484" s="97"/>
      <c r="X484" s="198"/>
      <c r="Y484" s="198"/>
    </row>
    <row r="485" spans="1:25" x14ac:dyDescent="0.35">
      <c r="A485" s="128"/>
      <c r="B485" s="132"/>
      <c r="C485" s="132"/>
      <c r="D485" s="133" t="s">
        <v>814</v>
      </c>
      <c r="E485" s="255">
        <v>0</v>
      </c>
      <c r="F485" s="255">
        <v>0</v>
      </c>
      <c r="G485" s="129">
        <f>0</f>
        <v>0</v>
      </c>
      <c r="H485" s="255">
        <f>IF(Misc37241279203[[#This Row],[Actual Buyout]]+Misc37241279203[[#This Row],[Change Orders]]=0,Misc37241279203[[#This Row],[Original Contract]],Misc37241279203[[#This Row],[Actual Buyout]]+Misc37241279203[[#This Row],[Change Orders]])</f>
        <v>0</v>
      </c>
      <c r="I485" s="129">
        <v>0</v>
      </c>
      <c r="J485" s="129">
        <f>Misc37241279203[[#This Row],[Original Contract]]-Misc37241279203[[#This Row],[Revised Contract]]</f>
        <v>0</v>
      </c>
      <c r="K485" s="341"/>
      <c r="L485" s="343"/>
      <c r="S485" s="97"/>
      <c r="T485" s="97"/>
      <c r="X485" s="198"/>
      <c r="Y485" s="198"/>
    </row>
    <row r="486" spans="1:25" x14ac:dyDescent="0.35">
      <c r="A486" s="128"/>
      <c r="B486" s="132"/>
      <c r="C486" s="132"/>
      <c r="D486" s="133" t="s">
        <v>815</v>
      </c>
      <c r="E486" s="255">
        <v>0</v>
      </c>
      <c r="F486" s="255">
        <v>0</v>
      </c>
      <c r="G486" s="129">
        <f>0</f>
        <v>0</v>
      </c>
      <c r="H486" s="255">
        <f>IF(Misc37241279203[[#This Row],[Actual Buyout]]+Misc37241279203[[#This Row],[Change Orders]]=0,Misc37241279203[[#This Row],[Original Contract]],Misc37241279203[[#This Row],[Actual Buyout]]+Misc37241279203[[#This Row],[Change Orders]])</f>
        <v>0</v>
      </c>
      <c r="I486" s="129">
        <v>0</v>
      </c>
      <c r="J486" s="129">
        <f>Misc37241279203[[#This Row],[Original Contract]]-Misc37241279203[[#This Row],[Revised Contract]]</f>
        <v>0</v>
      </c>
      <c r="K486" s="341"/>
      <c r="L486" s="343"/>
      <c r="S486" s="97"/>
      <c r="T486" s="97"/>
      <c r="X486" s="198"/>
      <c r="Y486" s="198"/>
    </row>
    <row r="487" spans="1:25" x14ac:dyDescent="0.35">
      <c r="A487" s="128"/>
      <c r="B487" s="132"/>
      <c r="C487" s="132"/>
      <c r="D487" s="133" t="s">
        <v>37</v>
      </c>
      <c r="E487" s="255">
        <v>0</v>
      </c>
      <c r="F487" s="255">
        <v>0</v>
      </c>
      <c r="G487" s="129">
        <f>0</f>
        <v>0</v>
      </c>
      <c r="H487" s="255">
        <f>IF(Misc37241279203[[#This Row],[Actual Buyout]]+Misc37241279203[[#This Row],[Change Orders]]=0,Misc37241279203[[#This Row],[Original Contract]],Misc37241279203[[#This Row],[Actual Buyout]]+Misc37241279203[[#This Row],[Change Orders]])</f>
        <v>0</v>
      </c>
      <c r="I487" s="129">
        <v>0</v>
      </c>
      <c r="J487" s="129">
        <f>Misc37241279203[[#This Row],[Original Contract]]-Misc37241279203[[#This Row],[Revised Contract]]</f>
        <v>0</v>
      </c>
      <c r="K487" s="341"/>
      <c r="L487" s="343"/>
      <c r="S487" s="97"/>
      <c r="T487" s="97"/>
      <c r="X487" s="198"/>
      <c r="Y487" s="198"/>
    </row>
    <row r="488" spans="1:25" x14ac:dyDescent="0.35">
      <c r="A488" s="257"/>
      <c r="B488" s="258"/>
      <c r="C488" s="258"/>
      <c r="D488" s="256" t="s">
        <v>38</v>
      </c>
      <c r="E488" s="151">
        <f>SUM(Misc37241279203[Original Contract])</f>
        <v>0</v>
      </c>
      <c r="F488" s="151">
        <f>SUM(Misc37241279203[Actual Buyout])</f>
        <v>0</v>
      </c>
      <c r="G488" s="151">
        <f>SUM(Misc37241279203[Change Orders])</f>
        <v>0</v>
      </c>
      <c r="H488" s="151">
        <f>SUM(Misc37241279203[Revised Contract])</f>
        <v>0</v>
      </c>
      <c r="I488" s="151">
        <f>SUM(Misc37241279203[Total completed and Stored])</f>
        <v>0</v>
      </c>
      <c r="J488" s="151">
        <f>SUM(Misc37241279203[Delta])</f>
        <v>0</v>
      </c>
      <c r="K488" s="343"/>
      <c r="L488" s="343"/>
    </row>
    <row r="489" spans="1:25" x14ac:dyDescent="0.35">
      <c r="A489" s="100" t="s">
        <v>670</v>
      </c>
      <c r="B489" s="100" t="s">
        <v>409</v>
      </c>
      <c r="C489" s="100" t="s">
        <v>167</v>
      </c>
      <c r="D489" s="100" t="s">
        <v>26</v>
      </c>
      <c r="E489" s="100" t="s">
        <v>781</v>
      </c>
      <c r="F489" s="332" t="s">
        <v>1078</v>
      </c>
      <c r="G489" s="332" t="s">
        <v>782</v>
      </c>
      <c r="H489" s="332" t="s">
        <v>783</v>
      </c>
      <c r="I489" s="334" t="s">
        <v>785</v>
      </c>
      <c r="J489" s="340" t="s">
        <v>1079</v>
      </c>
      <c r="K489" s="335"/>
      <c r="L489" s="343"/>
      <c r="S489" s="97"/>
      <c r="T489" s="97"/>
      <c r="X489" s="198"/>
      <c r="Y489" s="198"/>
    </row>
    <row r="490" spans="1:25" x14ac:dyDescent="0.35">
      <c r="A490" s="128"/>
      <c r="B490" s="263"/>
      <c r="C490" s="132"/>
      <c r="D490" s="264" t="s">
        <v>152</v>
      </c>
      <c r="E490" s="255">
        <v>0</v>
      </c>
      <c r="F490" s="255">
        <v>0</v>
      </c>
      <c r="G490" s="129">
        <f>0</f>
        <v>0</v>
      </c>
      <c r="H490" s="255">
        <f>IF(TenantAllow38242280204[[#This Row],[Actual Buyout]]+TenantAllow38242280204[[#This Row],[Change Orders]]=0,TenantAllow38242280204[[#This Row],[Original Contract]],TenantAllow38242280204[[#This Row],[Actual Buyout]]+TenantAllow38242280204[[#This Row],[Change Orders]])</f>
        <v>0</v>
      </c>
      <c r="I490" s="129">
        <v>0</v>
      </c>
      <c r="J490" s="129">
        <f>TenantAllow38242280204[[#This Row],[Original Contract]]-TenantAllow38242280204[[#This Row],[Revised Contract]]</f>
        <v>0</v>
      </c>
      <c r="K490" s="341"/>
      <c r="L490" s="343"/>
      <c r="S490" s="97"/>
      <c r="T490" s="97"/>
      <c r="X490" s="198"/>
      <c r="Y490" s="198"/>
    </row>
    <row r="491" spans="1:25" x14ac:dyDescent="0.35">
      <c r="A491" s="128"/>
      <c r="B491" s="263"/>
      <c r="C491" s="132"/>
      <c r="D491" s="264" t="s">
        <v>153</v>
      </c>
      <c r="E491" s="255">
        <v>0</v>
      </c>
      <c r="F491" s="255">
        <v>0</v>
      </c>
      <c r="G491" s="129">
        <f>0</f>
        <v>0</v>
      </c>
      <c r="H491" s="255">
        <f>IF(TenantAllow38242280204[[#This Row],[Actual Buyout]]+TenantAllow38242280204[[#This Row],[Change Orders]]=0,TenantAllow38242280204[[#This Row],[Original Contract]],TenantAllow38242280204[[#This Row],[Actual Buyout]]+TenantAllow38242280204[[#This Row],[Change Orders]])</f>
        <v>0</v>
      </c>
      <c r="I491" s="129">
        <v>0</v>
      </c>
      <c r="J491" s="129">
        <f>TenantAllow38242280204[[#This Row],[Original Contract]]-TenantAllow38242280204[[#This Row],[Revised Contract]]</f>
        <v>0</v>
      </c>
      <c r="K491" s="341"/>
      <c r="L491" s="343"/>
      <c r="S491" s="97"/>
      <c r="T491" s="97"/>
      <c r="X491" s="198"/>
      <c r="Y491" s="198"/>
    </row>
    <row r="492" spans="1:25" x14ac:dyDescent="0.35">
      <c r="A492" s="128"/>
      <c r="B492" s="263"/>
      <c r="C492" s="132"/>
      <c r="D492" s="264" t="s">
        <v>708</v>
      </c>
      <c r="E492" s="255">
        <v>0</v>
      </c>
      <c r="F492" s="255">
        <v>0</v>
      </c>
      <c r="G492" s="129">
        <f>0</f>
        <v>0</v>
      </c>
      <c r="H492" s="255">
        <f>IF(TenantAllow38242280204[[#This Row],[Actual Buyout]]+TenantAllow38242280204[[#This Row],[Change Orders]]=0,TenantAllow38242280204[[#This Row],[Original Contract]],TenantAllow38242280204[[#This Row],[Actual Buyout]]+TenantAllow38242280204[[#This Row],[Change Orders]])</f>
        <v>0</v>
      </c>
      <c r="I492" s="129">
        <v>0</v>
      </c>
      <c r="J492" s="129">
        <f>TenantAllow38242280204[[#This Row],[Original Contract]]-TenantAllow38242280204[[#This Row],[Revised Contract]]</f>
        <v>0</v>
      </c>
      <c r="K492" s="341"/>
      <c r="L492" s="343"/>
      <c r="S492" s="97"/>
      <c r="T492" s="97"/>
      <c r="X492" s="198"/>
      <c r="Y492" s="198"/>
    </row>
    <row r="493" spans="1:25" x14ac:dyDescent="0.35">
      <c r="A493" s="128"/>
      <c r="B493" s="263"/>
      <c r="C493" s="132"/>
      <c r="D493" s="264" t="s">
        <v>154</v>
      </c>
      <c r="E493" s="255">
        <v>0</v>
      </c>
      <c r="F493" s="255">
        <v>0</v>
      </c>
      <c r="G493" s="129">
        <f>0</f>
        <v>0</v>
      </c>
      <c r="H493" s="255">
        <f>IF(TenantAllow38242280204[[#This Row],[Actual Buyout]]+TenantAllow38242280204[[#This Row],[Change Orders]]=0,TenantAllow38242280204[[#This Row],[Original Contract]],TenantAllow38242280204[[#This Row],[Actual Buyout]]+TenantAllow38242280204[[#This Row],[Change Orders]])</f>
        <v>0</v>
      </c>
      <c r="I493" s="129">
        <v>0</v>
      </c>
      <c r="J493" s="129">
        <f>TenantAllow38242280204[[#This Row],[Original Contract]]-TenantAllow38242280204[[#This Row],[Revised Contract]]</f>
        <v>0</v>
      </c>
      <c r="K493" s="341"/>
      <c r="L493" s="343"/>
      <c r="S493" s="97"/>
      <c r="T493" s="97"/>
      <c r="X493" s="198"/>
      <c r="Y493" s="198"/>
    </row>
    <row r="494" spans="1:25" x14ac:dyDescent="0.35">
      <c r="A494" s="128"/>
      <c r="B494" s="132"/>
      <c r="C494" s="132"/>
      <c r="D494" s="133" t="s">
        <v>816</v>
      </c>
      <c r="E494" s="255">
        <v>0</v>
      </c>
      <c r="F494" s="255">
        <v>0</v>
      </c>
      <c r="G494" s="129">
        <f>0</f>
        <v>0</v>
      </c>
      <c r="H494" s="255">
        <f>IF(TenantAllow38242280204[[#This Row],[Actual Buyout]]+TenantAllow38242280204[[#This Row],[Change Orders]]=0,TenantAllow38242280204[[#This Row],[Original Contract]],TenantAllow38242280204[[#This Row],[Actual Buyout]]+TenantAllow38242280204[[#This Row],[Change Orders]])</f>
        <v>0</v>
      </c>
      <c r="I494" s="129">
        <v>0</v>
      </c>
      <c r="J494" s="129">
        <f>TenantAllow38242280204[[#This Row],[Original Contract]]-TenantAllow38242280204[[#This Row],[Revised Contract]]</f>
        <v>0</v>
      </c>
      <c r="K494" s="341"/>
      <c r="L494" s="343"/>
      <c r="S494" s="97"/>
      <c r="T494" s="97"/>
      <c r="X494" s="198"/>
      <c r="Y494" s="198"/>
    </row>
    <row r="495" spans="1:25" x14ac:dyDescent="0.35">
      <c r="A495" s="128"/>
      <c r="B495" s="132"/>
      <c r="C495" s="132"/>
      <c r="D495" s="133" t="s">
        <v>817</v>
      </c>
      <c r="E495" s="255">
        <v>0</v>
      </c>
      <c r="F495" s="255">
        <v>0</v>
      </c>
      <c r="G495" s="129">
        <f>0</f>
        <v>0</v>
      </c>
      <c r="H495" s="255">
        <f>IF(TenantAllow38242280204[[#This Row],[Actual Buyout]]+TenantAllow38242280204[[#This Row],[Change Orders]]=0,TenantAllow38242280204[[#This Row],[Original Contract]],TenantAllow38242280204[[#This Row],[Actual Buyout]]+TenantAllow38242280204[[#This Row],[Change Orders]])</f>
        <v>0</v>
      </c>
      <c r="I495" s="129">
        <v>0</v>
      </c>
      <c r="J495" s="129">
        <f>TenantAllow38242280204[[#This Row],[Original Contract]]-TenantAllow38242280204[[#This Row],[Revised Contract]]</f>
        <v>0</v>
      </c>
      <c r="K495" s="341"/>
      <c r="L495" s="343"/>
      <c r="S495" s="97"/>
      <c r="T495" s="97"/>
      <c r="X495" s="198"/>
      <c r="Y495" s="198"/>
    </row>
    <row r="496" spans="1:25" x14ac:dyDescent="0.35">
      <c r="A496" s="128"/>
      <c r="B496" s="132"/>
      <c r="C496" s="132"/>
      <c r="D496" s="133" t="s">
        <v>818</v>
      </c>
      <c r="E496" s="255">
        <v>0</v>
      </c>
      <c r="F496" s="255">
        <v>0</v>
      </c>
      <c r="G496" s="129">
        <f>0</f>
        <v>0</v>
      </c>
      <c r="H496" s="255">
        <f>IF(TenantAllow38242280204[[#This Row],[Actual Buyout]]+TenantAllow38242280204[[#This Row],[Change Orders]]=0,TenantAllow38242280204[[#This Row],[Original Contract]],TenantAllow38242280204[[#This Row],[Actual Buyout]]+TenantAllow38242280204[[#This Row],[Change Orders]])</f>
        <v>0</v>
      </c>
      <c r="I496" s="129">
        <v>0</v>
      </c>
      <c r="J496" s="129">
        <f>TenantAllow38242280204[[#This Row],[Original Contract]]-TenantAllow38242280204[[#This Row],[Revised Contract]]</f>
        <v>0</v>
      </c>
      <c r="K496" s="341"/>
      <c r="L496" s="343"/>
      <c r="S496" s="97"/>
      <c r="T496" s="97"/>
      <c r="X496" s="198"/>
      <c r="Y496" s="198"/>
    </row>
    <row r="497" spans="1:25" x14ac:dyDescent="0.35">
      <c r="A497" s="128"/>
      <c r="B497" s="132"/>
      <c r="C497" s="132"/>
      <c r="D497" s="133" t="s">
        <v>819</v>
      </c>
      <c r="E497" s="255">
        <v>0</v>
      </c>
      <c r="F497" s="255">
        <v>0</v>
      </c>
      <c r="G497" s="129">
        <f>0</f>
        <v>0</v>
      </c>
      <c r="H497" s="255">
        <f>IF(TenantAllow38242280204[[#This Row],[Actual Buyout]]+TenantAllow38242280204[[#This Row],[Change Orders]]=0,TenantAllow38242280204[[#This Row],[Original Contract]],TenantAllow38242280204[[#This Row],[Actual Buyout]]+TenantAllow38242280204[[#This Row],[Change Orders]])</f>
        <v>0</v>
      </c>
      <c r="I497" s="129">
        <v>0</v>
      </c>
      <c r="J497" s="129">
        <f>TenantAllow38242280204[[#This Row],[Original Contract]]-TenantAllow38242280204[[#This Row],[Revised Contract]]</f>
        <v>0</v>
      </c>
      <c r="K497" s="341"/>
      <c r="L497" s="343"/>
      <c r="S497" s="97"/>
      <c r="T497" s="97"/>
      <c r="X497" s="198"/>
      <c r="Y497" s="198"/>
    </row>
    <row r="498" spans="1:25" x14ac:dyDescent="0.35">
      <c r="A498" s="128"/>
      <c r="B498" s="132"/>
      <c r="C498" s="132"/>
      <c r="D498" s="133" t="s">
        <v>37</v>
      </c>
      <c r="E498" s="255">
        <v>0</v>
      </c>
      <c r="F498" s="255">
        <v>0</v>
      </c>
      <c r="G498" s="129">
        <f>0</f>
        <v>0</v>
      </c>
      <c r="H498" s="255">
        <f>IF(TenantAllow38242280204[[#This Row],[Actual Buyout]]+TenantAllow38242280204[[#This Row],[Change Orders]]=0,TenantAllow38242280204[[#This Row],[Original Contract]],TenantAllow38242280204[[#This Row],[Actual Buyout]]+TenantAllow38242280204[[#This Row],[Change Orders]])</f>
        <v>0</v>
      </c>
      <c r="I498" s="129">
        <v>0</v>
      </c>
      <c r="J498" s="129">
        <f>TenantAllow38242280204[[#This Row],[Original Contract]]-TenantAllow38242280204[[#This Row],[Revised Contract]]</f>
        <v>0</v>
      </c>
      <c r="K498" s="341"/>
      <c r="L498" s="343"/>
      <c r="S498" s="97"/>
      <c r="T498" s="97"/>
      <c r="X498" s="198"/>
      <c r="Y498" s="198"/>
    </row>
    <row r="499" spans="1:25" x14ac:dyDescent="0.35">
      <c r="A499" s="257"/>
      <c r="B499" s="258"/>
      <c r="C499" s="258"/>
      <c r="D499" s="256" t="s">
        <v>38</v>
      </c>
      <c r="E499" s="151">
        <f>SUM(TenantAllow38242280204[Original Contract])</f>
        <v>0</v>
      </c>
      <c r="F499" s="151">
        <f>SUM(TenantAllow38242280204[Actual Buyout])</f>
        <v>0</v>
      </c>
      <c r="G499" s="151">
        <f>SUM(TenantAllow38242280204[Change Orders])</f>
        <v>0</v>
      </c>
      <c r="H499" s="151">
        <f>SUM(TenantAllow38242280204[Revised Contract])</f>
        <v>0</v>
      </c>
      <c r="I499" s="151">
        <f>SUM(TenantAllow38242280204[Total completed and Stored])</f>
        <v>0</v>
      </c>
      <c r="J499" s="151">
        <f>SUM(TenantAllow38242280204[Delta])</f>
        <v>0</v>
      </c>
      <c r="K499" s="343"/>
      <c r="L499" s="343"/>
    </row>
    <row r="500" spans="1:25" x14ac:dyDescent="0.35">
      <c r="A500" s="100" t="s">
        <v>670</v>
      </c>
      <c r="B500" s="100" t="s">
        <v>155</v>
      </c>
      <c r="C500" s="100" t="s">
        <v>167</v>
      </c>
      <c r="D500" s="100" t="s">
        <v>26</v>
      </c>
      <c r="E500" s="100" t="s">
        <v>781</v>
      </c>
      <c r="F500" s="332" t="s">
        <v>1078</v>
      </c>
      <c r="G500" s="332" t="s">
        <v>782</v>
      </c>
      <c r="H500" s="332" t="s">
        <v>783</v>
      </c>
      <c r="I500" s="334" t="s">
        <v>785</v>
      </c>
      <c r="J500" s="340" t="s">
        <v>1079</v>
      </c>
      <c r="K500" s="335"/>
      <c r="L500" s="343"/>
      <c r="S500" s="97"/>
      <c r="T500" s="97"/>
      <c r="X500" s="198"/>
      <c r="Y500" s="198"/>
    </row>
    <row r="501" spans="1:25" x14ac:dyDescent="0.35">
      <c r="A501" s="128"/>
      <c r="B501" s="265"/>
      <c r="C501" s="132"/>
      <c r="D501" s="266" t="s">
        <v>721</v>
      </c>
      <c r="E501" s="255">
        <v>0</v>
      </c>
      <c r="F501" s="255">
        <v>0</v>
      </c>
      <c r="G501" s="129">
        <f>0</f>
        <v>0</v>
      </c>
      <c r="H501" s="255">
        <f>IF(GCGenCon39243281205[[#This Row],[Actual Buyout]]+GCGenCon39243281205[[#This Row],[Change Orders]]=0,GCGenCon39243281205[[#This Row],[Original Contract]],GCGenCon39243281205[[#This Row],[Actual Buyout]]+GCGenCon39243281205[[#This Row],[Change Orders]])</f>
        <v>0</v>
      </c>
      <c r="I501" s="129">
        <v>0</v>
      </c>
      <c r="J501" s="129">
        <f>GCGenCon39243281205[[#This Row],[Original Contract]]-GCGenCon39243281205[[#This Row],[Revised Contract]]</f>
        <v>0</v>
      </c>
      <c r="K501" s="341"/>
      <c r="L501" s="343"/>
      <c r="S501" s="97"/>
      <c r="T501" s="97"/>
      <c r="X501" s="198"/>
      <c r="Y501" s="198"/>
    </row>
    <row r="502" spans="1:25" x14ac:dyDescent="0.35">
      <c r="A502" s="128"/>
      <c r="B502" s="132"/>
      <c r="C502" s="132"/>
      <c r="D502" s="133" t="s">
        <v>722</v>
      </c>
      <c r="E502" s="255">
        <v>0</v>
      </c>
      <c r="F502" s="255">
        <v>0</v>
      </c>
      <c r="G502" s="129">
        <f>0</f>
        <v>0</v>
      </c>
      <c r="H502" s="255">
        <f>IF(GCGenCon39243281205[[#This Row],[Actual Buyout]]+GCGenCon39243281205[[#This Row],[Change Orders]]=0,GCGenCon39243281205[[#This Row],[Original Contract]],GCGenCon39243281205[[#This Row],[Actual Buyout]]+GCGenCon39243281205[[#This Row],[Change Orders]])</f>
        <v>0</v>
      </c>
      <c r="I502" s="129">
        <v>0</v>
      </c>
      <c r="J502" s="129">
        <f>GCGenCon39243281205[[#This Row],[Original Contract]]-GCGenCon39243281205[[#This Row],[Revised Contract]]</f>
        <v>0</v>
      </c>
      <c r="K502" s="341"/>
      <c r="L502" s="343"/>
      <c r="S502" s="97"/>
      <c r="T502" s="97"/>
      <c r="X502" s="198"/>
      <c r="Y502" s="198"/>
    </row>
    <row r="503" spans="1:25" x14ac:dyDescent="0.35">
      <c r="A503" s="128"/>
      <c r="B503" s="265"/>
      <c r="C503" s="132"/>
      <c r="D503" s="266" t="s">
        <v>723</v>
      </c>
      <c r="E503" s="255">
        <v>0</v>
      </c>
      <c r="F503" s="255">
        <v>0</v>
      </c>
      <c r="G503" s="129">
        <f>0</f>
        <v>0</v>
      </c>
      <c r="H503" s="255">
        <f>IF(GCGenCon39243281205[[#This Row],[Actual Buyout]]+GCGenCon39243281205[[#This Row],[Change Orders]]=0,GCGenCon39243281205[[#This Row],[Original Contract]],GCGenCon39243281205[[#This Row],[Actual Buyout]]+GCGenCon39243281205[[#This Row],[Change Orders]])</f>
        <v>0</v>
      </c>
      <c r="I503" s="129">
        <v>0</v>
      </c>
      <c r="J503" s="129">
        <f>GCGenCon39243281205[[#This Row],[Original Contract]]-GCGenCon39243281205[[#This Row],[Revised Contract]]</f>
        <v>0</v>
      </c>
      <c r="K503" s="341"/>
      <c r="L503" s="343"/>
      <c r="S503" s="97"/>
      <c r="T503" s="97"/>
      <c r="X503" s="198"/>
      <c r="Y503" s="198"/>
    </row>
    <row r="504" spans="1:25" x14ac:dyDescent="0.35">
      <c r="A504" s="128"/>
      <c r="B504" s="132"/>
      <c r="C504" s="132"/>
      <c r="D504" s="133" t="s">
        <v>724</v>
      </c>
      <c r="E504" s="255">
        <v>0</v>
      </c>
      <c r="F504" s="255">
        <v>0</v>
      </c>
      <c r="G504" s="129">
        <f>0</f>
        <v>0</v>
      </c>
      <c r="H504" s="255">
        <f>IF(GCGenCon39243281205[[#This Row],[Actual Buyout]]+GCGenCon39243281205[[#This Row],[Change Orders]]=0,GCGenCon39243281205[[#This Row],[Original Contract]],GCGenCon39243281205[[#This Row],[Actual Buyout]]+GCGenCon39243281205[[#This Row],[Change Orders]])</f>
        <v>0</v>
      </c>
      <c r="I504" s="129">
        <v>0</v>
      </c>
      <c r="J504" s="129">
        <f>GCGenCon39243281205[[#This Row],[Original Contract]]-GCGenCon39243281205[[#This Row],[Revised Contract]]</f>
        <v>0</v>
      </c>
      <c r="K504" s="341"/>
      <c r="L504" s="343"/>
      <c r="S504" s="97"/>
      <c r="T504" s="97"/>
      <c r="X504" s="198"/>
      <c r="Y504" s="198"/>
    </row>
    <row r="505" spans="1:25" x14ac:dyDescent="0.35">
      <c r="A505" s="128"/>
      <c r="B505" s="265"/>
      <c r="C505" s="132"/>
      <c r="D505" s="266" t="s">
        <v>725</v>
      </c>
      <c r="E505" s="255">
        <v>0</v>
      </c>
      <c r="F505" s="255">
        <v>0</v>
      </c>
      <c r="G505" s="129">
        <f>0</f>
        <v>0</v>
      </c>
      <c r="H505" s="255">
        <f>IF(GCGenCon39243281205[[#This Row],[Actual Buyout]]+GCGenCon39243281205[[#This Row],[Change Orders]]=0,GCGenCon39243281205[[#This Row],[Original Contract]],GCGenCon39243281205[[#This Row],[Actual Buyout]]+GCGenCon39243281205[[#This Row],[Change Orders]])</f>
        <v>0</v>
      </c>
      <c r="I505" s="129">
        <v>0</v>
      </c>
      <c r="J505" s="129">
        <f>GCGenCon39243281205[[#This Row],[Original Contract]]-GCGenCon39243281205[[#This Row],[Revised Contract]]</f>
        <v>0</v>
      </c>
      <c r="K505" s="341"/>
      <c r="L505" s="343"/>
      <c r="S505" s="97"/>
      <c r="T505" s="97"/>
      <c r="X505" s="198"/>
      <c r="Y505" s="198"/>
    </row>
    <row r="506" spans="1:25" x14ac:dyDescent="0.35">
      <c r="A506" s="128"/>
      <c r="B506" s="132"/>
      <c r="C506" s="132"/>
      <c r="D506" s="133" t="s">
        <v>726</v>
      </c>
      <c r="E506" s="255">
        <v>0</v>
      </c>
      <c r="F506" s="255">
        <v>0</v>
      </c>
      <c r="G506" s="129">
        <f>0</f>
        <v>0</v>
      </c>
      <c r="H506" s="255">
        <f>IF(GCGenCon39243281205[[#This Row],[Actual Buyout]]+GCGenCon39243281205[[#This Row],[Change Orders]]=0,GCGenCon39243281205[[#This Row],[Original Contract]],GCGenCon39243281205[[#This Row],[Actual Buyout]]+GCGenCon39243281205[[#This Row],[Change Orders]])</f>
        <v>0</v>
      </c>
      <c r="I506" s="129">
        <v>0</v>
      </c>
      <c r="J506" s="129">
        <f>GCGenCon39243281205[[#This Row],[Original Contract]]-GCGenCon39243281205[[#This Row],[Revised Contract]]</f>
        <v>0</v>
      </c>
      <c r="K506" s="341"/>
      <c r="L506" s="343"/>
      <c r="S506" s="97"/>
      <c r="T506" s="97"/>
      <c r="X506" s="198"/>
      <c r="Y506" s="198"/>
    </row>
    <row r="507" spans="1:25" x14ac:dyDescent="0.35">
      <c r="A507" s="128"/>
      <c r="B507" s="132"/>
      <c r="C507" s="132"/>
      <c r="D507" s="133" t="s">
        <v>780</v>
      </c>
      <c r="E507" s="255">
        <v>0</v>
      </c>
      <c r="F507" s="255">
        <v>0</v>
      </c>
      <c r="G507" s="129">
        <f>0</f>
        <v>0</v>
      </c>
      <c r="H507" s="255">
        <f>IF(GCGenCon39243281205[[#This Row],[Actual Buyout]]+GCGenCon39243281205[[#This Row],[Change Orders]]=0,GCGenCon39243281205[[#This Row],[Original Contract]],GCGenCon39243281205[[#This Row],[Actual Buyout]]+GCGenCon39243281205[[#This Row],[Change Orders]])</f>
        <v>0</v>
      </c>
      <c r="I507" s="129">
        <v>0</v>
      </c>
      <c r="J507" s="129">
        <f>GCGenCon39243281205[[#This Row],[Original Contract]]-GCGenCon39243281205[[#This Row],[Revised Contract]]</f>
        <v>0</v>
      </c>
      <c r="K507" s="341"/>
      <c r="L507" s="343"/>
      <c r="S507" s="97"/>
      <c r="T507" s="97"/>
      <c r="X507" s="198"/>
      <c r="Y507" s="198"/>
    </row>
    <row r="508" spans="1:25" x14ac:dyDescent="0.35">
      <c r="A508" s="128"/>
      <c r="B508" s="132"/>
      <c r="C508" s="132"/>
      <c r="D508" s="133" t="s">
        <v>820</v>
      </c>
      <c r="E508" s="255">
        <v>0</v>
      </c>
      <c r="F508" s="255">
        <v>0</v>
      </c>
      <c r="G508" s="129">
        <f>0</f>
        <v>0</v>
      </c>
      <c r="H508" s="255">
        <f>IF(GCGenCon39243281205[[#This Row],[Actual Buyout]]+GCGenCon39243281205[[#This Row],[Change Orders]]=0,GCGenCon39243281205[[#This Row],[Original Contract]],GCGenCon39243281205[[#This Row],[Actual Buyout]]+GCGenCon39243281205[[#This Row],[Change Orders]])</f>
        <v>0</v>
      </c>
      <c r="I508" s="129">
        <v>0</v>
      </c>
      <c r="J508" s="129">
        <f>GCGenCon39243281205[[#This Row],[Original Contract]]-GCGenCon39243281205[[#This Row],[Revised Contract]]</f>
        <v>0</v>
      </c>
      <c r="K508" s="341"/>
      <c r="L508" s="343"/>
      <c r="S508" s="97"/>
      <c r="T508" s="97"/>
      <c r="X508" s="198"/>
      <c r="Y508" s="198"/>
    </row>
    <row r="509" spans="1:25" x14ac:dyDescent="0.35">
      <c r="A509" s="128"/>
      <c r="B509" s="132"/>
      <c r="C509" s="132"/>
      <c r="D509" s="133" t="s">
        <v>821</v>
      </c>
      <c r="E509" s="255">
        <v>0</v>
      </c>
      <c r="F509" s="255">
        <v>0</v>
      </c>
      <c r="G509" s="129">
        <f>0</f>
        <v>0</v>
      </c>
      <c r="H509" s="255">
        <f>IF(GCGenCon39243281205[[#This Row],[Actual Buyout]]+GCGenCon39243281205[[#This Row],[Change Orders]]=0,GCGenCon39243281205[[#This Row],[Original Contract]],GCGenCon39243281205[[#This Row],[Actual Buyout]]+GCGenCon39243281205[[#This Row],[Change Orders]])</f>
        <v>0</v>
      </c>
      <c r="I509" s="129">
        <v>0</v>
      </c>
      <c r="J509" s="129">
        <f>GCGenCon39243281205[[#This Row],[Original Contract]]-GCGenCon39243281205[[#This Row],[Revised Contract]]</f>
        <v>0</v>
      </c>
      <c r="K509" s="341"/>
      <c r="L509" s="343"/>
      <c r="S509" s="97"/>
      <c r="T509" s="97"/>
      <c r="X509" s="198"/>
      <c r="Y509" s="198"/>
    </row>
    <row r="510" spans="1:25" x14ac:dyDescent="0.35">
      <c r="A510" s="128"/>
      <c r="B510" s="132"/>
      <c r="C510" s="132"/>
      <c r="D510" s="133" t="s">
        <v>37</v>
      </c>
      <c r="E510" s="255">
        <v>0</v>
      </c>
      <c r="F510" s="255">
        <v>0</v>
      </c>
      <c r="G510" s="129">
        <f>0</f>
        <v>0</v>
      </c>
      <c r="H510" s="255">
        <f>IF(GCGenCon39243281205[[#This Row],[Actual Buyout]]+GCGenCon39243281205[[#This Row],[Change Orders]]=0,GCGenCon39243281205[[#This Row],[Original Contract]],GCGenCon39243281205[[#This Row],[Actual Buyout]]+GCGenCon39243281205[[#This Row],[Change Orders]])</f>
        <v>0</v>
      </c>
      <c r="I510" s="129">
        <v>0</v>
      </c>
      <c r="J510" s="129">
        <f>GCGenCon39243281205[[#This Row],[Original Contract]]-GCGenCon39243281205[[#This Row],[Revised Contract]]</f>
        <v>0</v>
      </c>
      <c r="K510" s="341"/>
      <c r="L510" s="343"/>
      <c r="S510" s="97"/>
      <c r="T510" s="97"/>
      <c r="X510" s="198"/>
      <c r="Y510" s="198"/>
    </row>
    <row r="511" spans="1:25" x14ac:dyDescent="0.35">
      <c r="A511" s="128"/>
      <c r="B511" s="132"/>
      <c r="C511" s="132"/>
      <c r="D511" s="133" t="s">
        <v>37</v>
      </c>
      <c r="E511" s="255">
        <v>0</v>
      </c>
      <c r="F511" s="255">
        <v>0</v>
      </c>
      <c r="G511" s="129">
        <f>0</f>
        <v>0</v>
      </c>
      <c r="H511" s="255">
        <f>IF(GCGenCon39243281205[[#This Row],[Actual Buyout]]+GCGenCon39243281205[[#This Row],[Change Orders]]=0,GCGenCon39243281205[[#This Row],[Original Contract]],GCGenCon39243281205[[#This Row],[Actual Buyout]]+GCGenCon39243281205[[#This Row],[Change Orders]])</f>
        <v>0</v>
      </c>
      <c r="I511" s="129">
        <v>0</v>
      </c>
      <c r="J511" s="129">
        <f>GCGenCon39243281205[[#This Row],[Original Contract]]-GCGenCon39243281205[[#This Row],[Revised Contract]]</f>
        <v>0</v>
      </c>
      <c r="K511" s="341"/>
      <c r="L511" s="343"/>
      <c r="S511" s="97"/>
      <c r="T511" s="97"/>
      <c r="X511" s="198"/>
      <c r="Y511" s="198"/>
    </row>
    <row r="512" spans="1:25" x14ac:dyDescent="0.35">
      <c r="A512" s="128"/>
      <c r="B512" s="132"/>
      <c r="C512" s="132"/>
      <c r="D512" s="133" t="s">
        <v>37</v>
      </c>
      <c r="E512" s="255">
        <v>0</v>
      </c>
      <c r="F512" s="255">
        <v>0</v>
      </c>
      <c r="G512" s="129">
        <f>0</f>
        <v>0</v>
      </c>
      <c r="H512" s="255">
        <f>IF(GCGenCon39243281205[[#This Row],[Actual Buyout]]+GCGenCon39243281205[[#This Row],[Change Orders]]=0,GCGenCon39243281205[[#This Row],[Original Contract]],GCGenCon39243281205[[#This Row],[Actual Buyout]]+GCGenCon39243281205[[#This Row],[Change Orders]])</f>
        <v>0</v>
      </c>
      <c r="I512" s="129">
        <v>0</v>
      </c>
      <c r="J512" s="129">
        <f>GCGenCon39243281205[[#This Row],[Original Contract]]-GCGenCon39243281205[[#This Row],[Revised Contract]]</f>
        <v>0</v>
      </c>
      <c r="K512" s="341"/>
      <c r="L512" s="343"/>
      <c r="S512" s="97"/>
      <c r="T512" s="97"/>
      <c r="X512" s="198"/>
      <c r="Y512" s="198"/>
    </row>
    <row r="513" spans="1:12" ht="15" thickBot="1" x14ac:dyDescent="0.4">
      <c r="A513" s="130"/>
      <c r="B513" s="131"/>
      <c r="C513" s="131"/>
      <c r="D513" s="256" t="s">
        <v>38</v>
      </c>
      <c r="E513" s="151">
        <f>SUM(GCGenCon39243281205[Original Contract])</f>
        <v>0</v>
      </c>
      <c r="F513" s="151">
        <f>SUM(GCGenCon39243281205[Actual Buyout])</f>
        <v>0</v>
      </c>
      <c r="G513" s="151">
        <f>SUM(GCGenCon39243281205[Change Orders])</f>
        <v>0</v>
      </c>
      <c r="H513" s="151">
        <f>SUM(GCGenCon39243281205[Revised Contract])</f>
        <v>0</v>
      </c>
      <c r="I513" s="344">
        <f>SUM(GCGenCon39243281205[Total completed and Stored])</f>
        <v>0</v>
      </c>
      <c r="J513" s="151">
        <f>SUM(GCGenCon39243281205[Delta])</f>
        <v>0</v>
      </c>
      <c r="K513" s="343"/>
      <c r="L513" s="343"/>
    </row>
    <row r="514" spans="1:12" ht="15" thickTop="1" x14ac:dyDescent="0.35">
      <c r="A514" s="134"/>
      <c r="B514" s="135"/>
      <c r="C514" s="135"/>
      <c r="D514" s="136"/>
      <c r="E514" s="137"/>
      <c r="F514" s="137"/>
      <c r="G514" s="137"/>
      <c r="H514" s="137"/>
      <c r="I514" s="343"/>
      <c r="J514" s="138"/>
      <c r="K514" s="343"/>
    </row>
    <row r="515" spans="1:12" ht="15" thickBot="1" x14ac:dyDescent="0.4">
      <c r="A515" s="139"/>
      <c r="B515" s="140"/>
      <c r="C515" s="141"/>
      <c r="D515" s="142"/>
      <c r="E515" s="143"/>
      <c r="F515" s="143"/>
      <c r="G515" s="143"/>
      <c r="H515" s="143"/>
      <c r="I515" s="143"/>
      <c r="J515" s="144"/>
      <c r="K515" s="343"/>
    </row>
    <row r="516" spans="1:12"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2" ht="15" thickTop="1" x14ac:dyDescent="0.35">
      <c r="C517" s="100"/>
    </row>
    <row r="518" spans="1:12" x14ac:dyDescent="0.35">
      <c r="C518" s="100"/>
    </row>
    <row r="519" spans="1:12" x14ac:dyDescent="0.35">
      <c r="C519" s="100"/>
    </row>
    <row r="520" spans="1:12" x14ac:dyDescent="0.35">
      <c r="C520" s="100"/>
      <c r="I520" s="200" t="s">
        <v>824</v>
      </c>
    </row>
  </sheetData>
  <sheetProtection algorithmName="SHA-512" hashValue="uqm+EsYthvOlB8bNfcwME1152+26DWqrWngulghgBxA/K3U4QnMvl10Cm/TuafbVMIGPuR/Wn7DEx/wOCFJa2Q==" saltValue="cxADESsxJFqAVbhZUBAuiw==" spinCount="100000" sheet="1" objects="1" scenarios="1"/>
  <sortState ref="CT30:CT504">
    <sortCondition ref="CT30"/>
  </sortState>
  <mergeCells count="4">
    <mergeCell ref="E5:F5"/>
    <mergeCell ref="G5:H5"/>
    <mergeCell ref="G6:H6"/>
    <mergeCell ref="G7:H7"/>
  </mergeCells>
  <pageMargins left="0.7" right="0.7" top="0.75" bottom="0.75" header="0.3" footer="0.3"/>
  <pageSetup scale="64" fitToHeight="10" orientation="landscape" r:id="rId1"/>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70"/>
  <sheetViews>
    <sheetView zoomScaleNormal="100" workbookViewId="0">
      <selection activeCell="E30" sqref="E30"/>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1108</v>
      </c>
      <c r="C13" s="621" t="s">
        <v>1109</v>
      </c>
      <c r="D13" s="434" t="s">
        <v>1143</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1094</v>
      </c>
      <c r="C24" s="229" t="s">
        <v>789</v>
      </c>
      <c r="D24" s="229" t="s">
        <v>424</v>
      </c>
      <c r="E24" s="230" t="s">
        <v>425</v>
      </c>
      <c r="F24" s="229" t="s">
        <v>790</v>
      </c>
      <c r="G24" s="229" t="s">
        <v>791</v>
      </c>
      <c r="H24" s="231" t="s">
        <v>792</v>
      </c>
      <c r="I24" s="232" t="s">
        <v>976</v>
      </c>
      <c r="J24" s="233" t="s">
        <v>983</v>
      </c>
      <c r="K24" s="234" t="s">
        <v>995</v>
      </c>
      <c r="L24" s="235" t="s">
        <v>1141</v>
      </c>
      <c r="M24" s="235" t="s">
        <v>793</v>
      </c>
      <c r="N24" s="235" t="s">
        <v>794</v>
      </c>
      <c r="O24" s="236" t="s">
        <v>795</v>
      </c>
      <c r="P24" s="236" t="s">
        <v>971</v>
      </c>
      <c r="Q24" s="237" t="s">
        <v>996</v>
      </c>
      <c r="R24" s="238" t="s">
        <v>1142</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sheetProtection algorithmName="SHA-512" hashValue="tnkJtjkm385o1M6xH9ZMIHbQmG4nlxQ9A5cZ9Azs7axVXeDc+FTmVGYHx2KteMgoK/BmUuU7LQTkxhC0qAsCig==" saltValue="CuMtGu/c6xOgfeR2asccVQ==" spinCount="100000" sheet="1" objects="1" scenarios="1"/>
  <mergeCells count="14">
    <mergeCell ref="F12:I12"/>
    <mergeCell ref="O23:T23"/>
    <mergeCell ref="B13:C13"/>
    <mergeCell ref="C23:H23"/>
    <mergeCell ref="J15:K18"/>
    <mergeCell ref="B21:C21"/>
    <mergeCell ref="I23:N23"/>
    <mergeCell ref="B19:C19"/>
    <mergeCell ref="B20:C20"/>
    <mergeCell ref="B14:C14"/>
    <mergeCell ref="B15:C15"/>
    <mergeCell ref="B16:C16"/>
    <mergeCell ref="B17:C17"/>
    <mergeCell ref="B18:C18"/>
  </mergeCells>
  <conditionalFormatting sqref="B25:B51">
    <cfRule type="expression" dxfId="504" priority="2">
      <formula>AND(SUM($C25:$T25)&lt;&gt;0,ISBLANK($B25))</formula>
    </cfRule>
  </conditionalFormatting>
  <conditionalFormatting sqref="B52:B67">
    <cfRule type="expression" dxfId="503" priority="3">
      <formula>AND(SUM($C52:$T52)&lt;&gt;0,ISBLANK($B52))</formula>
    </cfRule>
  </conditionalFormatting>
  <conditionalFormatting sqref="I25:I67">
    <cfRule type="expression" dxfId="502" priority="1">
      <formula>OR($B25&gt;=EOMONTH(TODAY(),-1)+1,ISBLANK($B25))</formula>
    </cfRule>
  </conditionalFormatting>
  <dataValidations count="5">
    <dataValidation type="date" operator="greaterThan" allowBlank="1" showInputMessage="1" showErrorMessage="1" errorTitle="Expected format example" error="01/20/22" sqref="G14:H14" xr:uid="{6C5C20CC-3BFC-4954-9472-07838AC834FD}">
      <formula1>43466</formula1>
    </dataValidation>
    <dataValidation type="list" allowBlank="1" showInputMessage="1" showErrorMessage="1" sqref="G20" xr:uid="{5CA00E95-A51B-48EC-884C-EFEA6305DA4A}">
      <formula1>"Amazon, Developer, N/A"</formula1>
    </dataValidation>
    <dataValidation type="date" operator="greaterThan" allowBlank="1" showInputMessage="1" showErrorMessage="1" errorTitle="Expected format example" error="01/20/22" promptTitle="Please note this is not FA" sqref="G15:H17 H20" xr:uid="{EAA319A5-903A-4D8D-95D8-C022706FC830}">
      <formula1>43466</formula1>
    </dataValidation>
    <dataValidation type="date" operator="greaterThan" allowBlank="1" showInputMessage="1" showErrorMessage="1" errorTitle="Expected format" error="mmm-yy example: APR-21" promptTitle="Expected format " sqref="B68" xr:uid="{FE249861-E11E-4FF0-872F-988B25E2F4CF}">
      <formula1>43466</formula1>
    </dataValidation>
    <dataValidation type="list" allowBlank="1" showInputMessage="1" showErrorMessage="1" sqref="D13" xr:uid="{5744FD45-24D8-4078-9BB2-D9D8E0DC70BC}">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 id="{AE68A560-7233-4062-BD62-0A723FA480AB}">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J231"/>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2.54296875"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1097</v>
      </c>
      <c r="C14" s="29"/>
      <c r="D14" s="29"/>
      <c r="E14" s="29"/>
      <c r="F14" s="17"/>
    </row>
    <row r="15" spans="1:7" s="198" customFormat="1" ht="8.15" customHeight="1" thickBot="1" x14ac:dyDescent="0.4">
      <c r="A15" s="341"/>
      <c r="B15" s="356"/>
      <c r="C15" s="357"/>
      <c r="D15" s="357"/>
      <c r="E15" s="357"/>
      <c r="F15" s="358"/>
      <c r="G15" s="341"/>
    </row>
    <row r="16" spans="1:7" ht="15.5" customHeight="1" thickBot="1" x14ac:dyDescent="0.4">
      <c r="B16" s="359" t="str">
        <f>'GMP-PO Breakdown'!C79</f>
        <v>Tenant Contingency</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thickBot="1" x14ac:dyDescent="0.4">
      <c r="B28" s="519"/>
      <c r="C28" s="520"/>
      <c r="D28" s="521"/>
      <c r="E28" s="521"/>
      <c r="F28" s="522"/>
    </row>
    <row r="29" spans="2:6" ht="14.5" hidden="1" customHeight="1" x14ac:dyDescent="0.35">
      <c r="B29" s="519"/>
      <c r="C29" s="520"/>
      <c r="D29" s="521"/>
      <c r="E29" s="521"/>
      <c r="F29" s="522"/>
    </row>
    <row r="30" spans="2:6" ht="14.5" hidden="1" customHeight="1" x14ac:dyDescent="0.35">
      <c r="B30" s="519"/>
      <c r="C30" s="520"/>
      <c r="D30" s="521"/>
      <c r="E30" s="521"/>
      <c r="F30" s="522"/>
    </row>
    <row r="31" spans="2:6" ht="14.5" hidden="1" customHeight="1" x14ac:dyDescent="0.35">
      <c r="B31" s="519"/>
      <c r="C31" s="520"/>
      <c r="D31" s="521"/>
      <c r="E31" s="521"/>
      <c r="F31" s="522"/>
    </row>
    <row r="32" spans="2:6" ht="14.5" hidden="1" customHeight="1" x14ac:dyDescent="0.35">
      <c r="B32" s="519"/>
      <c r="C32" s="520"/>
      <c r="D32" s="521"/>
      <c r="E32" s="521"/>
      <c r="F32" s="522"/>
    </row>
    <row r="33" spans="1:10" ht="14.5" hidden="1" customHeight="1" x14ac:dyDescent="0.35">
      <c r="B33" s="519"/>
      <c r="C33" s="520"/>
      <c r="D33" s="521"/>
      <c r="E33" s="521"/>
      <c r="F33" s="522"/>
    </row>
    <row r="34" spans="1:10" ht="14.5" hidden="1" customHeight="1" x14ac:dyDescent="0.35">
      <c r="B34" s="519"/>
      <c r="C34" s="520"/>
      <c r="D34" s="521"/>
      <c r="E34" s="521"/>
      <c r="F34" s="522"/>
    </row>
    <row r="35" spans="1:10" s="198" customFormat="1" ht="14.5" hidden="1" customHeight="1" x14ac:dyDescent="0.35">
      <c r="A35" s="97"/>
      <c r="B35" s="519"/>
      <c r="C35" s="520"/>
      <c r="D35" s="521"/>
      <c r="E35" s="521"/>
      <c r="F35" s="522"/>
      <c r="G35" s="97"/>
      <c r="H35" s="97"/>
      <c r="I35" s="97"/>
      <c r="J35" s="97"/>
    </row>
    <row r="36" spans="1:10" ht="14.5" hidden="1" customHeight="1" x14ac:dyDescent="0.35">
      <c r="B36" s="519"/>
      <c r="C36" s="520"/>
      <c r="D36" s="521"/>
      <c r="E36" s="521"/>
      <c r="F36" s="522"/>
    </row>
    <row r="37" spans="1:10" ht="14.5" hidden="1" customHeight="1" x14ac:dyDescent="0.35">
      <c r="B37" s="519"/>
      <c r="C37" s="520"/>
      <c r="D37" s="521"/>
      <c r="E37" s="521"/>
      <c r="F37" s="522"/>
    </row>
    <row r="38" spans="1:10" ht="14.5" hidden="1" customHeight="1" x14ac:dyDescent="0.35">
      <c r="B38" s="519"/>
      <c r="C38" s="520"/>
      <c r="D38" s="521"/>
      <c r="E38" s="521"/>
      <c r="F38" s="522"/>
    </row>
    <row r="39" spans="1:10" ht="14.5" hidden="1" customHeight="1" x14ac:dyDescent="0.35">
      <c r="B39" s="519"/>
      <c r="C39" s="520"/>
      <c r="D39" s="521"/>
      <c r="E39" s="521"/>
      <c r="F39" s="522"/>
    </row>
    <row r="40" spans="1:10" ht="14.5" hidden="1" customHeight="1" x14ac:dyDescent="0.35">
      <c r="B40" s="519"/>
      <c r="C40" s="520"/>
      <c r="D40" s="521"/>
      <c r="E40" s="521"/>
      <c r="F40" s="522"/>
    </row>
    <row r="41" spans="1:10" ht="14.5" hidden="1" customHeight="1" x14ac:dyDescent="0.35">
      <c r="B41" s="519"/>
      <c r="C41" s="520"/>
      <c r="D41" s="521"/>
      <c r="E41" s="521"/>
      <c r="F41" s="522"/>
    </row>
    <row r="42" spans="1:10" ht="14.5" hidden="1" customHeight="1" x14ac:dyDescent="0.35">
      <c r="B42" s="519"/>
      <c r="C42" s="520"/>
      <c r="D42" s="521"/>
      <c r="E42" s="521"/>
      <c r="F42" s="522"/>
    </row>
    <row r="43" spans="1:10" ht="14.5" hidden="1" customHeight="1" x14ac:dyDescent="0.35">
      <c r="B43" s="519"/>
      <c r="C43" s="520"/>
      <c r="D43" s="521"/>
      <c r="E43" s="521"/>
      <c r="F43" s="522"/>
    </row>
    <row r="44" spans="1:10" ht="14.5" hidden="1" customHeight="1" x14ac:dyDescent="0.35">
      <c r="B44" s="519"/>
      <c r="C44" s="520"/>
      <c r="D44" s="521"/>
      <c r="E44" s="521"/>
      <c r="F44" s="522"/>
    </row>
    <row r="45" spans="1:10" ht="14.5" hidden="1" customHeight="1" x14ac:dyDescent="0.35">
      <c r="B45" s="519"/>
      <c r="C45" s="520"/>
      <c r="D45" s="521"/>
      <c r="E45" s="521"/>
      <c r="F45" s="522"/>
    </row>
    <row r="46" spans="1:10" ht="14.5" hidden="1" customHeight="1" x14ac:dyDescent="0.35">
      <c r="B46" s="519"/>
      <c r="C46" s="520"/>
      <c r="D46" s="521"/>
      <c r="E46" s="521"/>
      <c r="F46" s="522"/>
    </row>
    <row r="47" spans="1:10" ht="14.5" hidden="1" customHeight="1" x14ac:dyDescent="0.35">
      <c r="B47" s="519"/>
      <c r="C47" s="520"/>
      <c r="D47" s="521"/>
      <c r="E47" s="521"/>
      <c r="F47" s="522"/>
    </row>
    <row r="48" spans="1:10" ht="14.5" hidden="1" customHeight="1" x14ac:dyDescent="0.35">
      <c r="B48" s="519"/>
      <c r="C48" s="520"/>
      <c r="D48" s="521"/>
      <c r="E48" s="521"/>
      <c r="F48" s="522"/>
    </row>
    <row r="49" spans="1:10" ht="14.5" hidden="1" customHeight="1" x14ac:dyDescent="0.35">
      <c r="B49" s="519"/>
      <c r="C49" s="520"/>
      <c r="D49" s="521"/>
      <c r="E49" s="521"/>
      <c r="F49" s="522"/>
      <c r="G49" s="198"/>
      <c r="H49" s="198"/>
      <c r="I49" s="198"/>
      <c r="J49" s="198"/>
    </row>
    <row r="50" spans="1:10" ht="14.5" hidden="1" customHeight="1" x14ac:dyDescent="0.35">
      <c r="B50" s="519"/>
      <c r="C50" s="520"/>
      <c r="D50" s="521"/>
      <c r="E50" s="521"/>
      <c r="F50" s="522"/>
    </row>
    <row r="51" spans="1:10" ht="14.5" hidden="1" customHeight="1" x14ac:dyDescent="0.35">
      <c r="B51" s="519"/>
      <c r="C51" s="520"/>
      <c r="D51" s="521"/>
      <c r="E51" s="521"/>
      <c r="F51" s="522"/>
    </row>
    <row r="52" spans="1:10" ht="14.5" hidden="1" customHeight="1" x14ac:dyDescent="0.35">
      <c r="B52" s="519"/>
      <c r="C52" s="520"/>
      <c r="D52" s="521"/>
      <c r="E52" s="521"/>
      <c r="F52" s="522"/>
    </row>
    <row r="53" spans="1:10" s="198" customFormat="1" ht="14.5" hidden="1" customHeight="1" x14ac:dyDescent="0.35">
      <c r="A53" s="97"/>
      <c r="B53" s="519"/>
      <c r="C53" s="520"/>
      <c r="D53" s="521"/>
      <c r="E53" s="521"/>
      <c r="F53" s="522"/>
      <c r="G53" s="97"/>
      <c r="H53" s="97"/>
      <c r="I53" s="97"/>
      <c r="J53" s="97"/>
    </row>
    <row r="54" spans="1:10" s="198" customFormat="1" ht="14.5" hidden="1" customHeight="1" x14ac:dyDescent="0.35">
      <c r="A54" s="97"/>
      <c r="B54" s="519"/>
      <c r="C54" s="520"/>
      <c r="D54" s="521"/>
      <c r="E54" s="521"/>
      <c r="F54" s="522"/>
      <c r="G54" s="97"/>
      <c r="H54" s="97"/>
      <c r="I54" s="97"/>
      <c r="J54" s="97"/>
    </row>
    <row r="55" spans="1:10" s="198" customFormat="1" ht="14.5" hidden="1" customHeight="1" x14ac:dyDescent="0.35">
      <c r="A55" s="97"/>
      <c r="B55" s="519"/>
      <c r="C55" s="520"/>
      <c r="D55" s="521"/>
      <c r="E55" s="521"/>
      <c r="F55" s="522"/>
      <c r="G55" s="97"/>
      <c r="H55" s="97"/>
      <c r="I55" s="97"/>
      <c r="J55" s="97"/>
    </row>
    <row r="56" spans="1:10" s="198" customFormat="1" ht="14.5" hidden="1" customHeight="1" x14ac:dyDescent="0.35">
      <c r="A56" s="97"/>
      <c r="B56" s="519"/>
      <c r="C56" s="520"/>
      <c r="D56" s="521"/>
      <c r="E56" s="521"/>
      <c r="F56" s="522"/>
      <c r="G56" s="97"/>
      <c r="H56" s="97"/>
      <c r="I56" s="97"/>
      <c r="J56" s="97"/>
    </row>
    <row r="57" spans="1:10" s="198" customFormat="1" ht="14.5" hidden="1" customHeight="1" x14ac:dyDescent="0.35">
      <c r="A57" s="97"/>
      <c r="B57" s="519"/>
      <c r="C57" s="520"/>
      <c r="D57" s="521"/>
      <c r="E57" s="521"/>
      <c r="F57" s="522"/>
      <c r="G57" s="97"/>
      <c r="H57" s="97"/>
      <c r="I57" s="97"/>
      <c r="J57" s="97"/>
    </row>
    <row r="58" spans="1:10" s="198" customFormat="1" ht="14.5" hidden="1" customHeight="1" x14ac:dyDescent="0.35">
      <c r="A58" s="97"/>
      <c r="B58" s="519"/>
      <c r="C58" s="520"/>
      <c r="D58" s="521"/>
      <c r="E58" s="521"/>
      <c r="F58" s="522"/>
      <c r="G58" s="97"/>
      <c r="H58" s="97"/>
      <c r="I58" s="97"/>
      <c r="J58" s="97"/>
    </row>
    <row r="59" spans="1:10" s="198" customFormat="1" ht="14.5" hidden="1" customHeight="1" x14ac:dyDescent="0.35">
      <c r="A59" s="97"/>
      <c r="B59" s="519"/>
      <c r="C59" s="520"/>
      <c r="D59" s="521"/>
      <c r="E59" s="521"/>
      <c r="F59" s="522"/>
      <c r="G59" s="97"/>
      <c r="H59" s="97"/>
      <c r="I59" s="97"/>
      <c r="J59" s="97"/>
    </row>
    <row r="60" spans="1:10" s="198" customFormat="1" ht="14.5" hidden="1" customHeight="1" x14ac:dyDescent="0.35">
      <c r="A60" s="97"/>
      <c r="B60" s="519"/>
      <c r="C60" s="520"/>
      <c r="D60" s="521"/>
      <c r="E60" s="521"/>
      <c r="F60" s="522"/>
      <c r="G60" s="97"/>
      <c r="H60" s="97"/>
      <c r="I60" s="97"/>
      <c r="J60" s="97"/>
    </row>
    <row r="61" spans="1:10" s="198" customFormat="1" ht="14.5" hidden="1" customHeight="1" x14ac:dyDescent="0.35">
      <c r="A61" s="97"/>
      <c r="B61" s="519"/>
      <c r="C61" s="520"/>
      <c r="D61" s="521"/>
      <c r="E61" s="521"/>
      <c r="F61" s="522"/>
      <c r="G61" s="97"/>
      <c r="H61" s="97"/>
      <c r="I61" s="97"/>
      <c r="J61" s="97"/>
    </row>
    <row r="62" spans="1:10" s="198" customFormat="1" ht="14.5" hidden="1" customHeight="1" x14ac:dyDescent="0.35">
      <c r="A62" s="97"/>
      <c r="B62" s="519"/>
      <c r="C62" s="520"/>
      <c r="D62" s="521"/>
      <c r="E62" s="521"/>
      <c r="F62" s="522"/>
      <c r="G62" s="97"/>
      <c r="H62" s="97"/>
      <c r="I62" s="97"/>
      <c r="J62" s="97"/>
    </row>
    <row r="63" spans="1:10" s="198" customFormat="1" ht="14.5" hidden="1" customHeight="1" x14ac:dyDescent="0.35">
      <c r="A63" s="97"/>
      <c r="B63" s="519"/>
      <c r="C63" s="520"/>
      <c r="D63" s="521"/>
      <c r="E63" s="521"/>
      <c r="F63" s="522"/>
      <c r="G63" s="97"/>
      <c r="H63" s="97"/>
      <c r="I63" s="97"/>
      <c r="J63" s="97"/>
    </row>
    <row r="64" spans="1:10" s="198" customFormat="1" ht="14.5" hidden="1" customHeight="1" x14ac:dyDescent="0.35">
      <c r="A64" s="97"/>
      <c r="B64" s="519"/>
      <c r="C64" s="520"/>
      <c r="D64" s="521"/>
      <c r="E64" s="521"/>
      <c r="F64" s="522"/>
      <c r="G64" s="97"/>
      <c r="H64" s="97"/>
      <c r="I64" s="97"/>
      <c r="J64" s="97"/>
    </row>
    <row r="65" spans="1:10" s="198" customFormat="1" ht="14.5" hidden="1" customHeight="1" x14ac:dyDescent="0.35">
      <c r="A65" s="97"/>
      <c r="B65" s="519"/>
      <c r="C65" s="520"/>
      <c r="D65" s="521"/>
      <c r="E65" s="521"/>
      <c r="F65" s="522"/>
      <c r="G65" s="97"/>
      <c r="H65" s="97"/>
      <c r="I65" s="97"/>
      <c r="J65" s="97"/>
    </row>
    <row r="66" spans="1:10" s="198" customFormat="1" ht="14.5" hidden="1" customHeight="1" x14ac:dyDescent="0.35">
      <c r="A66" s="97"/>
      <c r="B66" s="519"/>
      <c r="C66" s="520"/>
      <c r="D66" s="521"/>
      <c r="E66" s="521"/>
      <c r="F66" s="522"/>
      <c r="G66" s="97"/>
      <c r="H66" s="97"/>
      <c r="I66" s="97"/>
      <c r="J66" s="97"/>
    </row>
    <row r="67" spans="1:10" s="198" customFormat="1" ht="14.5" hidden="1" customHeight="1" x14ac:dyDescent="0.35">
      <c r="A67" s="97"/>
      <c r="B67" s="519"/>
      <c r="C67" s="520"/>
      <c r="D67" s="521"/>
      <c r="E67" s="521"/>
      <c r="F67" s="522"/>
      <c r="G67" s="97"/>
      <c r="H67" s="97"/>
      <c r="I67" s="97"/>
      <c r="J67" s="97"/>
    </row>
    <row r="68" spans="1:10" s="198" customFormat="1" ht="14.5" hidden="1" customHeight="1" x14ac:dyDescent="0.35">
      <c r="A68" s="97"/>
      <c r="B68" s="519"/>
      <c r="C68" s="520"/>
      <c r="D68" s="521"/>
      <c r="E68" s="521"/>
      <c r="F68" s="522"/>
      <c r="G68" s="97"/>
      <c r="H68" s="97"/>
      <c r="I68" s="97"/>
      <c r="J68" s="97"/>
    </row>
    <row r="69" spans="1:10" s="198" customFormat="1" ht="14.5" hidden="1" customHeight="1" x14ac:dyDescent="0.35">
      <c r="A69" s="97"/>
      <c r="B69" s="519"/>
      <c r="C69" s="520"/>
      <c r="D69" s="521"/>
      <c r="E69" s="521"/>
      <c r="F69" s="522"/>
      <c r="G69" s="97"/>
      <c r="H69" s="97"/>
      <c r="I69" s="97"/>
      <c r="J69" s="97"/>
    </row>
    <row r="70" spans="1:10" s="198" customFormat="1" ht="14.5" hidden="1" customHeight="1" x14ac:dyDescent="0.35">
      <c r="A70" s="97"/>
      <c r="B70" s="519"/>
      <c r="C70" s="520"/>
      <c r="D70" s="521"/>
      <c r="E70" s="521"/>
      <c r="F70" s="522"/>
      <c r="G70" s="97"/>
      <c r="H70" s="97"/>
      <c r="I70" s="97"/>
      <c r="J70" s="97"/>
    </row>
    <row r="71" spans="1:10" s="198" customFormat="1" ht="14.5" hidden="1" customHeight="1" x14ac:dyDescent="0.35">
      <c r="A71" s="97"/>
      <c r="B71" s="519"/>
      <c r="C71" s="520"/>
      <c r="D71" s="521"/>
      <c r="E71" s="521"/>
      <c r="F71" s="522"/>
      <c r="G71" s="97"/>
      <c r="H71" s="97"/>
      <c r="I71" s="97"/>
      <c r="J71" s="97"/>
    </row>
    <row r="72" spans="1:10" s="198" customFormat="1" ht="14.5" hidden="1" customHeight="1" x14ac:dyDescent="0.35">
      <c r="A72" s="97"/>
      <c r="B72" s="519"/>
      <c r="C72" s="520"/>
      <c r="D72" s="521"/>
      <c r="E72" s="521"/>
      <c r="F72" s="522"/>
      <c r="G72" s="97"/>
      <c r="H72" s="97"/>
      <c r="I72" s="97"/>
      <c r="J72" s="97"/>
    </row>
    <row r="73" spans="1:10" s="198" customFormat="1" ht="14.5" hidden="1" customHeight="1" x14ac:dyDescent="0.35">
      <c r="A73" s="97"/>
      <c r="B73" s="519"/>
      <c r="C73" s="520"/>
      <c r="D73" s="521"/>
      <c r="E73" s="521"/>
      <c r="F73" s="522"/>
      <c r="G73" s="97"/>
      <c r="H73" s="97"/>
      <c r="I73" s="97"/>
      <c r="J73" s="97"/>
    </row>
    <row r="74" spans="1:10" s="198" customFormat="1" ht="14.5" hidden="1" customHeight="1" x14ac:dyDescent="0.35">
      <c r="A74" s="97"/>
      <c r="B74" s="519"/>
      <c r="C74" s="520"/>
      <c r="D74" s="521"/>
      <c r="E74" s="521"/>
      <c r="F74" s="522"/>
      <c r="G74" s="97"/>
      <c r="H74" s="97"/>
      <c r="I74" s="97"/>
      <c r="J74" s="97"/>
    </row>
    <row r="75" spans="1:10" s="198" customFormat="1" ht="14.5" hidden="1" customHeight="1" x14ac:dyDescent="0.35">
      <c r="A75" s="97"/>
      <c r="B75" s="519"/>
      <c r="C75" s="520"/>
      <c r="D75" s="521"/>
      <c r="E75" s="521"/>
      <c r="F75" s="522"/>
      <c r="G75" s="97"/>
      <c r="H75" s="97"/>
      <c r="I75" s="97"/>
      <c r="J75" s="97"/>
    </row>
    <row r="76" spans="1:10" s="198" customFormat="1" ht="14.5" hidden="1" customHeight="1" x14ac:dyDescent="0.35">
      <c r="A76" s="97"/>
      <c r="B76" s="519"/>
      <c r="C76" s="520"/>
      <c r="D76" s="521"/>
      <c r="E76" s="521"/>
      <c r="F76" s="522"/>
      <c r="G76" s="97"/>
      <c r="H76" s="97"/>
      <c r="I76" s="97"/>
      <c r="J76" s="97"/>
    </row>
    <row r="77" spans="1:10" s="198" customFormat="1" ht="14.5" hidden="1" customHeight="1" x14ac:dyDescent="0.35">
      <c r="A77" s="97"/>
      <c r="B77" s="519"/>
      <c r="C77" s="520"/>
      <c r="D77" s="521"/>
      <c r="E77" s="521"/>
      <c r="F77" s="522"/>
      <c r="G77" s="97"/>
      <c r="H77" s="97"/>
      <c r="I77" s="97"/>
      <c r="J77" s="97"/>
    </row>
    <row r="78" spans="1:10" s="198" customFormat="1" ht="14.5" hidden="1" customHeight="1" x14ac:dyDescent="0.35">
      <c r="A78" s="97"/>
      <c r="B78" s="519"/>
      <c r="C78" s="520"/>
      <c r="D78" s="521"/>
      <c r="E78" s="521"/>
      <c r="F78" s="522"/>
      <c r="G78" s="97"/>
      <c r="H78" s="97"/>
      <c r="I78" s="97"/>
      <c r="J78" s="97"/>
    </row>
    <row r="79" spans="1:10" s="198" customFormat="1" ht="14.5" hidden="1" customHeight="1" x14ac:dyDescent="0.35">
      <c r="A79" s="97"/>
      <c r="B79" s="519"/>
      <c r="C79" s="520"/>
      <c r="D79" s="521"/>
      <c r="E79" s="521"/>
      <c r="F79" s="522"/>
      <c r="G79" s="97"/>
      <c r="H79" s="97"/>
      <c r="I79" s="97"/>
      <c r="J79" s="97"/>
    </row>
    <row r="80" spans="1:10" s="198" customFormat="1" ht="14.5" hidden="1" customHeight="1" x14ac:dyDescent="0.35">
      <c r="A80" s="97"/>
      <c r="B80" s="519"/>
      <c r="C80" s="520"/>
      <c r="D80" s="521"/>
      <c r="E80" s="521"/>
      <c r="F80" s="522"/>
      <c r="G80" s="97"/>
      <c r="H80" s="97"/>
      <c r="I80" s="97"/>
      <c r="J80" s="97"/>
    </row>
    <row r="81" spans="1:10" s="198" customFormat="1" ht="14.5" hidden="1" customHeight="1" x14ac:dyDescent="0.35">
      <c r="A81" s="97"/>
      <c r="B81" s="519"/>
      <c r="C81" s="520"/>
      <c r="D81" s="521"/>
      <c r="E81" s="521"/>
      <c r="F81" s="522"/>
      <c r="G81" s="97"/>
      <c r="H81" s="97"/>
      <c r="I81" s="97"/>
      <c r="J81" s="97"/>
    </row>
    <row r="82" spans="1:10" s="198" customFormat="1" ht="14.5" hidden="1" customHeight="1" x14ac:dyDescent="0.35">
      <c r="A82" s="97"/>
      <c r="B82" s="519"/>
      <c r="C82" s="520"/>
      <c r="D82" s="521"/>
      <c r="E82" s="521"/>
      <c r="F82" s="522"/>
      <c r="G82" s="97"/>
      <c r="H82" s="97"/>
      <c r="I82" s="97"/>
      <c r="J82" s="97"/>
    </row>
    <row r="83" spans="1:10" s="198" customFormat="1" ht="14.5" hidden="1" customHeight="1" x14ac:dyDescent="0.35">
      <c r="A83" s="97"/>
      <c r="B83" s="519"/>
      <c r="C83" s="520"/>
      <c r="D83" s="521"/>
      <c r="E83" s="521"/>
      <c r="F83" s="522"/>
    </row>
    <row r="84" spans="1:10" s="198" customFormat="1" ht="14.5" hidden="1" customHeight="1" x14ac:dyDescent="0.35">
      <c r="A84" s="97"/>
      <c r="B84" s="519"/>
      <c r="C84" s="520"/>
      <c r="D84" s="521"/>
      <c r="E84" s="521"/>
      <c r="F84" s="522"/>
    </row>
    <row r="85" spans="1:10" s="198" customFormat="1" ht="14.5" hidden="1" customHeight="1" x14ac:dyDescent="0.35">
      <c r="A85" s="97"/>
      <c r="B85" s="519"/>
      <c r="C85" s="520"/>
      <c r="D85" s="521"/>
      <c r="E85" s="521"/>
      <c r="F85" s="522"/>
    </row>
    <row r="86" spans="1:10" s="198" customFormat="1" ht="14.5" hidden="1" customHeight="1" x14ac:dyDescent="0.35">
      <c r="A86" s="97"/>
      <c r="B86" s="519"/>
      <c r="C86" s="520"/>
      <c r="D86" s="521"/>
      <c r="E86" s="521"/>
      <c r="F86" s="522"/>
      <c r="G86" s="97"/>
      <c r="H86" s="97"/>
      <c r="I86" s="97"/>
      <c r="J86" s="97"/>
    </row>
    <row r="87" spans="1:10" ht="14.5" hidden="1" customHeight="1" x14ac:dyDescent="0.35">
      <c r="B87" s="519"/>
      <c r="C87" s="520"/>
      <c r="D87" s="521"/>
      <c r="E87" s="521"/>
      <c r="F87" s="522"/>
      <c r="G87" s="198"/>
      <c r="H87" s="198"/>
      <c r="I87" s="198"/>
      <c r="J87" s="198"/>
    </row>
    <row r="88" spans="1:10" ht="14.5" hidden="1" customHeight="1" x14ac:dyDescent="0.35">
      <c r="B88" s="519"/>
      <c r="C88" s="520"/>
      <c r="D88" s="521"/>
      <c r="E88" s="521"/>
      <c r="F88" s="522"/>
      <c r="G88" s="198"/>
      <c r="H88" s="198"/>
      <c r="I88" s="198"/>
      <c r="J88" s="198"/>
    </row>
    <row r="89" spans="1:10" ht="14.5" hidden="1" customHeight="1" x14ac:dyDescent="0.35">
      <c r="B89" s="519"/>
      <c r="C89" s="520"/>
      <c r="D89" s="521"/>
      <c r="E89" s="521"/>
      <c r="F89" s="522"/>
      <c r="G89" s="198"/>
      <c r="H89" s="198"/>
      <c r="I89" s="198"/>
      <c r="J89" s="198"/>
    </row>
    <row r="90" spans="1:10" ht="14.5" hidden="1" customHeight="1" x14ac:dyDescent="0.35">
      <c r="B90" s="519"/>
      <c r="C90" s="520"/>
      <c r="D90" s="521"/>
      <c r="E90" s="521"/>
      <c r="F90" s="522"/>
      <c r="G90" s="198"/>
      <c r="H90" s="198"/>
      <c r="I90" s="198"/>
      <c r="J90" s="198"/>
    </row>
    <row r="91" spans="1:10" ht="14.5" hidden="1" customHeight="1" x14ac:dyDescent="0.35">
      <c r="B91" s="519"/>
      <c r="C91" s="520"/>
      <c r="D91" s="521"/>
      <c r="E91" s="521"/>
      <c r="F91" s="522"/>
      <c r="G91" s="198"/>
      <c r="H91" s="198"/>
      <c r="I91" s="198"/>
      <c r="J91" s="198"/>
    </row>
    <row r="92" spans="1:10" ht="14.5" hidden="1" customHeight="1" x14ac:dyDescent="0.35">
      <c r="B92" s="519"/>
      <c r="C92" s="520"/>
      <c r="D92" s="521"/>
      <c r="E92" s="521"/>
      <c r="F92" s="522"/>
      <c r="G92" s="198"/>
      <c r="H92" s="198"/>
      <c r="I92" s="198"/>
      <c r="J92" s="198"/>
    </row>
    <row r="93" spans="1:10" ht="14.5" hidden="1" customHeight="1" x14ac:dyDescent="0.35">
      <c r="B93" s="519"/>
      <c r="C93" s="520"/>
      <c r="D93" s="521"/>
      <c r="E93" s="521"/>
      <c r="F93" s="522"/>
      <c r="G93" s="198"/>
      <c r="H93" s="198"/>
      <c r="I93" s="198"/>
      <c r="J93" s="198"/>
    </row>
    <row r="94" spans="1:10" ht="14.5" hidden="1" customHeight="1" x14ac:dyDescent="0.35">
      <c r="B94" s="519"/>
      <c r="C94" s="520"/>
      <c r="D94" s="521"/>
      <c r="E94" s="521"/>
      <c r="F94" s="522"/>
      <c r="G94" s="198"/>
      <c r="H94" s="198"/>
      <c r="I94" s="198"/>
      <c r="J94" s="198"/>
    </row>
    <row r="95" spans="1:10" ht="14.5" hidden="1" customHeight="1" x14ac:dyDescent="0.35">
      <c r="B95" s="519"/>
      <c r="C95" s="520"/>
      <c r="D95" s="521"/>
      <c r="E95" s="521"/>
      <c r="F95" s="522"/>
    </row>
    <row r="96" spans="1:10" ht="14.5" hidden="1" customHeight="1" x14ac:dyDescent="0.35">
      <c r="B96" s="519"/>
      <c r="C96" s="520"/>
      <c r="D96" s="521"/>
      <c r="E96" s="521"/>
      <c r="F96" s="522"/>
    </row>
    <row r="97" spans="2:10" ht="14.5" hidden="1" customHeight="1" x14ac:dyDescent="0.35">
      <c r="B97" s="519"/>
      <c r="C97" s="520"/>
      <c r="D97" s="521"/>
      <c r="E97" s="521"/>
      <c r="F97" s="522"/>
    </row>
    <row r="98" spans="2:10" ht="14.5" hidden="1" customHeight="1" x14ac:dyDescent="0.35">
      <c r="B98" s="519"/>
      <c r="C98" s="520"/>
      <c r="D98" s="521"/>
      <c r="E98" s="521"/>
      <c r="F98" s="522"/>
      <c r="G98" s="198"/>
      <c r="H98" s="198"/>
      <c r="I98" s="198"/>
      <c r="J98" s="198"/>
    </row>
    <row r="99" spans="2:10" ht="14.5" hidden="1" customHeight="1" x14ac:dyDescent="0.35">
      <c r="B99" s="519"/>
      <c r="C99" s="520"/>
      <c r="D99" s="521"/>
      <c r="E99" s="521"/>
      <c r="F99" s="522"/>
      <c r="G99" s="198"/>
      <c r="H99" s="198"/>
      <c r="I99" s="198"/>
      <c r="J99" s="198"/>
    </row>
    <row r="100" spans="2:10" ht="14.5" hidden="1" customHeight="1" x14ac:dyDescent="0.35">
      <c r="B100" s="519"/>
      <c r="C100" s="520"/>
      <c r="D100" s="521"/>
      <c r="E100" s="521"/>
      <c r="F100" s="522"/>
      <c r="G100" s="198"/>
      <c r="H100" s="198"/>
      <c r="I100" s="198"/>
      <c r="J100" s="198"/>
    </row>
    <row r="101" spans="2:10" ht="14.5" hidden="1" customHeight="1" x14ac:dyDescent="0.35">
      <c r="B101" s="519"/>
      <c r="C101" s="520"/>
      <c r="D101" s="521"/>
      <c r="E101" s="521"/>
      <c r="F101" s="522"/>
      <c r="G101" s="198"/>
      <c r="H101" s="198"/>
      <c r="I101" s="198"/>
      <c r="J101" s="198"/>
    </row>
    <row r="102" spans="2:10" ht="14.5" hidden="1" customHeight="1" x14ac:dyDescent="0.35">
      <c r="B102" s="519"/>
      <c r="C102" s="520"/>
      <c r="D102" s="521"/>
      <c r="E102" s="521"/>
      <c r="F102" s="522"/>
      <c r="G102" s="198"/>
      <c r="H102" s="198"/>
      <c r="I102" s="198"/>
      <c r="J102" s="198"/>
    </row>
    <row r="103" spans="2:10" ht="14.5" hidden="1" customHeight="1" x14ac:dyDescent="0.35">
      <c r="B103" s="519"/>
      <c r="C103" s="520"/>
      <c r="D103" s="521"/>
      <c r="E103" s="521"/>
      <c r="F103" s="522"/>
      <c r="G103" s="198"/>
      <c r="H103" s="198"/>
      <c r="I103" s="198"/>
      <c r="J103" s="198"/>
    </row>
    <row r="104" spans="2:10" ht="14.5" hidden="1" customHeight="1" x14ac:dyDescent="0.35">
      <c r="B104" s="519"/>
      <c r="C104" s="520"/>
      <c r="D104" s="521"/>
      <c r="E104" s="521"/>
      <c r="F104" s="522"/>
      <c r="G104" s="198"/>
      <c r="H104" s="198"/>
      <c r="I104" s="198"/>
      <c r="J104" s="198"/>
    </row>
    <row r="105" spans="2:10" ht="14.5" hidden="1" customHeight="1" x14ac:dyDescent="0.35">
      <c r="B105" s="519"/>
      <c r="C105" s="520"/>
      <c r="D105" s="521"/>
      <c r="E105" s="521"/>
      <c r="F105" s="522"/>
      <c r="G105" s="198"/>
      <c r="H105" s="198"/>
      <c r="I105" s="198"/>
      <c r="J105" s="198"/>
    </row>
    <row r="106" spans="2:10" ht="14.5" hidden="1" customHeight="1" x14ac:dyDescent="0.35">
      <c r="B106" s="519"/>
      <c r="C106" s="520"/>
      <c r="D106" s="521"/>
      <c r="E106" s="521"/>
      <c r="F106" s="522"/>
    </row>
    <row r="107" spans="2:10" ht="14.5" hidden="1" customHeight="1" x14ac:dyDescent="0.35">
      <c r="B107" s="519"/>
      <c r="C107" s="520"/>
      <c r="D107" s="521"/>
      <c r="E107" s="521"/>
      <c r="F107" s="522"/>
    </row>
    <row r="108" spans="2:10" ht="14.5" hidden="1" customHeight="1" x14ac:dyDescent="0.35">
      <c r="B108" s="519"/>
      <c r="C108" s="520"/>
      <c r="D108" s="521"/>
      <c r="E108" s="521"/>
      <c r="F108" s="522"/>
    </row>
    <row r="109" spans="2:10" ht="14.5" hidden="1" customHeight="1" x14ac:dyDescent="0.35">
      <c r="B109" s="519"/>
      <c r="C109" s="520"/>
      <c r="D109" s="521"/>
      <c r="E109" s="521"/>
      <c r="F109" s="522"/>
      <c r="G109" s="198"/>
      <c r="H109" s="198"/>
      <c r="I109" s="198"/>
      <c r="J109" s="198"/>
    </row>
    <row r="110" spans="2:10" ht="14.5" hidden="1" customHeight="1" x14ac:dyDescent="0.35">
      <c r="B110" s="519"/>
      <c r="C110" s="520"/>
      <c r="D110" s="521"/>
      <c r="E110" s="521"/>
      <c r="F110" s="522"/>
      <c r="G110" s="198"/>
      <c r="H110" s="198"/>
      <c r="I110" s="198"/>
      <c r="J110" s="198"/>
    </row>
    <row r="111" spans="2:10" ht="14.5" hidden="1" customHeight="1" x14ac:dyDescent="0.35">
      <c r="B111" s="519"/>
      <c r="C111" s="520"/>
      <c r="D111" s="521"/>
      <c r="E111" s="521"/>
      <c r="F111" s="522"/>
      <c r="G111" s="198"/>
      <c r="H111" s="198"/>
      <c r="I111" s="198"/>
      <c r="J111" s="198"/>
    </row>
    <row r="112" spans="2:10" ht="14.5" hidden="1" customHeight="1" x14ac:dyDescent="0.35">
      <c r="B112" s="523"/>
      <c r="C112" s="524"/>
      <c r="D112" s="525"/>
      <c r="E112" s="525"/>
      <c r="F112" s="526"/>
      <c r="G112" s="198"/>
      <c r="H112" s="198"/>
      <c r="I112" s="198"/>
      <c r="J112" s="198"/>
    </row>
    <row r="113" spans="1:10" ht="14.5" hidden="1" customHeight="1" x14ac:dyDescent="0.35">
      <c r="B113" s="523"/>
      <c r="C113" s="524"/>
      <c r="D113" s="525"/>
      <c r="E113" s="525"/>
      <c r="F113" s="526"/>
      <c r="G113" s="198"/>
      <c r="H113" s="198"/>
      <c r="I113" s="198"/>
      <c r="J113" s="198"/>
    </row>
    <row r="114" spans="1:10" ht="14.5" hidden="1" customHeight="1" x14ac:dyDescent="0.35">
      <c r="B114" s="523"/>
      <c r="C114" s="524"/>
      <c r="D114" s="525"/>
      <c r="E114" s="525"/>
      <c r="F114" s="526"/>
      <c r="G114" s="198"/>
      <c r="H114" s="198"/>
      <c r="I114" s="198"/>
      <c r="J114" s="198"/>
    </row>
    <row r="115" spans="1:10" ht="14.5" hidden="1" customHeight="1" x14ac:dyDescent="0.35">
      <c r="B115" s="523"/>
      <c r="C115" s="524"/>
      <c r="D115" s="525"/>
      <c r="E115" s="525"/>
      <c r="F115" s="526"/>
      <c r="G115" s="198"/>
      <c r="H115" s="198"/>
      <c r="I115" s="198"/>
      <c r="J115" s="198"/>
    </row>
    <row r="116" spans="1:10" ht="14.5" hidden="1" customHeight="1" thickBot="1" x14ac:dyDescent="0.4">
      <c r="B116" s="523"/>
      <c r="C116" s="524"/>
      <c r="D116" s="525"/>
      <c r="E116" s="525"/>
      <c r="F116" s="526"/>
      <c r="G116" s="198"/>
      <c r="H116" s="198"/>
      <c r="I116" s="198"/>
      <c r="J116" s="198"/>
    </row>
    <row r="117" spans="1:10" ht="14.5" customHeight="1" thickBot="1" x14ac:dyDescent="0.4">
      <c r="B117" s="274" t="s">
        <v>398</v>
      </c>
      <c r="C117" s="362"/>
      <c r="D117" s="501">
        <f>SUMIF(E17:E116,"",D17:D116)</f>
        <v>0</v>
      </c>
      <c r="E117" s="276">
        <f>SUBTOTAL(9,E16:E116)</f>
        <v>0</v>
      </c>
      <c r="F117" s="277"/>
    </row>
    <row r="118" spans="1:10" ht="14.5" customHeight="1" thickBot="1" x14ac:dyDescent="0.4">
      <c r="B118" s="505" t="str">
        <f>'GMP-PO Breakdown'!C79</f>
        <v>Tenant Contingency</v>
      </c>
      <c r="C118" s="502">
        <v>0</v>
      </c>
      <c r="D118" s="343"/>
      <c r="E118" s="343"/>
      <c r="F118" s="343"/>
    </row>
    <row r="119" spans="1:10" ht="8" customHeight="1" thickBot="1" x14ac:dyDescent="0.4">
      <c r="A119" s="341"/>
      <c r="B119" s="278"/>
      <c r="C119" s="282"/>
      <c r="D119" s="503"/>
      <c r="E119" s="503"/>
      <c r="F119" s="503"/>
    </row>
    <row r="120" spans="1:10" ht="14.5" customHeight="1" thickBot="1" x14ac:dyDescent="0.4">
      <c r="B120" s="359" t="s">
        <v>1150</v>
      </c>
      <c r="C120" s="360" t="s">
        <v>415</v>
      </c>
      <c r="D120" s="360" t="s">
        <v>10</v>
      </c>
      <c r="E120" s="360" t="s">
        <v>1098</v>
      </c>
      <c r="F120" s="361" t="s">
        <v>399</v>
      </c>
      <c r="G120" s="198"/>
      <c r="H120" s="198"/>
      <c r="I120" s="198"/>
      <c r="J120" s="198"/>
    </row>
    <row r="121" spans="1:10" ht="14.5" customHeight="1" x14ac:dyDescent="0.35">
      <c r="B121" s="523"/>
      <c r="C121" s="524"/>
      <c r="D121" s="525"/>
      <c r="E121" s="525"/>
      <c r="F121" s="526"/>
      <c r="G121" s="198"/>
      <c r="H121" s="198"/>
      <c r="I121" s="198"/>
      <c r="J121" s="198"/>
    </row>
    <row r="122" spans="1:10" ht="14.5" customHeight="1" x14ac:dyDescent="0.35">
      <c r="B122" s="523"/>
      <c r="C122" s="524"/>
      <c r="D122" s="525"/>
      <c r="E122" s="525"/>
      <c r="F122" s="526"/>
      <c r="G122" s="198"/>
      <c r="H122" s="198"/>
      <c r="I122" s="198"/>
      <c r="J122" s="198"/>
    </row>
    <row r="123" spans="1:10" ht="14.5" customHeight="1" x14ac:dyDescent="0.35">
      <c r="B123" s="523"/>
      <c r="C123" s="524"/>
      <c r="D123" s="525"/>
      <c r="E123" s="525"/>
      <c r="F123" s="526"/>
      <c r="G123" s="198"/>
      <c r="H123" s="198"/>
      <c r="I123" s="198"/>
      <c r="J123" s="198"/>
    </row>
    <row r="124" spans="1:10" ht="14.5" customHeight="1" x14ac:dyDescent="0.35">
      <c r="B124" s="523"/>
      <c r="C124" s="524"/>
      <c r="D124" s="525"/>
      <c r="E124" s="525"/>
      <c r="F124" s="526"/>
      <c r="G124" s="198"/>
      <c r="H124" s="198"/>
      <c r="I124" s="198"/>
      <c r="J124" s="198"/>
    </row>
    <row r="125" spans="1:10" ht="14.5" customHeight="1" x14ac:dyDescent="0.35">
      <c r="B125" s="523"/>
      <c r="C125" s="524"/>
      <c r="D125" s="525"/>
      <c r="E125" s="525"/>
      <c r="F125" s="526"/>
      <c r="G125" s="198"/>
      <c r="H125" s="198"/>
      <c r="I125" s="198"/>
      <c r="J125" s="198"/>
    </row>
    <row r="126" spans="1:10" ht="14.5" customHeight="1" x14ac:dyDescent="0.35">
      <c r="B126" s="523"/>
      <c r="C126" s="524"/>
      <c r="D126" s="525"/>
      <c r="E126" s="525"/>
      <c r="F126" s="526"/>
      <c r="G126" s="198"/>
      <c r="H126" s="198"/>
      <c r="I126" s="198"/>
      <c r="J126" s="198"/>
    </row>
    <row r="127" spans="1:10" ht="14.5" customHeight="1" thickBot="1" x14ac:dyDescent="0.4">
      <c r="B127" s="523"/>
      <c r="C127" s="524"/>
      <c r="D127" s="525"/>
      <c r="E127" s="525"/>
      <c r="F127" s="526"/>
      <c r="G127" s="198"/>
      <c r="H127" s="198"/>
      <c r="I127" s="198"/>
      <c r="J127" s="198"/>
    </row>
    <row r="128" spans="1:10" ht="15" thickBot="1" x14ac:dyDescent="0.4">
      <c r="B128" s="274" t="str">
        <f>"SUBTOTAL"</f>
        <v>SUBTOTAL</v>
      </c>
      <c r="C128" s="362"/>
      <c r="D128" s="501">
        <f>SUMIF(E121:E127,"",D121:D127)</f>
        <v>0</v>
      </c>
      <c r="E128" s="276">
        <f>SUBTOTAL(9,E120:E127)</f>
        <v>0</v>
      </c>
      <c r="F128" s="277"/>
    </row>
    <row r="129" spans="2:10" ht="15" thickBot="1" x14ac:dyDescent="0.4">
      <c r="B129" s="504" t="str">
        <f>'Subcontractor Breakdown'!D490</f>
        <v>Sprinkler Head Adjustments @ MHE</v>
      </c>
      <c r="C129" s="502">
        <f>'Subcontractor Breakdown'!E490</f>
        <v>0</v>
      </c>
      <c r="D129" s="343"/>
      <c r="E129" s="343"/>
      <c r="F129" s="343"/>
    </row>
    <row r="130" spans="2:10" ht="8" customHeight="1" thickBot="1" x14ac:dyDescent="0.4">
      <c r="B130" s="278"/>
      <c r="C130" s="282"/>
      <c r="D130" s="503"/>
      <c r="E130" s="503"/>
      <c r="F130" s="503"/>
    </row>
    <row r="131" spans="2:10" ht="15" thickBot="1" x14ac:dyDescent="0.4">
      <c r="B131" s="359" t="str">
        <f>"Designated Tenant Allowance - "&amp; 'Subcontractor Breakdown'!D491</f>
        <v>Designated Tenant Allowance - Temporary Toilets</v>
      </c>
      <c r="C131" s="360" t="s">
        <v>415</v>
      </c>
      <c r="D131" s="360" t="s">
        <v>10</v>
      </c>
      <c r="E131" s="360" t="s">
        <v>1098</v>
      </c>
      <c r="F131" s="361" t="s">
        <v>399</v>
      </c>
      <c r="G131" s="198"/>
      <c r="H131" s="198"/>
      <c r="I131" s="198"/>
      <c r="J131" s="198"/>
    </row>
    <row r="132" spans="2:10" x14ac:dyDescent="0.35">
      <c r="B132" s="523"/>
      <c r="C132" s="524"/>
      <c r="D132" s="525"/>
      <c r="E132" s="525"/>
      <c r="F132" s="526"/>
      <c r="G132" s="198"/>
      <c r="H132" s="198"/>
      <c r="I132" s="198"/>
      <c r="J132" s="198"/>
    </row>
    <row r="133" spans="2:10" x14ac:dyDescent="0.35">
      <c r="B133" s="523"/>
      <c r="C133" s="524"/>
      <c r="D133" s="525"/>
      <c r="E133" s="525"/>
      <c r="F133" s="526"/>
      <c r="G133" s="198"/>
      <c r="H133" s="198"/>
      <c r="I133" s="198"/>
      <c r="J133" s="198"/>
    </row>
    <row r="134" spans="2:10" x14ac:dyDescent="0.35">
      <c r="B134" s="523"/>
      <c r="C134" s="524"/>
      <c r="D134" s="525"/>
      <c r="E134" s="525"/>
      <c r="F134" s="526"/>
      <c r="G134" s="198"/>
      <c r="H134" s="198"/>
      <c r="I134" s="198"/>
      <c r="J134" s="198"/>
    </row>
    <row r="135" spans="2:10" x14ac:dyDescent="0.35">
      <c r="B135" s="523"/>
      <c r="C135" s="524"/>
      <c r="D135" s="525"/>
      <c r="E135" s="525"/>
      <c r="F135" s="526"/>
      <c r="G135" s="198"/>
      <c r="H135" s="198"/>
      <c r="I135" s="198"/>
      <c r="J135" s="198"/>
    </row>
    <row r="136" spans="2:10" x14ac:dyDescent="0.35">
      <c r="B136" s="523"/>
      <c r="C136" s="524"/>
      <c r="D136" s="525"/>
      <c r="E136" s="525"/>
      <c r="F136" s="526"/>
      <c r="G136" s="198"/>
      <c r="H136" s="198"/>
      <c r="I136" s="198"/>
      <c r="J136" s="198"/>
    </row>
    <row r="137" spans="2:10" x14ac:dyDescent="0.35">
      <c r="B137" s="523"/>
      <c r="C137" s="524"/>
      <c r="D137" s="525"/>
      <c r="E137" s="525"/>
      <c r="F137" s="526"/>
      <c r="G137" s="198"/>
      <c r="H137" s="198"/>
      <c r="I137" s="198"/>
      <c r="J137" s="198"/>
    </row>
    <row r="138" spans="2:10" ht="15" thickBot="1" x14ac:dyDescent="0.4">
      <c r="B138" s="523"/>
      <c r="C138" s="524"/>
      <c r="D138" s="525"/>
      <c r="E138" s="525"/>
      <c r="F138" s="526"/>
      <c r="G138" s="198"/>
      <c r="H138" s="198"/>
      <c r="I138" s="198"/>
      <c r="J138" s="198"/>
    </row>
    <row r="139" spans="2:10" ht="15" thickBot="1" x14ac:dyDescent="0.4">
      <c r="B139" s="274" t="s">
        <v>398</v>
      </c>
      <c r="C139" s="362"/>
      <c r="D139" s="501">
        <f>SUMIF(E132:E138,"",D132:D138)</f>
        <v>0</v>
      </c>
      <c r="E139" s="276">
        <f>SUBTOTAL(9,E131:E138)</f>
        <v>0</v>
      </c>
      <c r="F139" s="277"/>
      <c r="G139" s="198"/>
      <c r="H139" s="198"/>
      <c r="I139" s="198"/>
      <c r="J139" s="198"/>
    </row>
    <row r="140" spans="2:10" ht="15" thickBot="1" x14ac:dyDescent="0.4">
      <c r="B140" s="504" t="str">
        <f xml:space="preserve">  'Subcontractor Breakdown'!D491</f>
        <v>Temporary Toilets</v>
      </c>
      <c r="C140" s="502">
        <f>'Subcontractor Breakdown'!E491</f>
        <v>0</v>
      </c>
      <c r="D140" s="343"/>
      <c r="E140" s="343"/>
      <c r="F140" s="343"/>
      <c r="G140" s="198"/>
      <c r="H140" s="198"/>
      <c r="I140" s="198"/>
      <c r="J140" s="198"/>
    </row>
    <row r="141" spans="2:10" ht="8" customHeight="1" thickBot="1" x14ac:dyDescent="0.4">
      <c r="B141" s="278"/>
      <c r="C141" s="282"/>
      <c r="D141" s="503"/>
      <c r="E141" s="503"/>
      <c r="F141" s="503"/>
      <c r="G141" s="198"/>
      <c r="H141" s="198"/>
      <c r="I141" s="198"/>
      <c r="J141" s="198"/>
    </row>
    <row r="142" spans="2:10" ht="15" thickBot="1" x14ac:dyDescent="0.4">
      <c r="B142" s="359" t="str">
        <f>"Designated Tenant Allowance - "&amp; 'Subcontractor Breakdown'!D492</f>
        <v>Designated Tenant Allowance - Tenant Vendor Dumpster Allowance</v>
      </c>
      <c r="C142" s="360" t="s">
        <v>415</v>
      </c>
      <c r="D142" s="360" t="s">
        <v>10</v>
      </c>
      <c r="E142" s="360" t="s">
        <v>1098</v>
      </c>
      <c r="F142" s="361" t="s">
        <v>399</v>
      </c>
      <c r="G142" s="198"/>
      <c r="H142" s="198"/>
      <c r="I142" s="198"/>
      <c r="J142" s="198"/>
    </row>
    <row r="143" spans="2:10" x14ac:dyDescent="0.35">
      <c r="B143" s="523"/>
      <c r="C143" s="524"/>
      <c r="D143" s="525"/>
      <c r="E143" s="525"/>
      <c r="F143" s="526"/>
      <c r="G143" s="198"/>
      <c r="H143" s="198"/>
      <c r="I143" s="198"/>
      <c r="J143" s="198"/>
    </row>
    <row r="144" spans="2:10" x14ac:dyDescent="0.35">
      <c r="B144" s="523"/>
      <c r="C144" s="524"/>
      <c r="D144" s="525"/>
      <c r="E144" s="525"/>
      <c r="F144" s="526"/>
      <c r="G144" s="198"/>
      <c r="H144" s="198"/>
      <c r="I144" s="198"/>
      <c r="J144" s="198"/>
    </row>
    <row r="145" spans="1:10" x14ac:dyDescent="0.35">
      <c r="B145" s="523"/>
      <c r="C145" s="524"/>
      <c r="D145" s="525"/>
      <c r="E145" s="525"/>
      <c r="F145" s="526"/>
      <c r="G145" s="198"/>
      <c r="H145" s="198"/>
      <c r="I145" s="198"/>
      <c r="J145" s="198"/>
    </row>
    <row r="146" spans="1:10" x14ac:dyDescent="0.35">
      <c r="B146" s="523"/>
      <c r="C146" s="524"/>
      <c r="D146" s="525"/>
      <c r="E146" s="525"/>
      <c r="F146" s="526"/>
      <c r="G146" s="198"/>
      <c r="H146" s="198"/>
      <c r="I146" s="198"/>
      <c r="J146" s="198"/>
    </row>
    <row r="147" spans="1:10" x14ac:dyDescent="0.35">
      <c r="B147" s="523"/>
      <c r="C147" s="524"/>
      <c r="D147" s="525"/>
      <c r="E147" s="525"/>
      <c r="F147" s="526"/>
      <c r="G147" s="198"/>
      <c r="H147" s="198"/>
      <c r="I147" s="198"/>
      <c r="J147" s="198"/>
    </row>
    <row r="148" spans="1:10" x14ac:dyDescent="0.35">
      <c r="B148" s="523"/>
      <c r="C148" s="524"/>
      <c r="D148" s="525"/>
      <c r="E148" s="525"/>
      <c r="F148" s="526"/>
      <c r="G148" s="198"/>
      <c r="H148" s="198"/>
      <c r="I148" s="198"/>
      <c r="J148" s="198"/>
    </row>
    <row r="149" spans="1:10" ht="15" thickBot="1" x14ac:dyDescent="0.4">
      <c r="B149" s="523"/>
      <c r="C149" s="524"/>
      <c r="D149" s="525"/>
      <c r="E149" s="525"/>
      <c r="F149" s="526"/>
      <c r="G149" s="198"/>
      <c r="H149" s="198"/>
      <c r="I149" s="198"/>
      <c r="J149" s="198"/>
    </row>
    <row r="150" spans="1:10" ht="15" thickBot="1" x14ac:dyDescent="0.4">
      <c r="B150" s="274" t="s">
        <v>398</v>
      </c>
      <c r="C150" s="362"/>
      <c r="D150" s="501">
        <f>SUMIF(E142:E149,"",D142:D149)</f>
        <v>0</v>
      </c>
      <c r="E150" s="276">
        <f>SUBTOTAL(9,E142:E149)</f>
        <v>0</v>
      </c>
      <c r="F150" s="277"/>
      <c r="G150" s="198"/>
      <c r="H150" s="198"/>
      <c r="I150" s="198"/>
      <c r="J150" s="198"/>
    </row>
    <row r="151" spans="1:10" ht="15" thickBot="1" x14ac:dyDescent="0.4">
      <c r="B151" s="504" t="str">
        <f xml:space="preserve"> 'Subcontractor Breakdown'!D492</f>
        <v>Tenant Vendor Dumpster Allowance</v>
      </c>
      <c r="C151" s="502">
        <f>'Subcontractor Breakdown'!E492</f>
        <v>0</v>
      </c>
      <c r="D151" s="343"/>
      <c r="E151" s="343"/>
      <c r="F151" s="343"/>
      <c r="G151" s="198"/>
      <c r="H151" s="198"/>
      <c r="I151" s="198"/>
      <c r="J151" s="198"/>
    </row>
    <row r="152" spans="1:10" ht="8" customHeight="1" thickBot="1" x14ac:dyDescent="0.4">
      <c r="B152" s="278"/>
      <c r="C152" s="282"/>
      <c r="D152" s="503"/>
      <c r="E152" s="503"/>
      <c r="F152" s="503"/>
      <c r="G152" s="198"/>
      <c r="H152" s="198"/>
      <c r="I152" s="198"/>
      <c r="J152" s="198"/>
    </row>
    <row r="153" spans="1:10" ht="15" thickBot="1" x14ac:dyDescent="0.4">
      <c r="A153" s="198"/>
      <c r="B153" s="359" t="str">
        <f>"Designated Tenant Allowance - "&amp; 'Subcontractor Breakdown'!D493</f>
        <v>Designated Tenant Allowance - Tenant's Power Usage from Early Access to TCO</v>
      </c>
      <c r="C153" s="360" t="s">
        <v>415</v>
      </c>
      <c r="D153" s="360" t="s">
        <v>10</v>
      </c>
      <c r="E153" s="360" t="s">
        <v>1098</v>
      </c>
      <c r="F153" s="361" t="s">
        <v>399</v>
      </c>
      <c r="G153" s="198"/>
      <c r="H153" s="198"/>
      <c r="I153" s="198"/>
      <c r="J153" s="198"/>
    </row>
    <row r="154" spans="1:10" ht="8" customHeight="1" x14ac:dyDescent="0.35">
      <c r="A154" s="198"/>
      <c r="B154" s="515"/>
      <c r="C154" s="516"/>
      <c r="D154" s="517"/>
      <c r="E154" s="517"/>
      <c r="F154" s="518"/>
      <c r="G154" s="198"/>
      <c r="H154" s="198"/>
      <c r="I154" s="198"/>
      <c r="J154" s="198"/>
    </row>
    <row r="155" spans="1:10" x14ac:dyDescent="0.35">
      <c r="A155" s="198"/>
      <c r="B155" s="523"/>
      <c r="C155" s="524"/>
      <c r="D155" s="525"/>
      <c r="E155" s="525"/>
      <c r="F155" s="526"/>
      <c r="G155" s="198"/>
      <c r="H155" s="198"/>
      <c r="I155" s="198"/>
      <c r="J155" s="198"/>
    </row>
    <row r="156" spans="1:10" x14ac:dyDescent="0.35">
      <c r="B156" s="519"/>
      <c r="C156" s="520"/>
      <c r="D156" s="521"/>
      <c r="E156" s="521"/>
      <c r="F156" s="522"/>
      <c r="G156" s="198"/>
      <c r="H156" s="198"/>
      <c r="I156" s="198"/>
      <c r="J156" s="198"/>
    </row>
    <row r="157" spans="1:10" x14ac:dyDescent="0.35">
      <c r="A157" s="198"/>
      <c r="B157" s="523"/>
      <c r="C157" s="524"/>
      <c r="D157" s="525"/>
      <c r="E157" s="525"/>
      <c r="F157" s="526"/>
      <c r="G157" s="198"/>
      <c r="H157" s="198"/>
      <c r="I157" s="198"/>
      <c r="J157" s="198"/>
    </row>
    <row r="158" spans="1:10" x14ac:dyDescent="0.35">
      <c r="A158" s="198"/>
      <c r="B158" s="523"/>
      <c r="C158" s="524"/>
      <c r="D158" s="525"/>
      <c r="E158" s="525"/>
      <c r="F158" s="526"/>
      <c r="G158" s="198"/>
      <c r="H158" s="198"/>
      <c r="I158" s="198"/>
      <c r="J158" s="198"/>
    </row>
    <row r="159" spans="1:10" x14ac:dyDescent="0.35">
      <c r="A159" s="198"/>
      <c r="B159" s="523"/>
      <c r="C159" s="524"/>
      <c r="D159" s="525"/>
      <c r="E159" s="525"/>
      <c r="F159" s="526"/>
      <c r="G159" s="198"/>
      <c r="H159" s="198"/>
      <c r="I159" s="198"/>
      <c r="J159" s="198"/>
    </row>
    <row r="160" spans="1:10" ht="15" thickBot="1" x14ac:dyDescent="0.4">
      <c r="A160" s="198"/>
      <c r="B160" s="523"/>
      <c r="C160" s="524"/>
      <c r="D160" s="525"/>
      <c r="E160" s="525"/>
      <c r="F160" s="526"/>
      <c r="G160" s="198"/>
      <c r="H160" s="198"/>
      <c r="I160" s="198"/>
      <c r="J160" s="198"/>
    </row>
    <row r="161" spans="1:10" ht="15" thickBot="1" x14ac:dyDescent="0.4">
      <c r="A161" s="198"/>
      <c r="B161" s="274" t="s">
        <v>398</v>
      </c>
      <c r="C161" s="362"/>
      <c r="D161" s="501">
        <f>SUMIF(E153:E160,"",D153:D160)</f>
        <v>0</v>
      </c>
      <c r="E161" s="276">
        <f>SUBTOTAL(9,E153:E160)</f>
        <v>0</v>
      </c>
      <c r="F161" s="277"/>
      <c r="G161" s="198"/>
      <c r="H161" s="198"/>
      <c r="I161" s="198"/>
      <c r="J161" s="198"/>
    </row>
    <row r="162" spans="1:10" ht="15" thickBot="1" x14ac:dyDescent="0.4">
      <c r="A162" s="198"/>
      <c r="B162" s="504" t="str">
        <f>'Subcontractor Breakdown'!D493</f>
        <v>Tenant's Power Usage from Early Access to TCO</v>
      </c>
      <c r="C162" s="502">
        <f>'Subcontractor Breakdown'!E493</f>
        <v>0</v>
      </c>
      <c r="D162" s="341"/>
      <c r="E162" s="341"/>
      <c r="F162" s="341"/>
    </row>
    <row r="163" spans="1:10" ht="8" customHeight="1" thickBot="1" x14ac:dyDescent="0.4">
      <c r="A163" s="198"/>
      <c r="B163" s="278"/>
      <c r="C163" s="282"/>
      <c r="D163" s="503"/>
      <c r="E163" s="503"/>
      <c r="F163" s="503"/>
    </row>
    <row r="164" spans="1:10" ht="15" thickBot="1" x14ac:dyDescent="0.4">
      <c r="A164" s="198"/>
      <c r="B164" s="359" t="str">
        <f>"Designated Tenant Allowance - "&amp; 'Subcontractor Breakdown'!D494</f>
        <v>Designated Tenant Allowance - Exterior Signage &amp; Markings</v>
      </c>
      <c r="C164" s="360" t="s">
        <v>415</v>
      </c>
      <c r="D164" s="360" t="s">
        <v>10</v>
      </c>
      <c r="E164" s="360" t="s">
        <v>1098</v>
      </c>
      <c r="F164" s="361" t="s">
        <v>399</v>
      </c>
    </row>
    <row r="165" spans="1:10" x14ac:dyDescent="0.35">
      <c r="B165" s="523"/>
      <c r="C165" s="524"/>
      <c r="D165" s="525"/>
      <c r="E165" s="525"/>
      <c r="F165" s="526"/>
    </row>
    <row r="166" spans="1:10" x14ac:dyDescent="0.35">
      <c r="B166" s="523"/>
      <c r="C166" s="524"/>
      <c r="D166" s="525"/>
      <c r="E166" s="525"/>
      <c r="F166" s="526"/>
    </row>
    <row r="167" spans="1:10" x14ac:dyDescent="0.35">
      <c r="B167" s="523"/>
      <c r="C167" s="524"/>
      <c r="D167" s="525"/>
      <c r="E167" s="525"/>
      <c r="F167" s="526"/>
    </row>
    <row r="168" spans="1:10" x14ac:dyDescent="0.35">
      <c r="A168" s="198"/>
      <c r="B168" s="523"/>
      <c r="C168" s="524"/>
      <c r="D168" s="525"/>
      <c r="E168" s="525"/>
      <c r="F168" s="526"/>
    </row>
    <row r="169" spans="1:10" x14ac:dyDescent="0.35">
      <c r="A169" s="198"/>
      <c r="B169" s="523"/>
      <c r="C169" s="524"/>
      <c r="D169" s="525"/>
      <c r="E169" s="525"/>
      <c r="F169" s="526"/>
    </row>
    <row r="170" spans="1:10" x14ac:dyDescent="0.35">
      <c r="A170" s="198"/>
      <c r="B170" s="523"/>
      <c r="C170" s="524"/>
      <c r="D170" s="525"/>
      <c r="E170" s="525"/>
      <c r="F170" s="526"/>
    </row>
    <row r="171" spans="1:10" ht="15" thickBot="1" x14ac:dyDescent="0.4">
      <c r="A171" s="198"/>
      <c r="B171" s="523"/>
      <c r="C171" s="524"/>
      <c r="D171" s="525"/>
      <c r="E171" s="525"/>
      <c r="F171" s="526"/>
    </row>
    <row r="172" spans="1:10" ht="15" thickBot="1" x14ac:dyDescent="0.4">
      <c r="A172" s="198"/>
      <c r="B172" s="274" t="str">
        <f>"SUBTOTAL - "&amp; 'Subcontractor Breakdown'!D493</f>
        <v>SUBTOTAL - Tenant's Power Usage from Early Access to TCO</v>
      </c>
      <c r="C172" s="362"/>
      <c r="D172" s="501">
        <f>SUMIF(E164:E171,"",D164:D171)</f>
        <v>0</v>
      </c>
      <c r="E172" s="276">
        <f>SUBTOTAL(9,E164:E171)</f>
        <v>0</v>
      </c>
      <c r="F172" s="277"/>
    </row>
    <row r="173" spans="1:10" ht="15" thickBot="1" x14ac:dyDescent="0.4">
      <c r="A173" s="198"/>
      <c r="B173" s="505" t="str">
        <f>"SUBTOTAL - "&amp; 'Subcontractor Breakdown'!D494</f>
        <v>SUBTOTAL - Exterior Signage &amp; Markings</v>
      </c>
      <c r="C173" s="502">
        <f>'Subcontractor Breakdown'!E494</f>
        <v>0</v>
      </c>
      <c r="D173" s="341"/>
      <c r="E173" s="341"/>
      <c r="F173" s="341"/>
    </row>
    <row r="174" spans="1:10" ht="8" customHeight="1" thickBot="1" x14ac:dyDescent="0.4">
      <c r="A174" s="198"/>
      <c r="B174" s="278"/>
      <c r="C174" s="282"/>
      <c r="D174" s="503"/>
      <c r="E174" s="503"/>
      <c r="F174" s="503"/>
    </row>
    <row r="175" spans="1:10" ht="15" thickBot="1" x14ac:dyDescent="0.4">
      <c r="A175" s="198"/>
      <c r="B175" s="359" t="str">
        <f>"Designated Tenant Allowance - "&amp; 'Subcontractor Breakdown'!D495</f>
        <v>Designated Tenant Allowance - MEP for Amazon Platforms</v>
      </c>
      <c r="C175" s="360" t="s">
        <v>415</v>
      </c>
      <c r="D175" s="360" t="s">
        <v>10</v>
      </c>
      <c r="E175" s="360" t="s">
        <v>1098</v>
      </c>
      <c r="F175" s="361" t="s">
        <v>399</v>
      </c>
    </row>
    <row r="176" spans="1:10" x14ac:dyDescent="0.35">
      <c r="B176" s="523"/>
      <c r="C176" s="524"/>
      <c r="D176" s="525"/>
      <c r="E176" s="525"/>
      <c r="F176" s="526"/>
    </row>
    <row r="177" spans="1:6" x14ac:dyDescent="0.35">
      <c r="B177" s="523"/>
      <c r="C177" s="524"/>
      <c r="D177" s="525"/>
      <c r="E177" s="525"/>
      <c r="F177" s="526"/>
    </row>
    <row r="178" spans="1:6" x14ac:dyDescent="0.35">
      <c r="B178" s="523"/>
      <c r="C178" s="524"/>
      <c r="D178" s="525"/>
      <c r="E178" s="525"/>
      <c r="F178" s="526"/>
    </row>
    <row r="179" spans="1:6" x14ac:dyDescent="0.35">
      <c r="A179" s="198"/>
      <c r="B179" s="523"/>
      <c r="C179" s="524"/>
      <c r="D179" s="525"/>
      <c r="E179" s="525"/>
      <c r="F179" s="526"/>
    </row>
    <row r="180" spans="1:6" x14ac:dyDescent="0.35">
      <c r="A180" s="198"/>
      <c r="B180" s="523"/>
      <c r="C180" s="524"/>
      <c r="D180" s="525"/>
      <c r="E180" s="525"/>
      <c r="F180" s="526"/>
    </row>
    <row r="181" spans="1:6" x14ac:dyDescent="0.35">
      <c r="A181" s="198"/>
      <c r="B181" s="523"/>
      <c r="C181" s="524"/>
      <c r="D181" s="525"/>
      <c r="E181" s="525"/>
      <c r="F181" s="526"/>
    </row>
    <row r="182" spans="1:6" ht="15" thickBot="1" x14ac:dyDescent="0.4">
      <c r="A182" s="198"/>
      <c r="B182" s="523"/>
      <c r="C182" s="524"/>
      <c r="D182" s="525"/>
      <c r="E182" s="525"/>
      <c r="F182" s="526"/>
    </row>
    <row r="183" spans="1:6" ht="15" thickBot="1" x14ac:dyDescent="0.4">
      <c r="A183" s="198"/>
      <c r="B183" s="274" t="s">
        <v>398</v>
      </c>
      <c r="C183" s="362"/>
      <c r="D183" s="501">
        <f>SUMIF(E175:E182,"",D175:D182)</f>
        <v>0</v>
      </c>
      <c r="E183" s="276">
        <f>SUBTOTAL(9,E175:E182)</f>
        <v>0</v>
      </c>
      <c r="F183" s="277"/>
    </row>
    <row r="184" spans="1:6" ht="15" thickBot="1" x14ac:dyDescent="0.4">
      <c r="A184" s="198"/>
      <c r="B184" s="505" t="str">
        <f>'Subcontractor Breakdown'!D495</f>
        <v>MEP for Amazon Platforms</v>
      </c>
      <c r="C184" s="502">
        <f>'Subcontractor Breakdown'!E495</f>
        <v>0</v>
      </c>
      <c r="D184" s="341"/>
      <c r="E184" s="341"/>
      <c r="F184" s="341"/>
    </row>
    <row r="185" spans="1:6" ht="8" customHeight="1" thickBot="1" x14ac:dyDescent="0.4">
      <c r="A185" s="198"/>
      <c r="B185" s="278"/>
      <c r="C185" s="282"/>
      <c r="D185" s="503"/>
      <c r="E185" s="503"/>
      <c r="F185" s="503"/>
    </row>
    <row r="186" spans="1:6" ht="15" thickBot="1" x14ac:dyDescent="0.4">
      <c r="A186" s="198"/>
      <c r="B186" s="359" t="str">
        <f>"Designated Tenant Allowance - "&amp; 'Subcontractor Breakdown'!D496</f>
        <v>Designated Tenant Allowance - Floor Remediation @ RSP &amp; Sorter Platforms</v>
      </c>
      <c r="C186" s="360" t="s">
        <v>415</v>
      </c>
      <c r="D186" s="360" t="s">
        <v>10</v>
      </c>
      <c r="E186" s="360" t="s">
        <v>1098</v>
      </c>
      <c r="F186" s="361" t="s">
        <v>399</v>
      </c>
    </row>
    <row r="187" spans="1:6" x14ac:dyDescent="0.35">
      <c r="B187" s="523"/>
      <c r="C187" s="524"/>
      <c r="D187" s="525"/>
      <c r="E187" s="525"/>
      <c r="F187" s="526"/>
    </row>
    <row r="188" spans="1:6" x14ac:dyDescent="0.35">
      <c r="B188" s="523"/>
      <c r="C188" s="524"/>
      <c r="D188" s="525"/>
      <c r="E188" s="525"/>
      <c r="F188" s="526"/>
    </row>
    <row r="189" spans="1:6" x14ac:dyDescent="0.35">
      <c r="B189" s="523"/>
      <c r="C189" s="524"/>
      <c r="D189" s="525"/>
      <c r="E189" s="525"/>
      <c r="F189" s="526"/>
    </row>
    <row r="190" spans="1:6" x14ac:dyDescent="0.35">
      <c r="A190" s="198"/>
      <c r="B190" s="523"/>
      <c r="C190" s="524"/>
      <c r="D190" s="525"/>
      <c r="E190" s="525"/>
      <c r="F190" s="526"/>
    </row>
    <row r="191" spans="1:6" x14ac:dyDescent="0.35">
      <c r="A191" s="198"/>
      <c r="B191" s="523"/>
      <c r="C191" s="524"/>
      <c r="D191" s="525"/>
      <c r="E191" s="525"/>
      <c r="F191" s="526"/>
    </row>
    <row r="192" spans="1:6" x14ac:dyDescent="0.35">
      <c r="A192" s="198"/>
      <c r="B192" s="523"/>
      <c r="C192" s="524"/>
      <c r="D192" s="525"/>
      <c r="E192" s="525"/>
      <c r="F192" s="526"/>
    </row>
    <row r="193" spans="1:6" ht="15" thickBot="1" x14ac:dyDescent="0.4">
      <c r="A193" s="198"/>
      <c r="B193" s="523"/>
      <c r="C193" s="524"/>
      <c r="D193" s="525"/>
      <c r="E193" s="525"/>
      <c r="F193" s="526"/>
    </row>
    <row r="194" spans="1:6" ht="15" thickBot="1" x14ac:dyDescent="0.4">
      <c r="A194" s="198"/>
      <c r="B194" s="274" t="s">
        <v>398</v>
      </c>
      <c r="C194" s="362"/>
      <c r="D194" s="501">
        <f>SUMIF(E186:E193,"",D186:D193)</f>
        <v>0</v>
      </c>
      <c r="E194" s="276">
        <f>SUBTOTAL(9,E186:E193)</f>
        <v>0</v>
      </c>
      <c r="F194" s="277"/>
    </row>
    <row r="195" spans="1:6" ht="15" thickBot="1" x14ac:dyDescent="0.4">
      <c r="A195" s="198"/>
      <c r="B195" s="505" t="str">
        <f xml:space="preserve"> 'Subcontractor Breakdown'!D496</f>
        <v>Floor Remediation @ RSP &amp; Sorter Platforms</v>
      </c>
      <c r="C195" s="502">
        <f>'Subcontractor Breakdown'!E496</f>
        <v>0</v>
      </c>
      <c r="D195" s="341"/>
      <c r="E195" s="341"/>
      <c r="F195" s="341"/>
    </row>
    <row r="196" spans="1:6" ht="8" customHeight="1" thickBot="1" x14ac:dyDescent="0.4">
      <c r="A196" s="198"/>
      <c r="B196" s="278"/>
      <c r="C196" s="282"/>
      <c r="D196" s="503"/>
      <c r="E196" s="503"/>
      <c r="F196" s="503"/>
    </row>
    <row r="197" spans="1:6" ht="15" thickBot="1" x14ac:dyDescent="0.4">
      <c r="A197" s="198"/>
      <c r="B197" s="359" t="str">
        <f>"Designated Tenant Allowance - "&amp; 'Subcontractor Breakdown'!D497</f>
        <v>Designated Tenant Allowance - Scanning for Curvature</v>
      </c>
      <c r="C197" s="360" t="s">
        <v>415</v>
      </c>
      <c r="D197" s="360" t="s">
        <v>10</v>
      </c>
      <c r="E197" s="360" t="s">
        <v>1098</v>
      </c>
      <c r="F197" s="361" t="s">
        <v>399</v>
      </c>
    </row>
    <row r="198" spans="1:6" x14ac:dyDescent="0.35">
      <c r="B198" s="519"/>
      <c r="C198" s="520"/>
      <c r="D198" s="521"/>
      <c r="E198" s="521"/>
      <c r="F198" s="522"/>
    </row>
    <row r="199" spans="1:6" x14ac:dyDescent="0.35">
      <c r="B199" s="523"/>
      <c r="C199" s="524"/>
      <c r="D199" s="525"/>
      <c r="E199" s="525"/>
      <c r="F199" s="526"/>
    </row>
    <row r="200" spans="1:6" x14ac:dyDescent="0.35">
      <c r="B200" s="523"/>
      <c r="C200" s="524"/>
      <c r="D200" s="525"/>
      <c r="E200" s="525"/>
      <c r="F200" s="526"/>
    </row>
    <row r="201" spans="1:6" x14ac:dyDescent="0.35">
      <c r="A201" s="198"/>
      <c r="B201" s="523"/>
      <c r="C201" s="524"/>
      <c r="D201" s="525"/>
      <c r="E201" s="525"/>
      <c r="F201" s="526"/>
    </row>
    <row r="202" spans="1:6" x14ac:dyDescent="0.35">
      <c r="A202" s="198"/>
      <c r="B202" s="523"/>
      <c r="C202" s="524"/>
      <c r="D202" s="525"/>
      <c r="E202" s="525"/>
      <c r="F202" s="526"/>
    </row>
    <row r="203" spans="1:6" x14ac:dyDescent="0.35">
      <c r="A203" s="198"/>
      <c r="B203" s="523"/>
      <c r="C203" s="524"/>
      <c r="D203" s="525"/>
      <c r="E203" s="525"/>
      <c r="F203" s="526"/>
    </row>
    <row r="204" spans="1:6" ht="15" thickBot="1" x14ac:dyDescent="0.4">
      <c r="A204" s="198"/>
      <c r="B204" s="523"/>
      <c r="C204" s="524"/>
      <c r="D204" s="525"/>
      <c r="E204" s="525"/>
      <c r="F204" s="526"/>
    </row>
    <row r="205" spans="1:6" ht="15" thickBot="1" x14ac:dyDescent="0.4">
      <c r="A205" s="198"/>
      <c r="B205" s="274" t="s">
        <v>398</v>
      </c>
      <c r="C205" s="362"/>
      <c r="D205" s="501">
        <f>SUMIF(E197:E204,"",D197:D204)</f>
        <v>0</v>
      </c>
      <c r="E205" s="276">
        <f>SUBTOTAL(9,E197:E204)</f>
        <v>0</v>
      </c>
      <c r="F205" s="277"/>
    </row>
    <row r="206" spans="1:6" ht="15" thickBot="1" x14ac:dyDescent="0.4">
      <c r="A206" s="198"/>
      <c r="B206" s="505" t="str">
        <f xml:space="preserve"> 'Subcontractor Breakdown'!D497</f>
        <v>Scanning for Curvature</v>
      </c>
      <c r="C206" s="502">
        <f>'Subcontractor Breakdown'!E497</f>
        <v>0</v>
      </c>
      <c r="D206" s="341"/>
      <c r="E206" s="341"/>
      <c r="F206" s="341"/>
    </row>
    <row r="207" spans="1:6" ht="8" customHeight="1" thickBot="1" x14ac:dyDescent="0.4">
      <c r="A207" s="198"/>
      <c r="B207" s="278"/>
      <c r="C207" s="282"/>
      <c r="D207" s="503"/>
      <c r="E207" s="503"/>
      <c r="F207" s="503"/>
    </row>
    <row r="208" spans="1:6" ht="15" thickBot="1" x14ac:dyDescent="0.4">
      <c r="A208" s="198"/>
      <c r="B208" s="359" t="str">
        <f>"Designated Tenant Allowance - "&amp; 'Subcontractor Breakdown'!D498</f>
        <v>Designated Tenant Allowance - Other (Describe)</v>
      </c>
      <c r="C208" s="360" t="s">
        <v>415</v>
      </c>
      <c r="D208" s="360" t="s">
        <v>10</v>
      </c>
      <c r="E208" s="360" t="s">
        <v>1098</v>
      </c>
      <c r="F208" s="361" t="s">
        <v>399</v>
      </c>
    </row>
    <row r="209" spans="1:6" x14ac:dyDescent="0.35">
      <c r="A209" s="198"/>
      <c r="B209" s="519"/>
      <c r="C209" s="520"/>
      <c r="D209" s="521"/>
      <c r="E209" s="521"/>
      <c r="F209" s="522"/>
    </row>
    <row r="210" spans="1:6" x14ac:dyDescent="0.35">
      <c r="A210" s="198"/>
      <c r="B210" s="519"/>
      <c r="C210" s="520"/>
      <c r="D210" s="521"/>
      <c r="E210" s="521"/>
      <c r="F210" s="522"/>
    </row>
    <row r="211" spans="1:6" x14ac:dyDescent="0.35">
      <c r="A211" s="198"/>
      <c r="B211" s="523"/>
      <c r="C211" s="524"/>
      <c r="D211" s="525"/>
      <c r="E211" s="525"/>
      <c r="F211" s="526"/>
    </row>
    <row r="212" spans="1:6" x14ac:dyDescent="0.35">
      <c r="A212" s="198"/>
      <c r="B212" s="523"/>
      <c r="C212" s="524"/>
      <c r="D212" s="525"/>
      <c r="E212" s="525"/>
      <c r="F212" s="526"/>
    </row>
    <row r="213" spans="1:6" x14ac:dyDescent="0.35">
      <c r="A213" s="198"/>
      <c r="B213" s="523"/>
      <c r="C213" s="524"/>
      <c r="D213" s="525"/>
      <c r="E213" s="525"/>
      <c r="F213" s="526"/>
    </row>
    <row r="214" spans="1:6" x14ac:dyDescent="0.35">
      <c r="A214" s="198"/>
      <c r="B214" s="523"/>
      <c r="C214" s="524"/>
      <c r="D214" s="525"/>
      <c r="E214" s="525"/>
      <c r="F214" s="526"/>
    </row>
    <row r="215" spans="1:6" ht="15" thickBot="1" x14ac:dyDescent="0.4">
      <c r="A215" s="198"/>
      <c r="B215" s="523"/>
      <c r="C215" s="524"/>
      <c r="D215" s="525"/>
      <c r="E215" s="525"/>
      <c r="F215" s="526"/>
    </row>
    <row r="216" spans="1:6" ht="15" thickBot="1" x14ac:dyDescent="0.4">
      <c r="A216" s="198"/>
      <c r="B216" s="274" t="s">
        <v>398</v>
      </c>
      <c r="C216" s="362"/>
      <c r="D216" s="363">
        <f>SUMIF(E208:E215,"",D208:D215)</f>
        <v>0</v>
      </c>
      <c r="E216" s="276">
        <f>SUBTOTAL(9,E208:E215)</f>
        <v>0</v>
      </c>
      <c r="F216" s="277"/>
    </row>
    <row r="217" spans="1:6" ht="15" thickBot="1" x14ac:dyDescent="0.4">
      <c r="A217" s="198"/>
      <c r="B217" s="505" t="str">
        <f xml:space="preserve"> 'Subcontractor Breakdown'!D498</f>
        <v>Other (Describe)</v>
      </c>
      <c r="C217" s="502">
        <f>'Subcontractor Breakdown'!E498</f>
        <v>0</v>
      </c>
      <c r="D217" s="198"/>
      <c r="E217" s="198"/>
      <c r="F217" s="198"/>
    </row>
    <row r="218" spans="1:6" ht="8" customHeight="1" thickBot="1" x14ac:dyDescent="0.4">
      <c r="A218" s="198"/>
      <c r="B218" s="191"/>
      <c r="C218" s="192"/>
      <c r="D218" s="192"/>
      <c r="E218" s="193"/>
      <c r="F218" s="193"/>
    </row>
    <row r="219" spans="1:6" ht="15" thickBot="1" x14ac:dyDescent="0.4">
      <c r="A219" s="198"/>
      <c r="B219" s="37" t="s">
        <v>568</v>
      </c>
      <c r="C219" s="27">
        <f>'GMP-PO Breakdown'!D73+C118</f>
        <v>0</v>
      </c>
      <c r="D219" s="27">
        <f>SUM(D216,D205,D194,D183,D172,D161,D150,D139,D128,D117)</f>
        <v>0</v>
      </c>
      <c r="E219" s="27">
        <f>SUM(E216,E205,E194,E183,E172,E161,E150,E139,E128,E117)</f>
        <v>0</v>
      </c>
      <c r="F219" s="383"/>
    </row>
    <row r="220" spans="1:6" ht="8" customHeight="1" thickBot="1" x14ac:dyDescent="0.4">
      <c r="A220" s="198"/>
      <c r="B220" s="191"/>
      <c r="C220" s="192"/>
      <c r="D220" s="192"/>
      <c r="E220" s="193"/>
      <c r="F220" s="193"/>
    </row>
    <row r="221" spans="1:6" ht="15" thickBot="1" x14ac:dyDescent="0.4">
      <c r="A221" s="198"/>
      <c r="B221" s="30" t="s">
        <v>437</v>
      </c>
      <c r="C221" s="364"/>
      <c r="D221" s="27"/>
      <c r="E221" s="28">
        <f>(D219+E219)</f>
        <v>0</v>
      </c>
      <c r="F221" s="193"/>
    </row>
    <row r="222" spans="1:6" ht="8" customHeight="1" thickBot="1" x14ac:dyDescent="0.4">
      <c r="A222" s="198"/>
      <c r="B222" s="191"/>
      <c r="C222" s="192"/>
      <c r="D222" s="192"/>
      <c r="E222" s="193"/>
      <c r="F222" s="193"/>
    </row>
    <row r="223" spans="1:6" ht="15" thickBot="1" x14ac:dyDescent="0.4">
      <c r="A223" s="198"/>
      <c r="B223" s="30" t="s">
        <v>1099</v>
      </c>
      <c r="C223" s="364"/>
      <c r="D223" s="27"/>
      <c r="E223" s="28">
        <f>('GMP-PO Breakdown'!D73+'GMP-PO Breakdown'!D79)-(D219+E219)</f>
        <v>0</v>
      </c>
      <c r="F223" s="193"/>
    </row>
    <row r="224" spans="1:6" ht="8" customHeight="1" thickBot="1" x14ac:dyDescent="0.4">
      <c r="A224" s="198"/>
      <c r="B224" s="191"/>
      <c r="C224" s="192"/>
      <c r="D224" s="192"/>
      <c r="E224" s="193"/>
      <c r="F224" s="193"/>
    </row>
    <row r="225" spans="1:6" ht="15" thickBot="1" x14ac:dyDescent="0.4">
      <c r="A225" s="198"/>
      <c r="B225" s="30" t="s">
        <v>416</v>
      </c>
      <c r="C225" s="364"/>
      <c r="D225" s="27"/>
      <c r="E225" s="28"/>
      <c r="F225" s="193"/>
    </row>
    <row r="226" spans="1:6" x14ac:dyDescent="0.35">
      <c r="A226" s="198"/>
      <c r="B226" s="191"/>
      <c r="C226" s="192"/>
      <c r="D226" s="192"/>
      <c r="E226" s="193"/>
      <c r="F226" s="193"/>
    </row>
    <row r="227" spans="1:6" x14ac:dyDescent="0.35">
      <c r="A227" s="198"/>
      <c r="B227" s="191"/>
      <c r="C227" s="192"/>
      <c r="D227" s="192"/>
      <c r="E227" s="193"/>
      <c r="F227" s="193"/>
    </row>
    <row r="228" spans="1:6" x14ac:dyDescent="0.35">
      <c r="A228" s="198"/>
      <c r="B228" s="191"/>
      <c r="C228" s="192"/>
      <c r="D228" s="192"/>
      <c r="E228" s="193"/>
      <c r="F228" s="193"/>
    </row>
    <row r="229" spans="1:6" x14ac:dyDescent="0.35">
      <c r="A229" s="198"/>
      <c r="B229" s="191"/>
      <c r="C229" s="192"/>
      <c r="D229" s="192"/>
      <c r="E229" s="193"/>
      <c r="F229" s="193"/>
    </row>
    <row r="230" spans="1:6" x14ac:dyDescent="0.35">
      <c r="A230" s="198"/>
      <c r="B230" s="191"/>
      <c r="C230" s="192"/>
      <c r="D230" s="192"/>
      <c r="E230" s="193"/>
      <c r="F230" s="193"/>
    </row>
    <row r="231" spans="1:6" x14ac:dyDescent="0.35">
      <c r="A231" s="198"/>
      <c r="C231" s="192"/>
      <c r="D231" s="192"/>
      <c r="E231" s="193"/>
      <c r="F231" s="193"/>
    </row>
  </sheetData>
  <sheetProtection algorithmName="SHA-512" hashValue="wR7lEVkjdUVqD9zhzQNdCkS90fB8bk2ROygi35tbvCPQJosiUs7Ijdwr0BRvqodBxju3KVseIiO2rmrwcOEzqA==" saltValue="xzvnnj5E7JyKBko20c9LzQ==" spinCount="100000" sheet="1" objects="1" scenarios="1"/>
  <pageMargins left="0.7" right="0.7" top="0.75" bottom="0.75" header="0.3" footer="0.3"/>
  <pageSetup scale="72"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J248"/>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1097</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thickBot="1" x14ac:dyDescent="0.4">
      <c r="B46" s="523"/>
      <c r="C46" s="524"/>
      <c r="D46" s="525"/>
      <c r="E46" s="525"/>
      <c r="F46" s="526"/>
    </row>
    <row r="47" spans="2:6" ht="14.5" customHeight="1" thickBot="1" x14ac:dyDescent="0.4">
      <c r="B47" s="274" t="s">
        <v>398</v>
      </c>
      <c r="C47" s="362"/>
      <c r="D47" s="363">
        <f>SUMIF(E16:E46,"",D16:D46)</f>
        <v>0</v>
      </c>
      <c r="E47" s="363">
        <f>SUMIF(F16:F46,"",E16:E46)</f>
        <v>0</v>
      </c>
      <c r="F47" s="277"/>
    </row>
    <row r="48" spans="2:6" ht="14.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1098</v>
      </c>
      <c r="F50" s="361" t="s">
        <v>399</v>
      </c>
    </row>
    <row r="51" spans="2:6" ht="14.5" customHeight="1" x14ac:dyDescent="0.35">
      <c r="B51" s="515"/>
      <c r="C51" s="516"/>
      <c r="D51" s="517"/>
      <c r="E51" s="517"/>
      <c r="F51" s="518"/>
    </row>
    <row r="52" spans="2:6" ht="14.5" customHeight="1" x14ac:dyDescent="0.35">
      <c r="B52" s="523"/>
      <c r="C52" s="524"/>
      <c r="D52" s="525"/>
      <c r="E52" s="525"/>
      <c r="F52" s="526"/>
    </row>
    <row r="53" spans="2:6" ht="14.5" customHeight="1" x14ac:dyDescent="0.35">
      <c r="B53" s="523"/>
      <c r="C53" s="524"/>
      <c r="D53" s="525"/>
      <c r="E53" s="525"/>
      <c r="F53" s="526"/>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1:10" ht="14.5" customHeight="1" x14ac:dyDescent="0.35">
      <c r="B65" s="519"/>
      <c r="C65" s="520"/>
      <c r="D65" s="521"/>
      <c r="E65" s="521"/>
      <c r="F65" s="522"/>
    </row>
    <row r="66" spans="1:10" ht="14.5" customHeight="1" x14ac:dyDescent="0.35">
      <c r="B66" s="519"/>
      <c r="C66" s="520"/>
      <c r="D66" s="521"/>
      <c r="E66" s="521"/>
      <c r="F66" s="522"/>
    </row>
    <row r="67" spans="1:10" ht="14.5" customHeight="1" x14ac:dyDescent="0.35">
      <c r="B67" s="519"/>
      <c r="C67" s="520"/>
      <c r="D67" s="521"/>
      <c r="E67" s="521"/>
      <c r="F67" s="522"/>
    </row>
    <row r="68" spans="1:10" ht="14.5" customHeight="1" x14ac:dyDescent="0.35">
      <c r="B68" s="519"/>
      <c r="C68" s="520"/>
      <c r="D68" s="521"/>
      <c r="E68" s="521"/>
      <c r="F68" s="522"/>
    </row>
    <row r="69" spans="1:10" ht="14.5" customHeight="1" x14ac:dyDescent="0.35">
      <c r="B69" s="519"/>
      <c r="C69" s="520"/>
      <c r="D69" s="521"/>
      <c r="E69" s="521"/>
      <c r="F69" s="522"/>
    </row>
    <row r="70" spans="1:10" ht="14.5" customHeight="1" x14ac:dyDescent="0.35">
      <c r="B70" s="519"/>
      <c r="C70" s="520"/>
      <c r="D70" s="521"/>
      <c r="E70" s="521"/>
      <c r="F70" s="522"/>
    </row>
    <row r="71" spans="1:10" s="198" customFormat="1" ht="14.5" customHeight="1" x14ac:dyDescent="0.35">
      <c r="A71" s="97"/>
      <c r="B71" s="519"/>
      <c r="C71" s="520"/>
      <c r="D71" s="521"/>
      <c r="E71" s="521"/>
      <c r="F71" s="522"/>
      <c r="G71" s="97"/>
      <c r="H71" s="97"/>
      <c r="I71" s="97"/>
      <c r="J71" s="97"/>
    </row>
    <row r="72" spans="1:10" s="198" customFormat="1" ht="14.5" customHeight="1" x14ac:dyDescent="0.35">
      <c r="A72" s="97"/>
      <c r="B72" s="519"/>
      <c r="C72" s="520"/>
      <c r="D72" s="521"/>
      <c r="E72" s="521"/>
      <c r="F72" s="522"/>
      <c r="G72" s="97"/>
      <c r="H72" s="97"/>
      <c r="I72" s="97"/>
      <c r="J72" s="97"/>
    </row>
    <row r="73" spans="1:10" s="198" customFormat="1" ht="14.5" customHeight="1" x14ac:dyDescent="0.35">
      <c r="A73" s="97"/>
      <c r="B73" s="519"/>
      <c r="C73" s="520"/>
      <c r="D73" s="521"/>
      <c r="E73" s="521"/>
      <c r="F73" s="522"/>
      <c r="G73" s="97"/>
      <c r="H73" s="97"/>
      <c r="I73" s="97"/>
      <c r="J73" s="97"/>
    </row>
    <row r="74" spans="1:10" s="198" customFormat="1" ht="14.5" customHeight="1" x14ac:dyDescent="0.35">
      <c r="A74" s="97"/>
      <c r="B74" s="519"/>
      <c r="C74" s="520"/>
      <c r="D74" s="521"/>
      <c r="E74" s="521"/>
      <c r="F74" s="522"/>
      <c r="G74" s="97"/>
      <c r="H74" s="97"/>
      <c r="I74" s="97"/>
      <c r="J74" s="97"/>
    </row>
    <row r="75" spans="1:10" s="198" customFormat="1" ht="14.5" customHeight="1" x14ac:dyDescent="0.35">
      <c r="A75" s="97"/>
      <c r="B75" s="519"/>
      <c r="C75" s="520"/>
      <c r="D75" s="521"/>
      <c r="E75" s="521"/>
      <c r="F75" s="522"/>
      <c r="G75" s="97"/>
      <c r="H75" s="97"/>
      <c r="I75" s="97"/>
      <c r="J75" s="97"/>
    </row>
    <row r="76" spans="1:10" s="198" customFormat="1" ht="14.5" customHeight="1" x14ac:dyDescent="0.35">
      <c r="A76" s="97"/>
      <c r="B76" s="519"/>
      <c r="C76" s="520"/>
      <c r="D76" s="521"/>
      <c r="E76" s="521"/>
      <c r="F76" s="522"/>
      <c r="G76" s="97"/>
      <c r="H76" s="97"/>
      <c r="I76" s="97"/>
      <c r="J76" s="97"/>
    </row>
    <row r="77" spans="1:10" s="198" customFormat="1" ht="14.5" customHeight="1" x14ac:dyDescent="0.35">
      <c r="A77" s="97"/>
      <c r="B77" s="523"/>
      <c r="C77" s="524"/>
      <c r="D77" s="525"/>
      <c r="E77" s="525"/>
      <c r="F77" s="526"/>
      <c r="G77" s="97"/>
      <c r="H77" s="97"/>
      <c r="I77" s="97"/>
      <c r="J77" s="97"/>
    </row>
    <row r="78" spans="1:10" s="198" customFormat="1" ht="14.5" customHeight="1" x14ac:dyDescent="0.35">
      <c r="A78" s="97"/>
      <c r="B78" s="523"/>
      <c r="C78" s="524"/>
      <c r="D78" s="525"/>
      <c r="E78" s="525"/>
      <c r="F78" s="526"/>
      <c r="G78" s="97"/>
      <c r="H78" s="97"/>
      <c r="I78" s="97"/>
      <c r="J78" s="97"/>
    </row>
    <row r="79" spans="1:10" s="198" customFormat="1" ht="14.5" customHeight="1" x14ac:dyDescent="0.35">
      <c r="A79" s="97"/>
      <c r="B79" s="523"/>
      <c r="C79" s="524"/>
      <c r="D79" s="525"/>
      <c r="E79" s="525"/>
      <c r="F79" s="526"/>
      <c r="G79" s="97"/>
      <c r="H79" s="97"/>
      <c r="I79" s="97"/>
      <c r="J79" s="97"/>
    </row>
    <row r="80" spans="1:10" s="198" customFormat="1" ht="14.5" customHeight="1" thickBot="1" x14ac:dyDescent="0.4">
      <c r="A80" s="97"/>
      <c r="B80" s="523"/>
      <c r="C80" s="524"/>
      <c r="D80" s="527"/>
      <c r="E80" s="527"/>
      <c r="F80" s="528"/>
      <c r="G80" s="97"/>
      <c r="H80" s="97"/>
      <c r="I80" s="97"/>
      <c r="J80" s="97"/>
    </row>
    <row r="81" spans="1:10" s="198" customFormat="1" ht="14.5" customHeight="1" thickBot="1" x14ac:dyDescent="0.4">
      <c r="A81" s="97"/>
      <c r="B81" s="274" t="s">
        <v>398</v>
      </c>
      <c r="C81" s="529"/>
      <c r="D81" s="506">
        <f>SUMIF(E50:E80,"",D50:D80)</f>
        <v>0</v>
      </c>
      <c r="E81" s="506">
        <f>SUBTOTAL(9,E50:E80)</f>
        <v>0</v>
      </c>
      <c r="F81" s="506"/>
      <c r="G81" s="97"/>
      <c r="H81" s="97"/>
      <c r="I81" s="97"/>
      <c r="J81" s="97"/>
    </row>
    <row r="82" spans="1:10" s="198" customFormat="1" ht="14.5" customHeight="1" thickBot="1" x14ac:dyDescent="0.4">
      <c r="A82" s="97"/>
      <c r="B82" s="505" t="s">
        <v>1147</v>
      </c>
      <c r="C82" s="502">
        <v>0</v>
      </c>
      <c r="D82" s="343"/>
      <c r="E82" s="343"/>
      <c r="F82" s="343"/>
      <c r="G82" s="97"/>
      <c r="H82" s="97"/>
      <c r="I82" s="97"/>
      <c r="J82" s="97"/>
    </row>
    <row r="83" spans="1:10" s="198" customFormat="1" ht="8" customHeight="1" thickBot="1" x14ac:dyDescent="0.4">
      <c r="A83" s="97"/>
      <c r="B83" s="278"/>
      <c r="C83" s="282"/>
      <c r="D83" s="503"/>
      <c r="E83" s="503"/>
      <c r="F83" s="503"/>
      <c r="G83" s="97"/>
      <c r="H83" s="97"/>
      <c r="I83" s="97"/>
      <c r="J83" s="97"/>
    </row>
    <row r="84" spans="1:10" s="198" customFormat="1" ht="15" thickBot="1" x14ac:dyDescent="0.4">
      <c r="A84" s="97"/>
      <c r="B84" s="359" t="s">
        <v>402</v>
      </c>
      <c r="C84" s="360" t="s">
        <v>415</v>
      </c>
      <c r="D84" s="360" t="s">
        <v>10</v>
      </c>
      <c r="E84" s="360" t="s">
        <v>1098</v>
      </c>
      <c r="F84" s="361" t="s">
        <v>399</v>
      </c>
      <c r="G84" s="97"/>
      <c r="H84" s="97"/>
      <c r="I84" s="97"/>
      <c r="J84" s="97"/>
    </row>
    <row r="85" spans="1:10" s="198" customFormat="1" ht="14.5" customHeight="1" x14ac:dyDescent="0.35">
      <c r="A85" s="97"/>
      <c r="B85" s="515"/>
      <c r="C85" s="516"/>
      <c r="D85" s="517"/>
      <c r="E85" s="517"/>
      <c r="F85" s="518"/>
      <c r="G85" s="97"/>
      <c r="H85" s="97"/>
      <c r="I85" s="97"/>
      <c r="J85" s="97"/>
    </row>
    <row r="86" spans="1:10" s="198" customFormat="1" ht="14.5" customHeight="1" x14ac:dyDescent="0.35">
      <c r="A86" s="97"/>
      <c r="B86" s="523"/>
      <c r="C86" s="524"/>
      <c r="D86" s="525"/>
      <c r="E86" s="525"/>
      <c r="F86" s="526"/>
      <c r="G86" s="97"/>
      <c r="H86" s="97"/>
      <c r="I86" s="97"/>
      <c r="J86" s="97"/>
    </row>
    <row r="87" spans="1:10" s="198" customFormat="1" ht="14.5" customHeight="1" x14ac:dyDescent="0.35">
      <c r="A87" s="97"/>
      <c r="B87" s="519"/>
      <c r="C87" s="520"/>
      <c r="D87" s="521"/>
      <c r="E87" s="521"/>
      <c r="F87" s="522"/>
      <c r="G87" s="97"/>
      <c r="H87" s="97"/>
      <c r="I87" s="97"/>
      <c r="J87" s="97"/>
    </row>
    <row r="88" spans="1:10" ht="14.5" customHeight="1" x14ac:dyDescent="0.35">
      <c r="B88" s="519"/>
      <c r="C88" s="520"/>
      <c r="D88" s="521"/>
      <c r="E88" s="521"/>
      <c r="F88" s="522"/>
    </row>
    <row r="89" spans="1:10" ht="14.5" customHeight="1" x14ac:dyDescent="0.35">
      <c r="B89" s="519"/>
      <c r="C89" s="520"/>
      <c r="D89" s="521"/>
      <c r="E89" s="521"/>
      <c r="F89" s="522"/>
    </row>
    <row r="90" spans="1:10" ht="14.5" customHeight="1" x14ac:dyDescent="0.35">
      <c r="B90" s="519"/>
      <c r="C90" s="520"/>
      <c r="D90" s="521"/>
      <c r="E90" s="521"/>
      <c r="F90" s="522"/>
    </row>
    <row r="91" spans="1:10" ht="14.5" customHeight="1" x14ac:dyDescent="0.35">
      <c r="B91" s="519"/>
      <c r="C91" s="520"/>
      <c r="D91" s="521"/>
      <c r="E91" s="521"/>
      <c r="F91" s="522"/>
    </row>
    <row r="92" spans="1:10" ht="14.5" customHeight="1" x14ac:dyDescent="0.35">
      <c r="B92" s="519"/>
      <c r="C92" s="520"/>
      <c r="D92" s="521"/>
      <c r="E92" s="521"/>
      <c r="F92" s="522"/>
    </row>
    <row r="93" spans="1:10" ht="14.5" customHeight="1" x14ac:dyDescent="0.35">
      <c r="B93" s="519"/>
      <c r="C93" s="520"/>
      <c r="D93" s="521"/>
      <c r="E93" s="521"/>
      <c r="F93" s="522"/>
    </row>
    <row r="94" spans="1:10" ht="14.5" customHeight="1" x14ac:dyDescent="0.35">
      <c r="B94" s="519"/>
      <c r="C94" s="520"/>
      <c r="D94" s="521"/>
      <c r="E94" s="521"/>
      <c r="F94" s="522"/>
    </row>
    <row r="95" spans="1:10" ht="14.5" customHeight="1" x14ac:dyDescent="0.35">
      <c r="B95" s="519"/>
      <c r="C95" s="520"/>
      <c r="D95" s="521"/>
      <c r="E95" s="521"/>
      <c r="F95" s="522"/>
    </row>
    <row r="96" spans="1:10" ht="14.5" customHeight="1" x14ac:dyDescent="0.35">
      <c r="B96" s="519"/>
      <c r="C96" s="520"/>
      <c r="D96" s="521"/>
      <c r="E96" s="521"/>
      <c r="F96" s="522"/>
    </row>
    <row r="97" spans="1:10" ht="14.5" customHeight="1" x14ac:dyDescent="0.35">
      <c r="B97" s="519"/>
      <c r="C97" s="520"/>
      <c r="D97" s="521"/>
      <c r="E97" s="521"/>
      <c r="F97" s="522"/>
    </row>
    <row r="98" spans="1:10" s="198" customFormat="1" ht="14.5" customHeight="1" x14ac:dyDescent="0.35">
      <c r="A98" s="97"/>
      <c r="B98" s="519"/>
      <c r="C98" s="520"/>
      <c r="D98" s="521"/>
      <c r="E98" s="521"/>
      <c r="F98" s="522"/>
      <c r="G98" s="97"/>
      <c r="H98" s="97"/>
      <c r="I98" s="97"/>
      <c r="J98" s="97"/>
    </row>
    <row r="99" spans="1:10" s="198" customFormat="1" ht="14.5" customHeight="1" x14ac:dyDescent="0.35">
      <c r="A99" s="97"/>
      <c r="B99" s="519"/>
      <c r="C99" s="520"/>
      <c r="D99" s="521"/>
      <c r="E99" s="521"/>
      <c r="F99" s="522"/>
      <c r="G99" s="97"/>
      <c r="H99" s="97"/>
      <c r="I99" s="97"/>
      <c r="J99" s="97"/>
    </row>
    <row r="100" spans="1:10" s="198" customFormat="1" ht="14.5" customHeight="1" x14ac:dyDescent="0.35">
      <c r="A100" s="97"/>
      <c r="B100" s="519"/>
      <c r="C100" s="520"/>
      <c r="D100" s="521"/>
      <c r="E100" s="521"/>
      <c r="F100" s="522"/>
      <c r="G100" s="97"/>
      <c r="H100" s="97"/>
      <c r="I100" s="97"/>
      <c r="J100" s="97"/>
    </row>
    <row r="101" spans="1:10" s="198" customFormat="1" ht="14.5" customHeight="1" x14ac:dyDescent="0.35">
      <c r="A101" s="97"/>
      <c r="B101" s="519"/>
      <c r="C101" s="520"/>
      <c r="D101" s="521"/>
      <c r="E101" s="521"/>
      <c r="F101" s="522"/>
      <c r="G101" s="97"/>
      <c r="H101" s="97"/>
      <c r="I101" s="97"/>
      <c r="J101" s="97"/>
    </row>
    <row r="102" spans="1:10" s="198" customFormat="1" ht="14.5" customHeight="1" x14ac:dyDescent="0.35">
      <c r="A102" s="97"/>
      <c r="B102" s="519"/>
      <c r="C102" s="520"/>
      <c r="D102" s="521"/>
      <c r="E102" s="521"/>
      <c r="F102" s="522"/>
      <c r="G102" s="97"/>
      <c r="H102" s="97"/>
      <c r="I102" s="97"/>
      <c r="J102" s="97"/>
    </row>
    <row r="103" spans="1:10" s="198" customFormat="1" ht="14.5" customHeight="1" x14ac:dyDescent="0.35">
      <c r="A103" s="97"/>
      <c r="B103" s="519"/>
      <c r="C103" s="520"/>
      <c r="D103" s="521"/>
      <c r="E103" s="521"/>
      <c r="F103" s="522"/>
      <c r="G103" s="97"/>
      <c r="H103" s="97"/>
      <c r="I103" s="97"/>
      <c r="J103" s="97"/>
    </row>
    <row r="104" spans="1:10" s="198" customFormat="1" ht="14.5" customHeight="1" x14ac:dyDescent="0.35">
      <c r="A104" s="97"/>
      <c r="B104" s="519"/>
      <c r="C104" s="520"/>
      <c r="D104" s="521"/>
      <c r="E104" s="521"/>
      <c r="F104" s="522"/>
      <c r="G104" s="97"/>
      <c r="H104" s="97"/>
      <c r="I104" s="97"/>
      <c r="J104" s="97"/>
    </row>
    <row r="105" spans="1:10" s="198" customFormat="1" ht="14.5" customHeight="1" x14ac:dyDescent="0.35">
      <c r="A105" s="97"/>
      <c r="B105" s="519"/>
      <c r="C105" s="520"/>
      <c r="D105" s="521"/>
      <c r="E105" s="521"/>
      <c r="F105" s="522"/>
      <c r="G105" s="97"/>
      <c r="H105" s="97"/>
      <c r="I105" s="97"/>
      <c r="J105" s="97"/>
    </row>
    <row r="106" spans="1:10" s="198" customFormat="1" ht="14.5" customHeight="1" x14ac:dyDescent="0.35">
      <c r="A106" s="97"/>
      <c r="B106" s="519"/>
      <c r="C106" s="520"/>
      <c r="D106" s="521"/>
      <c r="E106" s="521"/>
      <c r="F106" s="522"/>
      <c r="G106" s="97"/>
      <c r="H106" s="97"/>
      <c r="I106" s="97"/>
      <c r="J106" s="97"/>
    </row>
    <row r="107" spans="1:10" s="198" customFormat="1" ht="14.5" customHeight="1" x14ac:dyDescent="0.35">
      <c r="A107" s="97"/>
      <c r="B107" s="519"/>
      <c r="C107" s="520"/>
      <c r="D107" s="521"/>
      <c r="E107" s="521"/>
      <c r="F107" s="522"/>
      <c r="G107" s="97"/>
      <c r="H107" s="97"/>
      <c r="I107" s="97"/>
      <c r="J107" s="97"/>
    </row>
    <row r="108" spans="1:10" s="198" customFormat="1" ht="14.5" customHeight="1" x14ac:dyDescent="0.35">
      <c r="A108" s="97"/>
      <c r="B108" s="519"/>
      <c r="C108" s="520"/>
      <c r="D108" s="521"/>
      <c r="E108" s="521"/>
      <c r="F108" s="522"/>
      <c r="G108" s="97"/>
      <c r="H108" s="97"/>
      <c r="I108" s="97"/>
      <c r="J108" s="97"/>
    </row>
    <row r="109" spans="1:10" s="198" customFormat="1" ht="14.5" customHeight="1" x14ac:dyDescent="0.35">
      <c r="A109" s="97"/>
      <c r="B109" s="523"/>
      <c r="C109" s="524"/>
      <c r="D109" s="525"/>
      <c r="E109" s="525"/>
      <c r="F109" s="526"/>
      <c r="G109" s="97"/>
      <c r="H109" s="97"/>
      <c r="I109" s="97"/>
      <c r="J109" s="97"/>
    </row>
    <row r="110" spans="1:10" s="198" customFormat="1" ht="14.5" customHeight="1" x14ac:dyDescent="0.35">
      <c r="A110" s="97"/>
      <c r="B110" s="523"/>
      <c r="C110" s="524"/>
      <c r="D110" s="525"/>
      <c r="E110" s="525"/>
      <c r="F110" s="526"/>
      <c r="G110" s="97"/>
      <c r="H110" s="97"/>
      <c r="I110" s="97"/>
      <c r="J110" s="97"/>
    </row>
    <row r="111" spans="1:10" s="198" customFormat="1" ht="14.5" customHeight="1" x14ac:dyDescent="0.35">
      <c r="A111" s="97"/>
      <c r="B111" s="523"/>
      <c r="C111" s="524"/>
      <c r="D111" s="525"/>
      <c r="E111" s="525"/>
      <c r="F111" s="526"/>
      <c r="G111" s="97"/>
      <c r="H111" s="97"/>
      <c r="I111" s="97"/>
      <c r="J111" s="97"/>
    </row>
    <row r="112" spans="1:10" s="198" customFormat="1" ht="14.5" customHeight="1" x14ac:dyDescent="0.35">
      <c r="A112" s="97"/>
      <c r="B112" s="523"/>
      <c r="C112" s="524"/>
      <c r="D112" s="525"/>
      <c r="E112" s="525"/>
      <c r="F112" s="526"/>
      <c r="G112" s="97"/>
      <c r="H112" s="97"/>
      <c r="I112" s="97"/>
      <c r="J112" s="97"/>
    </row>
    <row r="113" spans="1:10" s="198" customFormat="1" ht="14.5" customHeight="1" x14ac:dyDescent="0.35">
      <c r="A113" s="97"/>
      <c r="B113" s="523"/>
      <c r="C113" s="524"/>
      <c r="D113" s="525"/>
      <c r="E113" s="525"/>
      <c r="F113" s="526"/>
      <c r="G113" s="97"/>
      <c r="H113" s="97"/>
      <c r="I113" s="97"/>
      <c r="J113" s="97"/>
    </row>
    <row r="114" spans="1:10" s="198" customFormat="1" ht="14.5" customHeight="1" thickBot="1" x14ac:dyDescent="0.4">
      <c r="A114" s="97"/>
      <c r="B114" s="523"/>
      <c r="C114" s="524"/>
      <c r="D114" s="525"/>
      <c r="E114" s="525"/>
      <c r="F114" s="526"/>
      <c r="G114" s="97"/>
      <c r="H114" s="97"/>
      <c r="I114" s="97"/>
      <c r="J114" s="97"/>
    </row>
    <row r="115" spans="1:10" s="198" customFormat="1" ht="14.5" customHeight="1" thickBot="1" x14ac:dyDescent="0.4">
      <c r="A115" s="97"/>
      <c r="B115" s="274" t="s">
        <v>398</v>
      </c>
      <c r="C115" s="362"/>
      <c r="D115" s="501">
        <f>SUMIF(E84:E114,"",D84:D114)</f>
        <v>0</v>
      </c>
      <c r="E115" s="276">
        <f>SUBTOTAL(9,E84:E114)</f>
        <v>0</v>
      </c>
      <c r="F115" s="277"/>
      <c r="G115" s="97"/>
      <c r="H115" s="97"/>
      <c r="I115" s="97"/>
      <c r="J115" s="97"/>
    </row>
    <row r="116" spans="1:10" s="198" customFormat="1" ht="15" thickBot="1" x14ac:dyDescent="0.4">
      <c r="A116" s="97"/>
      <c r="B116" s="505" t="s">
        <v>402</v>
      </c>
      <c r="C116" s="502">
        <v>0</v>
      </c>
      <c r="D116" s="343"/>
      <c r="E116" s="343"/>
      <c r="F116" s="343"/>
      <c r="G116" s="97"/>
      <c r="H116" s="97"/>
      <c r="I116" s="97"/>
      <c r="J116" s="97"/>
    </row>
    <row r="117" spans="1:10" s="198" customFormat="1" ht="8" customHeight="1" thickBot="1" x14ac:dyDescent="0.4">
      <c r="A117" s="97"/>
      <c r="B117" s="278"/>
      <c r="C117" s="282"/>
      <c r="D117" s="503"/>
      <c r="E117" s="503"/>
      <c r="F117" s="503"/>
      <c r="G117" s="97"/>
      <c r="H117" s="97"/>
      <c r="I117" s="97"/>
      <c r="J117" s="97"/>
    </row>
    <row r="118" spans="1:10" s="198" customFormat="1" ht="15" thickBot="1" x14ac:dyDescent="0.4">
      <c r="A118" s="97"/>
      <c r="B118" s="359" t="s">
        <v>475</v>
      </c>
      <c r="C118" s="360" t="s">
        <v>415</v>
      </c>
      <c r="D118" s="360" t="s">
        <v>10</v>
      </c>
      <c r="E118" s="360" t="s">
        <v>1098</v>
      </c>
      <c r="F118" s="361" t="s">
        <v>399</v>
      </c>
      <c r="G118" s="97"/>
      <c r="H118" s="97"/>
      <c r="I118" s="97"/>
      <c r="J118" s="97"/>
    </row>
    <row r="119" spans="1:10" s="198" customFormat="1" ht="14.5" customHeight="1" x14ac:dyDescent="0.35">
      <c r="A119" s="97"/>
      <c r="B119" s="515"/>
      <c r="C119" s="516"/>
      <c r="D119" s="517"/>
      <c r="E119" s="517"/>
      <c r="F119" s="518"/>
      <c r="G119" s="97"/>
      <c r="H119" s="97"/>
      <c r="I119" s="97"/>
      <c r="J119" s="97"/>
    </row>
    <row r="120" spans="1:10" s="198" customFormat="1" ht="14.5" customHeight="1" x14ac:dyDescent="0.35">
      <c r="A120" s="97"/>
      <c r="B120" s="523"/>
      <c r="C120" s="524"/>
      <c r="D120" s="525"/>
      <c r="E120" s="525"/>
      <c r="F120" s="526"/>
      <c r="G120" s="97"/>
      <c r="H120" s="97"/>
      <c r="I120" s="97"/>
      <c r="J120" s="97"/>
    </row>
    <row r="121" spans="1:10" s="198" customFormat="1" ht="14.5" customHeight="1" x14ac:dyDescent="0.35">
      <c r="A121" s="97"/>
      <c r="B121" s="523"/>
      <c r="C121" s="524"/>
      <c r="D121" s="525"/>
      <c r="E121" s="525"/>
      <c r="F121" s="526"/>
      <c r="G121" s="97"/>
      <c r="H121" s="97"/>
      <c r="I121" s="97"/>
      <c r="J121" s="97"/>
    </row>
    <row r="122" spans="1:10" s="198" customFormat="1" ht="14.5" customHeight="1" x14ac:dyDescent="0.35">
      <c r="A122" s="97"/>
      <c r="B122" s="519"/>
      <c r="C122" s="520"/>
      <c r="D122" s="521"/>
      <c r="E122" s="521"/>
      <c r="F122" s="522"/>
      <c r="G122" s="97"/>
      <c r="H122" s="97"/>
      <c r="I122" s="97"/>
      <c r="J122" s="97"/>
    </row>
    <row r="123" spans="1:10" ht="14.5" customHeight="1" x14ac:dyDescent="0.35">
      <c r="B123" s="519"/>
      <c r="C123" s="520"/>
      <c r="D123" s="521"/>
      <c r="E123" s="521"/>
      <c r="F123" s="522"/>
    </row>
    <row r="124" spans="1:10" ht="14.5" customHeight="1" x14ac:dyDescent="0.35">
      <c r="B124" s="519"/>
      <c r="C124" s="520"/>
      <c r="D124" s="521"/>
      <c r="E124" s="521"/>
      <c r="F124" s="522"/>
    </row>
    <row r="125" spans="1:10" ht="14.5" customHeight="1" x14ac:dyDescent="0.35">
      <c r="B125" s="519"/>
      <c r="C125" s="520"/>
      <c r="D125" s="521"/>
      <c r="E125" s="521"/>
      <c r="F125" s="522"/>
    </row>
    <row r="126" spans="1:10" ht="14.5" customHeight="1" x14ac:dyDescent="0.35">
      <c r="B126" s="519"/>
      <c r="C126" s="520"/>
      <c r="D126" s="521"/>
      <c r="E126" s="521"/>
      <c r="F126" s="522"/>
    </row>
    <row r="127" spans="1:10" ht="14.5" customHeight="1" x14ac:dyDescent="0.35">
      <c r="B127" s="519"/>
      <c r="C127" s="520"/>
      <c r="D127" s="521"/>
      <c r="E127" s="521"/>
      <c r="F127" s="522"/>
    </row>
    <row r="128" spans="1:10" ht="14.5" customHeight="1" x14ac:dyDescent="0.35">
      <c r="B128" s="519"/>
      <c r="C128" s="520"/>
      <c r="D128" s="521"/>
      <c r="E128" s="521"/>
      <c r="F128" s="522"/>
    </row>
    <row r="129" spans="1:10" ht="14.5" customHeight="1" x14ac:dyDescent="0.35">
      <c r="B129" s="519"/>
      <c r="C129" s="520"/>
      <c r="D129" s="521"/>
      <c r="E129" s="521"/>
      <c r="F129" s="522"/>
    </row>
    <row r="130" spans="1:10" ht="14.5" customHeight="1" x14ac:dyDescent="0.35">
      <c r="B130" s="519"/>
      <c r="C130" s="520"/>
      <c r="D130" s="521"/>
      <c r="E130" s="521"/>
      <c r="F130" s="522"/>
    </row>
    <row r="131" spans="1:10" ht="14.5" customHeight="1" x14ac:dyDescent="0.35">
      <c r="B131" s="519"/>
      <c r="C131" s="520"/>
      <c r="D131" s="521"/>
      <c r="E131" s="521"/>
      <c r="F131" s="522"/>
    </row>
    <row r="132" spans="1:10" ht="14.5" customHeight="1" x14ac:dyDescent="0.35">
      <c r="B132" s="519"/>
      <c r="C132" s="520"/>
      <c r="D132" s="521"/>
      <c r="E132" s="521"/>
      <c r="F132" s="522"/>
    </row>
    <row r="133" spans="1:10" s="198" customFormat="1" ht="14.5" customHeight="1" x14ac:dyDescent="0.35">
      <c r="A133" s="97"/>
      <c r="B133" s="519"/>
      <c r="C133" s="520"/>
      <c r="D133" s="521"/>
      <c r="E133" s="521"/>
      <c r="F133" s="522"/>
      <c r="G133" s="97"/>
      <c r="H133" s="97"/>
      <c r="I133" s="97"/>
      <c r="J133" s="97"/>
    </row>
    <row r="134" spans="1:10" s="198" customFormat="1" ht="14.5" customHeight="1" x14ac:dyDescent="0.35">
      <c r="A134" s="97"/>
      <c r="B134" s="519"/>
      <c r="C134" s="520"/>
      <c r="D134" s="521"/>
      <c r="E134" s="521"/>
      <c r="F134" s="522"/>
      <c r="G134" s="97"/>
      <c r="H134" s="97"/>
      <c r="I134" s="97"/>
      <c r="J134" s="97"/>
    </row>
    <row r="135" spans="1:10" s="198" customFormat="1" ht="14.5" customHeight="1" x14ac:dyDescent="0.35">
      <c r="A135" s="97"/>
      <c r="B135" s="519"/>
      <c r="C135" s="520"/>
      <c r="D135" s="521"/>
      <c r="E135" s="521"/>
      <c r="F135" s="522"/>
      <c r="G135" s="97"/>
      <c r="H135" s="97"/>
      <c r="I135" s="97"/>
      <c r="J135" s="97"/>
    </row>
    <row r="136" spans="1:10" s="198" customFormat="1" ht="14.5" customHeight="1" x14ac:dyDescent="0.35">
      <c r="A136" s="97"/>
      <c r="B136" s="519"/>
      <c r="C136" s="520"/>
      <c r="D136" s="521"/>
      <c r="E136" s="521"/>
      <c r="F136" s="522"/>
      <c r="G136" s="97"/>
      <c r="H136" s="97"/>
      <c r="I136" s="97"/>
      <c r="J136" s="97"/>
    </row>
    <row r="137" spans="1:10" s="198" customFormat="1" ht="14.5" customHeight="1" x14ac:dyDescent="0.35">
      <c r="A137" s="97"/>
      <c r="B137" s="519"/>
      <c r="C137" s="520"/>
      <c r="D137" s="521"/>
      <c r="E137" s="521"/>
      <c r="F137" s="522"/>
      <c r="G137" s="97"/>
      <c r="H137" s="97"/>
      <c r="I137" s="97"/>
      <c r="J137" s="97"/>
    </row>
    <row r="138" spans="1:10" s="198" customFormat="1" ht="14.5" customHeight="1" x14ac:dyDescent="0.35">
      <c r="A138" s="97"/>
      <c r="B138" s="519"/>
      <c r="C138" s="520"/>
      <c r="D138" s="521"/>
      <c r="E138" s="521"/>
      <c r="F138" s="522"/>
      <c r="G138" s="97"/>
      <c r="H138" s="97"/>
      <c r="I138" s="97"/>
      <c r="J138" s="97"/>
    </row>
    <row r="139" spans="1:10" s="198" customFormat="1" ht="14.5" customHeight="1" x14ac:dyDescent="0.35">
      <c r="A139" s="97"/>
      <c r="B139" s="519"/>
      <c r="C139" s="520"/>
      <c r="D139" s="521"/>
      <c r="E139" s="521"/>
      <c r="F139" s="522"/>
      <c r="G139" s="97"/>
      <c r="H139" s="97"/>
      <c r="I139" s="97"/>
      <c r="J139" s="97"/>
    </row>
    <row r="140" spans="1:10" s="198" customFormat="1" ht="14.5" customHeight="1" x14ac:dyDescent="0.35">
      <c r="A140" s="97"/>
      <c r="B140" s="519"/>
      <c r="C140" s="520"/>
      <c r="D140" s="521"/>
      <c r="E140" s="521"/>
      <c r="F140" s="522"/>
      <c r="G140" s="97"/>
      <c r="H140" s="97"/>
      <c r="I140" s="97"/>
      <c r="J140" s="97"/>
    </row>
    <row r="141" spans="1:10" s="198" customFormat="1" ht="14.5" customHeight="1" x14ac:dyDescent="0.35">
      <c r="A141" s="97"/>
      <c r="B141" s="523"/>
      <c r="C141" s="524"/>
      <c r="D141" s="525"/>
      <c r="E141" s="525"/>
      <c r="F141" s="526"/>
      <c r="G141" s="97"/>
      <c r="H141" s="97"/>
      <c r="I141" s="97"/>
      <c r="J141" s="97"/>
    </row>
    <row r="142" spans="1:10" s="198" customFormat="1" ht="14.5" customHeight="1" x14ac:dyDescent="0.35">
      <c r="A142" s="97"/>
      <c r="B142" s="523"/>
      <c r="C142" s="524"/>
      <c r="D142" s="525"/>
      <c r="E142" s="525"/>
      <c r="F142" s="526"/>
      <c r="G142" s="97"/>
      <c r="H142" s="97"/>
      <c r="I142" s="97"/>
      <c r="J142" s="97"/>
    </row>
    <row r="143" spans="1:10" s="198" customFormat="1" ht="14.5" customHeight="1" x14ac:dyDescent="0.35">
      <c r="A143" s="97"/>
      <c r="B143" s="523"/>
      <c r="C143" s="524"/>
      <c r="D143" s="525"/>
      <c r="E143" s="525"/>
      <c r="F143" s="526"/>
      <c r="G143" s="97"/>
      <c r="H143" s="97"/>
      <c r="I143" s="97"/>
      <c r="J143" s="97"/>
    </row>
    <row r="144" spans="1:10" s="198" customFormat="1" ht="14.5" customHeight="1" x14ac:dyDescent="0.35">
      <c r="A144" s="97"/>
      <c r="B144" s="523"/>
      <c r="C144" s="524"/>
      <c r="D144" s="525"/>
      <c r="E144" s="525"/>
      <c r="F144" s="526"/>
      <c r="G144" s="97"/>
      <c r="H144" s="97"/>
      <c r="I144" s="97"/>
      <c r="J144" s="97"/>
    </row>
    <row r="145" spans="1:10" s="198" customFormat="1" ht="14.5" customHeight="1" x14ac:dyDescent="0.35">
      <c r="A145" s="97"/>
      <c r="B145" s="523"/>
      <c r="C145" s="524"/>
      <c r="D145" s="525"/>
      <c r="E145" s="525"/>
      <c r="F145" s="526"/>
      <c r="G145" s="97"/>
      <c r="H145" s="97"/>
      <c r="I145" s="97"/>
      <c r="J145" s="97"/>
    </row>
    <row r="146" spans="1:10" s="198" customFormat="1" ht="14.5" customHeight="1" x14ac:dyDescent="0.35">
      <c r="A146" s="97"/>
      <c r="B146" s="523"/>
      <c r="C146" s="524"/>
      <c r="D146" s="525"/>
      <c r="E146" s="525"/>
      <c r="F146" s="526"/>
      <c r="G146" s="97"/>
      <c r="H146" s="97"/>
      <c r="I146" s="97"/>
      <c r="J146" s="97"/>
    </row>
    <row r="147" spans="1:10" s="198" customFormat="1" ht="14.5" customHeight="1" x14ac:dyDescent="0.35">
      <c r="B147" s="523"/>
      <c r="C147" s="524"/>
      <c r="D147" s="525"/>
      <c r="E147" s="525"/>
      <c r="F147" s="526"/>
    </row>
    <row r="148" spans="1:10" s="198" customFormat="1" ht="14.5" customHeight="1" thickBot="1" x14ac:dyDescent="0.4">
      <c r="B148" s="523"/>
      <c r="C148" s="524"/>
      <c r="D148" s="525"/>
      <c r="E148" s="525"/>
      <c r="F148" s="526"/>
    </row>
    <row r="149" spans="1:10" s="198" customFormat="1" ht="15" thickBot="1" x14ac:dyDescent="0.4">
      <c r="B149" s="274" t="s">
        <v>398</v>
      </c>
      <c r="C149" s="362"/>
      <c r="D149" s="501">
        <f>SUMIF(E118:E148,"",D118:D148)</f>
        <v>0</v>
      </c>
      <c r="E149" s="276">
        <f>SUBTOTAL(9,E118:E148)</f>
        <v>0</v>
      </c>
      <c r="F149" s="277"/>
    </row>
    <row r="150" spans="1:10" s="198" customFormat="1" ht="15" thickBot="1" x14ac:dyDescent="0.4">
      <c r="B150" s="505" t="s">
        <v>1148</v>
      </c>
      <c r="C150" s="502">
        <v>0</v>
      </c>
      <c r="D150" s="341"/>
      <c r="E150" s="341"/>
      <c r="F150" s="341"/>
    </row>
    <row r="151" spans="1:10" s="198" customFormat="1" ht="8" customHeight="1" thickBot="1" x14ac:dyDescent="0.4">
      <c r="B151" s="278"/>
      <c r="C151" s="282"/>
      <c r="D151" s="503"/>
      <c r="E151" s="503"/>
      <c r="F151" s="503"/>
    </row>
    <row r="152" spans="1:10" s="198" customFormat="1" ht="15" thickBot="1" x14ac:dyDescent="0.4">
      <c r="B152" s="359" t="s">
        <v>439</v>
      </c>
      <c r="C152" s="360" t="s">
        <v>415</v>
      </c>
      <c r="D152" s="360" t="s">
        <v>10</v>
      </c>
      <c r="E152" s="360" t="s">
        <v>1098</v>
      </c>
      <c r="F152" s="361" t="s">
        <v>399</v>
      </c>
    </row>
    <row r="153" spans="1:10" s="198" customFormat="1" x14ac:dyDescent="0.35">
      <c r="B153" s="515"/>
      <c r="C153" s="516"/>
      <c r="D153" s="517"/>
      <c r="E153" s="517"/>
      <c r="F153" s="518"/>
    </row>
    <row r="154" spans="1:10" s="198" customFormat="1" x14ac:dyDescent="0.35">
      <c r="B154" s="523"/>
      <c r="C154" s="524"/>
      <c r="D154" s="525"/>
      <c r="E154" s="525"/>
      <c r="F154" s="526"/>
    </row>
    <row r="155" spans="1:10" s="198" customFormat="1" x14ac:dyDescent="0.35">
      <c r="B155" s="523"/>
      <c r="C155" s="524"/>
      <c r="D155" s="525"/>
      <c r="E155" s="525"/>
      <c r="F155" s="526"/>
    </row>
    <row r="156" spans="1:10" s="198" customFormat="1" x14ac:dyDescent="0.35">
      <c r="A156" s="97"/>
      <c r="B156" s="519"/>
      <c r="C156" s="520"/>
      <c r="D156" s="521"/>
      <c r="E156" s="521"/>
      <c r="F156" s="522"/>
      <c r="G156" s="97"/>
      <c r="H156" s="97"/>
      <c r="I156" s="97"/>
      <c r="J156" s="97"/>
    </row>
    <row r="157" spans="1:10" s="198" customFormat="1" x14ac:dyDescent="0.35">
      <c r="A157" s="97"/>
      <c r="B157" s="519"/>
      <c r="C157" s="520"/>
      <c r="D157" s="521"/>
      <c r="E157" s="521"/>
      <c r="F157" s="522"/>
      <c r="G157" s="97"/>
      <c r="H157" s="97"/>
      <c r="I157" s="97"/>
      <c r="J157" s="97"/>
    </row>
    <row r="158" spans="1:10" s="198" customFormat="1" x14ac:dyDescent="0.35">
      <c r="A158" s="97"/>
      <c r="B158" s="519"/>
      <c r="C158" s="520"/>
      <c r="D158" s="521"/>
      <c r="E158" s="521"/>
      <c r="F158" s="522"/>
      <c r="G158" s="97"/>
      <c r="H158" s="97"/>
      <c r="I158" s="97"/>
      <c r="J158" s="97"/>
    </row>
    <row r="159" spans="1:10" s="198" customFormat="1" x14ac:dyDescent="0.35">
      <c r="A159" s="97"/>
      <c r="B159" s="519"/>
      <c r="C159" s="520"/>
      <c r="D159" s="521"/>
      <c r="E159" s="521"/>
      <c r="F159" s="522"/>
      <c r="G159" s="97"/>
      <c r="H159" s="97"/>
      <c r="I159" s="97"/>
      <c r="J159" s="97"/>
    </row>
    <row r="160" spans="1:10" s="198" customFormat="1" x14ac:dyDescent="0.35">
      <c r="A160" s="97"/>
      <c r="B160" s="519"/>
      <c r="C160" s="520"/>
      <c r="D160" s="521"/>
      <c r="E160" s="521"/>
      <c r="F160" s="522"/>
      <c r="G160" s="97"/>
      <c r="H160" s="97"/>
      <c r="I160" s="97"/>
      <c r="J160" s="97"/>
    </row>
    <row r="161" spans="1:10" s="198" customFormat="1" x14ac:dyDescent="0.35">
      <c r="A161" s="97"/>
      <c r="B161" s="519"/>
      <c r="C161" s="520"/>
      <c r="D161" s="521"/>
      <c r="E161" s="521"/>
      <c r="F161" s="522"/>
      <c r="G161" s="97"/>
      <c r="H161" s="97"/>
      <c r="I161" s="97"/>
      <c r="J161" s="97"/>
    </row>
    <row r="162" spans="1:10" s="198" customFormat="1" x14ac:dyDescent="0.35">
      <c r="A162" s="97"/>
      <c r="B162" s="519"/>
      <c r="C162" s="520"/>
      <c r="D162" s="521"/>
      <c r="E162" s="521"/>
      <c r="F162" s="522"/>
      <c r="G162" s="97"/>
      <c r="H162" s="97"/>
      <c r="I162" s="97"/>
      <c r="J162" s="97"/>
    </row>
    <row r="163" spans="1:10" s="198" customFormat="1" x14ac:dyDescent="0.35">
      <c r="A163" s="97"/>
      <c r="B163" s="519"/>
      <c r="C163" s="520"/>
      <c r="D163" s="521"/>
      <c r="E163" s="521"/>
      <c r="F163" s="522"/>
      <c r="G163" s="97"/>
      <c r="H163" s="97"/>
      <c r="I163" s="97"/>
      <c r="J163" s="97"/>
    </row>
    <row r="164" spans="1:10" s="198" customFormat="1" x14ac:dyDescent="0.35">
      <c r="A164" s="97"/>
      <c r="B164" s="519"/>
      <c r="C164" s="520"/>
      <c r="D164" s="521"/>
      <c r="E164" s="521"/>
      <c r="F164" s="522"/>
      <c r="G164" s="97"/>
      <c r="H164" s="97"/>
      <c r="I164" s="97"/>
      <c r="J164" s="97"/>
    </row>
    <row r="165" spans="1:10" s="198" customFormat="1" x14ac:dyDescent="0.35">
      <c r="A165" s="97"/>
      <c r="B165" s="519"/>
      <c r="C165" s="520"/>
      <c r="D165" s="521"/>
      <c r="E165" s="521"/>
      <c r="F165" s="522"/>
      <c r="G165" s="97"/>
      <c r="H165" s="97"/>
      <c r="I165" s="97"/>
      <c r="J165" s="97"/>
    </row>
    <row r="166" spans="1:10" s="198" customFormat="1" x14ac:dyDescent="0.35">
      <c r="A166" s="97"/>
      <c r="B166" s="519"/>
      <c r="C166" s="520"/>
      <c r="D166" s="521"/>
      <c r="E166" s="521"/>
      <c r="F166" s="522"/>
      <c r="G166" s="97"/>
      <c r="H166" s="97"/>
      <c r="I166" s="97"/>
      <c r="J166" s="97"/>
    </row>
    <row r="167" spans="1:10" s="198" customFormat="1" x14ac:dyDescent="0.35">
      <c r="A167" s="97"/>
      <c r="B167" s="519"/>
      <c r="C167" s="520"/>
      <c r="D167" s="521"/>
      <c r="E167" s="521"/>
      <c r="F167" s="522"/>
      <c r="G167" s="97"/>
      <c r="H167" s="97"/>
      <c r="I167" s="97"/>
      <c r="J167" s="97"/>
    </row>
    <row r="168" spans="1:10" s="198" customFormat="1" x14ac:dyDescent="0.35">
      <c r="A168" s="97"/>
      <c r="B168" s="519"/>
      <c r="C168" s="520"/>
      <c r="D168" s="521"/>
      <c r="E168" s="521"/>
      <c r="F168" s="522"/>
      <c r="G168" s="97"/>
      <c r="H168" s="97"/>
      <c r="I168" s="97"/>
      <c r="J168" s="97"/>
    </row>
    <row r="169" spans="1:10" s="198" customFormat="1" x14ac:dyDescent="0.35">
      <c r="A169" s="97"/>
      <c r="B169" s="519"/>
      <c r="C169" s="520"/>
      <c r="D169" s="521"/>
      <c r="E169" s="521"/>
      <c r="F169" s="522"/>
      <c r="G169" s="97"/>
      <c r="H169" s="97"/>
      <c r="I169" s="97"/>
      <c r="J169" s="97"/>
    </row>
    <row r="170" spans="1:10" s="198" customFormat="1" x14ac:dyDescent="0.35">
      <c r="A170" s="97"/>
      <c r="B170" s="519"/>
      <c r="C170" s="520"/>
      <c r="D170" s="521"/>
      <c r="E170" s="521"/>
      <c r="F170" s="522"/>
      <c r="G170" s="97"/>
      <c r="H170" s="97"/>
      <c r="I170" s="97"/>
      <c r="J170" s="97"/>
    </row>
    <row r="171" spans="1:10" s="198" customFormat="1" x14ac:dyDescent="0.35">
      <c r="A171" s="97"/>
      <c r="B171" s="519"/>
      <c r="C171" s="520"/>
      <c r="D171" s="521"/>
      <c r="E171" s="521"/>
      <c r="F171" s="522"/>
      <c r="G171" s="97"/>
      <c r="H171" s="97"/>
      <c r="I171" s="97"/>
      <c r="J171" s="97"/>
    </row>
    <row r="172" spans="1:10" s="198" customFormat="1" x14ac:dyDescent="0.35">
      <c r="A172" s="97"/>
      <c r="B172" s="519"/>
      <c r="C172" s="520"/>
      <c r="D172" s="521"/>
      <c r="E172" s="521"/>
      <c r="F172" s="522"/>
      <c r="G172" s="97"/>
      <c r="H172" s="97"/>
      <c r="I172" s="97"/>
      <c r="J172" s="97"/>
    </row>
    <row r="173" spans="1:10" s="198" customFormat="1" x14ac:dyDescent="0.35">
      <c r="A173" s="97"/>
      <c r="B173" s="519"/>
      <c r="C173" s="520"/>
      <c r="D173" s="521"/>
      <c r="E173" s="521"/>
      <c r="F173" s="522"/>
      <c r="G173" s="97"/>
      <c r="H173" s="97"/>
      <c r="I173" s="97"/>
      <c r="J173" s="97"/>
    </row>
    <row r="174" spans="1:10" s="198" customFormat="1" x14ac:dyDescent="0.35">
      <c r="A174" s="97"/>
      <c r="B174" s="519"/>
      <c r="C174" s="520"/>
      <c r="D174" s="521"/>
      <c r="E174" s="521"/>
      <c r="F174" s="522"/>
      <c r="G174" s="97"/>
      <c r="H174" s="97"/>
      <c r="I174" s="97"/>
      <c r="J174" s="97"/>
    </row>
    <row r="175" spans="1:10" s="198" customFormat="1" x14ac:dyDescent="0.35">
      <c r="A175" s="97"/>
      <c r="B175" s="519"/>
      <c r="C175" s="520"/>
      <c r="D175" s="521"/>
      <c r="E175" s="521"/>
      <c r="F175" s="522"/>
      <c r="G175" s="97"/>
      <c r="H175" s="97"/>
      <c r="I175" s="97"/>
      <c r="J175" s="97"/>
    </row>
    <row r="176" spans="1:10" s="198" customFormat="1" x14ac:dyDescent="0.35">
      <c r="A176" s="97"/>
      <c r="B176" s="523"/>
      <c r="C176" s="524"/>
      <c r="D176" s="525"/>
      <c r="E176" s="525"/>
      <c r="F176" s="526"/>
      <c r="G176" s="97"/>
      <c r="H176" s="97"/>
      <c r="I176" s="97"/>
      <c r="J176" s="97"/>
    </row>
    <row r="177" spans="1:10" s="198" customFormat="1" x14ac:dyDescent="0.35">
      <c r="A177" s="97"/>
      <c r="B177" s="523"/>
      <c r="C177" s="524"/>
      <c r="D177" s="525"/>
      <c r="E177" s="525"/>
      <c r="F177" s="526"/>
      <c r="G177" s="97"/>
      <c r="H177" s="97"/>
      <c r="I177" s="97"/>
      <c r="J177" s="97"/>
    </row>
    <row r="178" spans="1:10" s="198" customFormat="1" x14ac:dyDescent="0.35">
      <c r="A178" s="97"/>
      <c r="B178" s="523"/>
      <c r="C178" s="524"/>
      <c r="D178" s="525"/>
      <c r="E178" s="525"/>
      <c r="F178" s="526"/>
      <c r="G178" s="97"/>
      <c r="H178" s="97"/>
      <c r="I178" s="97"/>
      <c r="J178" s="97"/>
    </row>
    <row r="179" spans="1:10" s="198" customFormat="1" x14ac:dyDescent="0.35">
      <c r="A179" s="97"/>
      <c r="B179" s="523"/>
      <c r="C179" s="524"/>
      <c r="D179" s="525"/>
      <c r="E179" s="525"/>
      <c r="F179" s="526"/>
      <c r="G179" s="97"/>
      <c r="H179" s="97"/>
      <c r="I179" s="97"/>
      <c r="J179" s="97"/>
    </row>
    <row r="180" spans="1:10" s="198" customFormat="1" x14ac:dyDescent="0.35">
      <c r="A180" s="97"/>
      <c r="B180" s="523"/>
      <c r="C180" s="524"/>
      <c r="D180" s="525"/>
      <c r="E180" s="525"/>
      <c r="F180" s="526"/>
      <c r="G180" s="97"/>
      <c r="H180" s="97"/>
      <c r="I180" s="97"/>
      <c r="J180" s="97"/>
    </row>
    <row r="181" spans="1:10" s="198" customFormat="1" x14ac:dyDescent="0.35">
      <c r="A181" s="97"/>
      <c r="B181" s="519"/>
      <c r="C181" s="520"/>
      <c r="D181" s="521"/>
      <c r="E181" s="521"/>
      <c r="F181" s="522"/>
      <c r="G181" s="97"/>
      <c r="H181" s="97"/>
      <c r="I181" s="97"/>
      <c r="J181" s="97"/>
    </row>
    <row r="182" spans="1:10" s="198" customFormat="1" ht="15" thickBot="1" x14ac:dyDescent="0.4">
      <c r="A182" s="97"/>
      <c r="B182" s="519"/>
      <c r="C182" s="520"/>
      <c r="D182" s="521"/>
      <c r="E182" s="521"/>
      <c r="F182" s="522"/>
      <c r="G182" s="97"/>
      <c r="H182" s="97"/>
      <c r="I182" s="97"/>
      <c r="J182" s="97"/>
    </row>
    <row r="183" spans="1:10" ht="15" thickBot="1" x14ac:dyDescent="0.4">
      <c r="A183" s="198"/>
      <c r="B183" s="274" t="s">
        <v>398</v>
      </c>
      <c r="C183" s="362"/>
      <c r="D183" s="363">
        <f>SUMIF(E153:E182,"",D153:D182)</f>
        <v>0</v>
      </c>
      <c r="E183" s="276">
        <f>SUBTOTAL(9,E153:E182)</f>
        <v>0</v>
      </c>
      <c r="F183" s="277"/>
      <c r="G183" s="198"/>
      <c r="H183" s="198"/>
      <c r="I183" s="198"/>
      <c r="J183" s="198"/>
    </row>
    <row r="184" spans="1:10" ht="15" thickBot="1" x14ac:dyDescent="0.4">
      <c r="B184" s="505" t="s">
        <v>1149</v>
      </c>
      <c r="C184" s="502">
        <v>0</v>
      </c>
    </row>
    <row r="185" spans="1:10" ht="8" customHeight="1" thickBot="1" x14ac:dyDescent="0.4">
      <c r="A185" s="198"/>
      <c r="B185" s="191"/>
      <c r="C185" s="192"/>
      <c r="D185" s="192"/>
      <c r="E185" s="193"/>
      <c r="F185" s="193"/>
      <c r="G185" s="198"/>
      <c r="H185" s="198"/>
      <c r="I185" s="198"/>
      <c r="J185" s="198"/>
    </row>
    <row r="186" spans="1:10" ht="15" thickBot="1" x14ac:dyDescent="0.4">
      <c r="A186" s="198"/>
      <c r="B186" s="30" t="s">
        <v>1110</v>
      </c>
      <c r="C186" s="364"/>
      <c r="D186" s="27">
        <f xml:space="preserve"> SUM(D47,D81,D115,D149,D183)</f>
        <v>0</v>
      </c>
      <c r="E186" s="28">
        <f>SUM('GMP-PO Breakdown'!D80:D83)</f>
        <v>0</v>
      </c>
      <c r="F186" s="383"/>
      <c r="G186" s="198"/>
      <c r="H186" s="198"/>
      <c r="I186" s="198"/>
      <c r="J186" s="198"/>
    </row>
    <row r="187" spans="1:10" ht="8" customHeight="1" thickBot="1" x14ac:dyDescent="0.4">
      <c r="A187" s="198"/>
      <c r="B187" s="191"/>
      <c r="C187" s="192"/>
      <c r="D187" s="192"/>
      <c r="E187" s="193"/>
      <c r="F187" s="193"/>
      <c r="G187" s="198"/>
      <c r="H187" s="198"/>
      <c r="I187" s="198"/>
      <c r="J187" s="198"/>
    </row>
    <row r="188" spans="1:10" ht="15" thickBot="1" x14ac:dyDescent="0.4">
      <c r="A188" s="198"/>
      <c r="B188" s="30" t="s">
        <v>1111</v>
      </c>
      <c r="C188" s="364"/>
      <c r="D188" s="27"/>
      <c r="E188" s="28">
        <f>(E183+E149+E115+E81+E47)+D186</f>
        <v>0</v>
      </c>
      <c r="F188" s="193"/>
      <c r="G188" s="198"/>
      <c r="H188" s="198"/>
      <c r="I188" s="198"/>
      <c r="J188" s="198"/>
    </row>
    <row r="189" spans="1:10" ht="8" customHeight="1" thickBot="1" x14ac:dyDescent="0.4">
      <c r="A189" s="198"/>
      <c r="B189" s="191"/>
      <c r="C189" s="192"/>
      <c r="D189" s="192"/>
      <c r="E189" s="193"/>
      <c r="F189" s="193"/>
      <c r="G189" s="198"/>
      <c r="H189" s="198"/>
      <c r="I189" s="198"/>
      <c r="J189" s="198"/>
    </row>
    <row r="190" spans="1:10" ht="15" thickBot="1" x14ac:dyDescent="0.4">
      <c r="A190" s="198"/>
      <c r="B190" s="30" t="s">
        <v>1112</v>
      </c>
      <c r="C190" s="364"/>
      <c r="D190" s="27"/>
      <c r="E190" s="28">
        <f>E186-E188</f>
        <v>0</v>
      </c>
      <c r="F190" s="193"/>
      <c r="G190" s="198"/>
      <c r="H190" s="198"/>
      <c r="I190" s="198"/>
      <c r="J190" s="198"/>
    </row>
    <row r="191" spans="1:10" ht="8" customHeight="1" thickBot="1" x14ac:dyDescent="0.4">
      <c r="A191" s="198"/>
      <c r="B191" s="191"/>
      <c r="C191" s="192"/>
      <c r="D191" s="192"/>
      <c r="E191" s="193"/>
      <c r="F191" s="193"/>
      <c r="G191" s="198"/>
      <c r="H191" s="198"/>
      <c r="I191" s="198"/>
      <c r="J191" s="198"/>
    </row>
    <row r="192" spans="1:10" ht="15" thickBot="1" x14ac:dyDescent="0.4">
      <c r="A192" s="198"/>
      <c r="B192" s="30" t="s">
        <v>416</v>
      </c>
      <c r="C192" s="364"/>
      <c r="D192" s="27"/>
      <c r="E192" s="28"/>
      <c r="F192" s="193"/>
      <c r="G192" s="198"/>
      <c r="H192" s="198"/>
      <c r="I192" s="198"/>
      <c r="J192" s="198"/>
    </row>
    <row r="193" spans="1:10" x14ac:dyDescent="0.35">
      <c r="A193" s="198"/>
      <c r="B193" s="191"/>
      <c r="C193" s="192"/>
      <c r="D193" s="192"/>
      <c r="E193" s="193"/>
      <c r="F193" s="193"/>
      <c r="G193" s="198"/>
      <c r="H193" s="198"/>
      <c r="I193" s="198"/>
      <c r="J193" s="198"/>
    </row>
    <row r="194" spans="1:10" x14ac:dyDescent="0.35">
      <c r="A194" s="198"/>
      <c r="B194" s="191"/>
      <c r="C194" s="192"/>
      <c r="D194" s="192"/>
      <c r="E194" s="193"/>
      <c r="F194" s="193"/>
      <c r="G194" s="198"/>
      <c r="H194" s="198"/>
      <c r="I194" s="198"/>
      <c r="J194" s="198"/>
    </row>
    <row r="195" spans="1:10" x14ac:dyDescent="0.35">
      <c r="A195" s="198"/>
      <c r="B195" s="191"/>
      <c r="C195" s="192"/>
      <c r="D195" s="192"/>
      <c r="E195" s="193"/>
      <c r="F195" s="193"/>
      <c r="G195" s="198"/>
      <c r="H195" s="198"/>
      <c r="I195" s="198"/>
      <c r="J195" s="198"/>
    </row>
    <row r="196" spans="1:10" x14ac:dyDescent="0.35">
      <c r="A196" s="198"/>
      <c r="B196" s="191"/>
      <c r="C196" s="192"/>
      <c r="D196" s="192"/>
      <c r="E196" s="193"/>
      <c r="F196" s="193"/>
      <c r="G196" s="198"/>
      <c r="H196" s="198"/>
      <c r="I196" s="198"/>
      <c r="J196" s="198"/>
    </row>
    <row r="197" spans="1:10" x14ac:dyDescent="0.35">
      <c r="A197" s="198"/>
      <c r="B197" s="191"/>
      <c r="C197" s="192"/>
      <c r="D197" s="192"/>
      <c r="E197" s="193"/>
      <c r="F197" s="193"/>
      <c r="G197" s="198"/>
      <c r="H197" s="198"/>
      <c r="I197" s="198"/>
      <c r="J197" s="198"/>
    </row>
    <row r="198" spans="1:10" x14ac:dyDescent="0.35">
      <c r="A198" s="198"/>
      <c r="B198" s="191"/>
      <c r="C198" s="192"/>
      <c r="D198" s="192"/>
      <c r="E198" s="193"/>
      <c r="F198" s="193"/>
      <c r="G198" s="198"/>
      <c r="H198" s="198"/>
      <c r="I198" s="198"/>
      <c r="J198" s="198"/>
    </row>
    <row r="199" spans="1:10" x14ac:dyDescent="0.35">
      <c r="A199" s="198"/>
      <c r="B199" s="191"/>
      <c r="C199" s="192"/>
      <c r="D199" s="192"/>
      <c r="E199" s="193"/>
      <c r="F199" s="193"/>
      <c r="G199" s="198"/>
      <c r="H199" s="198"/>
      <c r="I199" s="198"/>
      <c r="J199" s="198"/>
    </row>
    <row r="200" spans="1:10" x14ac:dyDescent="0.35">
      <c r="A200" s="198"/>
      <c r="C200" s="192"/>
      <c r="D200" s="192"/>
      <c r="E200" s="193"/>
      <c r="F200" s="193"/>
      <c r="G200" s="198"/>
      <c r="H200" s="198"/>
      <c r="I200" s="198"/>
      <c r="J200" s="198"/>
    </row>
    <row r="201" spans="1:10" x14ac:dyDescent="0.35">
      <c r="A201" s="198"/>
      <c r="G201" s="198"/>
      <c r="H201" s="198"/>
      <c r="I201" s="198"/>
      <c r="J201" s="198"/>
    </row>
    <row r="202" spans="1:10" x14ac:dyDescent="0.35">
      <c r="A202" s="198"/>
      <c r="G202" s="198"/>
      <c r="H202" s="198"/>
      <c r="I202" s="198"/>
      <c r="J202" s="198"/>
    </row>
    <row r="203" spans="1:10" x14ac:dyDescent="0.35">
      <c r="A203" s="198"/>
      <c r="G203" s="198"/>
      <c r="H203" s="198"/>
      <c r="I203" s="198"/>
      <c r="J203" s="198"/>
    </row>
    <row r="204" spans="1:10" x14ac:dyDescent="0.35">
      <c r="A204" s="198"/>
      <c r="G204" s="198"/>
      <c r="H204" s="198"/>
      <c r="I204" s="198"/>
      <c r="J204" s="198"/>
    </row>
    <row r="205" spans="1:10" x14ac:dyDescent="0.35">
      <c r="A205" s="198"/>
      <c r="G205" s="198"/>
      <c r="H205" s="198"/>
      <c r="I205" s="198"/>
      <c r="J205" s="198"/>
    </row>
    <row r="206" spans="1:10" x14ac:dyDescent="0.35">
      <c r="A206" s="198"/>
      <c r="G206" s="198"/>
      <c r="H206" s="198"/>
      <c r="I206" s="198"/>
      <c r="J206" s="198"/>
    </row>
    <row r="207" spans="1:10" x14ac:dyDescent="0.35">
      <c r="A207" s="198"/>
      <c r="G207" s="198"/>
      <c r="H207" s="198"/>
      <c r="I207" s="198"/>
      <c r="J207" s="198"/>
    </row>
    <row r="208" spans="1:10" x14ac:dyDescent="0.35">
      <c r="A208" s="198"/>
      <c r="G208" s="198"/>
      <c r="H208" s="198"/>
      <c r="I208" s="198"/>
      <c r="J208" s="198"/>
    </row>
    <row r="209" spans="1:10" x14ac:dyDescent="0.35">
      <c r="A209" s="198"/>
      <c r="G209" s="198"/>
      <c r="H209" s="198"/>
      <c r="I209" s="198"/>
      <c r="J209" s="198"/>
    </row>
    <row r="210" spans="1:10" x14ac:dyDescent="0.35">
      <c r="A210" s="198"/>
      <c r="G210" s="198"/>
      <c r="H210" s="198"/>
      <c r="I210" s="198"/>
      <c r="J210" s="198"/>
    </row>
    <row r="211" spans="1:10" x14ac:dyDescent="0.35">
      <c r="A211" s="198"/>
      <c r="G211" s="198"/>
      <c r="H211" s="198"/>
      <c r="I211" s="198"/>
      <c r="J211" s="198"/>
    </row>
    <row r="212" spans="1:10" x14ac:dyDescent="0.35">
      <c r="A212" s="198"/>
      <c r="G212" s="198"/>
      <c r="H212" s="198"/>
      <c r="I212" s="198"/>
      <c r="J212" s="198"/>
    </row>
    <row r="213" spans="1:10" x14ac:dyDescent="0.35">
      <c r="A213" s="198"/>
      <c r="G213" s="198"/>
      <c r="H213" s="198"/>
      <c r="I213" s="198"/>
      <c r="J213" s="198"/>
    </row>
    <row r="214" spans="1:10" x14ac:dyDescent="0.35">
      <c r="A214" s="198"/>
      <c r="G214" s="198"/>
      <c r="H214" s="198"/>
      <c r="I214" s="198"/>
      <c r="J214" s="198"/>
    </row>
    <row r="215" spans="1:10" x14ac:dyDescent="0.35">
      <c r="A215" s="198"/>
      <c r="G215" s="198"/>
      <c r="H215" s="198"/>
      <c r="I215" s="198"/>
      <c r="J215" s="198"/>
    </row>
    <row r="216" spans="1:10" x14ac:dyDescent="0.35">
      <c r="A216" s="198"/>
      <c r="G216" s="198"/>
      <c r="H216" s="198"/>
      <c r="I216" s="198"/>
      <c r="J216" s="198"/>
    </row>
    <row r="217" spans="1:10" x14ac:dyDescent="0.35">
      <c r="A217" s="198"/>
      <c r="G217" s="198"/>
      <c r="H217" s="198"/>
      <c r="I217" s="198"/>
      <c r="J217" s="198"/>
    </row>
    <row r="218" spans="1:10" x14ac:dyDescent="0.35">
      <c r="A218" s="198"/>
      <c r="G218" s="198"/>
      <c r="H218" s="198"/>
      <c r="I218" s="198"/>
      <c r="J218" s="198"/>
    </row>
    <row r="219" spans="1:10" x14ac:dyDescent="0.35">
      <c r="A219" s="198"/>
      <c r="G219" s="198"/>
      <c r="H219" s="198"/>
      <c r="I219" s="198"/>
      <c r="J219" s="198"/>
    </row>
    <row r="220" spans="1:10" x14ac:dyDescent="0.35">
      <c r="A220" s="198"/>
      <c r="G220" s="198"/>
      <c r="H220" s="198"/>
      <c r="I220" s="198"/>
      <c r="J220" s="198"/>
    </row>
    <row r="221" spans="1:10" x14ac:dyDescent="0.35">
      <c r="A221" s="198"/>
      <c r="G221" s="198"/>
      <c r="H221" s="198"/>
      <c r="I221" s="198"/>
      <c r="J221" s="198"/>
    </row>
    <row r="222" spans="1:10" x14ac:dyDescent="0.35">
      <c r="A222" s="198"/>
      <c r="G222" s="198"/>
      <c r="H222" s="198"/>
      <c r="I222" s="198"/>
      <c r="J222" s="198"/>
    </row>
    <row r="223" spans="1:10" x14ac:dyDescent="0.35">
      <c r="A223" s="198"/>
      <c r="G223" s="198"/>
      <c r="H223" s="198"/>
      <c r="I223" s="198"/>
      <c r="J223" s="198"/>
    </row>
    <row r="224" spans="1:10" x14ac:dyDescent="0.35">
      <c r="A224" s="198"/>
      <c r="G224" s="198"/>
      <c r="H224" s="198"/>
      <c r="I224" s="198"/>
      <c r="J224" s="198"/>
    </row>
    <row r="225" spans="1:10" x14ac:dyDescent="0.35">
      <c r="A225" s="198"/>
      <c r="G225" s="198"/>
      <c r="H225" s="198"/>
      <c r="I225" s="198"/>
      <c r="J225" s="198"/>
    </row>
    <row r="226" spans="1:10" x14ac:dyDescent="0.35">
      <c r="A226" s="198"/>
      <c r="G226" s="198"/>
      <c r="H226" s="198"/>
      <c r="I226" s="198"/>
      <c r="J226" s="198"/>
    </row>
    <row r="227" spans="1:10" x14ac:dyDescent="0.35">
      <c r="A227" s="198"/>
      <c r="G227" s="198"/>
      <c r="H227" s="198"/>
      <c r="I227" s="198"/>
      <c r="J227" s="198"/>
    </row>
    <row r="228" spans="1:10" x14ac:dyDescent="0.35">
      <c r="A228" s="198"/>
      <c r="G228" s="198"/>
      <c r="H228" s="198"/>
      <c r="I228" s="198"/>
      <c r="J228" s="198"/>
    </row>
    <row r="229" spans="1:10" x14ac:dyDescent="0.35">
      <c r="A229" s="198"/>
      <c r="G229" s="198"/>
      <c r="H229" s="198"/>
      <c r="I229" s="198"/>
      <c r="J229" s="198"/>
    </row>
    <row r="230" spans="1:10" x14ac:dyDescent="0.35">
      <c r="A230" s="198"/>
      <c r="G230" s="198"/>
      <c r="H230" s="198"/>
      <c r="I230" s="198"/>
      <c r="J230" s="198"/>
    </row>
    <row r="231" spans="1:10" x14ac:dyDescent="0.35">
      <c r="A231" s="198"/>
      <c r="G231" s="198"/>
      <c r="H231" s="198"/>
      <c r="I231" s="198"/>
      <c r="J231" s="198"/>
    </row>
    <row r="232" spans="1:10" x14ac:dyDescent="0.35">
      <c r="A232" s="198"/>
      <c r="G232" s="198"/>
      <c r="H232" s="198"/>
      <c r="I232" s="198"/>
      <c r="J232" s="198"/>
    </row>
    <row r="233" spans="1:10" x14ac:dyDescent="0.35">
      <c r="A233" s="198"/>
      <c r="G233" s="198"/>
      <c r="H233" s="198"/>
      <c r="I233" s="198"/>
      <c r="J233" s="198"/>
    </row>
    <row r="234" spans="1:10" x14ac:dyDescent="0.35">
      <c r="A234" s="198"/>
      <c r="G234" s="198"/>
      <c r="H234" s="198"/>
      <c r="I234" s="198"/>
      <c r="J234" s="198"/>
    </row>
    <row r="235" spans="1:10" x14ac:dyDescent="0.35">
      <c r="A235" s="198"/>
      <c r="G235" s="198"/>
      <c r="H235" s="198"/>
      <c r="I235" s="198"/>
      <c r="J235" s="198"/>
    </row>
    <row r="236" spans="1:10" x14ac:dyDescent="0.35">
      <c r="A236" s="198"/>
      <c r="G236" s="198"/>
      <c r="H236" s="198"/>
      <c r="I236" s="198"/>
      <c r="J236" s="198"/>
    </row>
    <row r="237" spans="1:10" x14ac:dyDescent="0.35">
      <c r="A237" s="198"/>
      <c r="G237" s="198"/>
      <c r="H237" s="198"/>
      <c r="I237" s="198"/>
      <c r="J237" s="198"/>
    </row>
    <row r="238" spans="1:10" x14ac:dyDescent="0.35">
      <c r="A238" s="198"/>
      <c r="G238" s="198"/>
      <c r="H238" s="198"/>
      <c r="I238" s="198"/>
      <c r="J238" s="198"/>
    </row>
    <row r="239" spans="1:10" x14ac:dyDescent="0.35">
      <c r="A239" s="198"/>
      <c r="G239" s="198"/>
      <c r="H239" s="198"/>
      <c r="I239" s="198"/>
      <c r="J239" s="198"/>
    </row>
    <row r="240" spans="1:10" x14ac:dyDescent="0.35">
      <c r="A240" s="198"/>
      <c r="G240" s="198"/>
      <c r="H240" s="198"/>
      <c r="I240" s="198"/>
      <c r="J240" s="198"/>
    </row>
    <row r="241" spans="1:10" x14ac:dyDescent="0.35">
      <c r="A241" s="198"/>
      <c r="G241" s="198"/>
      <c r="H241" s="198"/>
      <c r="I241" s="198"/>
      <c r="J241" s="198"/>
    </row>
    <row r="242" spans="1:10" x14ac:dyDescent="0.35">
      <c r="A242" s="198"/>
      <c r="G242" s="198"/>
      <c r="H242" s="198"/>
      <c r="I242" s="198"/>
      <c r="J242" s="198"/>
    </row>
    <row r="243" spans="1:10" x14ac:dyDescent="0.35">
      <c r="A243" s="198"/>
      <c r="G243" s="198"/>
      <c r="H243" s="198"/>
      <c r="I243" s="198"/>
      <c r="J243" s="198"/>
    </row>
    <row r="244" spans="1:10" x14ac:dyDescent="0.35">
      <c r="A244" s="198"/>
      <c r="G244" s="198"/>
      <c r="H244" s="198"/>
      <c r="I244" s="198"/>
      <c r="J244" s="198"/>
    </row>
    <row r="245" spans="1:10" x14ac:dyDescent="0.35">
      <c r="A245" s="198"/>
      <c r="G245" s="198"/>
      <c r="H245" s="198"/>
      <c r="I245" s="198"/>
      <c r="J245" s="198"/>
    </row>
    <row r="246" spans="1:10" x14ac:dyDescent="0.35">
      <c r="A246" s="198"/>
      <c r="G246" s="198"/>
      <c r="H246" s="198"/>
      <c r="I246" s="198"/>
      <c r="J246" s="198"/>
    </row>
    <row r="247" spans="1:10" x14ac:dyDescent="0.35">
      <c r="A247" s="198"/>
      <c r="G247" s="198"/>
      <c r="H247" s="198"/>
      <c r="I247" s="198"/>
      <c r="J247" s="198"/>
    </row>
    <row r="248" spans="1:10" x14ac:dyDescent="0.35">
      <c r="A248" s="198"/>
      <c r="G248" s="198"/>
      <c r="H248" s="198"/>
      <c r="I248" s="198"/>
      <c r="J248" s="198"/>
    </row>
  </sheetData>
  <sheetProtection algorithmName="SHA-512" hashValue="5ViNiv8QhCjpoOX4ppiItLCprg9JuMTdr3SLRTFSzajcIQ7Kf1hRHp6icrm1EO1yqSn8WHjprslWOdLNchScsA==" saltValue="w+z/FA/BTw2eAgBmOxxGyQ==" spinCount="100000" sheet="1" objects="1" scenarios="1"/>
  <pageMargins left="0.7" right="0.7" top="0.75" bottom="0.75" header="0.3" footer="0.3"/>
  <pageSetup scale="8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K466"/>
  <sheetViews>
    <sheetView topLeftCell="A6" zoomScale="80" zoomScaleNormal="80" workbookViewId="0">
      <selection activeCell="E30" sqref="E30"/>
    </sheetView>
  </sheetViews>
  <sheetFormatPr defaultColWidth="9.1796875" defaultRowHeight="14.5" x14ac:dyDescent="0.35"/>
  <cols>
    <col min="1" max="1" width="6.453125" style="97" customWidth="1"/>
    <col min="2" max="2" width="42.08984375" style="97" customWidth="1"/>
    <col min="3" max="3" width="31.453125" style="97" bestFit="1" customWidth="1"/>
    <col min="4" max="4" width="32.1796875" style="97" customWidth="1"/>
    <col min="5" max="5" width="38.1796875" style="97" customWidth="1"/>
    <col min="6" max="7" width="15.7265625" style="97" customWidth="1"/>
    <col min="8"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10" x14ac:dyDescent="0.35">
      <c r="B33" s="432"/>
      <c r="C33" s="508"/>
      <c r="D33" s="497"/>
    </row>
    <row r="34" spans="1:10" x14ac:dyDescent="0.35">
      <c r="B34" s="432"/>
      <c r="C34" s="508"/>
      <c r="D34" s="497"/>
      <c r="G34" s="97" t="s">
        <v>1113</v>
      </c>
    </row>
    <row r="35" spans="1:10" x14ac:dyDescent="0.35">
      <c r="B35" s="432"/>
      <c r="C35" s="508"/>
      <c r="D35" s="497"/>
    </row>
    <row r="36" spans="1:10" x14ac:dyDescent="0.35">
      <c r="B36" s="432"/>
      <c r="C36" s="508"/>
      <c r="D36" s="497"/>
    </row>
    <row r="37" spans="1:10" x14ac:dyDescent="0.35">
      <c r="A37" s="343"/>
      <c r="B37" s="433"/>
      <c r="C37" s="509"/>
      <c r="D37" s="498"/>
    </row>
    <row r="38" spans="1:10" ht="16" thickBot="1" x14ac:dyDescent="0.4">
      <c r="A38" s="343"/>
      <c r="B38" s="423"/>
      <c r="C38" s="510"/>
      <c r="D38" s="499"/>
    </row>
    <row r="39" spans="1:10" ht="16" thickBot="1" x14ac:dyDescent="0.4">
      <c r="A39" s="424"/>
      <c r="B39" s="425" t="s">
        <v>570</v>
      </c>
      <c r="C39" s="426"/>
      <c r="D39" s="427">
        <f>COUNTA(D16:D38)</f>
        <v>0</v>
      </c>
    </row>
    <row r="42" spans="1:10" ht="16" thickBot="1" x14ac:dyDescent="0.4">
      <c r="C42" s="33" t="s">
        <v>404</v>
      </c>
    </row>
    <row r="43" spans="1:10" ht="56" x14ac:dyDescent="0.35">
      <c r="A43" s="428"/>
      <c r="B43" s="428"/>
      <c r="C43" s="429" t="s">
        <v>400</v>
      </c>
      <c r="D43" s="429" t="s">
        <v>412</v>
      </c>
      <c r="E43" s="429" t="s">
        <v>411</v>
      </c>
      <c r="F43" s="429" t="s">
        <v>414</v>
      </c>
      <c r="G43" s="429" t="s">
        <v>1114</v>
      </c>
      <c r="H43" s="429" t="s">
        <v>1115</v>
      </c>
      <c r="I43" s="428"/>
      <c r="J43" s="428"/>
    </row>
    <row r="44" spans="1:10" ht="15.5" x14ac:dyDescent="0.35">
      <c r="C44" s="367"/>
      <c r="D44" s="365"/>
      <c r="E44" s="365"/>
      <c r="F44" s="365">
        <f>D44-E44</f>
        <v>0</v>
      </c>
      <c r="G44" s="365"/>
      <c r="H44" s="365"/>
    </row>
    <row r="45" spans="1:10" ht="15.5" x14ac:dyDescent="0.35">
      <c r="C45" s="367"/>
      <c r="D45" s="365"/>
      <c r="E45" s="365"/>
      <c r="F45" s="365">
        <f>D45-E45</f>
        <v>0</v>
      </c>
      <c r="G45" s="365"/>
      <c r="H45" s="365"/>
    </row>
    <row r="46" spans="1:10" ht="15.5" x14ac:dyDescent="0.35">
      <c r="C46" s="367"/>
      <c r="D46" s="368"/>
      <c r="E46" s="368"/>
      <c r="F46" s="365">
        <f t="shared" ref="F46:F72" si="0">D46-E46</f>
        <v>0</v>
      </c>
      <c r="G46" s="368"/>
      <c r="H46" s="368"/>
    </row>
    <row r="47" spans="1:10" ht="15.5" x14ac:dyDescent="0.35">
      <c r="C47" s="367"/>
      <c r="D47" s="368"/>
      <c r="E47" s="368"/>
      <c r="F47" s="365">
        <f t="shared" si="0"/>
        <v>0</v>
      </c>
      <c r="G47" s="368"/>
      <c r="H47" s="368"/>
    </row>
    <row r="48" spans="1:10"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1:10" ht="15.5" x14ac:dyDescent="0.35">
      <c r="C65" s="369"/>
      <c r="D65" s="368"/>
      <c r="E65" s="368"/>
      <c r="F65" s="365">
        <f t="shared" si="0"/>
        <v>0</v>
      </c>
      <c r="G65" s="365"/>
      <c r="H65" s="365"/>
    </row>
    <row r="66" spans="1:10" ht="15.5" x14ac:dyDescent="0.35">
      <c r="C66" s="369"/>
      <c r="D66" s="368"/>
      <c r="E66" s="368"/>
      <c r="F66" s="365">
        <f t="shared" si="0"/>
        <v>0</v>
      </c>
      <c r="G66" s="365"/>
      <c r="H66" s="365"/>
    </row>
    <row r="67" spans="1:10" ht="15.5" x14ac:dyDescent="0.35">
      <c r="C67" s="369"/>
      <c r="D67" s="368"/>
      <c r="E67" s="368"/>
      <c r="F67" s="365">
        <f t="shared" si="0"/>
        <v>0</v>
      </c>
      <c r="G67" s="365"/>
      <c r="H67" s="365"/>
    </row>
    <row r="68" spans="1:10" ht="15.5" x14ac:dyDescent="0.35">
      <c r="C68" s="369"/>
      <c r="D68" s="368"/>
      <c r="E68" s="368"/>
      <c r="F68" s="365">
        <f t="shared" si="0"/>
        <v>0</v>
      </c>
      <c r="G68" s="365"/>
      <c r="H68" s="365"/>
    </row>
    <row r="69" spans="1:10" ht="15.5" x14ac:dyDescent="0.35">
      <c r="C69" s="369"/>
      <c r="D69" s="368"/>
      <c r="E69" s="368"/>
      <c r="F69" s="365">
        <f t="shared" si="0"/>
        <v>0</v>
      </c>
      <c r="G69" s="365"/>
      <c r="H69" s="365"/>
    </row>
    <row r="70" spans="1:10" ht="15.5" x14ac:dyDescent="0.35">
      <c r="C70" s="369"/>
      <c r="D70" s="368"/>
      <c r="E70" s="368"/>
      <c r="F70" s="365">
        <f t="shared" si="0"/>
        <v>0</v>
      </c>
      <c r="G70" s="365"/>
      <c r="H70" s="365"/>
    </row>
    <row r="71" spans="1:10" ht="15.5" x14ac:dyDescent="0.35">
      <c r="C71" s="369"/>
      <c r="D71" s="368"/>
      <c r="E71" s="368"/>
      <c r="F71" s="365">
        <f t="shared" si="0"/>
        <v>0</v>
      </c>
      <c r="G71" s="365"/>
      <c r="H71" s="365"/>
    </row>
    <row r="72" spans="1:10" ht="16" thickBot="1" x14ac:dyDescent="0.4">
      <c r="C72" s="370"/>
      <c r="D72" s="371"/>
      <c r="E72" s="371"/>
      <c r="F72" s="365">
        <f t="shared" si="0"/>
        <v>0</v>
      </c>
      <c r="G72" s="365"/>
      <c r="H72" s="365"/>
    </row>
    <row r="73" spans="1:10" ht="16" thickBot="1" x14ac:dyDescent="0.4">
      <c r="C73" s="35" t="s">
        <v>398</v>
      </c>
      <c r="D73" s="31">
        <f>SUBTOTAL(9,D44:D72)</f>
        <v>0</v>
      </c>
      <c r="E73" s="31">
        <f>SUBTOTAL(9,E44:E72)</f>
        <v>0</v>
      </c>
      <c r="F73" s="31">
        <f>SUBTOTAL(9,F44:F72)</f>
        <v>0</v>
      </c>
      <c r="G73" s="31">
        <f t="shared" ref="G73:H73" si="1">SUBTOTAL(9,G44:G72)</f>
        <v>0</v>
      </c>
      <c r="H73" s="31">
        <f t="shared" si="1"/>
        <v>0</v>
      </c>
    </row>
    <row r="74" spans="1:10" ht="15" thickBot="1" x14ac:dyDescent="0.4"/>
    <row r="75" spans="1:10" ht="15" thickBot="1" x14ac:dyDescent="0.4">
      <c r="C75" s="34" t="s">
        <v>403</v>
      </c>
      <c r="D75" s="366"/>
      <c r="E75" s="32">
        <f>D73-E73</f>
        <v>0</v>
      </c>
    </row>
    <row r="76" spans="1:10" x14ac:dyDescent="0.35">
      <c r="C76" s="372"/>
      <c r="D76" s="343"/>
      <c r="E76" s="343"/>
    </row>
    <row r="77" spans="1:10" ht="16" thickBot="1" x14ac:dyDescent="0.4">
      <c r="C77" s="33" t="s">
        <v>405</v>
      </c>
    </row>
    <row r="78" spans="1:10" x14ac:dyDescent="0.35">
      <c r="A78" s="430"/>
      <c r="B78" s="430"/>
      <c r="C78" s="429" t="s">
        <v>408</v>
      </c>
      <c r="D78" s="429" t="s">
        <v>406</v>
      </c>
      <c r="E78" s="446" t="s">
        <v>407</v>
      </c>
      <c r="F78" s="430"/>
      <c r="G78" s="430"/>
      <c r="H78" s="430"/>
      <c r="I78" s="430"/>
      <c r="J78" s="430"/>
    </row>
    <row r="79" spans="1:10" x14ac:dyDescent="0.35">
      <c r="C79" s="373"/>
      <c r="D79" s="374"/>
      <c r="E79" s="375"/>
    </row>
    <row r="80" spans="1:10"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row r="445" ht="18" customHeight="1" x14ac:dyDescent="0.35"/>
    <row r="446" ht="14.25" customHeight="1" x14ac:dyDescent="0.35"/>
    <row r="447" ht="14.25" customHeight="1" x14ac:dyDescent="0.35"/>
    <row r="448" ht="15" customHeight="1" x14ac:dyDescent="0.35"/>
    <row r="449" ht="56.5" customHeight="1" x14ac:dyDescent="0.35"/>
    <row r="466" spans="11:11" x14ac:dyDescent="0.35">
      <c r="K466" s="198"/>
    </row>
  </sheetData>
  <sheetProtection algorithmName="SHA-512" hashValue="QOrPxoRppIeELiz55aMyJabgS2aQtMnIS6UY1IB0yK4FXUkvxnf5d++OiAk7NsXvSk4Q6de1LIa9pkwsV7/Jdg==" saltValue="cmuBmGF8LIZ4f/FYX561kQ==" spinCount="100000" sheet="1" objects="1" scenarios="1"/>
  <pageMargins left="0.7" right="0.7" top="0.75" bottom="0.75" header="0.3" footer="0.3"/>
  <pageSetup scale="62" fitToHeight="0"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7590-5EBD-4F44-B9B2-F1459547EED0}">
  <sheetPr codeName="Sheet10"/>
  <dimension ref="B1:K80"/>
  <sheetViews>
    <sheetView topLeftCell="A20" zoomScale="85" zoomScaleNormal="85" workbookViewId="0">
      <selection activeCell="B37" sqref="B37"/>
    </sheetView>
  </sheetViews>
  <sheetFormatPr defaultColWidth="8.81640625" defaultRowHeight="14.5" x14ac:dyDescent="0.35"/>
  <cols>
    <col min="1" max="1" width="9.81640625" style="97" customWidth="1"/>
    <col min="2" max="2" width="17" style="97" customWidth="1"/>
    <col min="3" max="3" width="23.453125" style="97" customWidth="1"/>
    <col min="4" max="4" width="28.453125" style="97" customWidth="1"/>
    <col min="5" max="5" width="24.1796875" style="97" customWidth="1"/>
    <col min="6" max="6" width="29.90625" style="97" customWidth="1"/>
    <col min="7" max="7" width="23" style="97" customWidth="1"/>
    <col min="8" max="9" width="11.36328125" style="97" customWidth="1"/>
    <col min="10" max="10" width="8.81640625" style="97" customWidth="1"/>
    <col min="11" max="11" width="9.7265625" style="97" customWidth="1"/>
    <col min="12" max="16384" width="8.81640625" style="97"/>
  </cols>
  <sheetData>
    <row r="1" spans="2:11" ht="15" thickBot="1" x14ac:dyDescent="0.4"/>
    <row r="2" spans="2:11" ht="15" thickBot="1" x14ac:dyDescent="0.4">
      <c r="C2" s="12" t="s">
        <v>428</v>
      </c>
      <c r="D2" s="202">
        <f>'GMP-PO Breakdown'!C5</f>
        <v>0</v>
      </c>
    </row>
    <row r="3" spans="2:11" ht="15" thickBot="1" x14ac:dyDescent="0.4">
      <c r="C3" s="12" t="s">
        <v>429</v>
      </c>
      <c r="D3" s="211">
        <f>'GMP-PO Breakdown'!C6</f>
        <v>0</v>
      </c>
    </row>
    <row r="4" spans="2:11" ht="15" thickBot="1" x14ac:dyDescent="0.4">
      <c r="B4" s="19"/>
      <c r="C4" s="19"/>
      <c r="D4" s="19"/>
      <c r="E4" s="19"/>
      <c r="F4" s="628" t="s">
        <v>1080</v>
      </c>
      <c r="G4" s="629"/>
      <c r="H4" s="630"/>
      <c r="I4" s="19"/>
      <c r="J4" s="19"/>
      <c r="K4" s="19"/>
    </row>
    <row r="5" spans="2:11" ht="62" x14ac:dyDescent="0.35">
      <c r="B5" s="530" t="s">
        <v>1081</v>
      </c>
      <c r="C5" s="531" t="s">
        <v>1082</v>
      </c>
      <c r="D5" s="531" t="s">
        <v>1083</v>
      </c>
      <c r="E5" s="531" t="s">
        <v>1084</v>
      </c>
      <c r="F5" s="531" t="s">
        <v>1085</v>
      </c>
      <c r="G5" s="531" t="s">
        <v>1086</v>
      </c>
      <c r="H5" s="531" t="s">
        <v>1087</v>
      </c>
      <c r="I5" s="531" t="s">
        <v>1088</v>
      </c>
      <c r="J5" s="531" t="s">
        <v>1089</v>
      </c>
      <c r="K5" s="532" t="s">
        <v>1090</v>
      </c>
    </row>
    <row r="6" spans="2:11" ht="15.5" x14ac:dyDescent="0.35">
      <c r="B6" s="533"/>
      <c r="C6" s="534"/>
      <c r="D6" s="534"/>
      <c r="E6" s="535"/>
      <c r="F6" s="534"/>
      <c r="G6" s="536"/>
      <c r="H6" s="534"/>
      <c r="I6" s="537">
        <v>0</v>
      </c>
      <c r="J6" s="350">
        <v>0</v>
      </c>
      <c r="K6" s="538">
        <v>0</v>
      </c>
    </row>
    <row r="7" spans="2:11" ht="15.5" x14ac:dyDescent="0.35">
      <c r="B7" s="533"/>
      <c r="C7" s="534"/>
      <c r="D7" s="534"/>
      <c r="E7" s="535"/>
      <c r="F7" s="534"/>
      <c r="G7" s="536"/>
      <c r="H7" s="534"/>
      <c r="I7" s="537">
        <v>0</v>
      </c>
      <c r="J7" s="350">
        <v>0</v>
      </c>
      <c r="K7" s="538">
        <v>0</v>
      </c>
    </row>
    <row r="8" spans="2:11" ht="15.5" x14ac:dyDescent="0.35">
      <c r="B8" s="533"/>
      <c r="C8" s="534"/>
      <c r="D8" s="534"/>
      <c r="E8" s="535"/>
      <c r="F8" s="534"/>
      <c r="G8" s="536"/>
      <c r="H8" s="534"/>
      <c r="I8" s="537">
        <v>0</v>
      </c>
      <c r="J8" s="350">
        <v>0</v>
      </c>
      <c r="K8" s="538">
        <v>0</v>
      </c>
    </row>
    <row r="9" spans="2:11" ht="15.5" x14ac:dyDescent="0.35">
      <c r="B9" s="533"/>
      <c r="C9" s="534"/>
      <c r="D9" s="534"/>
      <c r="E9" s="535"/>
      <c r="F9" s="534"/>
      <c r="G9" s="536"/>
      <c r="H9" s="534"/>
      <c r="I9" s="537">
        <v>0</v>
      </c>
      <c r="J9" s="350">
        <v>0</v>
      </c>
      <c r="K9" s="538">
        <v>0</v>
      </c>
    </row>
    <row r="10" spans="2:11" ht="15.5" x14ac:dyDescent="0.35">
      <c r="B10" s="533"/>
      <c r="C10" s="534"/>
      <c r="D10" s="534"/>
      <c r="E10" s="535"/>
      <c r="F10" s="534"/>
      <c r="G10" s="536"/>
      <c r="H10" s="534"/>
      <c r="I10" s="537">
        <v>0</v>
      </c>
      <c r="J10" s="350">
        <v>0</v>
      </c>
      <c r="K10" s="538">
        <v>0</v>
      </c>
    </row>
    <row r="11" spans="2:11" ht="15.5" x14ac:dyDescent="0.35">
      <c r="B11" s="533"/>
      <c r="C11" s="534"/>
      <c r="D11" s="534"/>
      <c r="E11" s="535"/>
      <c r="F11" s="534"/>
      <c r="G11" s="536"/>
      <c r="H11" s="534"/>
      <c r="I11" s="537">
        <v>0</v>
      </c>
      <c r="J11" s="350">
        <v>0</v>
      </c>
      <c r="K11" s="538">
        <v>0</v>
      </c>
    </row>
    <row r="12" spans="2:11" ht="15.5" x14ac:dyDescent="0.35">
      <c r="B12" s="533"/>
      <c r="C12" s="534"/>
      <c r="D12" s="534"/>
      <c r="E12" s="535"/>
      <c r="F12" s="534"/>
      <c r="G12" s="536"/>
      <c r="H12" s="534"/>
      <c r="I12" s="537">
        <v>0</v>
      </c>
      <c r="J12" s="350">
        <v>0</v>
      </c>
      <c r="K12" s="538">
        <v>0</v>
      </c>
    </row>
    <row r="13" spans="2:11" ht="15.5" x14ac:dyDescent="0.35">
      <c r="B13" s="533"/>
      <c r="C13" s="534"/>
      <c r="D13" s="534"/>
      <c r="E13" s="535"/>
      <c r="F13" s="534"/>
      <c r="G13" s="536"/>
      <c r="H13" s="534"/>
      <c r="I13" s="537">
        <v>0</v>
      </c>
      <c r="J13" s="350">
        <v>0</v>
      </c>
      <c r="K13" s="538">
        <v>0</v>
      </c>
    </row>
    <row r="14" spans="2:11" ht="15.5" x14ac:dyDescent="0.35">
      <c r="B14" s="533"/>
      <c r="C14" s="534"/>
      <c r="D14" s="534"/>
      <c r="E14" s="535"/>
      <c r="F14" s="534"/>
      <c r="G14" s="536"/>
      <c r="H14" s="534"/>
      <c r="I14" s="537">
        <v>0</v>
      </c>
      <c r="J14" s="350">
        <v>0</v>
      </c>
      <c r="K14" s="538">
        <v>0</v>
      </c>
    </row>
    <row r="15" spans="2:11" ht="15.5" x14ac:dyDescent="0.35">
      <c r="B15" s="533"/>
      <c r="C15" s="534"/>
      <c r="D15" s="534"/>
      <c r="E15" s="535"/>
      <c r="F15" s="534"/>
      <c r="G15" s="536"/>
      <c r="H15" s="534"/>
      <c r="I15" s="537">
        <v>0</v>
      </c>
      <c r="J15" s="350">
        <v>0</v>
      </c>
      <c r="K15" s="538">
        <v>0</v>
      </c>
    </row>
    <row r="16" spans="2:11" ht="15.5" x14ac:dyDescent="0.35">
      <c r="B16" s="533"/>
      <c r="C16" s="534"/>
      <c r="D16" s="534"/>
      <c r="E16" s="535"/>
      <c r="F16" s="534"/>
      <c r="G16" s="536"/>
      <c r="H16" s="534"/>
      <c r="I16" s="537">
        <v>0</v>
      </c>
      <c r="J16" s="350">
        <v>0</v>
      </c>
      <c r="K16" s="538">
        <v>0</v>
      </c>
    </row>
    <row r="17" spans="2:11" ht="15.5" x14ac:dyDescent="0.35">
      <c r="B17" s="533"/>
      <c r="C17" s="534"/>
      <c r="D17" s="534"/>
      <c r="E17" s="535"/>
      <c r="F17" s="534"/>
      <c r="G17" s="536"/>
      <c r="H17" s="534"/>
      <c r="I17" s="537">
        <v>0</v>
      </c>
      <c r="J17" s="350">
        <v>0</v>
      </c>
      <c r="K17" s="538">
        <v>0</v>
      </c>
    </row>
    <row r="18" spans="2:11" ht="15.5" x14ac:dyDescent="0.35">
      <c r="B18" s="533"/>
      <c r="C18" s="534"/>
      <c r="D18" s="534"/>
      <c r="E18" s="535"/>
      <c r="F18" s="534"/>
      <c r="G18" s="536"/>
      <c r="H18" s="534"/>
      <c r="I18" s="537">
        <v>0</v>
      </c>
      <c r="J18" s="350">
        <v>0</v>
      </c>
      <c r="K18" s="538">
        <v>0</v>
      </c>
    </row>
    <row r="19" spans="2:11" ht="15.5" x14ac:dyDescent="0.35">
      <c r="B19" s="533"/>
      <c r="C19" s="534"/>
      <c r="D19" s="534"/>
      <c r="E19" s="535"/>
      <c r="F19" s="534"/>
      <c r="G19" s="536"/>
      <c r="H19" s="534"/>
      <c r="I19" s="537">
        <v>0</v>
      </c>
      <c r="J19" s="350">
        <v>0</v>
      </c>
      <c r="K19" s="538">
        <v>0</v>
      </c>
    </row>
    <row r="20" spans="2:11" ht="15.5" x14ac:dyDescent="0.35">
      <c r="B20" s="533"/>
      <c r="C20" s="534"/>
      <c r="D20" s="534"/>
      <c r="E20" s="535"/>
      <c r="F20" s="534"/>
      <c r="G20" s="536"/>
      <c r="H20" s="534"/>
      <c r="I20" s="537">
        <v>0</v>
      </c>
      <c r="J20" s="350">
        <v>0</v>
      </c>
      <c r="K20" s="538">
        <v>0</v>
      </c>
    </row>
    <row r="21" spans="2:11" ht="15.5" x14ac:dyDescent="0.35">
      <c r="B21" s="533"/>
      <c r="C21" s="534"/>
      <c r="D21" s="534"/>
      <c r="E21" s="535"/>
      <c r="F21" s="534"/>
      <c r="G21" s="536"/>
      <c r="H21" s="534"/>
      <c r="I21" s="537">
        <v>0</v>
      </c>
      <c r="J21" s="350">
        <v>0</v>
      </c>
      <c r="K21" s="538">
        <v>0</v>
      </c>
    </row>
    <row r="22" spans="2:11" ht="15.5" x14ac:dyDescent="0.35">
      <c r="B22" s="533"/>
      <c r="C22" s="534"/>
      <c r="D22" s="534"/>
      <c r="E22" s="535"/>
      <c r="F22" s="534"/>
      <c r="G22" s="536"/>
      <c r="H22" s="534"/>
      <c r="I22" s="537">
        <v>0</v>
      </c>
      <c r="J22" s="350">
        <v>0</v>
      </c>
      <c r="K22" s="538">
        <v>0</v>
      </c>
    </row>
    <row r="23" spans="2:11" ht="15.5" x14ac:dyDescent="0.35">
      <c r="B23" s="533"/>
      <c r="C23" s="534"/>
      <c r="D23" s="534"/>
      <c r="E23" s="535"/>
      <c r="F23" s="534"/>
      <c r="G23" s="536"/>
      <c r="H23" s="534"/>
      <c r="I23" s="537">
        <v>0</v>
      </c>
      <c r="J23" s="350">
        <v>0</v>
      </c>
      <c r="K23" s="538">
        <v>0</v>
      </c>
    </row>
    <row r="24" spans="2:11" ht="15.5" x14ac:dyDescent="0.35">
      <c r="B24" s="533"/>
      <c r="C24" s="534"/>
      <c r="D24" s="534"/>
      <c r="E24" s="535"/>
      <c r="F24" s="534"/>
      <c r="G24" s="536"/>
      <c r="H24" s="534"/>
      <c r="I24" s="537">
        <v>0</v>
      </c>
      <c r="J24" s="350">
        <v>0</v>
      </c>
      <c r="K24" s="538">
        <v>0</v>
      </c>
    </row>
    <row r="25" spans="2:11" ht="15.5" x14ac:dyDescent="0.35">
      <c r="B25" s="533"/>
      <c r="C25" s="534"/>
      <c r="D25" s="534"/>
      <c r="E25" s="535"/>
      <c r="F25" s="534"/>
      <c r="G25" s="536"/>
      <c r="H25" s="534"/>
      <c r="I25" s="539">
        <v>0</v>
      </c>
      <c r="J25" s="351">
        <v>0</v>
      </c>
      <c r="K25" s="538">
        <v>0</v>
      </c>
    </row>
    <row r="26" spans="2:11" ht="18" x14ac:dyDescent="0.4">
      <c r="B26" s="540"/>
      <c r="C26" s="541"/>
      <c r="D26" s="541"/>
      <c r="E26" s="541"/>
      <c r="F26" s="541"/>
      <c r="G26" s="541"/>
      <c r="H26" s="542"/>
      <c r="I26" s="542"/>
      <c r="J26" s="543" t="s">
        <v>1095</v>
      </c>
      <c r="K26" s="470">
        <f>SUM(K6:K25)</f>
        <v>0</v>
      </c>
    </row>
    <row r="27" spans="2:11" ht="18" x14ac:dyDescent="0.4">
      <c r="B27" s="544"/>
      <c r="C27" s="545"/>
      <c r="D27" s="545"/>
      <c r="E27" s="545"/>
      <c r="F27" s="545"/>
      <c r="G27" s="545"/>
      <c r="H27" s="546"/>
      <c r="I27" s="546"/>
      <c r="J27" s="547" t="s">
        <v>978</v>
      </c>
      <c r="K27" s="548">
        <f>SUM(I6:I25)</f>
        <v>0</v>
      </c>
    </row>
    <row r="28" spans="2:11" ht="18" x14ac:dyDescent="0.4">
      <c r="B28" s="544"/>
      <c r="C28" s="545"/>
      <c r="D28" s="545"/>
      <c r="E28" s="545"/>
      <c r="F28" s="545"/>
      <c r="G28" s="545"/>
      <c r="H28" s="546"/>
      <c r="I28" s="546"/>
      <c r="J28" s="547" t="s">
        <v>1091</v>
      </c>
      <c r="K28" s="549">
        <f>SUM(E6:E25)</f>
        <v>0</v>
      </c>
    </row>
    <row r="29" spans="2:11" ht="18" x14ac:dyDescent="0.4">
      <c r="B29" s="550"/>
      <c r="C29" s="551"/>
      <c r="D29" s="551"/>
      <c r="E29" s="551"/>
      <c r="F29" s="551"/>
      <c r="G29" s="551"/>
      <c r="H29" s="552"/>
      <c r="I29" s="552"/>
      <c r="J29" s="553" t="s">
        <v>979</v>
      </c>
      <c r="K29" s="554">
        <f>IFERROR(K27/K26, 0)</f>
        <v>0</v>
      </c>
    </row>
    <row r="30" spans="2:11" ht="18" x14ac:dyDescent="0.4">
      <c r="B30" s="544"/>
      <c r="C30" s="545"/>
      <c r="D30" s="545"/>
      <c r="E30" s="545"/>
      <c r="F30" s="545"/>
      <c r="G30" s="545"/>
      <c r="H30" s="546"/>
      <c r="I30" s="546"/>
      <c r="J30" s="543" t="s">
        <v>1092</v>
      </c>
      <c r="K30" s="471">
        <f>COUNTA(D6:D25)-IF(COUNTIF(D6:D25,"Recycled - mixed processing (Commingled) - recycled")&gt;0,(COUNTIF(D6:D25,"Recycled - mixed processing (Commingled) - recycled"))-1,0)-IF(COUNTIF(D6:D25,"Landfill waste")&gt;0,COUNTIF(D6:D25,"Landfill waste"),0)-(COUNTIF(D6:D25,"Landfill / trash / waste"))-(COUNTIF(D6:D25,"Incineration / waste-to-energy"))</f>
        <v>0</v>
      </c>
    </row>
    <row r="31" spans="2:11" ht="18.5" thickBot="1" x14ac:dyDescent="0.45">
      <c r="B31" s="555"/>
      <c r="C31" s="556"/>
      <c r="D31" s="556"/>
      <c r="E31" s="556"/>
      <c r="F31" s="556"/>
      <c r="G31" s="556"/>
      <c r="H31" s="557"/>
      <c r="I31" s="557"/>
      <c r="J31" s="558" t="s">
        <v>1093</v>
      </c>
      <c r="K31" s="559" t="str">
        <f>IF(COUNTIF(H6:H25, "yes"), "1", "0")</f>
        <v>0</v>
      </c>
    </row>
    <row r="32" spans="2:11" x14ac:dyDescent="0.35">
      <c r="B32" s="198"/>
      <c r="C32" s="198"/>
      <c r="D32" s="198"/>
      <c r="E32" s="198"/>
      <c r="F32" s="198"/>
      <c r="G32" s="198"/>
    </row>
    <row r="33" spans="2:7" x14ac:dyDescent="0.35">
      <c r="B33" s="198"/>
      <c r="C33" s="198"/>
      <c r="D33" s="198"/>
      <c r="E33" s="198"/>
      <c r="F33" s="198"/>
      <c r="G33" s="198"/>
    </row>
    <row r="34" spans="2:7" x14ac:dyDescent="0.35">
      <c r="B34" s="198"/>
      <c r="C34" s="198"/>
      <c r="D34" s="198"/>
      <c r="E34" s="198"/>
      <c r="F34" s="198"/>
      <c r="G34" s="198"/>
    </row>
    <row r="35" spans="2:7" ht="15" thickBot="1" x14ac:dyDescent="0.4">
      <c r="B35" s="198"/>
      <c r="C35" s="198"/>
      <c r="D35" s="198"/>
      <c r="E35" s="198"/>
      <c r="F35" s="198"/>
      <c r="G35" s="198"/>
    </row>
    <row r="36" spans="2:7" ht="72.5" thickBot="1" x14ac:dyDescent="0.4">
      <c r="B36" s="354" t="s">
        <v>1094</v>
      </c>
      <c r="C36" s="354" t="s">
        <v>1095</v>
      </c>
      <c r="D36" s="354" t="s">
        <v>978</v>
      </c>
      <c r="E36" s="355" t="s">
        <v>979</v>
      </c>
      <c r="F36" s="355" t="s">
        <v>1096</v>
      </c>
      <c r="G36" s="355" t="s">
        <v>1100</v>
      </c>
    </row>
    <row r="37" spans="2:7" ht="15.5" x14ac:dyDescent="0.35">
      <c r="B37" s="242"/>
      <c r="C37" s="243"/>
      <c r="D37" s="244"/>
      <c r="E37" s="245"/>
      <c r="F37" s="246"/>
      <c r="G37" s="246"/>
    </row>
    <row r="38" spans="2:7" ht="15.5" x14ac:dyDescent="0.35">
      <c r="B38" s="242"/>
      <c r="C38" s="243"/>
      <c r="D38" s="244"/>
      <c r="E38" s="245"/>
      <c r="F38" s="246"/>
      <c r="G38" s="246"/>
    </row>
    <row r="39" spans="2:7" ht="15.5" x14ac:dyDescent="0.35">
      <c r="B39" s="242"/>
      <c r="C39" s="243"/>
      <c r="D39" s="244"/>
      <c r="E39" s="245"/>
      <c r="F39" s="246"/>
      <c r="G39" s="246"/>
    </row>
    <row r="40" spans="2:7" ht="15.5" x14ac:dyDescent="0.35">
      <c r="B40" s="242"/>
      <c r="C40" s="243"/>
      <c r="D40" s="244"/>
      <c r="E40" s="245"/>
      <c r="F40" s="246"/>
      <c r="G40" s="246"/>
    </row>
    <row r="41" spans="2:7" ht="15.5" x14ac:dyDescent="0.35">
      <c r="B41" s="242"/>
      <c r="C41" s="243"/>
      <c r="D41" s="244"/>
      <c r="E41" s="245"/>
      <c r="F41" s="246"/>
      <c r="G41" s="246"/>
    </row>
    <row r="42" spans="2:7" ht="15.5" x14ac:dyDescent="0.35">
      <c r="B42" s="242"/>
      <c r="C42" s="243"/>
      <c r="D42" s="244"/>
      <c r="E42" s="245"/>
      <c r="F42" s="246"/>
      <c r="G42" s="246"/>
    </row>
    <row r="43" spans="2:7" ht="15.5" x14ac:dyDescent="0.35">
      <c r="B43" s="242"/>
      <c r="C43" s="243"/>
      <c r="D43" s="244"/>
      <c r="E43" s="245"/>
      <c r="F43" s="246"/>
      <c r="G43" s="246"/>
    </row>
    <row r="44" spans="2:7" ht="15.5" x14ac:dyDescent="0.35">
      <c r="B44" s="242"/>
      <c r="C44" s="243"/>
      <c r="D44" s="244"/>
      <c r="E44" s="245"/>
      <c r="F44" s="246"/>
      <c r="G44" s="246"/>
    </row>
    <row r="45" spans="2:7" ht="15.5" x14ac:dyDescent="0.35">
      <c r="B45" s="242"/>
      <c r="C45" s="243"/>
      <c r="D45" s="244"/>
      <c r="E45" s="245"/>
      <c r="F45" s="246"/>
      <c r="G45" s="246"/>
    </row>
    <row r="46" spans="2:7" ht="15.5" x14ac:dyDescent="0.35">
      <c r="B46" s="242"/>
      <c r="C46" s="243"/>
      <c r="D46" s="244"/>
      <c r="E46" s="245"/>
      <c r="F46" s="246"/>
      <c r="G46" s="246"/>
    </row>
    <row r="47" spans="2:7" ht="15.5" x14ac:dyDescent="0.35">
      <c r="B47" s="242"/>
      <c r="C47" s="243"/>
      <c r="D47" s="244"/>
      <c r="E47" s="245"/>
      <c r="F47" s="246"/>
      <c r="G47" s="246"/>
    </row>
    <row r="48" spans="2:7" ht="15.5" x14ac:dyDescent="0.35">
      <c r="B48" s="242"/>
      <c r="C48" s="243"/>
      <c r="D48" s="244"/>
      <c r="E48" s="245"/>
      <c r="F48" s="246"/>
      <c r="G48" s="246"/>
    </row>
    <row r="49" spans="2:7" ht="15.5" x14ac:dyDescent="0.35">
      <c r="B49" s="242"/>
      <c r="C49" s="243"/>
      <c r="D49" s="244"/>
      <c r="E49" s="245"/>
      <c r="F49" s="246"/>
      <c r="G49" s="246"/>
    </row>
    <row r="50" spans="2:7" ht="15.5" x14ac:dyDescent="0.35">
      <c r="B50" s="242"/>
      <c r="C50" s="243"/>
      <c r="D50" s="244"/>
      <c r="E50" s="245"/>
      <c r="F50" s="246"/>
      <c r="G50" s="246"/>
    </row>
    <row r="51" spans="2:7" ht="15.5" x14ac:dyDescent="0.35">
      <c r="B51" s="242"/>
      <c r="C51" s="243"/>
      <c r="D51" s="244"/>
      <c r="E51" s="245"/>
      <c r="F51" s="246"/>
      <c r="G51" s="246"/>
    </row>
    <row r="52" spans="2:7" ht="15.5" x14ac:dyDescent="0.35">
      <c r="B52" s="242"/>
      <c r="C52" s="243"/>
      <c r="D52" s="244"/>
      <c r="E52" s="245"/>
      <c r="F52" s="246"/>
      <c r="G52" s="246"/>
    </row>
    <row r="53" spans="2:7" ht="15.5" x14ac:dyDescent="0.35">
      <c r="B53" s="242"/>
      <c r="C53" s="243"/>
      <c r="D53" s="244"/>
      <c r="E53" s="245"/>
      <c r="F53" s="246"/>
      <c r="G53" s="246"/>
    </row>
    <row r="54" spans="2:7" ht="15.5" x14ac:dyDescent="0.35">
      <c r="B54" s="242"/>
      <c r="C54" s="243"/>
      <c r="D54" s="244"/>
      <c r="E54" s="245"/>
      <c r="F54" s="246"/>
      <c r="G54" s="246"/>
    </row>
    <row r="55" spans="2:7" ht="15.5" x14ac:dyDescent="0.35">
      <c r="B55" s="242"/>
      <c r="C55" s="243"/>
      <c r="D55" s="244"/>
      <c r="E55" s="245"/>
      <c r="F55" s="246"/>
      <c r="G55" s="246"/>
    </row>
    <row r="56" spans="2:7" ht="15.5" x14ac:dyDescent="0.35">
      <c r="B56" s="242"/>
      <c r="C56" s="243"/>
      <c r="D56" s="244"/>
      <c r="E56" s="245"/>
      <c r="F56" s="246"/>
      <c r="G56" s="246"/>
    </row>
    <row r="57" spans="2:7" ht="15.5" x14ac:dyDescent="0.35">
      <c r="B57" s="242"/>
      <c r="C57" s="243"/>
      <c r="D57" s="244"/>
      <c r="E57" s="245"/>
      <c r="F57" s="246"/>
      <c r="G57" s="246"/>
    </row>
    <row r="58" spans="2:7" ht="15.5" x14ac:dyDescent="0.35">
      <c r="B58" s="242"/>
      <c r="C58" s="243"/>
      <c r="D58" s="244"/>
      <c r="E58" s="245"/>
      <c r="F58" s="246"/>
      <c r="G58" s="246"/>
    </row>
    <row r="59" spans="2:7" ht="15.5" x14ac:dyDescent="0.35">
      <c r="B59" s="242"/>
      <c r="C59" s="243"/>
      <c r="D59" s="244"/>
      <c r="E59" s="245"/>
      <c r="F59" s="246"/>
      <c r="G59" s="246"/>
    </row>
    <row r="60" spans="2:7" ht="15.5" x14ac:dyDescent="0.35">
      <c r="B60" s="242"/>
      <c r="C60" s="243"/>
      <c r="D60" s="244"/>
      <c r="E60" s="245"/>
      <c r="F60" s="246"/>
      <c r="G60" s="246"/>
    </row>
    <row r="61" spans="2:7" ht="15.5" x14ac:dyDescent="0.35">
      <c r="B61" s="242"/>
      <c r="C61" s="243"/>
      <c r="D61" s="244"/>
      <c r="E61" s="245"/>
      <c r="F61" s="246"/>
      <c r="G61" s="246"/>
    </row>
    <row r="62" spans="2:7" ht="15.5" x14ac:dyDescent="0.35">
      <c r="B62" s="242"/>
      <c r="C62" s="243"/>
      <c r="D62" s="244"/>
      <c r="E62" s="245"/>
      <c r="F62" s="246"/>
      <c r="G62" s="246"/>
    </row>
    <row r="63" spans="2:7" ht="15.5" x14ac:dyDescent="0.35">
      <c r="B63" s="242"/>
      <c r="C63" s="243"/>
      <c r="D63" s="244"/>
      <c r="E63" s="245"/>
      <c r="F63" s="246"/>
      <c r="G63" s="246"/>
    </row>
    <row r="64" spans="2:7" ht="15.5" x14ac:dyDescent="0.35">
      <c r="B64" s="242"/>
      <c r="C64" s="243"/>
      <c r="D64" s="244"/>
      <c r="E64" s="245"/>
      <c r="F64" s="246"/>
      <c r="G64" s="246"/>
    </row>
    <row r="65" spans="2:7" ht="15.5" x14ac:dyDescent="0.35">
      <c r="B65" s="242"/>
      <c r="C65" s="243"/>
      <c r="D65" s="244"/>
      <c r="E65" s="245"/>
      <c r="F65" s="246"/>
      <c r="G65" s="246"/>
    </row>
    <row r="66" spans="2:7" ht="15.5" x14ac:dyDescent="0.35">
      <c r="B66" s="242"/>
      <c r="C66" s="243"/>
      <c r="D66" s="244"/>
      <c r="E66" s="245"/>
      <c r="F66" s="246"/>
      <c r="G66" s="246"/>
    </row>
    <row r="67" spans="2:7" ht="15.5" x14ac:dyDescent="0.35">
      <c r="B67" s="242"/>
      <c r="C67" s="243"/>
      <c r="D67" s="244"/>
      <c r="E67" s="245"/>
      <c r="F67" s="246"/>
      <c r="G67" s="246"/>
    </row>
    <row r="68" spans="2:7" ht="15.5" x14ac:dyDescent="0.35">
      <c r="B68" s="242"/>
      <c r="C68" s="243"/>
      <c r="D68" s="244"/>
      <c r="E68" s="245"/>
      <c r="F68" s="246"/>
      <c r="G68" s="246"/>
    </row>
    <row r="69" spans="2:7" ht="15.5" x14ac:dyDescent="0.35">
      <c r="B69" s="242"/>
      <c r="C69" s="243"/>
      <c r="D69" s="244"/>
      <c r="E69" s="245"/>
      <c r="F69" s="246"/>
      <c r="G69" s="246"/>
    </row>
    <row r="70" spans="2:7" ht="15.5" x14ac:dyDescent="0.35">
      <c r="B70" s="242"/>
      <c r="C70" s="243"/>
      <c r="D70" s="244"/>
      <c r="E70" s="245"/>
      <c r="F70" s="246"/>
      <c r="G70" s="246"/>
    </row>
    <row r="71" spans="2:7" ht="15.5" x14ac:dyDescent="0.35">
      <c r="B71" s="242"/>
      <c r="C71" s="243"/>
      <c r="D71" s="244"/>
      <c r="E71" s="245"/>
      <c r="F71" s="246"/>
      <c r="G71" s="246"/>
    </row>
    <row r="72" spans="2:7" ht="15.5" x14ac:dyDescent="0.35">
      <c r="B72" s="242"/>
      <c r="C72" s="243"/>
      <c r="D72" s="244"/>
      <c r="E72" s="245"/>
      <c r="F72" s="246"/>
      <c r="G72" s="246"/>
    </row>
    <row r="73" spans="2:7" ht="15.5" x14ac:dyDescent="0.35">
      <c r="B73" s="242"/>
      <c r="C73" s="243"/>
      <c r="D73" s="244"/>
      <c r="E73" s="245"/>
      <c r="F73" s="246"/>
      <c r="G73" s="246"/>
    </row>
    <row r="74" spans="2:7" ht="15.5" x14ac:dyDescent="0.35">
      <c r="B74" s="242"/>
      <c r="C74" s="243"/>
      <c r="D74" s="244"/>
      <c r="E74" s="245"/>
      <c r="F74" s="246"/>
      <c r="G74" s="246"/>
    </row>
    <row r="75" spans="2:7" ht="15.5" x14ac:dyDescent="0.35">
      <c r="B75" s="242"/>
      <c r="C75" s="243"/>
      <c r="D75" s="244"/>
      <c r="E75" s="245"/>
      <c r="F75" s="246"/>
      <c r="G75" s="246"/>
    </row>
    <row r="76" spans="2:7" ht="15.5" x14ac:dyDescent="0.35">
      <c r="B76" s="242"/>
      <c r="C76" s="243"/>
      <c r="D76" s="244"/>
      <c r="E76" s="245"/>
      <c r="F76" s="246"/>
      <c r="G76" s="246"/>
    </row>
    <row r="77" spans="2:7" ht="15.5" x14ac:dyDescent="0.35">
      <c r="B77" s="242"/>
      <c r="C77" s="243"/>
      <c r="D77" s="244"/>
      <c r="E77" s="245"/>
      <c r="F77" s="246"/>
      <c r="G77" s="246"/>
    </row>
    <row r="78" spans="2:7" ht="15.5" x14ac:dyDescent="0.35">
      <c r="B78" s="242"/>
      <c r="C78" s="243"/>
      <c r="D78" s="244"/>
      <c r="E78" s="245"/>
      <c r="F78" s="246"/>
      <c r="G78" s="246"/>
    </row>
    <row r="79" spans="2:7" ht="15.5" x14ac:dyDescent="0.35">
      <c r="B79" s="242"/>
      <c r="C79" s="243"/>
      <c r="D79" s="244"/>
      <c r="E79" s="245"/>
      <c r="F79" s="246"/>
      <c r="G79" s="246"/>
    </row>
    <row r="80" spans="2:7" ht="19" thickBot="1" x14ac:dyDescent="0.5">
      <c r="B80" s="212" t="s">
        <v>980</v>
      </c>
      <c r="C80" s="217">
        <f>SUM(C37:C79)</f>
        <v>0</v>
      </c>
      <c r="D80" s="213">
        <f>SUM(D37:D79)</f>
        <v>0</v>
      </c>
      <c r="E80" s="214">
        <f>SUM(E37:E79)</f>
        <v>0</v>
      </c>
      <c r="F80" s="215">
        <f>SUM(F37:F79)</f>
        <v>0</v>
      </c>
      <c r="G80" s="215">
        <f>SUM(G37:G79)</f>
        <v>0</v>
      </c>
    </row>
  </sheetData>
  <sheetProtection algorithmName="SHA-512" hashValue="7mVsGgjQQF+JioGtjr0CEns+BBrKSv4RlytBUo3dy83gY+Coo7agCxS32iqWB/TAWecRdvyC/Co/LfSfLHjwiA==" saltValue="MCk6/f3gx6H2XDenvtczPw==" spinCount="100000" sheet="1" objects="1" scenarios="1"/>
  <mergeCells count="1">
    <mergeCell ref="F4:H4"/>
  </mergeCells>
  <dataValidations count="2">
    <dataValidation type="date" operator="greaterThan" allowBlank="1" showInputMessage="1" showErrorMessage="1" errorTitle="Expected format" error="mmm-yy example: APR-21" promptTitle="Expected format " sqref="B37:B79" xr:uid="{B1E5E867-7930-4CF2-B9A8-0542041D02F8}">
      <formula1>43466</formula1>
    </dataValidation>
    <dataValidation type="list" allowBlank="1" showInputMessage="1" showErrorMessage="1" sqref="H6:H25" xr:uid="{B9EED30F-2E7F-47B1-8FAF-E04031C8A4AA}">
      <formula1>"Yes,No"</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06B116-1186-4025-8059-E3D786C2EFC5}">
          <x14:formula1>
            <xm:f>'Drop Down Menus'!$R$2:$R$18</xm:f>
          </x14:formula1>
          <xm:sqref>C6:C25</xm:sqref>
        </x14:dataValidation>
        <x14:dataValidation type="list" allowBlank="1" showInputMessage="1" showErrorMessage="1" xr:uid="{E880129A-4F94-44F8-8E96-7598A5256430}">
          <x14:formula1>
            <xm:f>'Drop Down Menus'!$R$21:$R$30</xm:f>
          </x14:formula1>
          <xm:sqref>D6:D25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DB9F-FFE9-452D-9705-3DA0AB56387D}">
  <sheetPr codeName="Sheet11"/>
  <dimension ref="A1:P58"/>
  <sheetViews>
    <sheetView topLeftCell="A4" workbookViewId="0">
      <selection activeCell="E30" sqref="E30:H55"/>
    </sheetView>
  </sheetViews>
  <sheetFormatPr defaultRowHeight="14.5" x14ac:dyDescent="0.35"/>
  <cols>
    <col min="1" max="1" width="27.7265625" style="97" customWidth="1"/>
    <col min="2" max="2" width="28.54296875" style="97" bestFit="1" customWidth="1"/>
    <col min="3" max="3" width="13.81640625" style="97" customWidth="1"/>
    <col min="4" max="4" width="49.1796875" style="97" bestFit="1" customWidth="1"/>
    <col min="5" max="5" width="15.1796875" style="97" bestFit="1" customWidth="1"/>
    <col min="6" max="6" width="13.1796875" style="97" bestFit="1" customWidth="1"/>
    <col min="7" max="7" width="15" style="97" bestFit="1" customWidth="1"/>
    <col min="8" max="8" width="24.453125" style="97" customWidth="1"/>
    <col min="9" max="9" width="8.81640625" style="97" hidden="1" customWidth="1"/>
    <col min="10" max="16384" width="8.7265625" style="97"/>
  </cols>
  <sheetData>
    <row r="1" spans="1:2" x14ac:dyDescent="0.35">
      <c r="A1" s="11" t="s">
        <v>433</v>
      </c>
    </row>
    <row r="2" spans="1:2" x14ac:dyDescent="0.35">
      <c r="A2" s="36"/>
    </row>
    <row r="3" spans="1:2" x14ac:dyDescent="0.35">
      <c r="A3" s="11" t="s">
        <v>984</v>
      </c>
    </row>
    <row r="4" spans="1:2" ht="15" thickBot="1" x14ac:dyDescent="0.4">
      <c r="A4" s="36"/>
    </row>
    <row r="5" spans="1:2" ht="15" thickBot="1" x14ac:dyDescent="0.4">
      <c r="A5" s="12" t="s">
        <v>428</v>
      </c>
      <c r="B5" s="96">
        <f>'GMP-PO Breakdown'!C5</f>
        <v>0</v>
      </c>
    </row>
    <row r="6" spans="1:2" ht="15" thickBot="1" x14ac:dyDescent="0.4"/>
    <row r="7" spans="1:2" x14ac:dyDescent="0.35">
      <c r="A7" s="13" t="s">
        <v>429</v>
      </c>
      <c r="B7" s="20">
        <f>'GMP-PO Breakdown'!C6</f>
        <v>0</v>
      </c>
    </row>
    <row r="8" spans="1:2" x14ac:dyDescent="0.35">
      <c r="A8" s="14" t="s">
        <v>565</v>
      </c>
      <c r="B8" s="21">
        <f>'GMP-PO Breakdown'!C7</f>
        <v>0</v>
      </c>
    </row>
    <row r="9" spans="1:2" x14ac:dyDescent="0.35">
      <c r="A9" s="14" t="s">
        <v>432</v>
      </c>
      <c r="B9" s="21">
        <f>'GMP-PO Breakdown'!C12</f>
        <v>0</v>
      </c>
    </row>
    <row r="10" spans="1:2" x14ac:dyDescent="0.35">
      <c r="A10" s="14" t="s">
        <v>430</v>
      </c>
      <c r="B10" s="21">
        <f>'GMP-PO Breakdown'!C13</f>
        <v>0</v>
      </c>
    </row>
    <row r="11" spans="1:2" ht="15" thickBot="1" x14ac:dyDescent="0.4">
      <c r="A11" s="23" t="s">
        <v>431</v>
      </c>
      <c r="B11" s="22">
        <f>'GMP-PO Breakdown'!C14</f>
        <v>0</v>
      </c>
    </row>
    <row r="14" spans="1:2" ht="15" thickBot="1" x14ac:dyDescent="0.4"/>
    <row r="15" spans="1:2" hidden="1" x14ac:dyDescent="0.35"/>
    <row r="16" spans="1:2" hidden="1" x14ac:dyDescent="0.35"/>
    <row r="17" spans="1:8" hidden="1" x14ac:dyDescent="0.35"/>
    <row r="18" spans="1:8" hidden="1" x14ac:dyDescent="0.35"/>
    <row r="19" spans="1:8" hidden="1" x14ac:dyDescent="0.35"/>
    <row r="20" spans="1:8" hidden="1" x14ac:dyDescent="0.35"/>
    <row r="21" spans="1:8" hidden="1" x14ac:dyDescent="0.35"/>
    <row r="22" spans="1:8" hidden="1" x14ac:dyDescent="0.35"/>
    <row r="23" spans="1:8" hidden="1" x14ac:dyDescent="0.35"/>
    <row r="24" spans="1:8" hidden="1" x14ac:dyDescent="0.35"/>
    <row r="25" spans="1:8" hidden="1" x14ac:dyDescent="0.35"/>
    <row r="26" spans="1:8" hidden="1" x14ac:dyDescent="0.35"/>
    <row r="27" spans="1:8" ht="15" hidden="1" thickBot="1" x14ac:dyDescent="0.4"/>
    <row r="28" spans="1:8" ht="15.5" thickTop="1" thickBot="1" x14ac:dyDescent="0.4">
      <c r="A28" s="125" t="s">
        <v>166</v>
      </c>
      <c r="B28" s="126" t="s">
        <v>168</v>
      </c>
      <c r="C28" s="126" t="s">
        <v>167</v>
      </c>
      <c r="D28" s="126" t="s">
        <v>26</v>
      </c>
      <c r="E28" s="126" t="s">
        <v>781</v>
      </c>
      <c r="F28" s="126" t="s">
        <v>782</v>
      </c>
      <c r="G28" s="126" t="s">
        <v>783</v>
      </c>
      <c r="H28" s="127" t="s">
        <v>784</v>
      </c>
    </row>
    <row r="29" spans="1:8" ht="15" thickTop="1" x14ac:dyDescent="0.35">
      <c r="A29" s="474" t="s">
        <v>670</v>
      </c>
      <c r="B29" s="267" t="s">
        <v>984</v>
      </c>
      <c r="C29" s="267" t="s">
        <v>167</v>
      </c>
      <c r="D29" s="267" t="s">
        <v>26</v>
      </c>
      <c r="E29" s="267" t="s">
        <v>781</v>
      </c>
      <c r="F29" s="267" t="s">
        <v>782</v>
      </c>
      <c r="G29" s="267" t="s">
        <v>783</v>
      </c>
      <c r="H29" s="475" t="s">
        <v>785</v>
      </c>
    </row>
    <row r="30" spans="1:8" x14ac:dyDescent="0.35">
      <c r="A30" s="476">
        <v>33</v>
      </c>
      <c r="B30" s="477" t="s">
        <v>989</v>
      </c>
      <c r="C30" s="488"/>
      <c r="D30" s="478" t="s">
        <v>1004</v>
      </c>
      <c r="E30" s="491">
        <v>0</v>
      </c>
      <c r="F30" s="491">
        <v>0</v>
      </c>
      <c r="G30" s="492">
        <v>0</v>
      </c>
      <c r="H30" s="493">
        <v>0</v>
      </c>
    </row>
    <row r="31" spans="1:8" x14ac:dyDescent="0.35">
      <c r="A31" s="476">
        <v>3</v>
      </c>
      <c r="B31" s="477" t="s">
        <v>294</v>
      </c>
      <c r="C31" s="488" t="s">
        <v>171</v>
      </c>
      <c r="D31" s="478" t="s">
        <v>1005</v>
      </c>
      <c r="E31" s="491">
        <v>0</v>
      </c>
      <c r="F31" s="491">
        <v>0</v>
      </c>
      <c r="G31" s="492">
        <v>0</v>
      </c>
      <c r="H31" s="493">
        <v>0</v>
      </c>
    </row>
    <row r="32" spans="1:8" x14ac:dyDescent="0.35">
      <c r="A32" s="476">
        <v>1</v>
      </c>
      <c r="B32" s="477" t="s">
        <v>986</v>
      </c>
      <c r="C32" s="488" t="s">
        <v>1006</v>
      </c>
      <c r="D32" s="478" t="s">
        <v>1007</v>
      </c>
      <c r="E32" s="491">
        <v>0</v>
      </c>
      <c r="F32" s="491">
        <v>0</v>
      </c>
      <c r="G32" s="492">
        <v>0</v>
      </c>
      <c r="H32" s="493">
        <v>0</v>
      </c>
    </row>
    <row r="33" spans="1:16" x14ac:dyDescent="0.35">
      <c r="A33" s="476">
        <v>11</v>
      </c>
      <c r="B33" s="477" t="s">
        <v>987</v>
      </c>
      <c r="C33" s="488" t="s">
        <v>236</v>
      </c>
      <c r="D33" s="478" t="s">
        <v>1008</v>
      </c>
      <c r="E33" s="491">
        <v>0</v>
      </c>
      <c r="F33" s="491">
        <v>0</v>
      </c>
      <c r="G33" s="492">
        <v>0</v>
      </c>
      <c r="H33" s="493">
        <v>0</v>
      </c>
    </row>
    <row r="34" spans="1:16" x14ac:dyDescent="0.35">
      <c r="A34" s="476">
        <v>26</v>
      </c>
      <c r="B34" s="477" t="s">
        <v>7</v>
      </c>
      <c r="C34" s="488" t="s">
        <v>379</v>
      </c>
      <c r="D34" s="478" t="s">
        <v>1009</v>
      </c>
      <c r="E34" s="491">
        <v>0</v>
      </c>
      <c r="F34" s="491">
        <v>0</v>
      </c>
      <c r="G34" s="492">
        <v>0</v>
      </c>
      <c r="H34" s="493">
        <v>0</v>
      </c>
    </row>
    <row r="35" spans="1:16" x14ac:dyDescent="0.35">
      <c r="A35" s="476">
        <v>26</v>
      </c>
      <c r="B35" s="477" t="s">
        <v>7</v>
      </c>
      <c r="C35" s="488" t="s">
        <v>1010</v>
      </c>
      <c r="D35" s="478" t="s">
        <v>1011</v>
      </c>
      <c r="E35" s="491">
        <v>0</v>
      </c>
      <c r="F35" s="491">
        <v>0</v>
      </c>
      <c r="G35" s="492">
        <v>0</v>
      </c>
      <c r="H35" s="493">
        <v>0</v>
      </c>
    </row>
    <row r="36" spans="1:16" x14ac:dyDescent="0.35">
      <c r="A36" s="476">
        <v>26</v>
      </c>
      <c r="B36" s="477" t="s">
        <v>7</v>
      </c>
      <c r="C36" s="488" t="s">
        <v>208</v>
      </c>
      <c r="D36" s="478" t="s">
        <v>1012</v>
      </c>
      <c r="E36" s="491">
        <v>0</v>
      </c>
      <c r="F36" s="491">
        <v>0</v>
      </c>
      <c r="G36" s="492">
        <v>0</v>
      </c>
      <c r="H36" s="493">
        <v>0</v>
      </c>
      <c r="L36" s="198"/>
      <c r="M36" s="198"/>
      <c r="N36" s="198"/>
      <c r="O36" s="198"/>
      <c r="P36" s="198"/>
    </row>
    <row r="37" spans="1:16" x14ac:dyDescent="0.35">
      <c r="A37" s="476">
        <v>26</v>
      </c>
      <c r="B37" s="477" t="s">
        <v>1013</v>
      </c>
      <c r="C37" s="488" t="s">
        <v>1014</v>
      </c>
      <c r="D37" s="478" t="s">
        <v>1015</v>
      </c>
      <c r="E37" s="491">
        <v>0</v>
      </c>
      <c r="F37" s="491">
        <v>0</v>
      </c>
      <c r="G37" s="492">
        <v>0</v>
      </c>
      <c r="H37" s="493">
        <v>0</v>
      </c>
      <c r="L37" s="198"/>
      <c r="M37" s="198"/>
      <c r="N37" s="198"/>
      <c r="O37" s="198"/>
      <c r="P37" s="198"/>
    </row>
    <row r="38" spans="1:16" x14ac:dyDescent="0.35">
      <c r="A38" s="476">
        <v>1</v>
      </c>
      <c r="B38" s="477" t="s">
        <v>985</v>
      </c>
      <c r="C38" s="488" t="s">
        <v>1016</v>
      </c>
      <c r="D38" s="478" t="s">
        <v>1017</v>
      </c>
      <c r="E38" s="491">
        <v>0</v>
      </c>
      <c r="F38" s="491">
        <v>0</v>
      </c>
      <c r="G38" s="492">
        <v>0</v>
      </c>
      <c r="H38" s="493">
        <v>0</v>
      </c>
      <c r="K38" s="198"/>
      <c r="L38" s="198"/>
      <c r="M38" s="198"/>
      <c r="N38" s="198"/>
      <c r="O38" s="198"/>
      <c r="P38" s="198"/>
    </row>
    <row r="39" spans="1:16" x14ac:dyDescent="0.35">
      <c r="A39" s="476">
        <v>26</v>
      </c>
      <c r="B39" s="477" t="s">
        <v>1018</v>
      </c>
      <c r="C39" s="488" t="s">
        <v>1019</v>
      </c>
      <c r="D39" s="478" t="s">
        <v>1020</v>
      </c>
      <c r="E39" s="491">
        <v>0</v>
      </c>
      <c r="F39" s="491">
        <v>0</v>
      </c>
      <c r="G39" s="492">
        <v>0</v>
      </c>
      <c r="H39" s="493">
        <v>0</v>
      </c>
      <c r="K39" s="198"/>
      <c r="L39" s="198"/>
      <c r="M39" s="198"/>
      <c r="N39" s="198"/>
      <c r="O39" s="198"/>
      <c r="P39" s="198"/>
    </row>
    <row r="40" spans="1:16" x14ac:dyDescent="0.35">
      <c r="A40" s="476">
        <v>26</v>
      </c>
      <c r="B40" s="477" t="s">
        <v>1021</v>
      </c>
      <c r="C40" s="488" t="s">
        <v>1022</v>
      </c>
      <c r="D40" s="478" t="s">
        <v>1023</v>
      </c>
      <c r="E40" s="491">
        <v>0</v>
      </c>
      <c r="F40" s="491">
        <v>0</v>
      </c>
      <c r="G40" s="492">
        <v>0</v>
      </c>
      <c r="H40" s="493">
        <v>0</v>
      </c>
      <c r="K40" s="198"/>
      <c r="L40" s="198"/>
      <c r="M40" s="198"/>
      <c r="N40" s="198"/>
      <c r="O40" s="198"/>
      <c r="P40" s="198"/>
    </row>
    <row r="41" spans="1:16" x14ac:dyDescent="0.35">
      <c r="A41" s="476">
        <v>26</v>
      </c>
      <c r="B41" s="477" t="s">
        <v>1024</v>
      </c>
      <c r="C41" s="488" t="s">
        <v>1025</v>
      </c>
      <c r="D41" s="478" t="s">
        <v>1026</v>
      </c>
      <c r="E41" s="491">
        <v>0</v>
      </c>
      <c r="F41" s="491">
        <v>0</v>
      </c>
      <c r="G41" s="492">
        <v>0</v>
      </c>
      <c r="H41" s="493">
        <v>0</v>
      </c>
      <c r="K41" s="198"/>
      <c r="L41" s="198"/>
      <c r="M41" s="198"/>
      <c r="N41" s="198"/>
      <c r="O41" s="198"/>
      <c r="P41" s="198"/>
    </row>
    <row r="42" spans="1:16" x14ac:dyDescent="0.35">
      <c r="A42" s="476">
        <v>26</v>
      </c>
      <c r="B42" s="477" t="s">
        <v>990</v>
      </c>
      <c r="C42" s="488" t="s">
        <v>1027</v>
      </c>
      <c r="D42" s="478" t="s">
        <v>1028</v>
      </c>
      <c r="E42" s="491">
        <v>0</v>
      </c>
      <c r="F42" s="491">
        <v>0</v>
      </c>
      <c r="G42" s="492">
        <v>0</v>
      </c>
      <c r="H42" s="493">
        <v>0</v>
      </c>
      <c r="K42" s="198"/>
      <c r="L42" s="198"/>
      <c r="M42" s="198"/>
      <c r="N42" s="198"/>
      <c r="O42" s="198"/>
      <c r="P42" s="198"/>
    </row>
    <row r="43" spans="1:16" x14ac:dyDescent="0.35">
      <c r="A43" s="476">
        <v>9</v>
      </c>
      <c r="B43" s="477" t="s">
        <v>339</v>
      </c>
      <c r="C43" s="488" t="s">
        <v>1029</v>
      </c>
      <c r="D43" s="478" t="s">
        <v>1030</v>
      </c>
      <c r="E43" s="491">
        <v>0</v>
      </c>
      <c r="F43" s="491">
        <v>0</v>
      </c>
      <c r="G43" s="492">
        <v>0</v>
      </c>
      <c r="H43" s="493">
        <v>0</v>
      </c>
      <c r="K43" s="198"/>
      <c r="L43" s="198"/>
      <c r="M43" s="198"/>
      <c r="N43" s="198"/>
      <c r="O43" s="198"/>
      <c r="P43" s="198"/>
    </row>
    <row r="44" spans="1:16" ht="65" x14ac:dyDescent="0.35">
      <c r="A44" s="479">
        <v>23</v>
      </c>
      <c r="B44" s="480" t="s">
        <v>6</v>
      </c>
      <c r="C44" s="489" t="s">
        <v>1031</v>
      </c>
      <c r="D44" s="481" t="s">
        <v>1032</v>
      </c>
      <c r="E44" s="494">
        <v>0</v>
      </c>
      <c r="F44" s="494">
        <v>0</v>
      </c>
      <c r="G44" s="495">
        <v>0</v>
      </c>
      <c r="H44" s="496">
        <v>0</v>
      </c>
      <c r="K44" s="198"/>
      <c r="L44" s="198"/>
      <c r="M44" s="198"/>
      <c r="N44" s="198"/>
      <c r="O44" s="198"/>
      <c r="P44" s="198"/>
    </row>
    <row r="45" spans="1:16" ht="39" x14ac:dyDescent="0.35">
      <c r="A45" s="479">
        <v>23</v>
      </c>
      <c r="B45" s="480" t="s">
        <v>6</v>
      </c>
      <c r="C45" s="489" t="s">
        <v>1033</v>
      </c>
      <c r="D45" s="481" t="s">
        <v>1034</v>
      </c>
      <c r="E45" s="494">
        <v>0</v>
      </c>
      <c r="F45" s="494">
        <v>0</v>
      </c>
      <c r="G45" s="495">
        <v>0</v>
      </c>
      <c r="H45" s="496">
        <v>0</v>
      </c>
      <c r="K45" s="198"/>
      <c r="L45" s="198"/>
      <c r="M45" s="198"/>
      <c r="N45" s="198"/>
      <c r="O45" s="198"/>
      <c r="P45" s="198"/>
    </row>
    <row r="46" spans="1:16" x14ac:dyDescent="0.35">
      <c r="A46" s="476">
        <v>23</v>
      </c>
      <c r="B46" s="477" t="s">
        <v>6</v>
      </c>
      <c r="C46" s="488" t="s">
        <v>1035</v>
      </c>
      <c r="D46" s="478" t="s">
        <v>1036</v>
      </c>
      <c r="E46" s="491">
        <v>0</v>
      </c>
      <c r="F46" s="491">
        <v>0</v>
      </c>
      <c r="G46" s="492">
        <v>0</v>
      </c>
      <c r="H46" s="493">
        <v>0</v>
      </c>
      <c r="K46" s="198"/>
      <c r="L46" s="198"/>
      <c r="M46" s="198"/>
      <c r="N46" s="198"/>
    </row>
    <row r="47" spans="1:16" x14ac:dyDescent="0.35">
      <c r="A47" s="476">
        <v>25</v>
      </c>
      <c r="B47" s="477" t="s">
        <v>988</v>
      </c>
      <c r="C47" s="488" t="s">
        <v>1037</v>
      </c>
      <c r="D47" s="478" t="s">
        <v>1038</v>
      </c>
      <c r="E47" s="491">
        <v>0</v>
      </c>
      <c r="F47" s="491">
        <v>0</v>
      </c>
      <c r="G47" s="492">
        <v>0</v>
      </c>
      <c r="H47" s="493">
        <v>0</v>
      </c>
      <c r="K47" s="198"/>
      <c r="L47" s="198"/>
      <c r="M47" s="198"/>
      <c r="N47" s="198"/>
    </row>
    <row r="48" spans="1:16" x14ac:dyDescent="0.35">
      <c r="A48" s="476">
        <v>1</v>
      </c>
      <c r="B48" s="477" t="s">
        <v>991</v>
      </c>
      <c r="C48" s="488" t="s">
        <v>1039</v>
      </c>
      <c r="D48" s="478" t="s">
        <v>1040</v>
      </c>
      <c r="E48" s="491">
        <v>0</v>
      </c>
      <c r="F48" s="491">
        <v>0</v>
      </c>
      <c r="G48" s="492">
        <v>0</v>
      </c>
      <c r="H48" s="493">
        <v>0</v>
      </c>
      <c r="K48" s="198"/>
      <c r="L48" s="198"/>
      <c r="M48" s="198"/>
      <c r="N48" s="198"/>
    </row>
    <row r="49" spans="1:14" x14ac:dyDescent="0.35">
      <c r="A49" s="476">
        <v>22</v>
      </c>
      <c r="B49" s="477" t="s">
        <v>5</v>
      </c>
      <c r="C49" s="488" t="s">
        <v>1041</v>
      </c>
      <c r="D49" s="478" t="s">
        <v>1042</v>
      </c>
      <c r="E49" s="491">
        <v>0</v>
      </c>
      <c r="F49" s="491">
        <v>0</v>
      </c>
      <c r="G49" s="492">
        <v>0</v>
      </c>
      <c r="H49" s="493">
        <v>0</v>
      </c>
      <c r="K49" s="198"/>
      <c r="L49" s="198"/>
      <c r="M49" s="198"/>
      <c r="N49" s="198"/>
    </row>
    <row r="50" spans="1:14" x14ac:dyDescent="0.35">
      <c r="A50" s="476">
        <v>22</v>
      </c>
      <c r="B50" s="477" t="s">
        <v>5</v>
      </c>
      <c r="C50" s="488" t="s">
        <v>1043</v>
      </c>
      <c r="D50" s="478" t="s">
        <v>1044</v>
      </c>
      <c r="E50" s="491">
        <v>0</v>
      </c>
      <c r="F50" s="491">
        <v>0</v>
      </c>
      <c r="G50" s="492">
        <v>0</v>
      </c>
      <c r="H50" s="493">
        <v>0</v>
      </c>
      <c r="K50" s="198"/>
      <c r="L50" s="198"/>
      <c r="M50" s="198"/>
      <c r="N50" s="198"/>
    </row>
    <row r="51" spans="1:14" x14ac:dyDescent="0.35">
      <c r="A51" s="476">
        <v>24</v>
      </c>
      <c r="B51" s="477" t="s">
        <v>856</v>
      </c>
      <c r="C51" s="488" t="s">
        <v>1045</v>
      </c>
      <c r="D51" s="478" t="s">
        <v>1046</v>
      </c>
      <c r="E51" s="491">
        <v>0</v>
      </c>
      <c r="F51" s="491">
        <v>0</v>
      </c>
      <c r="G51" s="492">
        <v>0</v>
      </c>
      <c r="H51" s="493">
        <v>0</v>
      </c>
      <c r="K51" s="198"/>
      <c r="L51" s="198"/>
      <c r="M51" s="198"/>
      <c r="N51" s="198"/>
    </row>
    <row r="52" spans="1:14" x14ac:dyDescent="0.35">
      <c r="A52" s="476">
        <v>24</v>
      </c>
      <c r="B52" s="477" t="s">
        <v>856</v>
      </c>
      <c r="C52" s="488" t="s">
        <v>1047</v>
      </c>
      <c r="D52" s="478" t="s">
        <v>1048</v>
      </c>
      <c r="E52" s="491">
        <v>0</v>
      </c>
      <c r="F52" s="491">
        <v>0</v>
      </c>
      <c r="G52" s="492">
        <v>0</v>
      </c>
      <c r="H52" s="493">
        <v>0</v>
      </c>
      <c r="K52" s="198"/>
      <c r="L52" s="198"/>
      <c r="M52" s="198"/>
      <c r="N52" s="198"/>
    </row>
    <row r="53" spans="1:14" x14ac:dyDescent="0.35">
      <c r="A53" s="476">
        <v>32</v>
      </c>
      <c r="B53" s="477" t="s">
        <v>269</v>
      </c>
      <c r="C53" s="488" t="s">
        <v>1049</v>
      </c>
      <c r="D53" s="478" t="s">
        <v>1050</v>
      </c>
      <c r="E53" s="491">
        <v>0</v>
      </c>
      <c r="F53" s="491">
        <v>0</v>
      </c>
      <c r="G53" s="492">
        <v>0</v>
      </c>
      <c r="H53" s="493">
        <v>0</v>
      </c>
      <c r="K53" s="198"/>
      <c r="L53" s="198"/>
      <c r="M53" s="198"/>
      <c r="N53" s="198"/>
    </row>
    <row r="54" spans="1:14" x14ac:dyDescent="0.35">
      <c r="A54" s="476">
        <v>32</v>
      </c>
      <c r="B54" s="477" t="s">
        <v>269</v>
      </c>
      <c r="C54" s="488" t="s">
        <v>1051</v>
      </c>
      <c r="D54" s="478" t="s">
        <v>1052</v>
      </c>
      <c r="E54" s="491">
        <v>0</v>
      </c>
      <c r="F54" s="491">
        <v>0</v>
      </c>
      <c r="G54" s="492">
        <v>0</v>
      </c>
      <c r="H54" s="493">
        <v>0</v>
      </c>
      <c r="K54" s="198"/>
      <c r="L54" s="198"/>
      <c r="M54" s="198"/>
      <c r="N54" s="198"/>
    </row>
    <row r="55" spans="1:14" x14ac:dyDescent="0.35">
      <c r="A55" s="476">
        <v>8</v>
      </c>
      <c r="B55" s="477" t="s">
        <v>319</v>
      </c>
      <c r="C55" s="488" t="s">
        <v>1053</v>
      </c>
      <c r="D55" s="478" t="s">
        <v>1054</v>
      </c>
      <c r="E55" s="491">
        <v>0</v>
      </c>
      <c r="F55" s="491">
        <v>0</v>
      </c>
      <c r="G55" s="492">
        <v>0</v>
      </c>
      <c r="H55" s="493">
        <v>0</v>
      </c>
      <c r="K55" s="198"/>
      <c r="L55" s="198"/>
      <c r="M55" s="198"/>
      <c r="N55" s="198"/>
    </row>
    <row r="56" spans="1:14" ht="15" thickBot="1" x14ac:dyDescent="0.4">
      <c r="A56" s="482"/>
      <c r="B56" s="483"/>
      <c r="C56" s="484"/>
      <c r="D56" s="484" t="s">
        <v>727</v>
      </c>
      <c r="E56" s="268">
        <f>SUM(E30:E55)</f>
        <v>0</v>
      </c>
      <c r="F56" s="268">
        <f>SUM(F30:F55)</f>
        <v>0</v>
      </c>
      <c r="G56" s="268">
        <f>SUM(G30:G55)</f>
        <v>0</v>
      </c>
      <c r="H56" s="269">
        <f>SUM(H30:H55)</f>
        <v>0</v>
      </c>
      <c r="I56" s="485">
        <f>SUM(E56,F56,H56)</f>
        <v>0</v>
      </c>
      <c r="K56" s="198"/>
      <c r="L56" s="198"/>
      <c r="M56" s="198"/>
      <c r="N56" s="198"/>
    </row>
    <row r="57" spans="1:14" ht="15" thickTop="1" x14ac:dyDescent="0.35">
      <c r="K57" s="198"/>
      <c r="L57" s="198"/>
      <c r="M57" s="198"/>
      <c r="N57" s="198"/>
    </row>
    <row r="58" spans="1:14" x14ac:dyDescent="0.35">
      <c r="K58" s="198"/>
      <c r="L58" s="198"/>
      <c r="M58" s="198"/>
      <c r="N58" s="198"/>
    </row>
  </sheetData>
  <sheetProtection algorithmName="SHA-512" hashValue="45OyzTm7gcNtyVD2B/ltCazNsZUpNbcfaqKXFrkN2T/Zznnscwythnnk25K9uGwJCHLJETA+1hwr7RM1kkvvIg==" saltValue="NWqutpwtE5pgJ83gJ9f/MA==" spinCount="100000" sheet="1" objects="1" scenarios="1"/>
  <pageMargins left="0.7" right="0.7" top="0.75" bottom="0.75" header="0.3" footer="0.3"/>
  <ignoredErrors>
    <ignoredError sqref="C31 C33" twoDigitTextYear="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F7E9B-E7E1-45AC-A187-3E160C15AF77}">
  <sheetPr codeName="Sheet12">
    <tabColor rgb="FFFFC000"/>
  </sheetPr>
  <dimension ref="A1:G231"/>
  <sheetViews>
    <sheetView topLeftCell="A91" workbookViewId="0">
      <selection activeCell="C107" sqref="C107"/>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3"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1097</v>
      </c>
      <c r="C14" s="29"/>
      <c r="D14" s="29"/>
      <c r="E14" s="29"/>
      <c r="F14" s="17"/>
    </row>
    <row r="15" spans="1:7" s="198" customFormat="1" ht="8.15" customHeight="1" thickBot="1" x14ac:dyDescent="0.4">
      <c r="A15" s="341"/>
      <c r="B15" s="356"/>
      <c r="C15" s="357"/>
      <c r="D15" s="357"/>
      <c r="E15" s="357"/>
      <c r="F15" s="358"/>
      <c r="G15" s="341"/>
    </row>
    <row r="16" spans="1:7" ht="15.75" customHeight="1" thickBot="1" x14ac:dyDescent="0.4">
      <c r="B16" s="359" t="str">
        <f>'GMP-PO Breakdown'!C79</f>
        <v>Tenant Contingency</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x14ac:dyDescent="0.35">
      <c r="B46" s="519"/>
      <c r="C46" s="520"/>
      <c r="D46" s="521"/>
      <c r="E46" s="521"/>
      <c r="F46" s="522"/>
    </row>
    <row r="47" spans="2:6" ht="14.5" customHeight="1" x14ac:dyDescent="0.35">
      <c r="B47" s="519"/>
      <c r="C47" s="520"/>
      <c r="D47" s="521"/>
      <c r="E47" s="521"/>
      <c r="F47" s="522"/>
    </row>
    <row r="48" spans="2:6" ht="14.5" customHeight="1" x14ac:dyDescent="0.35">
      <c r="B48" s="519"/>
      <c r="C48" s="520"/>
      <c r="D48" s="521"/>
      <c r="E48" s="521"/>
      <c r="F48" s="522"/>
    </row>
    <row r="49" spans="2:6" ht="14.5" customHeight="1" x14ac:dyDescent="0.35">
      <c r="B49" s="519"/>
      <c r="C49" s="520"/>
      <c r="D49" s="521"/>
      <c r="E49" s="521"/>
      <c r="F49" s="522"/>
    </row>
    <row r="50" spans="2:6" ht="14.5" customHeight="1" x14ac:dyDescent="0.35">
      <c r="B50" s="519"/>
      <c r="C50" s="520"/>
      <c r="D50" s="521"/>
      <c r="E50" s="521"/>
      <c r="F50" s="522"/>
    </row>
    <row r="51" spans="2:6" ht="14.5" customHeight="1" x14ac:dyDescent="0.35">
      <c r="B51" s="519"/>
      <c r="C51" s="520"/>
      <c r="D51" s="521"/>
      <c r="E51" s="521"/>
      <c r="F51" s="522"/>
    </row>
    <row r="52" spans="2:6" ht="14.5" customHeight="1" x14ac:dyDescent="0.35">
      <c r="B52" s="519"/>
      <c r="C52" s="520"/>
      <c r="D52" s="521"/>
      <c r="E52" s="521"/>
      <c r="F52" s="522"/>
    </row>
    <row r="53" spans="2:6" ht="14.5" customHeight="1" x14ac:dyDescent="0.35">
      <c r="B53" s="519"/>
      <c r="C53" s="520"/>
      <c r="D53" s="521"/>
      <c r="E53" s="521"/>
      <c r="F53" s="522"/>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ht="14.5" customHeight="1" x14ac:dyDescent="0.35">
      <c r="B65" s="519"/>
      <c r="C65" s="520"/>
      <c r="D65" s="521"/>
      <c r="E65" s="521"/>
      <c r="F65" s="522"/>
    </row>
    <row r="66" spans="2:6" ht="14.5" customHeight="1" x14ac:dyDescent="0.35">
      <c r="B66" s="519"/>
      <c r="C66" s="520"/>
      <c r="D66" s="521"/>
      <c r="E66" s="521"/>
      <c r="F66" s="522"/>
    </row>
    <row r="67" spans="2:6" ht="14.5" customHeight="1" x14ac:dyDescent="0.35">
      <c r="B67" s="519"/>
      <c r="C67" s="520"/>
      <c r="D67" s="521"/>
      <c r="E67" s="521"/>
      <c r="F67" s="522"/>
    </row>
    <row r="68" spans="2:6" ht="14.5" customHeight="1" x14ac:dyDescent="0.35">
      <c r="B68" s="519"/>
      <c r="C68" s="520"/>
      <c r="D68" s="521"/>
      <c r="E68" s="521"/>
      <c r="F68" s="522"/>
    </row>
    <row r="69" spans="2:6" ht="14.5" customHeight="1" x14ac:dyDescent="0.35">
      <c r="B69" s="519"/>
      <c r="C69" s="520"/>
      <c r="D69" s="521"/>
      <c r="E69" s="521"/>
      <c r="F69" s="522"/>
    </row>
    <row r="70" spans="2:6" ht="14.5" customHeight="1" x14ac:dyDescent="0.35">
      <c r="B70" s="519"/>
      <c r="C70" s="520"/>
      <c r="D70" s="521"/>
      <c r="E70" s="521"/>
      <c r="F70" s="522"/>
    </row>
    <row r="71" spans="2:6" ht="14.5" customHeight="1" x14ac:dyDescent="0.35">
      <c r="B71" s="519"/>
      <c r="C71" s="520"/>
      <c r="D71" s="521"/>
      <c r="E71" s="521"/>
      <c r="F71" s="522"/>
    </row>
    <row r="72" spans="2:6" ht="14.5" customHeight="1" x14ac:dyDescent="0.35">
      <c r="B72" s="519"/>
      <c r="C72" s="520"/>
      <c r="D72" s="521"/>
      <c r="E72" s="521"/>
      <c r="F72" s="522"/>
    </row>
    <row r="73" spans="2:6" ht="14.5" customHeight="1" x14ac:dyDescent="0.35">
      <c r="B73" s="519"/>
      <c r="C73" s="520"/>
      <c r="D73" s="521"/>
      <c r="E73" s="521"/>
      <c r="F73" s="522"/>
    </row>
    <row r="74" spans="2:6" ht="14.5" customHeight="1" x14ac:dyDescent="0.35">
      <c r="B74" s="519"/>
      <c r="C74" s="520"/>
      <c r="D74" s="521"/>
      <c r="E74" s="521"/>
      <c r="F74" s="522"/>
    </row>
    <row r="75" spans="2:6" ht="14.5" customHeight="1" x14ac:dyDescent="0.35">
      <c r="B75" s="519"/>
      <c r="C75" s="520"/>
      <c r="D75" s="521"/>
      <c r="E75" s="521"/>
      <c r="F75" s="522"/>
    </row>
    <row r="76" spans="2:6" ht="14.5" customHeight="1" x14ac:dyDescent="0.35">
      <c r="B76" s="519"/>
      <c r="C76" s="520"/>
      <c r="D76" s="521"/>
      <c r="E76" s="521"/>
      <c r="F76" s="522"/>
    </row>
    <row r="77" spans="2:6" ht="14.5" customHeight="1" x14ac:dyDescent="0.35">
      <c r="B77" s="519"/>
      <c r="C77" s="520"/>
      <c r="D77" s="521"/>
      <c r="E77" s="521"/>
      <c r="F77" s="522"/>
    </row>
    <row r="78" spans="2:6" ht="14.5" customHeight="1" x14ac:dyDescent="0.35">
      <c r="B78" s="519"/>
      <c r="C78" s="520"/>
      <c r="D78" s="521"/>
      <c r="E78" s="521"/>
      <c r="F78" s="522"/>
    </row>
    <row r="79" spans="2:6" ht="14.5" customHeight="1" x14ac:dyDescent="0.35">
      <c r="B79" s="519"/>
      <c r="C79" s="520"/>
      <c r="D79" s="521"/>
      <c r="E79" s="521"/>
      <c r="F79" s="522"/>
    </row>
    <row r="80" spans="2:6" ht="14.5" customHeight="1" x14ac:dyDescent="0.35">
      <c r="B80" s="519"/>
      <c r="C80" s="520"/>
      <c r="D80" s="521"/>
      <c r="E80" s="521"/>
      <c r="F80" s="522"/>
    </row>
    <row r="81" spans="2:6" ht="14.5" customHeight="1" x14ac:dyDescent="0.35">
      <c r="B81" s="519"/>
      <c r="C81" s="520"/>
      <c r="D81" s="521"/>
      <c r="E81" s="521"/>
      <c r="F81" s="522"/>
    </row>
    <row r="82" spans="2:6" ht="14.5" customHeight="1" x14ac:dyDescent="0.35">
      <c r="B82" s="519"/>
      <c r="C82" s="520"/>
      <c r="D82" s="521"/>
      <c r="E82" s="521"/>
      <c r="F82" s="522"/>
    </row>
    <row r="83" spans="2:6" ht="14.5" customHeight="1" x14ac:dyDescent="0.35">
      <c r="B83" s="519"/>
      <c r="C83" s="520"/>
      <c r="D83" s="521"/>
      <c r="E83" s="521"/>
      <c r="F83" s="522"/>
    </row>
    <row r="84" spans="2:6" ht="14.5" customHeight="1" x14ac:dyDescent="0.35">
      <c r="B84" s="519"/>
      <c r="C84" s="520"/>
      <c r="D84" s="521"/>
      <c r="E84" s="521"/>
      <c r="F84" s="522"/>
    </row>
    <row r="85" spans="2:6" ht="14.5" customHeight="1" x14ac:dyDescent="0.35">
      <c r="B85" s="519"/>
      <c r="C85" s="520"/>
      <c r="D85" s="521"/>
      <c r="E85" s="521"/>
      <c r="F85" s="522"/>
    </row>
    <row r="86" spans="2:6" ht="14.5" customHeight="1" x14ac:dyDescent="0.35">
      <c r="B86" s="519"/>
      <c r="C86" s="520"/>
      <c r="D86" s="521"/>
      <c r="E86" s="521"/>
      <c r="F86" s="522"/>
    </row>
    <row r="87" spans="2:6" ht="14.5" customHeight="1" x14ac:dyDescent="0.35">
      <c r="B87" s="519"/>
      <c r="C87" s="520"/>
      <c r="D87" s="521"/>
      <c r="E87" s="521"/>
      <c r="F87" s="522"/>
    </row>
    <row r="88" spans="2:6" ht="14.5" customHeight="1" x14ac:dyDescent="0.35">
      <c r="B88" s="519"/>
      <c r="C88" s="520"/>
      <c r="D88" s="521"/>
      <c r="E88" s="521"/>
      <c r="F88" s="522"/>
    </row>
    <row r="89" spans="2:6" ht="14.5" customHeight="1" x14ac:dyDescent="0.35">
      <c r="B89" s="519"/>
      <c r="C89" s="520"/>
      <c r="D89" s="521"/>
      <c r="E89" s="521"/>
      <c r="F89" s="522"/>
    </row>
    <row r="90" spans="2:6" ht="14.5" customHeight="1" x14ac:dyDescent="0.35">
      <c r="B90" s="519"/>
      <c r="C90" s="520"/>
      <c r="D90" s="521"/>
      <c r="E90" s="521"/>
      <c r="F90" s="522"/>
    </row>
    <row r="91" spans="2:6" ht="14.5" customHeight="1" x14ac:dyDescent="0.35">
      <c r="B91" s="519"/>
      <c r="C91" s="520"/>
      <c r="D91" s="521"/>
      <c r="E91" s="521"/>
      <c r="F91" s="522"/>
    </row>
    <row r="92" spans="2:6" ht="14.5" customHeight="1" x14ac:dyDescent="0.35">
      <c r="B92" s="519"/>
      <c r="C92" s="520"/>
      <c r="D92" s="521"/>
      <c r="E92" s="521"/>
      <c r="F92" s="522"/>
    </row>
    <row r="93" spans="2:6" ht="14.5" customHeight="1" x14ac:dyDescent="0.35">
      <c r="B93" s="519"/>
      <c r="C93" s="520"/>
      <c r="D93" s="521"/>
      <c r="E93" s="521"/>
      <c r="F93" s="522"/>
    </row>
    <row r="94" spans="2:6" ht="14.5" customHeight="1" x14ac:dyDescent="0.35">
      <c r="B94" s="519"/>
      <c r="C94" s="520"/>
      <c r="D94" s="521"/>
      <c r="E94" s="521"/>
      <c r="F94" s="522"/>
    </row>
    <row r="95" spans="2:6" ht="14.5" customHeight="1" x14ac:dyDescent="0.35">
      <c r="B95" s="519"/>
      <c r="C95" s="520"/>
      <c r="D95" s="521"/>
      <c r="E95" s="521"/>
      <c r="F95" s="522"/>
    </row>
    <row r="96" spans="2:6" ht="14.5" customHeight="1"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ht="14.5" customHeight="1" x14ac:dyDescent="0.35">
      <c r="B100" s="519"/>
      <c r="C100" s="520"/>
      <c r="D100" s="521"/>
      <c r="E100" s="521"/>
      <c r="F100" s="522"/>
    </row>
    <row r="101" spans="2:6" ht="14.5" customHeight="1" x14ac:dyDescent="0.35">
      <c r="B101" s="519"/>
      <c r="C101" s="520"/>
      <c r="D101" s="521"/>
      <c r="E101" s="521"/>
      <c r="F101" s="522"/>
    </row>
    <row r="102" spans="2:6" ht="14.5" customHeight="1" x14ac:dyDescent="0.35">
      <c r="B102" s="519"/>
      <c r="C102" s="520"/>
      <c r="D102" s="521"/>
      <c r="E102" s="521"/>
      <c r="F102" s="522"/>
    </row>
    <row r="103" spans="2:6" ht="14.5" customHeight="1" x14ac:dyDescent="0.35">
      <c r="B103" s="519"/>
      <c r="C103" s="520"/>
      <c r="D103" s="521"/>
      <c r="E103" s="521"/>
      <c r="F103" s="522"/>
    </row>
    <row r="104" spans="2:6" ht="14.5" customHeight="1" x14ac:dyDescent="0.35">
      <c r="B104" s="519"/>
      <c r="C104" s="520"/>
      <c r="D104" s="521"/>
      <c r="E104" s="521"/>
      <c r="F104" s="522"/>
    </row>
    <row r="105" spans="2:6" ht="14.5" customHeight="1" x14ac:dyDescent="0.35">
      <c r="B105" s="519"/>
      <c r="C105" s="520"/>
      <c r="D105" s="521"/>
      <c r="E105" s="521"/>
      <c r="F105" s="522"/>
    </row>
    <row r="106" spans="2:6" ht="14.5" customHeight="1" x14ac:dyDescent="0.35">
      <c r="B106" s="519"/>
      <c r="C106" s="520"/>
      <c r="D106" s="521"/>
      <c r="E106" s="521"/>
      <c r="F106" s="522"/>
    </row>
    <row r="107" spans="2:6" ht="14.5" customHeight="1" x14ac:dyDescent="0.35">
      <c r="B107" s="519"/>
      <c r="C107" s="520"/>
      <c r="D107" s="521"/>
      <c r="E107" s="521"/>
      <c r="F107" s="522"/>
    </row>
    <row r="108" spans="2:6" ht="14.5" customHeight="1" x14ac:dyDescent="0.35">
      <c r="B108" s="519"/>
      <c r="C108" s="520"/>
      <c r="D108" s="521"/>
      <c r="E108" s="521"/>
      <c r="F108" s="522"/>
    </row>
    <row r="109" spans="2:6" ht="14.5" customHeight="1" x14ac:dyDescent="0.35">
      <c r="B109" s="519"/>
      <c r="C109" s="520"/>
      <c r="D109" s="521"/>
      <c r="E109" s="521"/>
      <c r="F109" s="522"/>
    </row>
    <row r="110" spans="2:6" ht="14.5" customHeight="1" x14ac:dyDescent="0.35">
      <c r="B110" s="519"/>
      <c r="C110" s="520"/>
      <c r="D110" s="521"/>
      <c r="E110" s="521"/>
      <c r="F110" s="522"/>
    </row>
    <row r="111" spans="2:6" ht="14.5" customHeight="1" x14ac:dyDescent="0.35">
      <c r="B111" s="519"/>
      <c r="C111" s="520"/>
      <c r="D111" s="521"/>
      <c r="E111" s="521"/>
      <c r="F111" s="522"/>
    </row>
    <row r="112" spans="2:6" ht="14.5" customHeight="1" x14ac:dyDescent="0.35">
      <c r="B112" s="523"/>
      <c r="C112" s="524"/>
      <c r="D112" s="525"/>
      <c r="E112" s="525"/>
      <c r="F112" s="526"/>
    </row>
    <row r="113" spans="1:6" ht="14.5" customHeight="1" x14ac:dyDescent="0.35">
      <c r="B113" s="523"/>
      <c r="C113" s="524"/>
      <c r="D113" s="525"/>
      <c r="E113" s="525"/>
      <c r="F113" s="526"/>
    </row>
    <row r="114" spans="1:6" ht="14.5" customHeight="1" x14ac:dyDescent="0.35">
      <c r="B114" s="523"/>
      <c r="C114" s="524"/>
      <c r="D114" s="525"/>
      <c r="E114" s="525"/>
      <c r="F114" s="526"/>
    </row>
    <row r="115" spans="1:6" ht="14.5" customHeight="1" x14ac:dyDescent="0.35">
      <c r="B115" s="523"/>
      <c r="C115" s="524"/>
      <c r="D115" s="525"/>
      <c r="E115" s="525"/>
      <c r="F115" s="526"/>
    </row>
    <row r="116" spans="1:6" ht="14.5" customHeight="1" thickBot="1" x14ac:dyDescent="0.4">
      <c r="B116" s="523"/>
      <c r="C116" s="524"/>
      <c r="D116" s="525"/>
      <c r="E116" s="525"/>
      <c r="F116" s="526"/>
    </row>
    <row r="117" spans="1:6" ht="15" thickBot="1" x14ac:dyDescent="0.4">
      <c r="B117" s="274" t="s">
        <v>398</v>
      </c>
      <c r="C117" s="362"/>
      <c r="D117" s="501">
        <f>SUMIF(E17:E116,"",D17:D116)</f>
        <v>0</v>
      </c>
      <c r="E117" s="276">
        <f>SUBTOTAL(9,E16:E116)</f>
        <v>0</v>
      </c>
      <c r="F117" s="277"/>
    </row>
    <row r="118" spans="1:6" ht="15" thickBot="1" x14ac:dyDescent="0.4">
      <c r="B118" s="505" t="str">
        <f>'GMP-PO Breakdown'!C79</f>
        <v>Tenant Contingency</v>
      </c>
      <c r="C118" s="502">
        <v>0</v>
      </c>
      <c r="D118" s="343"/>
      <c r="E118" s="343"/>
      <c r="F118" s="343"/>
    </row>
    <row r="119" spans="1:6" s="198" customFormat="1" ht="8.15" customHeight="1" thickBot="1" x14ac:dyDescent="0.4">
      <c r="A119" s="341"/>
      <c r="B119" s="278"/>
      <c r="C119" s="282"/>
      <c r="D119" s="503"/>
      <c r="E119" s="503"/>
      <c r="F119" s="503"/>
    </row>
    <row r="120" spans="1:6" ht="15.75" customHeight="1" thickBot="1" x14ac:dyDescent="0.4">
      <c r="B120" s="359" t="s">
        <v>1150</v>
      </c>
      <c r="C120" s="360" t="s">
        <v>415</v>
      </c>
      <c r="D120" s="360" t="s">
        <v>10</v>
      </c>
      <c r="E120" s="360" t="s">
        <v>1098</v>
      </c>
      <c r="F120" s="361" t="s">
        <v>399</v>
      </c>
    </row>
    <row r="121" spans="1:6" x14ac:dyDescent="0.35">
      <c r="B121" s="523"/>
      <c r="C121" s="524"/>
      <c r="D121" s="525"/>
      <c r="E121" s="525"/>
      <c r="F121" s="526"/>
    </row>
    <row r="122" spans="1:6" x14ac:dyDescent="0.35">
      <c r="B122" s="523"/>
      <c r="C122" s="524"/>
      <c r="D122" s="525"/>
      <c r="E122" s="525"/>
      <c r="F122" s="526"/>
    </row>
    <row r="123" spans="1:6" x14ac:dyDescent="0.35">
      <c r="B123" s="523"/>
      <c r="C123" s="524"/>
      <c r="D123" s="525"/>
      <c r="E123" s="525"/>
      <c r="F123" s="526"/>
    </row>
    <row r="124" spans="1:6" x14ac:dyDescent="0.35">
      <c r="B124" s="523"/>
      <c r="C124" s="524"/>
      <c r="D124" s="525"/>
      <c r="E124" s="525"/>
      <c r="F124" s="526"/>
    </row>
    <row r="125" spans="1:6" x14ac:dyDescent="0.35">
      <c r="B125" s="523"/>
      <c r="C125" s="524"/>
      <c r="D125" s="525"/>
      <c r="E125" s="525"/>
      <c r="F125" s="526"/>
    </row>
    <row r="126" spans="1:6" x14ac:dyDescent="0.35">
      <c r="B126" s="523"/>
      <c r="C126" s="524"/>
      <c r="D126" s="525"/>
      <c r="E126" s="525"/>
      <c r="F126" s="526"/>
    </row>
    <row r="127" spans="1:6" ht="15" thickBot="1" x14ac:dyDescent="0.4">
      <c r="B127" s="523"/>
      <c r="C127" s="524"/>
      <c r="D127" s="525"/>
      <c r="E127" s="525"/>
      <c r="F127" s="526"/>
    </row>
    <row r="128" spans="1:6" ht="15" thickBot="1" x14ac:dyDescent="0.4">
      <c r="B128" s="274" t="str">
        <f>"SUBTOTAL"</f>
        <v>SUBTOTAL</v>
      </c>
      <c r="C128" s="362"/>
      <c r="D128" s="501">
        <f>SUMIF(E121:E127,"",D121:D127)</f>
        <v>0</v>
      </c>
      <c r="E128" s="276">
        <f>SUBTOTAL(9,E120:E127)</f>
        <v>0</v>
      </c>
      <c r="F128" s="277"/>
    </row>
    <row r="129" spans="2:6" ht="15" thickBot="1" x14ac:dyDescent="0.4">
      <c r="B129" s="504" t="str">
        <f>'Subcontractor Breakdown'!D490</f>
        <v>Sprinkler Head Adjustments @ MHE</v>
      </c>
      <c r="C129" s="502">
        <f>'Subcontractor Breakdown'!E490</f>
        <v>0</v>
      </c>
      <c r="D129" s="343"/>
      <c r="E129" s="343"/>
      <c r="F129" s="343"/>
    </row>
    <row r="130" spans="2:6" ht="8.15" customHeight="1" thickBot="1" x14ac:dyDescent="0.4">
      <c r="B130" s="278"/>
      <c r="C130" s="282"/>
      <c r="D130" s="503"/>
      <c r="E130" s="503"/>
      <c r="F130" s="503"/>
    </row>
    <row r="131" spans="2:6" ht="15.75" customHeight="1" thickBot="1" x14ac:dyDescent="0.4">
      <c r="B131" s="359" t="str">
        <f>"Designated Tenant Allowance - "&amp; 'Subcontractor Breakdown'!D491</f>
        <v>Designated Tenant Allowance - Temporary Toilets</v>
      </c>
      <c r="C131" s="360" t="s">
        <v>415</v>
      </c>
      <c r="D131" s="360" t="s">
        <v>10</v>
      </c>
      <c r="E131" s="360" t="s">
        <v>1098</v>
      </c>
      <c r="F131" s="361" t="s">
        <v>399</v>
      </c>
    </row>
    <row r="132" spans="2:6" x14ac:dyDescent="0.35">
      <c r="B132" s="523"/>
      <c r="C132" s="524"/>
      <c r="D132" s="525"/>
      <c r="E132" s="525"/>
      <c r="F132" s="526"/>
    </row>
    <row r="133" spans="2:6" x14ac:dyDescent="0.35">
      <c r="B133" s="523"/>
      <c r="C133" s="524"/>
      <c r="D133" s="525"/>
      <c r="E133" s="525"/>
      <c r="F133" s="526"/>
    </row>
    <row r="134" spans="2:6" x14ac:dyDescent="0.35">
      <c r="B134" s="523"/>
      <c r="C134" s="524"/>
      <c r="D134" s="525"/>
      <c r="E134" s="525"/>
      <c r="F134" s="526"/>
    </row>
    <row r="135" spans="2:6" x14ac:dyDescent="0.35">
      <c r="B135" s="523"/>
      <c r="C135" s="524"/>
      <c r="D135" s="525"/>
      <c r="E135" s="525"/>
      <c r="F135" s="526"/>
    </row>
    <row r="136" spans="2:6" x14ac:dyDescent="0.35">
      <c r="B136" s="523"/>
      <c r="C136" s="524"/>
      <c r="D136" s="525"/>
      <c r="E136" s="525"/>
      <c r="F136" s="526"/>
    </row>
    <row r="137" spans="2:6" x14ac:dyDescent="0.35">
      <c r="B137" s="523"/>
      <c r="C137" s="524"/>
      <c r="D137" s="525"/>
      <c r="E137" s="525"/>
      <c r="F137" s="526"/>
    </row>
    <row r="138" spans="2:6" ht="15" thickBot="1" x14ac:dyDescent="0.4">
      <c r="B138" s="523"/>
      <c r="C138" s="524"/>
      <c r="D138" s="525"/>
      <c r="E138" s="525"/>
      <c r="F138" s="526"/>
    </row>
    <row r="139" spans="2:6" ht="15" thickBot="1" x14ac:dyDescent="0.4">
      <c r="B139" s="274" t="s">
        <v>398</v>
      </c>
      <c r="C139" s="362"/>
      <c r="D139" s="501">
        <f>SUMIF(E132:E138,"",D132:D138)</f>
        <v>0</v>
      </c>
      <c r="E139" s="276">
        <f>SUBTOTAL(9,E131:E138)</f>
        <v>0</v>
      </c>
      <c r="F139" s="277"/>
    </row>
    <row r="140" spans="2:6" ht="15" thickBot="1" x14ac:dyDescent="0.4">
      <c r="B140" s="504" t="str">
        <f xml:space="preserve">  'Subcontractor Breakdown'!D491</f>
        <v>Temporary Toilets</v>
      </c>
      <c r="C140" s="502">
        <f>'Subcontractor Breakdown'!E491</f>
        <v>0</v>
      </c>
      <c r="D140" s="343"/>
      <c r="E140" s="343"/>
      <c r="F140" s="343"/>
    </row>
    <row r="141" spans="2:6" ht="8.15" customHeight="1" thickBot="1" x14ac:dyDescent="0.4">
      <c r="B141" s="278"/>
      <c r="C141" s="282"/>
      <c r="D141" s="503"/>
      <c r="E141" s="503"/>
      <c r="F141" s="503"/>
    </row>
    <row r="142" spans="2:6" ht="15.75" customHeight="1" thickBot="1" x14ac:dyDescent="0.4">
      <c r="B142" s="359" t="str">
        <f>"Designated Tenant Allowance - "&amp; 'Subcontractor Breakdown'!D492</f>
        <v>Designated Tenant Allowance - Tenant Vendor Dumpster Allowance</v>
      </c>
      <c r="C142" s="360" t="s">
        <v>415</v>
      </c>
      <c r="D142" s="360" t="s">
        <v>10</v>
      </c>
      <c r="E142" s="360" t="s">
        <v>1098</v>
      </c>
      <c r="F142" s="361" t="s">
        <v>399</v>
      </c>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x14ac:dyDescent="0.35">
      <c r="B147" s="523"/>
      <c r="C147" s="524"/>
      <c r="D147" s="525"/>
      <c r="E147" s="525"/>
      <c r="F147" s="526"/>
    </row>
    <row r="148" spans="2:6" x14ac:dyDescent="0.35">
      <c r="B148" s="523"/>
      <c r="C148" s="524"/>
      <c r="D148" s="525"/>
      <c r="E148" s="525"/>
      <c r="F148" s="526"/>
    </row>
    <row r="149" spans="2:6" ht="15" thickBot="1" x14ac:dyDescent="0.4">
      <c r="B149" s="523"/>
      <c r="C149" s="524"/>
      <c r="D149" s="525"/>
      <c r="E149" s="525"/>
      <c r="F149" s="526"/>
    </row>
    <row r="150" spans="2:6" ht="15" thickBot="1" x14ac:dyDescent="0.4">
      <c r="B150" s="274" t="s">
        <v>398</v>
      </c>
      <c r="C150" s="362"/>
      <c r="D150" s="501">
        <f>SUMIF(E142:E149,"",D142:D149)</f>
        <v>0</v>
      </c>
      <c r="E150" s="276">
        <f>SUBTOTAL(9,E142:E149)</f>
        <v>0</v>
      </c>
      <c r="F150" s="277"/>
    </row>
    <row r="151" spans="2:6" ht="15" thickBot="1" x14ac:dyDescent="0.4">
      <c r="B151" s="504" t="str">
        <f xml:space="preserve"> 'Subcontractor Breakdown'!D492</f>
        <v>Tenant Vendor Dumpster Allowance</v>
      </c>
      <c r="C151" s="502">
        <f>'Subcontractor Breakdown'!E492</f>
        <v>0</v>
      </c>
      <c r="D151" s="343"/>
      <c r="E151" s="343"/>
      <c r="F151" s="343"/>
    </row>
    <row r="152" spans="2:6" ht="8.15" customHeight="1" thickBot="1" x14ac:dyDescent="0.4">
      <c r="B152" s="278"/>
      <c r="C152" s="282"/>
      <c r="D152" s="503"/>
      <c r="E152" s="503"/>
      <c r="F152" s="503"/>
    </row>
    <row r="153" spans="2:6" s="198" customFormat="1" ht="15" thickBot="1" x14ac:dyDescent="0.4">
      <c r="B153" s="359" t="str">
        <f>"Designated Tenant Allowance - "&amp; 'Subcontractor Breakdown'!D493</f>
        <v>Designated Tenant Allowance - Tenant's Power Usage from Early Access to TCO</v>
      </c>
      <c r="C153" s="360" t="s">
        <v>415</v>
      </c>
      <c r="D153" s="360" t="s">
        <v>10</v>
      </c>
      <c r="E153" s="360" t="s">
        <v>1098</v>
      </c>
      <c r="F153" s="361" t="s">
        <v>399</v>
      </c>
    </row>
    <row r="154" spans="2:6" s="198" customFormat="1" x14ac:dyDescent="0.35">
      <c r="B154" s="515"/>
      <c r="C154" s="516"/>
      <c r="D154" s="517"/>
      <c r="E154" s="517"/>
      <c r="F154" s="518"/>
    </row>
    <row r="155" spans="2:6" s="198" customFormat="1" x14ac:dyDescent="0.35">
      <c r="B155" s="523"/>
      <c r="C155" s="524"/>
      <c r="D155" s="525"/>
      <c r="E155" s="525"/>
      <c r="F155" s="526"/>
    </row>
    <row r="156" spans="2:6" x14ac:dyDescent="0.35">
      <c r="B156" s="519"/>
      <c r="C156" s="520"/>
      <c r="D156" s="521"/>
      <c r="E156" s="521"/>
      <c r="F156" s="522"/>
    </row>
    <row r="157" spans="2:6" s="198" customFormat="1" x14ac:dyDescent="0.35">
      <c r="B157" s="523"/>
      <c r="C157" s="524"/>
      <c r="D157" s="525"/>
      <c r="E157" s="525"/>
      <c r="F157" s="526"/>
    </row>
    <row r="158" spans="2:6" s="198" customFormat="1" x14ac:dyDescent="0.35">
      <c r="B158" s="523"/>
      <c r="C158" s="524"/>
      <c r="D158" s="525"/>
      <c r="E158" s="525"/>
      <c r="F158" s="526"/>
    </row>
    <row r="159" spans="2:6" s="198" customFormat="1" x14ac:dyDescent="0.35">
      <c r="B159" s="523"/>
      <c r="C159" s="524"/>
      <c r="D159" s="525"/>
      <c r="E159" s="525"/>
      <c r="F159" s="526"/>
    </row>
    <row r="160" spans="2:6" s="198" customFormat="1" ht="15" thickBot="1" x14ac:dyDescent="0.4">
      <c r="B160" s="523"/>
      <c r="C160" s="524"/>
      <c r="D160" s="525"/>
      <c r="E160" s="525"/>
      <c r="F160" s="526"/>
    </row>
    <row r="161" spans="2:6" s="198" customFormat="1" ht="15" thickBot="1" x14ac:dyDescent="0.4">
      <c r="B161" s="274" t="s">
        <v>398</v>
      </c>
      <c r="C161" s="362"/>
      <c r="D161" s="501">
        <f>SUMIF(E153:E160,"",D153:D160)</f>
        <v>0</v>
      </c>
      <c r="E161" s="276">
        <f>SUBTOTAL(9,E153:E160)</f>
        <v>0</v>
      </c>
      <c r="F161" s="277"/>
    </row>
    <row r="162" spans="2:6" s="198" customFormat="1" ht="15" thickBot="1" x14ac:dyDescent="0.4">
      <c r="B162" s="504" t="str">
        <f>'Subcontractor Breakdown'!D493</f>
        <v>Tenant's Power Usage from Early Access to TCO</v>
      </c>
      <c r="C162" s="502">
        <f>'Subcontractor Breakdown'!E493</f>
        <v>0</v>
      </c>
      <c r="D162" s="341"/>
      <c r="E162" s="341"/>
      <c r="F162" s="341"/>
    </row>
    <row r="163" spans="2:6" s="198" customFormat="1" ht="8.15" customHeight="1" thickBot="1" x14ac:dyDescent="0.4">
      <c r="B163" s="278"/>
      <c r="C163" s="282"/>
      <c r="D163" s="503"/>
      <c r="E163" s="503"/>
      <c r="F163" s="503"/>
    </row>
    <row r="164" spans="2:6" s="198" customFormat="1" ht="15" thickBot="1" x14ac:dyDescent="0.4">
      <c r="B164" s="359" t="str">
        <f>"Designated Tenant Allowance - "&amp; 'Subcontractor Breakdown'!D494</f>
        <v>Designated Tenant Allowance - Exterior Signage &amp; Markings</v>
      </c>
      <c r="C164" s="360" t="s">
        <v>415</v>
      </c>
      <c r="D164" s="360" t="s">
        <v>10</v>
      </c>
      <c r="E164" s="360" t="s">
        <v>1098</v>
      </c>
      <c r="F164" s="361" t="s">
        <v>399</v>
      </c>
    </row>
    <row r="165" spans="2:6" x14ac:dyDescent="0.35">
      <c r="B165" s="523"/>
      <c r="C165" s="524"/>
      <c r="D165" s="525"/>
      <c r="E165" s="525"/>
      <c r="F165" s="526"/>
    </row>
    <row r="166" spans="2:6" x14ac:dyDescent="0.35">
      <c r="B166" s="523"/>
      <c r="C166" s="524"/>
      <c r="D166" s="525"/>
      <c r="E166" s="525"/>
      <c r="F166" s="526"/>
    </row>
    <row r="167" spans="2:6" x14ac:dyDescent="0.35">
      <c r="B167" s="523"/>
      <c r="C167" s="524"/>
      <c r="D167" s="525"/>
      <c r="E167" s="525"/>
      <c r="F167" s="526"/>
    </row>
    <row r="168" spans="2:6" s="198" customFormat="1" x14ac:dyDescent="0.35">
      <c r="B168" s="523"/>
      <c r="C168" s="524"/>
      <c r="D168" s="525"/>
      <c r="E168" s="525"/>
      <c r="F168" s="526"/>
    </row>
    <row r="169" spans="2:6" s="198" customFormat="1" x14ac:dyDescent="0.35">
      <c r="B169" s="523"/>
      <c r="C169" s="524"/>
      <c r="D169" s="525"/>
      <c r="E169" s="525"/>
      <c r="F169" s="526"/>
    </row>
    <row r="170" spans="2:6" s="198" customFormat="1" x14ac:dyDescent="0.35">
      <c r="B170" s="523"/>
      <c r="C170" s="524"/>
      <c r="D170" s="525"/>
      <c r="E170" s="525"/>
      <c r="F170" s="526"/>
    </row>
    <row r="171" spans="2:6" s="198" customFormat="1" ht="15" thickBot="1" x14ac:dyDescent="0.4">
      <c r="B171" s="523"/>
      <c r="C171" s="524"/>
      <c r="D171" s="525"/>
      <c r="E171" s="525"/>
      <c r="F171" s="526"/>
    </row>
    <row r="172" spans="2:6" s="198" customFormat="1" ht="15" thickBot="1" x14ac:dyDescent="0.4">
      <c r="B172" s="274" t="str">
        <f>"SUBTOTAL - "&amp; 'Subcontractor Breakdown'!D493</f>
        <v>SUBTOTAL - Tenant's Power Usage from Early Access to TCO</v>
      </c>
      <c r="C172" s="362"/>
      <c r="D172" s="501">
        <f>SUMIF(E164:E171,"",D164:D171)</f>
        <v>0</v>
      </c>
      <c r="E172" s="276">
        <f>SUBTOTAL(9,E164:E171)</f>
        <v>0</v>
      </c>
      <c r="F172" s="277"/>
    </row>
    <row r="173" spans="2:6" s="198" customFormat="1" ht="15" thickBot="1" x14ac:dyDescent="0.4">
      <c r="B173" s="505" t="str">
        <f>"SUBTOTAL - "&amp; 'Subcontractor Breakdown'!D494</f>
        <v>SUBTOTAL - Exterior Signage &amp; Markings</v>
      </c>
      <c r="C173" s="502">
        <f>'Subcontractor Breakdown'!E494</f>
        <v>0</v>
      </c>
      <c r="D173" s="341"/>
      <c r="E173" s="341"/>
      <c r="F173" s="341"/>
    </row>
    <row r="174" spans="2:6" s="198" customFormat="1" ht="8.15" customHeight="1" thickBot="1" x14ac:dyDescent="0.4">
      <c r="B174" s="278"/>
      <c r="C174" s="282"/>
      <c r="D174" s="503"/>
      <c r="E174" s="503"/>
      <c r="F174" s="503"/>
    </row>
    <row r="175" spans="2:6" s="198" customFormat="1" ht="15" thickBot="1" x14ac:dyDescent="0.4">
      <c r="B175" s="359" t="str">
        <f>"Designated Tenant Allowance - "&amp; 'Subcontractor Breakdown'!D495</f>
        <v>Designated Tenant Allowance - MEP for Amazon Platforms</v>
      </c>
      <c r="C175" s="360" t="s">
        <v>415</v>
      </c>
      <c r="D175" s="360" t="s">
        <v>10</v>
      </c>
      <c r="E175" s="360" t="s">
        <v>1098</v>
      </c>
      <c r="F175" s="361" t="s">
        <v>399</v>
      </c>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s="198" customFormat="1" x14ac:dyDescent="0.35">
      <c r="B179" s="523"/>
      <c r="C179" s="524"/>
      <c r="D179" s="525"/>
      <c r="E179" s="525"/>
      <c r="F179" s="526"/>
    </row>
    <row r="180" spans="2:6" s="198" customFormat="1" x14ac:dyDescent="0.35">
      <c r="B180" s="523"/>
      <c r="C180" s="524"/>
      <c r="D180" s="525"/>
      <c r="E180" s="525"/>
      <c r="F180" s="526"/>
    </row>
    <row r="181" spans="2:6" s="198" customFormat="1" x14ac:dyDescent="0.35">
      <c r="B181" s="523"/>
      <c r="C181" s="524"/>
      <c r="D181" s="525"/>
      <c r="E181" s="525"/>
      <c r="F181" s="526"/>
    </row>
    <row r="182" spans="2:6" s="198" customFormat="1" ht="15" thickBot="1" x14ac:dyDescent="0.4">
      <c r="B182" s="523"/>
      <c r="C182" s="524"/>
      <c r="D182" s="525"/>
      <c r="E182" s="525"/>
      <c r="F182" s="526"/>
    </row>
    <row r="183" spans="2:6" s="198" customFormat="1" ht="15" thickBot="1" x14ac:dyDescent="0.4">
      <c r="B183" s="274" t="s">
        <v>398</v>
      </c>
      <c r="C183" s="362"/>
      <c r="D183" s="501">
        <f>SUMIF(E175:E182,"",D175:D182)</f>
        <v>0</v>
      </c>
      <c r="E183" s="276">
        <f>SUBTOTAL(9,E175:E182)</f>
        <v>0</v>
      </c>
      <c r="F183" s="277"/>
    </row>
    <row r="184" spans="2:6" s="198" customFormat="1" ht="15" thickBot="1" x14ac:dyDescent="0.4">
      <c r="B184" s="505" t="str">
        <f>'Subcontractor Breakdown'!D495</f>
        <v>MEP for Amazon Platforms</v>
      </c>
      <c r="C184" s="502">
        <f>'Subcontractor Breakdown'!E495</f>
        <v>0</v>
      </c>
      <c r="D184" s="341"/>
      <c r="E184" s="341"/>
      <c r="F184" s="341"/>
    </row>
    <row r="185" spans="2:6" s="198" customFormat="1" ht="8.15" customHeight="1" thickBot="1" x14ac:dyDescent="0.4">
      <c r="B185" s="278"/>
      <c r="C185" s="282"/>
      <c r="D185" s="503"/>
      <c r="E185" s="503"/>
      <c r="F185" s="503"/>
    </row>
    <row r="186" spans="2:6" s="198" customFormat="1" ht="15" thickBot="1" x14ac:dyDescent="0.4">
      <c r="B186" s="359" t="str">
        <f>"Designated Tenant Allowance - "&amp; 'Subcontractor Breakdown'!D496</f>
        <v>Designated Tenant Allowance - Floor Remediation @ RSP &amp; Sorter Platforms</v>
      </c>
      <c r="C186" s="360" t="s">
        <v>415</v>
      </c>
      <c r="D186" s="360" t="s">
        <v>10</v>
      </c>
      <c r="E186" s="360" t="s">
        <v>1098</v>
      </c>
      <c r="F186" s="361" t="s">
        <v>399</v>
      </c>
    </row>
    <row r="187" spans="2:6" x14ac:dyDescent="0.35">
      <c r="B187" s="523"/>
      <c r="C187" s="524"/>
      <c r="D187" s="525"/>
      <c r="E187" s="525"/>
      <c r="F187" s="526"/>
    </row>
    <row r="188" spans="2:6" x14ac:dyDescent="0.35">
      <c r="B188" s="523"/>
      <c r="C188" s="524"/>
      <c r="D188" s="525"/>
      <c r="E188" s="525"/>
      <c r="F188" s="526"/>
    </row>
    <row r="189" spans="2:6" x14ac:dyDescent="0.35">
      <c r="B189" s="523"/>
      <c r="C189" s="524"/>
      <c r="D189" s="525"/>
      <c r="E189" s="525"/>
      <c r="F189" s="526"/>
    </row>
    <row r="190" spans="2:6" s="198" customFormat="1" x14ac:dyDescent="0.35">
      <c r="B190" s="523"/>
      <c r="C190" s="524"/>
      <c r="D190" s="525"/>
      <c r="E190" s="525"/>
      <c r="F190" s="526"/>
    </row>
    <row r="191" spans="2:6" s="198" customFormat="1" x14ac:dyDescent="0.35">
      <c r="B191" s="523"/>
      <c r="C191" s="524"/>
      <c r="D191" s="525"/>
      <c r="E191" s="525"/>
      <c r="F191" s="526"/>
    </row>
    <row r="192" spans="2:6" s="198" customFormat="1" x14ac:dyDescent="0.35">
      <c r="B192" s="523"/>
      <c r="C192" s="524"/>
      <c r="D192" s="525"/>
      <c r="E192" s="525"/>
      <c r="F192" s="526"/>
    </row>
    <row r="193" spans="2:6" s="198" customFormat="1" ht="15" thickBot="1" x14ac:dyDescent="0.4">
      <c r="B193" s="523"/>
      <c r="C193" s="524"/>
      <c r="D193" s="525"/>
      <c r="E193" s="525"/>
      <c r="F193" s="526"/>
    </row>
    <row r="194" spans="2:6" s="198" customFormat="1" ht="15" thickBot="1" x14ac:dyDescent="0.4">
      <c r="B194" s="274" t="s">
        <v>398</v>
      </c>
      <c r="C194" s="362"/>
      <c r="D194" s="501">
        <f>SUMIF(E186:E193,"",D186:D193)</f>
        <v>0</v>
      </c>
      <c r="E194" s="276">
        <f>SUBTOTAL(9,E186:E193)</f>
        <v>0</v>
      </c>
      <c r="F194" s="277"/>
    </row>
    <row r="195" spans="2:6" s="198" customFormat="1" ht="15" thickBot="1" x14ac:dyDescent="0.4">
      <c r="B195" s="505" t="str">
        <f xml:space="preserve"> 'Subcontractor Breakdown'!D496</f>
        <v>Floor Remediation @ RSP &amp; Sorter Platforms</v>
      </c>
      <c r="C195" s="502">
        <f>'Subcontractor Breakdown'!E496</f>
        <v>0</v>
      </c>
      <c r="D195" s="341"/>
      <c r="E195" s="341"/>
      <c r="F195" s="341"/>
    </row>
    <row r="196" spans="2:6" s="198" customFormat="1" ht="8.15" customHeight="1" thickBot="1" x14ac:dyDescent="0.4">
      <c r="B196" s="278"/>
      <c r="C196" s="282"/>
      <c r="D196" s="503"/>
      <c r="E196" s="503"/>
      <c r="F196" s="503"/>
    </row>
    <row r="197" spans="2:6" s="198" customFormat="1" ht="15" thickBot="1" x14ac:dyDescent="0.4">
      <c r="B197" s="359" t="str">
        <f>"Designated Tenant Allowance - "&amp; 'Subcontractor Breakdown'!D497</f>
        <v>Designated Tenant Allowance - Scanning for Curvature</v>
      </c>
      <c r="C197" s="360" t="s">
        <v>415</v>
      </c>
      <c r="D197" s="360" t="s">
        <v>10</v>
      </c>
      <c r="E197" s="360" t="s">
        <v>1098</v>
      </c>
      <c r="F197" s="361" t="s">
        <v>399</v>
      </c>
    </row>
    <row r="198" spans="2:6" x14ac:dyDescent="0.35">
      <c r="B198" s="519"/>
      <c r="C198" s="520"/>
      <c r="D198" s="521"/>
      <c r="E198" s="521"/>
      <c r="F198" s="522"/>
    </row>
    <row r="199" spans="2:6" x14ac:dyDescent="0.35">
      <c r="B199" s="523"/>
      <c r="C199" s="524"/>
      <c r="D199" s="525"/>
      <c r="E199" s="525"/>
      <c r="F199" s="526"/>
    </row>
    <row r="200" spans="2:6" x14ac:dyDescent="0.35">
      <c r="B200" s="523"/>
      <c r="C200" s="524"/>
      <c r="D200" s="525"/>
      <c r="E200" s="525"/>
      <c r="F200" s="526"/>
    </row>
    <row r="201" spans="2:6" s="198" customFormat="1" x14ac:dyDescent="0.35">
      <c r="B201" s="523"/>
      <c r="C201" s="524"/>
      <c r="D201" s="525"/>
      <c r="E201" s="525"/>
      <c r="F201" s="526"/>
    </row>
    <row r="202" spans="2:6" s="198" customFormat="1" x14ac:dyDescent="0.35">
      <c r="B202" s="523"/>
      <c r="C202" s="524"/>
      <c r="D202" s="525"/>
      <c r="E202" s="525"/>
      <c r="F202" s="526"/>
    </row>
    <row r="203" spans="2:6" s="198" customFormat="1" x14ac:dyDescent="0.35">
      <c r="B203" s="523"/>
      <c r="C203" s="524"/>
      <c r="D203" s="525"/>
      <c r="E203" s="525"/>
      <c r="F203" s="526"/>
    </row>
    <row r="204" spans="2:6" s="198" customFormat="1" ht="15" thickBot="1" x14ac:dyDescent="0.4">
      <c r="B204" s="523"/>
      <c r="C204" s="524"/>
      <c r="D204" s="525"/>
      <c r="E204" s="525"/>
      <c r="F204" s="526"/>
    </row>
    <row r="205" spans="2:6" s="198" customFormat="1" ht="15" thickBot="1" x14ac:dyDescent="0.4">
      <c r="B205" s="274" t="s">
        <v>398</v>
      </c>
      <c r="C205" s="362"/>
      <c r="D205" s="501">
        <f>SUMIF(E197:E204,"",D197:D204)</f>
        <v>0</v>
      </c>
      <c r="E205" s="276">
        <f>SUBTOTAL(9,E197:E204)</f>
        <v>0</v>
      </c>
      <c r="F205" s="277"/>
    </row>
    <row r="206" spans="2:6" s="198" customFormat="1" ht="15" thickBot="1" x14ac:dyDescent="0.4">
      <c r="B206" s="505" t="str">
        <f xml:space="preserve"> 'Subcontractor Breakdown'!D497</f>
        <v>Scanning for Curvature</v>
      </c>
      <c r="C206" s="502">
        <f>'Subcontractor Breakdown'!E497</f>
        <v>0</v>
      </c>
      <c r="D206" s="341"/>
      <c r="E206" s="341"/>
      <c r="F206" s="341"/>
    </row>
    <row r="207" spans="2:6" s="198" customFormat="1" ht="8.15" customHeight="1" thickBot="1" x14ac:dyDescent="0.4">
      <c r="B207" s="278"/>
      <c r="C207" s="282"/>
      <c r="D207" s="503"/>
      <c r="E207" s="503"/>
      <c r="F207" s="503"/>
    </row>
    <row r="208" spans="2:6" s="198" customFormat="1" ht="15" thickBot="1" x14ac:dyDescent="0.4">
      <c r="B208" s="359" t="str">
        <f>"Designated Tenant Allowance - "&amp; 'Subcontractor Breakdown'!D498</f>
        <v>Designated Tenant Allowance - Other (Describe)</v>
      </c>
      <c r="C208" s="360" t="s">
        <v>415</v>
      </c>
      <c r="D208" s="360" t="s">
        <v>10</v>
      </c>
      <c r="E208" s="360" t="s">
        <v>1098</v>
      </c>
      <c r="F208" s="361" t="s">
        <v>399</v>
      </c>
    </row>
    <row r="209" spans="2:6" s="198" customFormat="1" x14ac:dyDescent="0.35">
      <c r="B209" s="519"/>
      <c r="C209" s="520"/>
      <c r="D209" s="521"/>
      <c r="E209" s="521"/>
      <c r="F209" s="522"/>
    </row>
    <row r="210" spans="2:6" s="198" customFormat="1" x14ac:dyDescent="0.35">
      <c r="B210" s="519"/>
      <c r="C210" s="520"/>
      <c r="D210" s="521"/>
      <c r="E210" s="521"/>
      <c r="F210" s="522"/>
    </row>
    <row r="211" spans="2:6" s="198" customFormat="1" x14ac:dyDescent="0.35">
      <c r="B211" s="523"/>
      <c r="C211" s="524"/>
      <c r="D211" s="525"/>
      <c r="E211" s="525"/>
      <c r="F211" s="526"/>
    </row>
    <row r="212" spans="2:6" s="198" customFormat="1" x14ac:dyDescent="0.35">
      <c r="B212" s="523"/>
      <c r="C212" s="524"/>
      <c r="D212" s="525"/>
      <c r="E212" s="525"/>
      <c r="F212" s="526"/>
    </row>
    <row r="213" spans="2:6" s="198" customFormat="1" x14ac:dyDescent="0.35">
      <c r="B213" s="523"/>
      <c r="C213" s="524"/>
      <c r="D213" s="525"/>
      <c r="E213" s="525"/>
      <c r="F213" s="526"/>
    </row>
    <row r="214" spans="2:6" s="198" customFormat="1" x14ac:dyDescent="0.35">
      <c r="B214" s="523"/>
      <c r="C214" s="524"/>
      <c r="D214" s="525"/>
      <c r="E214" s="525"/>
      <c r="F214" s="526"/>
    </row>
    <row r="215" spans="2:6" s="198" customFormat="1" ht="15" thickBot="1" x14ac:dyDescent="0.4">
      <c r="B215" s="523"/>
      <c r="C215" s="524"/>
      <c r="D215" s="525"/>
      <c r="E215" s="525"/>
      <c r="F215" s="526"/>
    </row>
    <row r="216" spans="2:6" s="198" customFormat="1" ht="15" thickBot="1" x14ac:dyDescent="0.4">
      <c r="B216" s="274" t="s">
        <v>398</v>
      </c>
      <c r="C216" s="362"/>
      <c r="D216" s="363">
        <f>SUMIF(E208:E215,"",D208:D215)</f>
        <v>0</v>
      </c>
      <c r="E216" s="276">
        <f>SUBTOTAL(9,E208:E215)</f>
        <v>0</v>
      </c>
      <c r="F216" s="277"/>
    </row>
    <row r="217" spans="2:6" s="198" customFormat="1" ht="15" thickBot="1" x14ac:dyDescent="0.4">
      <c r="B217" s="505" t="str">
        <f xml:space="preserve"> 'Subcontractor Breakdown'!D498</f>
        <v>Other (Describe)</v>
      </c>
      <c r="C217" s="502">
        <f>'Subcontractor Breakdown'!E498</f>
        <v>0</v>
      </c>
    </row>
    <row r="218" spans="2:6" s="198" customFormat="1" ht="8" customHeight="1" thickBot="1" x14ac:dyDescent="0.4">
      <c r="B218" s="191"/>
      <c r="C218" s="192"/>
      <c r="D218" s="192"/>
      <c r="E218" s="193"/>
      <c r="F218" s="193"/>
    </row>
    <row r="219" spans="2:6" s="198" customFormat="1" ht="15" thickBot="1" x14ac:dyDescent="0.4">
      <c r="B219" s="37" t="s">
        <v>568</v>
      </c>
      <c r="C219" s="27">
        <f>'GMP-PO Breakdown'!D73+C118</f>
        <v>0</v>
      </c>
      <c r="D219" s="27">
        <f>SUM(D216,D205,D194,D183,D172,D161,D150,D139,D128,D117)</f>
        <v>0</v>
      </c>
      <c r="E219" s="27">
        <f>SUM(E216,E205,E194,E183,E172,E161,E150,E139,E128,E117)</f>
        <v>0</v>
      </c>
      <c r="F219" s="383"/>
    </row>
    <row r="220" spans="2:6" s="198" customFormat="1" ht="8" customHeight="1" thickBot="1" x14ac:dyDescent="0.4">
      <c r="B220" s="191"/>
      <c r="C220" s="192"/>
      <c r="D220" s="192"/>
      <c r="E220" s="193"/>
      <c r="F220" s="193"/>
    </row>
    <row r="221" spans="2:6" s="198" customFormat="1" ht="15" thickBot="1" x14ac:dyDescent="0.4">
      <c r="B221" s="30" t="s">
        <v>437</v>
      </c>
      <c r="C221" s="364"/>
      <c r="D221" s="27"/>
      <c r="E221" s="28">
        <f>(D219+E219)</f>
        <v>0</v>
      </c>
      <c r="F221" s="193"/>
    </row>
    <row r="222" spans="2:6" s="198" customFormat="1" ht="8" customHeight="1" thickBot="1" x14ac:dyDescent="0.4">
      <c r="B222" s="191"/>
      <c r="C222" s="192"/>
      <c r="D222" s="192"/>
      <c r="E222" s="193"/>
      <c r="F222" s="193"/>
    </row>
    <row r="223" spans="2:6" s="198" customFormat="1" ht="15" thickBot="1" x14ac:dyDescent="0.4">
      <c r="B223" s="30" t="s">
        <v>1099</v>
      </c>
      <c r="C223" s="364"/>
      <c r="D223" s="27"/>
      <c r="E223" s="28">
        <f>('GMP-PO Breakdown'!D73+'GMP-PO Breakdown'!D79)-(D219+E219)</f>
        <v>0</v>
      </c>
      <c r="F223" s="193"/>
    </row>
    <row r="224" spans="2:6" s="198" customFormat="1" ht="8" customHeight="1" thickBot="1" x14ac:dyDescent="0.4">
      <c r="B224" s="191"/>
      <c r="C224" s="192"/>
      <c r="D224" s="192"/>
      <c r="E224" s="193"/>
      <c r="F224" s="193"/>
    </row>
    <row r="225" spans="2:6" s="198" customFormat="1" ht="15" thickBot="1" x14ac:dyDescent="0.4">
      <c r="B225" s="30" t="s">
        <v>416</v>
      </c>
      <c r="C225" s="364"/>
      <c r="D225" s="27"/>
      <c r="E225" s="28"/>
      <c r="F225" s="193"/>
    </row>
    <row r="226" spans="2:6" s="198" customFormat="1" x14ac:dyDescent="0.35">
      <c r="B226" s="191"/>
      <c r="C226" s="192"/>
      <c r="D226" s="192"/>
      <c r="E226" s="193"/>
      <c r="F226" s="193"/>
    </row>
    <row r="227" spans="2:6" s="198" customFormat="1" x14ac:dyDescent="0.35">
      <c r="B227" s="191"/>
      <c r="C227" s="192"/>
      <c r="D227" s="192"/>
      <c r="E227" s="193"/>
      <c r="F227" s="193"/>
    </row>
    <row r="228" spans="2:6" s="198" customFormat="1" x14ac:dyDescent="0.35">
      <c r="B228" s="191"/>
      <c r="C228" s="192"/>
      <c r="D228" s="192"/>
      <c r="E228" s="193"/>
      <c r="F228" s="193"/>
    </row>
    <row r="229" spans="2:6" s="198" customFormat="1" x14ac:dyDescent="0.35">
      <c r="B229" s="191"/>
      <c r="C229" s="192"/>
      <c r="D229" s="192"/>
      <c r="E229" s="193"/>
      <c r="F229" s="193"/>
    </row>
    <row r="230" spans="2:6" s="198" customFormat="1" x14ac:dyDescent="0.35">
      <c r="B230" s="191"/>
      <c r="C230" s="192"/>
      <c r="D230" s="192"/>
      <c r="E230" s="193"/>
      <c r="F230" s="193"/>
    </row>
    <row r="231" spans="2:6" s="198" customFormat="1" x14ac:dyDescent="0.35">
      <c r="B231" s="97"/>
      <c r="C231" s="192"/>
      <c r="D231" s="192"/>
      <c r="E231" s="193"/>
      <c r="F231" s="193"/>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2FC7-F3CB-428F-91DF-67B126544C4B}">
  <sheetPr codeName="Sheet16">
    <tabColor rgb="FFFFC000"/>
  </sheetPr>
  <dimension ref="A1:L153"/>
  <sheetViews>
    <sheetView topLeftCell="A121" workbookViewId="0">
      <selection activeCell="H147" sqref="H147"/>
    </sheetView>
  </sheetViews>
  <sheetFormatPr defaultColWidth="9.1796875" defaultRowHeight="14" x14ac:dyDescent="0.3"/>
  <cols>
    <col min="1" max="1" width="2.81640625" style="19" customWidth="1"/>
    <col min="2" max="2" width="20" style="36"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2:12" x14ac:dyDescent="0.3">
      <c r="C1" s="190"/>
      <c r="J1" s="306"/>
      <c r="K1" s="306"/>
      <c r="L1" s="306"/>
    </row>
    <row r="2" spans="2:12" x14ac:dyDescent="0.3">
      <c r="B2" s="11" t="s">
        <v>433</v>
      </c>
      <c r="C2" s="190"/>
      <c r="F2" s="190"/>
      <c r="G2" s="190"/>
      <c r="H2" s="163" t="s">
        <v>1077</v>
      </c>
      <c r="J2" s="306"/>
      <c r="K2" s="306"/>
      <c r="L2" s="306"/>
    </row>
    <row r="3" spans="2:12" x14ac:dyDescent="0.3">
      <c r="B3" s="11" t="s">
        <v>642</v>
      </c>
      <c r="C3" s="190"/>
      <c r="E3" s="271" t="s">
        <v>1055</v>
      </c>
      <c r="F3" s="313"/>
      <c r="G3" s="313"/>
      <c r="H3" s="313"/>
      <c r="J3" s="306"/>
      <c r="K3" s="306"/>
      <c r="L3" s="306"/>
    </row>
    <row r="4" spans="2:12" ht="14.5" thickBot="1" x14ac:dyDescent="0.35">
      <c r="B4" s="180"/>
      <c r="C4" s="178" t="e">
        <f>"THIS WILL REPORT FINANCIALS THROUGH " &amp; UPPER(TEXT(EDATE(startSummary,-1),"MMM")) &amp; " / " &amp; YEAR(EDATE(startSummary,-1))</f>
        <v>#NUM!</v>
      </c>
      <c r="J4" s="307"/>
      <c r="K4" s="307"/>
      <c r="L4" s="307"/>
    </row>
    <row r="5" spans="2:12" ht="14.5" thickBot="1" x14ac:dyDescent="0.35">
      <c r="B5" s="12" t="s">
        <v>428</v>
      </c>
      <c r="C5" s="447"/>
      <c r="E5" s="596" t="s">
        <v>440</v>
      </c>
      <c r="F5" s="597"/>
      <c r="G5" s="598"/>
      <c r="H5" s="156">
        <v>0</v>
      </c>
      <c r="J5" s="564" t="s">
        <v>578</v>
      </c>
      <c r="K5" s="565"/>
      <c r="L5" s="566"/>
    </row>
    <row r="6" spans="2:12" ht="14.5" thickBot="1" x14ac:dyDescent="0.35">
      <c r="B6" s="181" t="s">
        <v>429</v>
      </c>
      <c r="C6" s="448"/>
      <c r="E6" s="599" t="s">
        <v>441</v>
      </c>
      <c r="F6" s="600"/>
      <c r="G6" s="601"/>
      <c r="H6" s="156">
        <v>0</v>
      </c>
      <c r="J6" s="567"/>
      <c r="K6" s="568"/>
      <c r="L6" s="569"/>
    </row>
    <row r="7" spans="2:12" ht="15" thickTop="1" x14ac:dyDescent="0.3">
      <c r="B7" s="181" t="s">
        <v>476</v>
      </c>
      <c r="C7" s="449"/>
      <c r="E7" s="599" t="s">
        <v>442</v>
      </c>
      <c r="F7" s="600"/>
      <c r="G7" s="601"/>
      <c r="H7" s="156">
        <v>0</v>
      </c>
      <c r="J7" s="41"/>
      <c r="K7" s="42"/>
      <c r="L7" s="43"/>
    </row>
    <row r="8" spans="2:12" x14ac:dyDescent="0.3">
      <c r="B8" s="14" t="s">
        <v>477</v>
      </c>
      <c r="C8" s="450"/>
      <c r="E8" s="590" t="s">
        <v>443</v>
      </c>
      <c r="F8" s="591"/>
      <c r="G8" s="592"/>
      <c r="H8" s="156">
        <f>H5+H6+H7</f>
        <v>0</v>
      </c>
      <c r="J8" s="570" t="s">
        <v>579</v>
      </c>
      <c r="K8" s="571"/>
      <c r="L8" s="572"/>
    </row>
    <row r="9" spans="2:12" x14ac:dyDescent="0.3">
      <c r="B9" s="14" t="s">
        <v>479</v>
      </c>
      <c r="C9" s="450"/>
      <c r="E9" s="590" t="s">
        <v>444</v>
      </c>
      <c r="F9" s="591"/>
      <c r="G9" s="592"/>
      <c r="H9" s="156">
        <f>'Cash Flow'!O69</f>
        <v>0</v>
      </c>
      <c r="J9" s="573"/>
      <c r="K9" s="574"/>
      <c r="L9" s="575"/>
    </row>
    <row r="10" spans="2:12" ht="14.5" x14ac:dyDescent="0.3">
      <c r="B10" s="14" t="s">
        <v>481</v>
      </c>
      <c r="C10" s="450"/>
      <c r="E10" s="590" t="s">
        <v>445</v>
      </c>
      <c r="F10" s="591"/>
      <c r="G10" s="592"/>
      <c r="H10" s="156">
        <f>H8-H9</f>
        <v>0</v>
      </c>
      <c r="J10" s="44"/>
      <c r="K10" s="45"/>
      <c r="L10" s="46"/>
    </row>
    <row r="11" spans="2:12" ht="16" x14ac:dyDescent="0.3">
      <c r="B11" s="14" t="s">
        <v>482</v>
      </c>
      <c r="C11" s="450"/>
      <c r="E11" s="590" t="s">
        <v>855</v>
      </c>
      <c r="F11" s="591"/>
      <c r="G11" s="592"/>
      <c r="H11" s="155">
        <f>G116</f>
        <v>0</v>
      </c>
      <c r="J11" s="576"/>
      <c r="K11" s="577"/>
      <c r="L11" s="578"/>
    </row>
    <row r="12" spans="2:12" ht="14.5" x14ac:dyDescent="0.3">
      <c r="B12" s="14" t="s">
        <v>432</v>
      </c>
      <c r="C12" s="450"/>
      <c r="E12" s="590" t="s">
        <v>643</v>
      </c>
      <c r="F12" s="591"/>
      <c r="G12" s="592"/>
      <c r="H12" s="155">
        <f>D139</f>
        <v>0</v>
      </c>
      <c r="J12" s="44"/>
      <c r="K12" s="45"/>
      <c r="L12" s="46"/>
    </row>
    <row r="13" spans="2:12" ht="15.5" x14ac:dyDescent="0.35">
      <c r="B13" s="14" t="s">
        <v>430</v>
      </c>
      <c r="C13" s="450"/>
      <c r="E13" s="593" t="s">
        <v>854</v>
      </c>
      <c r="F13" s="594"/>
      <c r="G13" s="595"/>
      <c r="H13" s="157">
        <f>H8-H11</f>
        <v>0</v>
      </c>
      <c r="J13" s="44"/>
      <c r="K13" s="45"/>
      <c r="L13" s="46"/>
    </row>
    <row r="14" spans="2:12" x14ac:dyDescent="0.3">
      <c r="B14" s="14" t="s">
        <v>431</v>
      </c>
      <c r="C14" s="450"/>
      <c r="E14" s="590" t="s">
        <v>446</v>
      </c>
      <c r="F14" s="591"/>
      <c r="G14" s="592"/>
      <c r="H14" s="156">
        <f>'Cash Flow'!R69</f>
        <v>0</v>
      </c>
      <c r="J14" s="579" t="s">
        <v>580</v>
      </c>
      <c r="K14" s="580"/>
      <c r="L14" s="581"/>
    </row>
    <row r="15" spans="2:12" ht="14" customHeight="1" x14ac:dyDescent="0.3">
      <c r="B15" s="182" t="s">
        <v>566</v>
      </c>
      <c r="C15" s="451"/>
      <c r="E15" s="587" t="s">
        <v>1056</v>
      </c>
      <c r="F15" s="588"/>
      <c r="G15" s="589"/>
      <c r="H15" s="452">
        <v>0</v>
      </c>
      <c r="J15" s="582"/>
      <c r="K15" s="583"/>
      <c r="L15" s="584"/>
    </row>
    <row r="16" spans="2:12" ht="15" thickBot="1" x14ac:dyDescent="0.35">
      <c r="B16" s="23" t="s">
        <v>483</v>
      </c>
      <c r="C16" s="453"/>
      <c r="D16" s="183"/>
      <c r="E16" s="607" t="s">
        <v>447</v>
      </c>
      <c r="F16" s="608"/>
      <c r="G16" s="609"/>
      <c r="H16" s="158">
        <f>H8-H15</f>
        <v>0</v>
      </c>
      <c r="J16" s="44"/>
      <c r="K16" s="45"/>
      <c r="L16" s="46"/>
    </row>
    <row r="17" spans="2:12" ht="15" thickBot="1" x14ac:dyDescent="0.35">
      <c r="B17" s="184" t="s">
        <v>641</v>
      </c>
      <c r="C17" s="454"/>
      <c r="F17" s="185"/>
      <c r="G17" s="185"/>
      <c r="H17" s="185"/>
      <c r="J17" s="44"/>
      <c r="K17" s="45"/>
      <c r="L17" s="46"/>
    </row>
    <row r="18" spans="2:12" ht="15" thickBot="1" x14ac:dyDescent="0.35">
      <c r="B18" s="184" t="s">
        <v>640</v>
      </c>
      <c r="C18" s="455"/>
      <c r="F18" s="585" t="s">
        <v>448</v>
      </c>
      <c r="G18" s="586"/>
      <c r="H18" s="456" t="s">
        <v>1101</v>
      </c>
      <c r="I18" s="183"/>
      <c r="J18" s="44"/>
      <c r="K18" s="45"/>
      <c r="L18" s="46"/>
    </row>
    <row r="19" spans="2:12" ht="8" customHeight="1" thickBot="1" x14ac:dyDescent="0.35">
      <c r="D19" s="186"/>
      <c r="E19" s="186"/>
      <c r="F19" s="186"/>
      <c r="G19" s="186"/>
      <c r="H19" s="186"/>
      <c r="J19" s="44"/>
      <c r="K19" s="45"/>
      <c r="L19" s="46"/>
    </row>
    <row r="20" spans="2:12" x14ac:dyDescent="0.3">
      <c r="B20" s="15" t="s">
        <v>644</v>
      </c>
      <c r="C20" s="16"/>
      <c r="D20" s="388"/>
      <c r="E20" s="389"/>
      <c r="F20" s="16"/>
      <c r="G20" s="16"/>
      <c r="H20" s="17"/>
      <c r="J20" s="314"/>
      <c r="K20" s="315"/>
      <c r="L20" s="316"/>
    </row>
    <row r="21" spans="2:12" ht="26.5" thickBot="1" x14ac:dyDescent="0.35">
      <c r="B21" s="309" t="s">
        <v>24</v>
      </c>
      <c r="C21" s="310"/>
      <c r="D21" s="443" t="s">
        <v>857</v>
      </c>
      <c r="E21" s="444" t="s">
        <v>645</v>
      </c>
      <c r="F21" s="443" t="s">
        <v>1071</v>
      </c>
      <c r="G21" s="443" t="s">
        <v>2</v>
      </c>
      <c r="H21" s="445" t="s">
        <v>646</v>
      </c>
      <c r="J21" s="317"/>
      <c r="K21" s="306"/>
      <c r="L21" s="318"/>
    </row>
    <row r="22" spans="2:12" x14ac:dyDescent="0.3">
      <c r="B22" s="438" t="s">
        <v>449</v>
      </c>
      <c r="C22" s="308" t="s">
        <v>19</v>
      </c>
      <c r="D22" s="457">
        <v>0</v>
      </c>
      <c r="E22" s="457">
        <v>0</v>
      </c>
      <c r="F22" s="457">
        <v>0</v>
      </c>
      <c r="G22" s="457">
        <v>0</v>
      </c>
      <c r="H22" s="442">
        <f>G22-D22</f>
        <v>0</v>
      </c>
      <c r="J22" s="317"/>
      <c r="K22" s="306"/>
      <c r="L22" s="318"/>
    </row>
    <row r="23" spans="2:12" x14ac:dyDescent="0.3">
      <c r="B23" s="438" t="s">
        <v>449</v>
      </c>
      <c r="C23" s="18" t="s">
        <v>18</v>
      </c>
      <c r="D23" s="319">
        <v>0</v>
      </c>
      <c r="E23" s="457">
        <v>0</v>
      </c>
      <c r="F23" s="457">
        <v>0</v>
      </c>
      <c r="G23" s="457">
        <v>0</v>
      </c>
      <c r="H23" s="303">
        <f t="shared" ref="H23:H25" si="0">G23-D23</f>
        <v>0</v>
      </c>
      <c r="J23" s="317"/>
      <c r="K23" s="306"/>
      <c r="L23" s="318"/>
    </row>
    <row r="24" spans="2:12" ht="14.5" thickBot="1" x14ac:dyDescent="0.35">
      <c r="B24" s="438" t="s">
        <v>449</v>
      </c>
      <c r="C24" s="18" t="s">
        <v>17</v>
      </c>
      <c r="D24" s="319">
        <v>0</v>
      </c>
      <c r="E24" s="457">
        <v>0</v>
      </c>
      <c r="F24" s="457">
        <v>0</v>
      </c>
      <c r="G24" s="457">
        <v>0</v>
      </c>
      <c r="H24" s="303">
        <f t="shared" si="0"/>
        <v>0</v>
      </c>
      <c r="J24" s="320"/>
      <c r="K24" s="307"/>
      <c r="L24" s="321"/>
    </row>
    <row r="25" spans="2:12" ht="14.5" thickBot="1" x14ac:dyDescent="0.35">
      <c r="B25" s="438" t="s">
        <v>449</v>
      </c>
      <c r="C25" s="19" t="s">
        <v>252</v>
      </c>
      <c r="D25" s="457">
        <v>0</v>
      </c>
      <c r="E25" s="457">
        <v>0</v>
      </c>
      <c r="F25" s="457">
        <v>0</v>
      </c>
      <c r="G25" s="457">
        <v>0</v>
      </c>
      <c r="H25" s="303">
        <f t="shared" si="0"/>
        <v>0</v>
      </c>
    </row>
    <row r="26" spans="2:12" ht="14.5" thickBot="1" x14ac:dyDescent="0.35">
      <c r="B26" s="274" t="s">
        <v>1058</v>
      </c>
      <c r="C26" s="275"/>
      <c r="D26" s="276">
        <f>SUM(D22:D25)</f>
        <v>0</v>
      </c>
      <c r="E26" s="276">
        <f>SUM(E22:E25)</f>
        <v>0</v>
      </c>
      <c r="F26" s="276">
        <f>SUM(F22:F25)</f>
        <v>0</v>
      </c>
      <c r="G26" s="276">
        <f>SUM(G22:G25)</f>
        <v>0</v>
      </c>
      <c r="H26" s="277">
        <f>SUM(H22:H25)</f>
        <v>0</v>
      </c>
    </row>
    <row r="27" spans="2:12" ht="8" customHeight="1" thickBot="1" x14ac:dyDescent="0.35">
      <c r="B27" s="278"/>
      <c r="C27" s="192"/>
      <c r="D27" s="279"/>
      <c r="E27" s="279"/>
      <c r="F27" s="279"/>
      <c r="G27" s="280"/>
      <c r="H27" s="280"/>
    </row>
    <row r="28" spans="2:12" s="190" customFormat="1" ht="26.5" thickBot="1" x14ac:dyDescent="0.35">
      <c r="B28" s="605" t="s">
        <v>1059</v>
      </c>
      <c r="C28" s="606"/>
      <c r="D28" s="272" t="s">
        <v>857</v>
      </c>
      <c r="E28" s="272" t="s">
        <v>645</v>
      </c>
      <c r="F28" s="272" t="s">
        <v>1071</v>
      </c>
      <c r="G28" s="272" t="s">
        <v>2</v>
      </c>
      <c r="H28" s="273" t="s">
        <v>646</v>
      </c>
    </row>
    <row r="29" spans="2:12" x14ac:dyDescent="0.3">
      <c r="B29" s="438" t="s">
        <v>456</v>
      </c>
      <c r="C29" s="40" t="s">
        <v>243</v>
      </c>
      <c r="D29" s="457">
        <v>0</v>
      </c>
      <c r="E29" s="457">
        <v>0</v>
      </c>
      <c r="F29" s="457">
        <v>0</v>
      </c>
      <c r="G29" s="457">
        <v>0</v>
      </c>
      <c r="H29" s="390">
        <f t="shared" ref="H29:H39" si="1">G29-D29</f>
        <v>0</v>
      </c>
    </row>
    <row r="30" spans="2:12" x14ac:dyDescent="0.3">
      <c r="B30" s="438" t="s">
        <v>456</v>
      </c>
      <c r="C30" s="40" t="s">
        <v>244</v>
      </c>
      <c r="D30" s="457">
        <v>0</v>
      </c>
      <c r="E30" s="457">
        <v>0</v>
      </c>
      <c r="F30" s="457">
        <v>0</v>
      </c>
      <c r="G30" s="457">
        <v>0</v>
      </c>
      <c r="H30" s="303">
        <f t="shared" si="1"/>
        <v>0</v>
      </c>
    </row>
    <row r="31" spans="2:12" x14ac:dyDescent="0.3">
      <c r="B31" s="438" t="s">
        <v>456</v>
      </c>
      <c r="C31" s="40" t="s">
        <v>245</v>
      </c>
      <c r="D31" s="457">
        <v>0</v>
      </c>
      <c r="E31" s="457">
        <v>0</v>
      </c>
      <c r="F31" s="457">
        <v>0</v>
      </c>
      <c r="G31" s="457">
        <v>0</v>
      </c>
      <c r="H31" s="303">
        <f t="shared" si="1"/>
        <v>0</v>
      </c>
    </row>
    <row r="32" spans="2:12" x14ac:dyDescent="0.3">
      <c r="B32" s="438" t="s">
        <v>456</v>
      </c>
      <c r="C32" s="40" t="s">
        <v>246</v>
      </c>
      <c r="D32" s="457">
        <v>0</v>
      </c>
      <c r="E32" s="457">
        <v>0</v>
      </c>
      <c r="F32" s="457">
        <v>0</v>
      </c>
      <c r="G32" s="457">
        <v>0</v>
      </c>
      <c r="H32" s="303">
        <f t="shared" si="1"/>
        <v>0</v>
      </c>
    </row>
    <row r="33" spans="2:9" x14ac:dyDescent="0.3">
      <c r="B33" s="438" t="s">
        <v>456</v>
      </c>
      <c r="C33" s="40" t="s">
        <v>396</v>
      </c>
      <c r="D33" s="457">
        <v>0</v>
      </c>
      <c r="E33" s="457">
        <v>0</v>
      </c>
      <c r="F33" s="457">
        <v>0</v>
      </c>
      <c r="G33" s="457">
        <v>0</v>
      </c>
      <c r="H33" s="303">
        <f t="shared" si="1"/>
        <v>0</v>
      </c>
    </row>
    <row r="34" spans="2:9" x14ac:dyDescent="0.3">
      <c r="B34" s="438" t="s">
        <v>456</v>
      </c>
      <c r="C34" s="40" t="s">
        <v>397</v>
      </c>
      <c r="D34" s="457">
        <v>0</v>
      </c>
      <c r="E34" s="457">
        <v>0</v>
      </c>
      <c r="F34" s="457">
        <v>0</v>
      </c>
      <c r="G34" s="457">
        <v>0</v>
      </c>
      <c r="H34" s="303">
        <f t="shared" si="1"/>
        <v>0</v>
      </c>
      <c r="I34" s="190"/>
    </row>
    <row r="35" spans="2:9" x14ac:dyDescent="0.3">
      <c r="B35" s="438" t="s">
        <v>456</v>
      </c>
      <c r="C35" s="40" t="s">
        <v>247</v>
      </c>
      <c r="D35" s="457">
        <v>0</v>
      </c>
      <c r="E35" s="457">
        <v>0</v>
      </c>
      <c r="F35" s="457">
        <v>0</v>
      </c>
      <c r="G35" s="457">
        <v>0</v>
      </c>
      <c r="H35" s="303">
        <f t="shared" si="1"/>
        <v>0</v>
      </c>
      <c r="I35" s="190"/>
    </row>
    <row r="36" spans="2:9" x14ac:dyDescent="0.3">
      <c r="B36" s="438" t="s">
        <v>456</v>
      </c>
      <c r="C36" s="40" t="s">
        <v>1060</v>
      </c>
      <c r="D36" s="457">
        <v>0</v>
      </c>
      <c r="E36" s="457">
        <v>0</v>
      </c>
      <c r="F36" s="457">
        <v>0</v>
      </c>
      <c r="G36" s="457">
        <v>0</v>
      </c>
      <c r="H36" s="303">
        <f t="shared" si="1"/>
        <v>0</v>
      </c>
      <c r="I36" s="190"/>
    </row>
    <row r="37" spans="2:9" x14ac:dyDescent="0.3">
      <c r="B37" s="438" t="s">
        <v>456</v>
      </c>
      <c r="C37" s="40" t="s">
        <v>248</v>
      </c>
      <c r="D37" s="457">
        <v>0</v>
      </c>
      <c r="E37" s="457">
        <v>0</v>
      </c>
      <c r="F37" s="457">
        <v>0</v>
      </c>
      <c r="G37" s="457">
        <v>0</v>
      </c>
      <c r="H37" s="303">
        <f t="shared" si="1"/>
        <v>0</v>
      </c>
    </row>
    <row r="38" spans="2:9" x14ac:dyDescent="0.3">
      <c r="B38" s="438" t="s">
        <v>456</v>
      </c>
      <c r="C38" s="40" t="s">
        <v>249</v>
      </c>
      <c r="D38" s="457">
        <v>0</v>
      </c>
      <c r="E38" s="457">
        <v>0</v>
      </c>
      <c r="F38" s="457">
        <v>0</v>
      </c>
      <c r="G38" s="457">
        <v>0</v>
      </c>
      <c r="H38" s="303">
        <f t="shared" si="1"/>
        <v>0</v>
      </c>
    </row>
    <row r="39" spans="2:9" x14ac:dyDescent="0.3">
      <c r="B39" s="438" t="s">
        <v>456</v>
      </c>
      <c r="C39" s="40" t="s">
        <v>250</v>
      </c>
      <c r="D39" s="457">
        <v>0</v>
      </c>
      <c r="E39" s="457">
        <v>0</v>
      </c>
      <c r="F39" s="457">
        <v>0</v>
      </c>
      <c r="G39" s="457">
        <v>0</v>
      </c>
      <c r="H39" s="303">
        <f t="shared" si="1"/>
        <v>0</v>
      </c>
    </row>
    <row r="40" spans="2:9" x14ac:dyDescent="0.3">
      <c r="B40" s="438" t="s">
        <v>449</v>
      </c>
      <c r="C40" s="18" t="s">
        <v>25</v>
      </c>
      <c r="D40" s="457">
        <v>0</v>
      </c>
      <c r="E40" s="457">
        <v>0</v>
      </c>
      <c r="F40" s="457">
        <v>0</v>
      </c>
      <c r="G40" s="457">
        <v>0</v>
      </c>
      <c r="H40" s="303">
        <f>G40-D40</f>
        <v>0</v>
      </c>
    </row>
    <row r="41" spans="2:9" x14ac:dyDescent="0.3">
      <c r="B41" s="438" t="s">
        <v>449</v>
      </c>
      <c r="C41" s="18" t="s">
        <v>1061</v>
      </c>
      <c r="D41" s="457">
        <v>0</v>
      </c>
      <c r="E41" s="457">
        <v>0</v>
      </c>
      <c r="F41" s="457">
        <v>0</v>
      </c>
      <c r="G41" s="457">
        <v>0</v>
      </c>
      <c r="H41" s="303">
        <f t="shared" ref="H41:H45" si="2">G41-D41</f>
        <v>0</v>
      </c>
    </row>
    <row r="42" spans="2:9" x14ac:dyDescent="0.3">
      <c r="B42" s="438" t="s">
        <v>449</v>
      </c>
      <c r="C42" s="18" t="s">
        <v>157</v>
      </c>
      <c r="D42" s="457">
        <v>0</v>
      </c>
      <c r="E42" s="457">
        <v>0</v>
      </c>
      <c r="F42" s="457">
        <v>0</v>
      </c>
      <c r="G42" s="457">
        <v>0</v>
      </c>
      <c r="H42" s="303">
        <f t="shared" si="2"/>
        <v>0</v>
      </c>
    </row>
    <row r="43" spans="2:9" x14ac:dyDescent="0.3">
      <c r="B43" s="438" t="s">
        <v>449</v>
      </c>
      <c r="C43" s="38" t="s">
        <v>1105</v>
      </c>
      <c r="D43" s="457">
        <v>0</v>
      </c>
      <c r="E43" s="457">
        <v>0</v>
      </c>
      <c r="F43" s="457">
        <v>0</v>
      </c>
      <c r="G43" s="457">
        <v>0</v>
      </c>
      <c r="H43" s="303">
        <f t="shared" si="2"/>
        <v>0</v>
      </c>
    </row>
    <row r="44" spans="2:9" x14ac:dyDescent="0.3">
      <c r="B44" s="438" t="s">
        <v>456</v>
      </c>
      <c r="C44" s="387" t="s">
        <v>1102</v>
      </c>
      <c r="D44" s="457">
        <v>0</v>
      </c>
      <c r="E44" s="457">
        <v>0</v>
      </c>
      <c r="F44" s="457">
        <v>0</v>
      </c>
      <c r="G44" s="457">
        <v>0</v>
      </c>
      <c r="H44" s="303">
        <f t="shared" si="2"/>
        <v>0</v>
      </c>
    </row>
    <row r="45" spans="2:9" ht="14.5" thickBot="1" x14ac:dyDescent="0.35">
      <c r="B45" s="438" t="s">
        <v>456</v>
      </c>
      <c r="C45" s="386" t="s">
        <v>1103</v>
      </c>
      <c r="D45" s="457">
        <v>0</v>
      </c>
      <c r="E45" s="457">
        <v>0</v>
      </c>
      <c r="F45" s="457">
        <v>0</v>
      </c>
      <c r="G45" s="457">
        <v>0</v>
      </c>
      <c r="H45" s="303">
        <f t="shared" si="2"/>
        <v>0</v>
      </c>
    </row>
    <row r="46" spans="2:9" ht="14.5" thickBot="1" x14ac:dyDescent="0.35">
      <c r="B46" s="274" t="s">
        <v>1062</v>
      </c>
      <c r="C46" s="275"/>
      <c r="D46" s="276">
        <f>SUM(D29:D43)</f>
        <v>0</v>
      </c>
      <c r="E46" s="276">
        <f>SUM(E29:E43)</f>
        <v>0</v>
      </c>
      <c r="F46" s="276">
        <f t="shared" ref="F46:H46" si="3">SUM(F29:F43)</f>
        <v>0</v>
      </c>
      <c r="G46" s="276">
        <f t="shared" si="3"/>
        <v>0</v>
      </c>
      <c r="H46" s="276">
        <f t="shared" si="3"/>
        <v>0</v>
      </c>
    </row>
    <row r="47" spans="2:9" ht="8" customHeight="1" thickBot="1" x14ac:dyDescent="0.35">
      <c r="B47" s="278"/>
      <c r="C47" s="192"/>
      <c r="D47" s="281"/>
      <c r="E47" s="193"/>
      <c r="F47" s="193"/>
      <c r="G47" s="193"/>
      <c r="H47" s="193"/>
    </row>
    <row r="48" spans="2:9" s="190" customFormat="1" ht="26.5" thickBot="1" x14ac:dyDescent="0.35">
      <c r="B48" s="605" t="s">
        <v>1063</v>
      </c>
      <c r="C48" s="606"/>
      <c r="D48" s="311" t="s">
        <v>857</v>
      </c>
      <c r="E48" s="311" t="s">
        <v>645</v>
      </c>
      <c r="F48" s="311" t="s">
        <v>1071</v>
      </c>
      <c r="G48" s="311" t="s">
        <v>2</v>
      </c>
      <c r="H48" s="312" t="s">
        <v>646</v>
      </c>
      <c r="I48" s="322"/>
    </row>
    <row r="49" spans="2:8" x14ac:dyDescent="0.3">
      <c r="B49" s="10" t="s">
        <v>647</v>
      </c>
      <c r="C49" s="40" t="s">
        <v>33</v>
      </c>
      <c r="D49" s="391">
        <f>'Subcontractor Breakdown'!E39</f>
        <v>0</v>
      </c>
      <c r="E49" s="391">
        <f>'Subcontractor Breakdown'!H39</f>
        <v>0</v>
      </c>
      <c r="F49" s="391">
        <f>'Subcontractor Breakdown'!I39</f>
        <v>0</v>
      </c>
      <c r="G49" s="457">
        <v>0</v>
      </c>
      <c r="H49" s="303">
        <f>G49-D49</f>
        <v>0</v>
      </c>
    </row>
    <row r="50" spans="2:8" x14ac:dyDescent="0.3">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2:8" x14ac:dyDescent="0.3">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2:8" x14ac:dyDescent="0.3">
      <c r="B52" s="10" t="s">
        <v>650</v>
      </c>
      <c r="C52" s="40" t="s">
        <v>223</v>
      </c>
      <c r="D52" s="391">
        <f>'Subcontractor Breakdown'!E141</f>
        <v>0</v>
      </c>
      <c r="E52" s="391">
        <f>'Subcontractor Breakdown'!H141</f>
        <v>0</v>
      </c>
      <c r="F52" s="391">
        <f>'Subcontractor Breakdown'!I141</f>
        <v>0</v>
      </c>
      <c r="G52" s="457">
        <v>0</v>
      </c>
      <c r="H52" s="303">
        <f t="shared" si="4"/>
        <v>0</v>
      </c>
    </row>
    <row r="53" spans="2:8" x14ac:dyDescent="0.3">
      <c r="B53" s="10" t="s">
        <v>651</v>
      </c>
      <c r="C53" s="40" t="s">
        <v>237</v>
      </c>
      <c r="D53" s="391">
        <f>'Subcontractor Breakdown'!E150</f>
        <v>0</v>
      </c>
      <c r="E53" s="391">
        <f>'Subcontractor Breakdown'!H150</f>
        <v>0</v>
      </c>
      <c r="F53" s="391">
        <f>'Subcontractor Breakdown'!I150</f>
        <v>0</v>
      </c>
      <c r="G53" s="457">
        <v>0</v>
      </c>
      <c r="H53" s="303">
        <f t="shared" si="4"/>
        <v>0</v>
      </c>
    </row>
    <row r="54" spans="2:8" x14ac:dyDescent="0.3">
      <c r="B54" s="10" t="s">
        <v>652</v>
      </c>
      <c r="C54" s="392" t="s">
        <v>388</v>
      </c>
      <c r="D54" s="391">
        <f>'Subcontractor Breakdown'!E158</f>
        <v>0</v>
      </c>
      <c r="E54" s="391">
        <f>'Subcontractor Breakdown'!H158</f>
        <v>0</v>
      </c>
      <c r="F54" s="391">
        <f>'Subcontractor Breakdown'!I158</f>
        <v>0</v>
      </c>
      <c r="G54" s="457">
        <v>0</v>
      </c>
      <c r="H54" s="303">
        <f t="shared" si="4"/>
        <v>0</v>
      </c>
    </row>
    <row r="55" spans="2:8" x14ac:dyDescent="0.3">
      <c r="B55" s="10" t="s">
        <v>653</v>
      </c>
      <c r="C55" s="392" t="s">
        <v>169</v>
      </c>
      <c r="D55" s="391">
        <f>'Subcontractor Breakdown'!E177</f>
        <v>0</v>
      </c>
      <c r="E55" s="391">
        <f>'Subcontractor Breakdown'!H177</f>
        <v>0</v>
      </c>
      <c r="F55" s="391">
        <f>'Subcontractor Breakdown'!I177</f>
        <v>0</v>
      </c>
      <c r="G55" s="457">
        <v>0</v>
      </c>
      <c r="H55" s="303">
        <f t="shared" si="4"/>
        <v>0</v>
      </c>
    </row>
    <row r="56" spans="2:8" x14ac:dyDescent="0.3">
      <c r="B56" s="10" t="s">
        <v>654</v>
      </c>
      <c r="C56" s="392" t="s">
        <v>0</v>
      </c>
      <c r="D56" s="391">
        <f>'Subcontractor Breakdown'!E185</f>
        <v>0</v>
      </c>
      <c r="E56" s="391">
        <f>'Subcontractor Breakdown'!H185</f>
        <v>0</v>
      </c>
      <c r="F56" s="391">
        <f>'Subcontractor Breakdown'!I185</f>
        <v>0</v>
      </c>
      <c r="G56" s="457">
        <v>0</v>
      </c>
      <c r="H56" s="303">
        <f t="shared" si="4"/>
        <v>0</v>
      </c>
    </row>
    <row r="57" spans="2:8" x14ac:dyDescent="0.3">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2:8" x14ac:dyDescent="0.3">
      <c r="B58" s="10" t="s">
        <v>656</v>
      </c>
      <c r="C58" s="392" t="s">
        <v>391</v>
      </c>
      <c r="D58" s="391">
        <f>'Subcontractor Breakdown'!E234</f>
        <v>0</v>
      </c>
      <c r="E58" s="391">
        <f>'Subcontractor Breakdown'!H234</f>
        <v>0</v>
      </c>
      <c r="F58" s="391">
        <f>'Subcontractor Breakdown'!I234</f>
        <v>0</v>
      </c>
      <c r="G58" s="457">
        <v>0</v>
      </c>
      <c r="H58" s="303">
        <f t="shared" si="4"/>
        <v>0</v>
      </c>
    </row>
    <row r="59" spans="2:8" x14ac:dyDescent="0.3">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2:8" x14ac:dyDescent="0.3">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2:8" x14ac:dyDescent="0.3">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2:8" x14ac:dyDescent="0.3">
      <c r="B62" s="10" t="s">
        <v>660</v>
      </c>
      <c r="C62" s="392" t="s">
        <v>113</v>
      </c>
      <c r="D62" s="391">
        <f>'Subcontractor Breakdown'!E356</f>
        <v>0</v>
      </c>
      <c r="E62" s="391">
        <f>'Subcontractor Breakdown'!H356</f>
        <v>0</v>
      </c>
      <c r="F62" s="391">
        <f>'Subcontractor Breakdown'!I356</f>
        <v>0</v>
      </c>
      <c r="G62" s="457">
        <v>0</v>
      </c>
      <c r="H62" s="303">
        <f t="shared" si="4"/>
        <v>0</v>
      </c>
    </row>
    <row r="63" spans="2:8" x14ac:dyDescent="0.3">
      <c r="B63" s="10" t="s">
        <v>661</v>
      </c>
      <c r="C63" s="392" t="s">
        <v>394</v>
      </c>
      <c r="D63" s="391">
        <f>'Subcontractor Breakdown'!E372</f>
        <v>0</v>
      </c>
      <c r="E63" s="391">
        <f>'Subcontractor Breakdown'!H372</f>
        <v>0</v>
      </c>
      <c r="F63" s="391">
        <f>'Subcontractor Breakdown'!I372</f>
        <v>0</v>
      </c>
      <c r="G63" s="457">
        <v>0</v>
      </c>
      <c r="H63" s="303">
        <f t="shared" si="4"/>
        <v>0</v>
      </c>
    </row>
    <row r="64" spans="2:8" x14ac:dyDescent="0.3">
      <c r="B64" s="10" t="s">
        <v>662</v>
      </c>
      <c r="C64" s="392" t="s">
        <v>239</v>
      </c>
      <c r="D64" s="391">
        <f>'Subcontractor Breakdown'!E380</f>
        <v>0</v>
      </c>
      <c r="E64" s="391">
        <f>'Subcontractor Breakdown'!H380</f>
        <v>0</v>
      </c>
      <c r="F64" s="391">
        <f>'Subcontractor Breakdown'!I380</f>
        <v>0</v>
      </c>
      <c r="G64" s="457">
        <v>0</v>
      </c>
      <c r="H64" s="303">
        <f t="shared" si="4"/>
        <v>0</v>
      </c>
    </row>
    <row r="65" spans="2:9" x14ac:dyDescent="0.3">
      <c r="B65" s="10" t="s">
        <v>663</v>
      </c>
      <c r="C65" s="392" t="s">
        <v>192</v>
      </c>
      <c r="D65" s="391">
        <f>'Subcontractor Breakdown'!E389</f>
        <v>0</v>
      </c>
      <c r="E65" s="391">
        <f>'Subcontractor Breakdown'!H389</f>
        <v>0</v>
      </c>
      <c r="F65" s="391">
        <f>'Subcontractor Breakdown'!I389</f>
        <v>0</v>
      </c>
      <c r="G65" s="457">
        <v>0</v>
      </c>
      <c r="H65" s="303">
        <f t="shared" si="4"/>
        <v>0</v>
      </c>
    </row>
    <row r="66" spans="2:9" x14ac:dyDescent="0.3">
      <c r="B66" s="10" t="s">
        <v>664</v>
      </c>
      <c r="C66" s="392" t="s">
        <v>395</v>
      </c>
      <c r="D66" s="391">
        <f>'Subcontractor Breakdown'!E398</f>
        <v>0</v>
      </c>
      <c r="E66" s="391">
        <f>'Subcontractor Breakdown'!H398</f>
        <v>0</v>
      </c>
      <c r="F66" s="391">
        <f>'Subcontractor Breakdown'!I398</f>
        <v>0</v>
      </c>
      <c r="G66" s="457">
        <v>0</v>
      </c>
      <c r="H66" s="303">
        <f t="shared" si="4"/>
        <v>0</v>
      </c>
    </row>
    <row r="67" spans="2:9" x14ac:dyDescent="0.3">
      <c r="B67" s="10" t="s">
        <v>665</v>
      </c>
      <c r="C67" s="392" t="s">
        <v>129</v>
      </c>
      <c r="D67" s="391">
        <f>'Subcontractor Breakdown'!E415</f>
        <v>0</v>
      </c>
      <c r="E67" s="391">
        <f>'Subcontractor Breakdown'!H415</f>
        <v>0</v>
      </c>
      <c r="F67" s="391">
        <f>'Subcontractor Breakdown'!I415</f>
        <v>0</v>
      </c>
      <c r="G67" s="457">
        <v>0</v>
      </c>
      <c r="H67" s="303">
        <f t="shared" si="4"/>
        <v>0</v>
      </c>
    </row>
    <row r="68" spans="2:9" x14ac:dyDescent="0.3">
      <c r="B68" s="10" t="s">
        <v>666</v>
      </c>
      <c r="C68" s="392" t="s">
        <v>5</v>
      </c>
      <c r="D68" s="391">
        <f>'Subcontractor Breakdown'!E429</f>
        <v>0</v>
      </c>
      <c r="E68" s="391">
        <f>'Subcontractor Breakdown'!H429</f>
        <v>0</v>
      </c>
      <c r="F68" s="391">
        <f>'Subcontractor Breakdown'!I429</f>
        <v>0</v>
      </c>
      <c r="G68" s="457">
        <v>0</v>
      </c>
      <c r="H68" s="303">
        <f t="shared" si="4"/>
        <v>0</v>
      </c>
    </row>
    <row r="69" spans="2:9" x14ac:dyDescent="0.3">
      <c r="B69" s="10" t="s">
        <v>667</v>
      </c>
      <c r="C69" s="392" t="s">
        <v>6</v>
      </c>
      <c r="D69" s="391">
        <f>'Subcontractor Breakdown'!E443</f>
        <v>0</v>
      </c>
      <c r="E69" s="391">
        <f>'Subcontractor Breakdown'!H443</f>
        <v>0</v>
      </c>
      <c r="F69" s="391">
        <f>'Subcontractor Breakdown'!I443</f>
        <v>0</v>
      </c>
      <c r="G69" s="457">
        <v>0</v>
      </c>
      <c r="H69" s="303">
        <f t="shared" si="4"/>
        <v>0</v>
      </c>
    </row>
    <row r="70" spans="2:9" x14ac:dyDescent="0.3">
      <c r="B70" s="10" t="s">
        <v>668</v>
      </c>
      <c r="C70" s="392" t="s">
        <v>7</v>
      </c>
      <c r="D70" s="391">
        <f>'Subcontractor Breakdown'!E467</f>
        <v>0</v>
      </c>
      <c r="E70" s="391">
        <f>'Subcontractor Breakdown'!H467</f>
        <v>0</v>
      </c>
      <c r="F70" s="391">
        <f>'Subcontractor Breakdown'!I467</f>
        <v>0</v>
      </c>
      <c r="G70" s="457">
        <v>0</v>
      </c>
      <c r="H70" s="303">
        <f t="shared" si="4"/>
        <v>0</v>
      </c>
    </row>
    <row r="71" spans="2:9" x14ac:dyDescent="0.3">
      <c r="B71" s="10" t="s">
        <v>669</v>
      </c>
      <c r="C71" s="392" t="s">
        <v>209</v>
      </c>
      <c r="D71" s="391">
        <f>'Subcontractor Breakdown'!E481</f>
        <v>0</v>
      </c>
      <c r="E71" s="391">
        <f>'Subcontractor Breakdown'!H481</f>
        <v>0</v>
      </c>
      <c r="F71" s="391">
        <f>'Subcontractor Breakdown'!I481</f>
        <v>0</v>
      </c>
      <c r="G71" s="457">
        <v>0</v>
      </c>
      <c r="H71" s="303">
        <f t="shared" si="4"/>
        <v>0</v>
      </c>
    </row>
    <row r="72" spans="2:9" x14ac:dyDescent="0.3">
      <c r="B72" s="10" t="s">
        <v>670</v>
      </c>
      <c r="C72" s="392" t="s">
        <v>165</v>
      </c>
      <c r="D72" s="391">
        <f>'Subcontractor Breakdown'!E488</f>
        <v>0</v>
      </c>
      <c r="E72" s="391">
        <f>'Subcontractor Breakdown'!H488</f>
        <v>0</v>
      </c>
      <c r="F72" s="391">
        <f>'Subcontractor Breakdown'!I488</f>
        <v>0</v>
      </c>
      <c r="G72" s="457">
        <v>0</v>
      </c>
      <c r="H72" s="303">
        <f t="shared" si="4"/>
        <v>0</v>
      </c>
    </row>
    <row r="73" spans="2:9" x14ac:dyDescent="0.3">
      <c r="B73" s="439" t="s">
        <v>670</v>
      </c>
      <c r="C73" s="393" t="s">
        <v>409</v>
      </c>
      <c r="D73" s="391">
        <f>'Subcontractor Breakdown'!E499</f>
        <v>0</v>
      </c>
      <c r="E73" s="391">
        <f>'Subcontractor Breakdown'!H499</f>
        <v>0</v>
      </c>
      <c r="F73" s="391">
        <f>'Subcontractor Breakdown'!I499</f>
        <v>0</v>
      </c>
      <c r="G73" s="457">
        <v>0</v>
      </c>
      <c r="H73" s="303">
        <f>G73-D73</f>
        <v>0</v>
      </c>
    </row>
    <row r="74" spans="2:9" x14ac:dyDescent="0.3">
      <c r="B74" s="10" t="s">
        <v>670</v>
      </c>
      <c r="C74" s="392" t="s">
        <v>155</v>
      </c>
      <c r="D74" s="391">
        <f>'Subcontractor Breakdown'!E513</f>
        <v>0</v>
      </c>
      <c r="E74" s="391">
        <f>'Subcontractor Breakdown'!H513</f>
        <v>0</v>
      </c>
      <c r="F74" s="391">
        <f>'Subcontractor Breakdown'!I513</f>
        <v>0</v>
      </c>
      <c r="G74" s="457">
        <v>0</v>
      </c>
      <c r="H74" s="303">
        <f t="shared" si="4"/>
        <v>0</v>
      </c>
    </row>
    <row r="75" spans="2:9" ht="14.5" customHeight="1" thickBot="1" x14ac:dyDescent="0.35">
      <c r="B75" s="10" t="s">
        <v>670</v>
      </c>
      <c r="C75" s="40" t="s">
        <v>1106</v>
      </c>
      <c r="D75" s="304">
        <v>0</v>
      </c>
      <c r="E75" s="304">
        <v>0</v>
      </c>
      <c r="F75" s="304">
        <v>0</v>
      </c>
      <c r="G75" s="319">
        <v>0</v>
      </c>
      <c r="H75" s="303">
        <f t="shared" si="4"/>
        <v>0</v>
      </c>
    </row>
    <row r="76" spans="2:9" ht="14.5" thickBot="1" x14ac:dyDescent="0.35">
      <c r="B76" s="274" t="s">
        <v>1064</v>
      </c>
      <c r="C76" s="275"/>
      <c r="D76" s="276">
        <f>SUM(D49:D75)</f>
        <v>0</v>
      </c>
      <c r="E76" s="276">
        <f>SUM(E49:E75)</f>
        <v>0</v>
      </c>
      <c r="F76" s="276">
        <f>SUM(F49:F75)</f>
        <v>0</v>
      </c>
      <c r="G76" s="276">
        <f>SUM(G49:G75)</f>
        <v>0</v>
      </c>
      <c r="H76" s="276">
        <f>SUM(H49:H74)</f>
        <v>0</v>
      </c>
    </row>
    <row r="77" spans="2:9" ht="8" customHeight="1" thickBot="1" x14ac:dyDescent="0.35">
      <c r="B77" s="278"/>
      <c r="C77" s="282"/>
      <c r="D77" s="283"/>
      <c r="E77" s="283"/>
      <c r="F77" s="283"/>
      <c r="G77" s="283"/>
      <c r="H77" s="284"/>
    </row>
    <row r="78" spans="2:9" s="190" customFormat="1" ht="26.5" thickBot="1" x14ac:dyDescent="0.35">
      <c r="B78" s="605" t="s">
        <v>1065</v>
      </c>
      <c r="C78" s="606"/>
      <c r="D78" s="311" t="s">
        <v>857</v>
      </c>
      <c r="E78" s="311" t="s">
        <v>645</v>
      </c>
      <c r="F78" s="311" t="s">
        <v>1071</v>
      </c>
      <c r="G78" s="311" t="s">
        <v>2</v>
      </c>
      <c r="H78" s="312" t="s">
        <v>646</v>
      </c>
      <c r="I78" s="322"/>
    </row>
    <row r="79" spans="2:9" x14ac:dyDescent="0.3">
      <c r="B79" s="439" t="s">
        <v>457</v>
      </c>
      <c r="C79" s="18" t="s">
        <v>410</v>
      </c>
      <c r="D79" s="391">
        <f>'TI Allowance &amp; Contingency'!C48</f>
        <v>0</v>
      </c>
      <c r="E79" s="457">
        <v>0</v>
      </c>
      <c r="F79" s="457">
        <v>0</v>
      </c>
      <c r="G79" s="457">
        <v>0</v>
      </c>
      <c r="H79" s="303">
        <f t="shared" si="4"/>
        <v>0</v>
      </c>
    </row>
    <row r="80" spans="2:9" x14ac:dyDescent="0.3">
      <c r="B80" s="439" t="s">
        <v>449</v>
      </c>
      <c r="C80" s="39" t="s">
        <v>438</v>
      </c>
      <c r="D80" s="391">
        <f>'Developer Contingency'!C48</f>
        <v>0</v>
      </c>
      <c r="E80" s="457">
        <v>0</v>
      </c>
      <c r="F80" s="457">
        <v>0</v>
      </c>
      <c r="G80" s="457">
        <v>0</v>
      </c>
      <c r="H80" s="303">
        <f t="shared" si="4"/>
        <v>0</v>
      </c>
    </row>
    <row r="81" spans="2:8" x14ac:dyDescent="0.3">
      <c r="B81" s="439" t="s">
        <v>449</v>
      </c>
      <c r="C81" s="40" t="s">
        <v>401</v>
      </c>
      <c r="D81" s="391">
        <f>'Developer Contingency'!C82</f>
        <v>0</v>
      </c>
      <c r="E81" s="457">
        <v>0</v>
      </c>
      <c r="F81" s="457">
        <v>0</v>
      </c>
      <c r="G81" s="457">
        <v>0</v>
      </c>
      <c r="H81" s="303">
        <f t="shared" si="4"/>
        <v>0</v>
      </c>
    </row>
    <row r="82" spans="2:8" x14ac:dyDescent="0.3">
      <c r="B82" s="439" t="s">
        <v>449</v>
      </c>
      <c r="C82" s="40" t="s">
        <v>402</v>
      </c>
      <c r="D82" s="391">
        <f>'Developer Contingency'!C116</f>
        <v>0</v>
      </c>
      <c r="E82" s="457">
        <v>0</v>
      </c>
      <c r="F82" s="457">
        <v>0</v>
      </c>
      <c r="G82" s="457">
        <v>0</v>
      </c>
      <c r="H82" s="303">
        <f t="shared" si="4"/>
        <v>0</v>
      </c>
    </row>
    <row r="83" spans="2:8" x14ac:dyDescent="0.3">
      <c r="B83" s="439" t="s">
        <v>449</v>
      </c>
      <c r="C83" s="40" t="s">
        <v>475</v>
      </c>
      <c r="D83" s="391">
        <f>'Developer Contingency'!C150</f>
        <v>0</v>
      </c>
      <c r="E83" s="457">
        <v>0</v>
      </c>
      <c r="F83" s="457">
        <v>0</v>
      </c>
      <c r="G83" s="457">
        <v>0</v>
      </c>
      <c r="H83" s="303">
        <f t="shared" si="4"/>
        <v>0</v>
      </c>
    </row>
    <row r="84" spans="2:8" ht="14.5" thickBot="1" x14ac:dyDescent="0.35">
      <c r="B84" s="439" t="s">
        <v>449</v>
      </c>
      <c r="C84" s="285" t="s">
        <v>571</v>
      </c>
      <c r="D84" s="457">
        <v>0</v>
      </c>
      <c r="E84" s="457">
        <v>0</v>
      </c>
      <c r="F84" s="457">
        <v>0</v>
      </c>
      <c r="G84" s="457">
        <v>0</v>
      </c>
      <c r="H84" s="390">
        <f t="shared" si="4"/>
        <v>0</v>
      </c>
    </row>
    <row r="85" spans="2:8" ht="14.5" thickBot="1" x14ac:dyDescent="0.35">
      <c r="B85" s="274" t="s">
        <v>1066</v>
      </c>
      <c r="C85" s="275"/>
      <c r="D85" s="276">
        <f>SUM(D79:D84)</f>
        <v>0</v>
      </c>
      <c r="E85" s="276">
        <f t="shared" ref="E85:G85" si="5">SUM(E79:E84)</f>
        <v>0</v>
      </c>
      <c r="F85" s="276">
        <f t="shared" si="5"/>
        <v>0</v>
      </c>
      <c r="G85" s="276">
        <f t="shared" si="5"/>
        <v>0</v>
      </c>
      <c r="H85" s="276">
        <f>SUM(H79:H84)</f>
        <v>0</v>
      </c>
    </row>
    <row r="86" spans="2:8" ht="8" customHeight="1" thickBot="1" x14ac:dyDescent="0.35">
      <c r="B86" s="394"/>
      <c r="C86" s="395"/>
      <c r="D86" s="396"/>
      <c r="E86" s="396"/>
      <c r="F86" s="396"/>
      <c r="G86" s="396"/>
      <c r="H86" s="396"/>
    </row>
    <row r="87" spans="2:8" ht="16.5" customHeight="1" thickBot="1" x14ac:dyDescent="0.4">
      <c r="B87" s="289" t="s">
        <v>1104</v>
      </c>
      <c r="C87" s="290"/>
      <c r="D87" s="291">
        <f>D46 + D76+ D85</f>
        <v>0</v>
      </c>
      <c r="E87" s="291">
        <f>E46 + E76+ E85</f>
        <v>0</v>
      </c>
      <c r="F87" s="291">
        <f>F46 + F76+ F85</f>
        <v>0</v>
      </c>
      <c r="G87" s="291">
        <f>G46 + G76+ G85</f>
        <v>0</v>
      </c>
      <c r="H87" s="291">
        <f>H46 + H76+ H85</f>
        <v>0</v>
      </c>
    </row>
    <row r="88" spans="2:8" ht="8" customHeight="1" thickBot="1" x14ac:dyDescent="0.35">
      <c r="B88" s="397"/>
      <c r="C88" s="398"/>
      <c r="D88" s="399"/>
      <c r="E88" s="399"/>
      <c r="F88" s="399"/>
      <c r="G88" s="399"/>
      <c r="H88" s="399"/>
    </row>
    <row r="89" spans="2:8" ht="26.5" thickBot="1" x14ac:dyDescent="0.35">
      <c r="B89" s="605" t="s">
        <v>1067</v>
      </c>
      <c r="C89" s="606"/>
      <c r="D89" s="311" t="s">
        <v>857</v>
      </c>
      <c r="E89" s="311" t="s">
        <v>645</v>
      </c>
      <c r="F89" s="311" t="s">
        <v>1071</v>
      </c>
      <c r="G89" s="311" t="s">
        <v>2</v>
      </c>
      <c r="H89" s="312" t="s">
        <v>646</v>
      </c>
    </row>
    <row r="90" spans="2:8" x14ac:dyDescent="0.3">
      <c r="B90" s="10" t="s">
        <v>449</v>
      </c>
      <c r="C90" s="40" t="s">
        <v>256</v>
      </c>
      <c r="D90" s="457">
        <v>0</v>
      </c>
      <c r="E90" s="457">
        <v>0</v>
      </c>
      <c r="F90" s="457">
        <v>0</v>
      </c>
      <c r="G90" s="457">
        <v>0</v>
      </c>
      <c r="H90" s="303">
        <f t="shared" ref="H90:H96" si="6">G90-D90</f>
        <v>0</v>
      </c>
    </row>
    <row r="91" spans="2:8" x14ac:dyDescent="0.3">
      <c r="B91" s="10" t="s">
        <v>449</v>
      </c>
      <c r="C91" s="40" t="s">
        <v>251</v>
      </c>
      <c r="D91" s="457">
        <v>0</v>
      </c>
      <c r="E91" s="457">
        <v>0</v>
      </c>
      <c r="F91" s="457">
        <v>0</v>
      </c>
      <c r="G91" s="457">
        <v>0</v>
      </c>
      <c r="H91" s="303">
        <f t="shared" si="6"/>
        <v>0</v>
      </c>
    </row>
    <row r="92" spans="2:8" x14ac:dyDescent="0.3">
      <c r="B92" s="10" t="s">
        <v>449</v>
      </c>
      <c r="C92" s="40" t="s">
        <v>156</v>
      </c>
      <c r="D92" s="457">
        <v>0</v>
      </c>
      <c r="E92" s="457">
        <v>0</v>
      </c>
      <c r="F92" s="457">
        <v>0</v>
      </c>
      <c r="G92" s="457">
        <v>0</v>
      </c>
      <c r="H92" s="303">
        <f t="shared" si="6"/>
        <v>0</v>
      </c>
    </row>
    <row r="93" spans="2:8" x14ac:dyDescent="0.3">
      <c r="B93" s="10" t="s">
        <v>449</v>
      </c>
      <c r="C93" s="40" t="s">
        <v>12</v>
      </c>
      <c r="D93" s="457">
        <v>0</v>
      </c>
      <c r="E93" s="457">
        <v>0</v>
      </c>
      <c r="F93" s="457">
        <v>0</v>
      </c>
      <c r="G93" s="457">
        <v>0</v>
      </c>
      <c r="H93" s="303">
        <f t="shared" si="6"/>
        <v>0</v>
      </c>
    </row>
    <row r="94" spans="2:8" x14ac:dyDescent="0.3">
      <c r="B94" s="10" t="s">
        <v>449</v>
      </c>
      <c r="C94" s="40" t="s">
        <v>1068</v>
      </c>
      <c r="D94" s="457">
        <v>0</v>
      </c>
      <c r="E94" s="457">
        <v>0</v>
      </c>
      <c r="F94" s="457">
        <v>0</v>
      </c>
      <c r="G94" s="457">
        <v>0</v>
      </c>
      <c r="H94" s="303">
        <f t="shared" si="6"/>
        <v>0</v>
      </c>
    </row>
    <row r="95" spans="2:8" x14ac:dyDescent="0.3">
      <c r="B95" s="10" t="s">
        <v>449</v>
      </c>
      <c r="C95" s="40" t="s">
        <v>13</v>
      </c>
      <c r="D95" s="457">
        <v>0</v>
      </c>
      <c r="E95" s="457">
        <v>0</v>
      </c>
      <c r="F95" s="457">
        <v>0</v>
      </c>
      <c r="G95" s="457">
        <v>0</v>
      </c>
      <c r="H95" s="303">
        <f t="shared" si="6"/>
        <v>0</v>
      </c>
    </row>
    <row r="96" spans="2:8" ht="14.5" thickBot="1" x14ac:dyDescent="0.35">
      <c r="B96" s="440" t="s">
        <v>449</v>
      </c>
      <c r="C96" s="40" t="s">
        <v>14</v>
      </c>
      <c r="D96" s="457">
        <v>0</v>
      </c>
      <c r="E96" s="457">
        <v>0</v>
      </c>
      <c r="F96" s="457">
        <v>0</v>
      </c>
      <c r="G96" s="457">
        <v>0</v>
      </c>
      <c r="H96" s="390">
        <f t="shared" si="6"/>
        <v>0</v>
      </c>
    </row>
    <row r="97" spans="2:9" ht="14.5" thickBot="1" x14ac:dyDescent="0.35">
      <c r="B97" s="274" t="s">
        <v>21</v>
      </c>
      <c r="C97" s="275"/>
      <c r="D97" s="276">
        <f>SUM(D90:D96)</f>
        <v>0</v>
      </c>
      <c r="E97" s="276">
        <f t="shared" ref="E97:H97" si="7">SUM(E90:E96)</f>
        <v>0</v>
      </c>
      <c r="F97" s="276">
        <f t="shared" si="7"/>
        <v>0</v>
      </c>
      <c r="G97" s="276">
        <f t="shared" si="7"/>
        <v>0</v>
      </c>
      <c r="H97" s="276">
        <f t="shared" si="7"/>
        <v>0</v>
      </c>
    </row>
    <row r="98" spans="2:9" ht="8" customHeight="1" thickBot="1" x14ac:dyDescent="0.35">
      <c r="B98" s="187"/>
      <c r="C98" s="188"/>
      <c r="D98" s="305"/>
      <c r="E98" s="305"/>
      <c r="F98" s="305"/>
      <c r="G98" s="305"/>
      <c r="H98" s="305"/>
    </row>
    <row r="99" spans="2:9" ht="26.5" thickBot="1" x14ac:dyDescent="0.35">
      <c r="B99" s="605" t="s">
        <v>1069</v>
      </c>
      <c r="C99" s="606"/>
      <c r="D99" s="311" t="s">
        <v>857</v>
      </c>
      <c r="E99" s="311" t="s">
        <v>645</v>
      </c>
      <c r="F99" s="311" t="s">
        <v>1071</v>
      </c>
      <c r="G99" s="311" t="s">
        <v>2</v>
      </c>
      <c r="H99" s="312" t="s">
        <v>646</v>
      </c>
    </row>
    <row r="100" spans="2:9" x14ac:dyDescent="0.3">
      <c r="B100" s="10" t="s">
        <v>449</v>
      </c>
      <c r="C100" s="40" t="s">
        <v>15</v>
      </c>
      <c r="D100" s="457">
        <v>0</v>
      </c>
      <c r="E100" s="457">
        <v>0</v>
      </c>
      <c r="F100" s="457">
        <v>0</v>
      </c>
      <c r="G100" s="457">
        <v>0</v>
      </c>
      <c r="H100" s="303">
        <f>G100-D100</f>
        <v>0</v>
      </c>
    </row>
    <row r="101" spans="2:9" x14ac:dyDescent="0.3">
      <c r="B101" s="10" t="s">
        <v>449</v>
      </c>
      <c r="C101" s="40" t="s">
        <v>20</v>
      </c>
      <c r="D101" s="457">
        <v>0</v>
      </c>
      <c r="E101" s="457">
        <v>0</v>
      </c>
      <c r="F101" s="457">
        <v>0</v>
      </c>
      <c r="G101" s="457">
        <v>0</v>
      </c>
      <c r="H101" s="303">
        <f t="shared" ref="H101:H102" si="8">G101-D101</f>
        <v>0</v>
      </c>
    </row>
    <row r="102" spans="2:9" ht="14.5" thickBot="1" x14ac:dyDescent="0.35">
      <c r="B102" s="440" t="s">
        <v>449</v>
      </c>
      <c r="C102" s="40" t="s">
        <v>16</v>
      </c>
      <c r="D102" s="457">
        <v>0</v>
      </c>
      <c r="E102" s="457">
        <v>0</v>
      </c>
      <c r="F102" s="457">
        <v>0</v>
      </c>
      <c r="G102" s="457">
        <v>0</v>
      </c>
      <c r="H102" s="303">
        <f t="shared" si="8"/>
        <v>0</v>
      </c>
    </row>
    <row r="103" spans="2:9" ht="14.5" thickBot="1" x14ac:dyDescent="0.35">
      <c r="B103" s="274" t="s">
        <v>22</v>
      </c>
      <c r="C103" s="275"/>
      <c r="D103" s="276">
        <f>SUM(D100:D102)</f>
        <v>0</v>
      </c>
      <c r="E103" s="276">
        <f t="shared" ref="E103:H103" si="9">SUM(E100:E102)</f>
        <v>0</v>
      </c>
      <c r="F103" s="276">
        <f t="shared" si="9"/>
        <v>0</v>
      </c>
      <c r="G103" s="276">
        <f t="shared" si="9"/>
        <v>0</v>
      </c>
      <c r="H103" s="276">
        <f t="shared" si="9"/>
        <v>0</v>
      </c>
    </row>
    <row r="104" spans="2:9" ht="8" customHeight="1" thickBot="1" x14ac:dyDescent="0.35">
      <c r="B104" s="187"/>
      <c r="C104" s="188"/>
      <c r="D104" s="189"/>
      <c r="E104" s="189"/>
      <c r="F104" s="189"/>
      <c r="G104" s="189"/>
      <c r="H104" s="189"/>
    </row>
    <row r="105" spans="2:9" x14ac:dyDescent="0.3">
      <c r="B105" s="10" t="s">
        <v>458</v>
      </c>
      <c r="C105" s="40" t="s">
        <v>253</v>
      </c>
      <c r="D105" s="319">
        <v>0</v>
      </c>
      <c r="E105" s="319">
        <v>0</v>
      </c>
      <c r="F105" s="319">
        <v>0</v>
      </c>
      <c r="G105" s="319">
        <v>0</v>
      </c>
      <c r="H105" s="303">
        <f>G105-D105</f>
        <v>0</v>
      </c>
    </row>
    <row r="106" spans="2:9" ht="14.5" thickBot="1" x14ac:dyDescent="0.35">
      <c r="B106" s="440" t="s">
        <v>671</v>
      </c>
      <c r="C106" s="286" t="s">
        <v>672</v>
      </c>
      <c r="D106" s="458">
        <v>0</v>
      </c>
      <c r="E106" s="458">
        <v>0</v>
      </c>
      <c r="F106" s="458">
        <v>0</v>
      </c>
      <c r="G106" s="459">
        <v>0</v>
      </c>
      <c r="H106" s="400">
        <f>G106-D106</f>
        <v>0</v>
      </c>
    </row>
    <row r="107" spans="2:9" ht="8" customHeight="1" thickBot="1" x14ac:dyDescent="0.35">
      <c r="B107" s="287"/>
      <c r="C107" s="288"/>
      <c r="D107" s="323"/>
      <c r="E107" s="323"/>
      <c r="F107" s="323"/>
      <c r="G107" s="324"/>
      <c r="H107" s="281"/>
      <c r="I107" s="325"/>
    </row>
    <row r="108" spans="2:9" ht="16" thickBot="1" x14ac:dyDescent="0.4">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2:9" ht="8" customHeight="1" thickBot="1" x14ac:dyDescent="0.35">
      <c r="B109" s="191"/>
      <c r="C109" s="192"/>
      <c r="D109" s="193"/>
      <c r="E109" s="193"/>
      <c r="F109" s="193"/>
      <c r="G109" s="193"/>
      <c r="H109" s="193"/>
      <c r="I109" s="326"/>
    </row>
    <row r="110" spans="2:9" ht="26.5" thickBot="1" x14ac:dyDescent="0.35">
      <c r="B110" s="605" t="s">
        <v>450</v>
      </c>
      <c r="C110" s="606"/>
      <c r="D110" s="311" t="s">
        <v>857</v>
      </c>
      <c r="E110" s="311" t="s">
        <v>645</v>
      </c>
      <c r="F110" s="311" t="s">
        <v>1057</v>
      </c>
      <c r="G110" s="311" t="s">
        <v>2</v>
      </c>
      <c r="H110" s="312" t="s">
        <v>646</v>
      </c>
      <c r="I110" s="326"/>
    </row>
    <row r="111" spans="2:9" x14ac:dyDescent="0.3">
      <c r="B111" s="294" t="s">
        <v>451</v>
      </c>
      <c r="C111" s="40" t="s">
        <v>452</v>
      </c>
      <c r="D111" s="327">
        <v>0</v>
      </c>
      <c r="E111" s="327">
        <v>0</v>
      </c>
      <c r="F111" s="327">
        <v>0</v>
      </c>
      <c r="G111" s="327">
        <v>0</v>
      </c>
      <c r="H111" s="160">
        <f>G111-D111</f>
        <v>0</v>
      </c>
      <c r="I111" s="326"/>
    </row>
    <row r="112" spans="2:9" x14ac:dyDescent="0.3">
      <c r="B112" s="295" t="s">
        <v>451</v>
      </c>
      <c r="C112" s="40" t="s">
        <v>453</v>
      </c>
      <c r="D112" s="327">
        <v>0</v>
      </c>
      <c r="E112" s="327">
        <v>0</v>
      </c>
      <c r="F112" s="327">
        <v>0</v>
      </c>
      <c r="G112" s="327">
        <v>0</v>
      </c>
      <c r="H112" s="161">
        <f>G112-D112</f>
        <v>0</v>
      </c>
      <c r="I112" s="326"/>
    </row>
    <row r="113" spans="1:10" ht="14.5" thickBot="1" x14ac:dyDescent="0.35">
      <c r="B113" s="296" t="s">
        <v>451</v>
      </c>
      <c r="C113" s="40" t="s">
        <v>1070</v>
      </c>
      <c r="D113" s="153">
        <f>H7</f>
        <v>0</v>
      </c>
      <c r="E113" s="457">
        <v>0</v>
      </c>
      <c r="F113" s="460">
        <v>0</v>
      </c>
      <c r="G113" s="159">
        <f>D137</f>
        <v>0</v>
      </c>
      <c r="H113" s="154">
        <f>G113-D113</f>
        <v>0</v>
      </c>
      <c r="I113" s="326"/>
    </row>
    <row r="114" spans="1:10" ht="14.5" thickBot="1" x14ac:dyDescent="0.35">
      <c r="B114" s="297" t="s">
        <v>454</v>
      </c>
      <c r="C114" s="298"/>
      <c r="D114" s="276">
        <f>SUM(D111:D113)</f>
        <v>0</v>
      </c>
      <c r="E114" s="276">
        <f>SUM(E111:E113)</f>
        <v>0</v>
      </c>
      <c r="F114" s="276">
        <f>SUM(F111:F113)</f>
        <v>0</v>
      </c>
      <c r="G114" s="276">
        <f>SUM(G111:G113)</f>
        <v>0</v>
      </c>
      <c r="H114" s="277">
        <f>SUM(H111:H113)</f>
        <v>0</v>
      </c>
      <c r="I114" s="326"/>
    </row>
    <row r="115" spans="1:10" ht="8" customHeight="1" thickBot="1" x14ac:dyDescent="0.35">
      <c r="B115" s="194"/>
      <c r="C115" s="194"/>
      <c r="D115" s="195"/>
      <c r="E115" s="196"/>
      <c r="F115" s="196"/>
      <c r="G115" s="196"/>
      <c r="H115" s="197"/>
      <c r="I115" s="326"/>
    </row>
    <row r="116" spans="1:10" s="325" customFormat="1" ht="16" thickBot="1" x14ac:dyDescent="0.4">
      <c r="B116" s="289" t="s">
        <v>455</v>
      </c>
      <c r="C116" s="290"/>
      <c r="D116" s="291">
        <f>D114+D108</f>
        <v>0</v>
      </c>
      <c r="E116" s="291">
        <f>E114+E108</f>
        <v>0</v>
      </c>
      <c r="F116" s="292">
        <f>F114+F108</f>
        <v>0</v>
      </c>
      <c r="G116" s="293">
        <f>G114+G108</f>
        <v>0</v>
      </c>
      <c r="H116" s="293">
        <f>G116-D116</f>
        <v>0</v>
      </c>
      <c r="J116" s="326"/>
    </row>
    <row r="117" spans="1:10" s="325" customFormat="1" ht="8" customHeight="1" thickBot="1" x14ac:dyDescent="0.4">
      <c r="B117" s="328"/>
      <c r="C117" s="328"/>
      <c r="D117" s="329"/>
      <c r="E117" s="330"/>
      <c r="F117" s="330"/>
      <c r="G117" s="330"/>
      <c r="H117" s="330"/>
      <c r="J117" s="326"/>
    </row>
    <row r="118" spans="1:10" ht="14.5" thickBot="1" x14ac:dyDescent="0.35">
      <c r="A118" s="325"/>
      <c r="B118" s="352" t="s">
        <v>1107</v>
      </c>
      <c r="C118" s="331"/>
      <c r="D118" s="401"/>
      <c r="E118" s="402"/>
      <c r="F118" s="331"/>
      <c r="G118" s="331"/>
      <c r="H118" s="353"/>
    </row>
    <row r="119" spans="1:10" ht="26" x14ac:dyDescent="0.3">
      <c r="A119" s="325"/>
      <c r="B119" s="403" t="s">
        <v>1072</v>
      </c>
      <c r="C119" s="404" t="s">
        <v>9</v>
      </c>
      <c r="D119" s="404" t="s">
        <v>10</v>
      </c>
      <c r="E119" s="405" t="s">
        <v>1073</v>
      </c>
      <c r="F119" s="405" t="s">
        <v>1074</v>
      </c>
      <c r="G119" s="406" t="s">
        <v>1075</v>
      </c>
      <c r="H119" s="407" t="s">
        <v>1076</v>
      </c>
    </row>
    <row r="120" spans="1:10" x14ac:dyDescent="0.3">
      <c r="B120" s="461"/>
      <c r="C120" s="462"/>
      <c r="D120" s="463"/>
      <c r="E120" s="463"/>
      <c r="F120" s="463"/>
      <c r="G120" s="464"/>
      <c r="H120" s="464"/>
    </row>
    <row r="121" spans="1:10" x14ac:dyDescent="0.3">
      <c r="B121" s="461"/>
      <c r="C121" s="462"/>
      <c r="D121" s="463"/>
      <c r="E121" s="463"/>
      <c r="F121" s="463"/>
      <c r="G121" s="464"/>
      <c r="H121" s="464"/>
    </row>
    <row r="122" spans="1:10" x14ac:dyDescent="0.3">
      <c r="B122" s="461"/>
      <c r="C122" s="462"/>
      <c r="D122" s="463"/>
      <c r="E122" s="463"/>
      <c r="F122" s="463"/>
      <c r="G122" s="464"/>
      <c r="H122" s="464"/>
    </row>
    <row r="123" spans="1:10" x14ac:dyDescent="0.3">
      <c r="B123" s="461"/>
      <c r="C123" s="462"/>
      <c r="D123" s="463"/>
      <c r="E123" s="463"/>
      <c r="F123" s="463"/>
      <c r="G123" s="464"/>
      <c r="H123" s="464"/>
    </row>
    <row r="124" spans="1:10" x14ac:dyDescent="0.3">
      <c r="B124" s="461"/>
      <c r="C124" s="462"/>
      <c r="D124" s="463"/>
      <c r="E124" s="463"/>
      <c r="F124" s="463"/>
      <c r="G124" s="464"/>
      <c r="H124" s="464"/>
    </row>
    <row r="125" spans="1:10" x14ac:dyDescent="0.3">
      <c r="B125" s="461"/>
      <c r="C125" s="462"/>
      <c r="D125" s="463"/>
      <c r="E125" s="463"/>
      <c r="F125" s="463"/>
      <c r="G125" s="464"/>
      <c r="H125" s="464"/>
    </row>
    <row r="126" spans="1:10" x14ac:dyDescent="0.3">
      <c r="B126" s="461"/>
      <c r="C126" s="462"/>
      <c r="D126" s="463"/>
      <c r="E126" s="463"/>
      <c r="F126" s="463"/>
      <c r="G126" s="464"/>
      <c r="H126" s="464"/>
    </row>
    <row r="127" spans="1:10" x14ac:dyDescent="0.3">
      <c r="B127" s="461"/>
      <c r="C127" s="462"/>
      <c r="D127" s="463"/>
      <c r="E127" s="463"/>
      <c r="F127" s="463"/>
      <c r="G127" s="464"/>
      <c r="H127" s="464"/>
    </row>
    <row r="128" spans="1:10" x14ac:dyDescent="0.3">
      <c r="B128" s="461"/>
      <c r="C128" s="462"/>
      <c r="D128" s="463"/>
      <c r="E128" s="463"/>
      <c r="F128" s="463"/>
      <c r="G128" s="464"/>
      <c r="H128" s="464"/>
    </row>
    <row r="129" spans="2:8" x14ac:dyDescent="0.3">
      <c r="B129" s="461"/>
      <c r="C129" s="462"/>
      <c r="D129" s="463"/>
      <c r="E129" s="463"/>
      <c r="F129" s="463"/>
      <c r="G129" s="464"/>
      <c r="H129" s="464"/>
    </row>
    <row r="130" spans="2:8" x14ac:dyDescent="0.3">
      <c r="B130" s="461"/>
      <c r="C130" s="462"/>
      <c r="D130" s="463"/>
      <c r="E130" s="463"/>
      <c r="F130" s="463"/>
      <c r="G130" s="464"/>
      <c r="H130" s="464"/>
    </row>
    <row r="131" spans="2:8" x14ac:dyDescent="0.3">
      <c r="B131" s="461"/>
      <c r="D131" s="463"/>
      <c r="E131" s="463"/>
      <c r="F131" s="463"/>
      <c r="G131" s="464"/>
      <c r="H131" s="464"/>
    </row>
    <row r="132" spans="2:8" x14ac:dyDescent="0.3">
      <c r="B132" s="461"/>
      <c r="C132" s="465"/>
      <c r="D132" s="463"/>
      <c r="E132" s="463"/>
      <c r="F132" s="463"/>
      <c r="G132" s="464"/>
      <c r="H132" s="464"/>
    </row>
    <row r="133" spans="2:8" x14ac:dyDescent="0.3">
      <c r="B133" s="461"/>
      <c r="C133" s="462"/>
      <c r="D133" s="463"/>
      <c r="E133" s="463"/>
      <c r="F133" s="463"/>
      <c r="G133" s="464"/>
      <c r="H133" s="464"/>
    </row>
    <row r="134" spans="2:8" x14ac:dyDescent="0.3">
      <c r="B134" s="461"/>
      <c r="C134" s="462"/>
      <c r="D134" s="463"/>
      <c r="E134" s="463"/>
      <c r="F134" s="463"/>
      <c r="G134" s="464"/>
      <c r="H134" s="464"/>
    </row>
    <row r="135" spans="2:8" ht="15.5" x14ac:dyDescent="0.35">
      <c r="B135" s="408" t="s">
        <v>1116</v>
      </c>
      <c r="C135" s="408"/>
      <c r="D135" s="463"/>
      <c r="E135" s="463"/>
      <c r="F135" s="463"/>
      <c r="G135" s="464"/>
      <c r="H135" s="464"/>
    </row>
    <row r="136" spans="2:8" x14ac:dyDescent="0.3">
      <c r="B136" s="409"/>
      <c r="C136" s="410" t="s">
        <v>474</v>
      </c>
      <c r="D136" s="466">
        <v>0</v>
      </c>
      <c r="E136" s="467"/>
      <c r="F136" s="468"/>
      <c r="G136" s="468"/>
      <c r="H136" s="469"/>
    </row>
    <row r="137" spans="2:8" ht="14.5" thickBot="1" x14ac:dyDescent="0.35">
      <c r="B137" s="299"/>
      <c r="C137" s="300"/>
      <c r="D137" s="384"/>
      <c r="E137" s="384"/>
      <c r="F137" s="384"/>
      <c r="G137" s="411"/>
      <c r="H137" s="301"/>
    </row>
    <row r="138" spans="2:8" ht="8" customHeight="1" thickBot="1" x14ac:dyDescent="0.35"/>
    <row r="139" spans="2:8" ht="14.5" thickBot="1" x14ac:dyDescent="0.35">
      <c r="B139" s="91"/>
      <c r="C139" s="302" t="s">
        <v>11</v>
      </c>
      <c r="D139" s="511">
        <f>SUMIFS(D120:D136,E120:E136,"",F120:F136,"")</f>
        <v>0</v>
      </c>
      <c r="E139" s="412">
        <f>SUM(E120:E136)</f>
        <v>0</v>
      </c>
      <c r="F139" s="413">
        <f>SUM(F120:F137)</f>
        <v>0</v>
      </c>
    </row>
    <row r="140" spans="2:8" ht="8" customHeight="1" thickBot="1" x14ac:dyDescent="0.35"/>
    <row r="141" spans="2:8" ht="14.5" thickBot="1" x14ac:dyDescent="0.35">
      <c r="B141" s="164" t="s">
        <v>459</v>
      </c>
      <c r="C141" s="165"/>
      <c r="D141" s="414"/>
      <c r="E141" s="415"/>
    </row>
    <row r="142" spans="2:8" ht="26.5" thickBot="1" x14ac:dyDescent="0.35">
      <c r="B142" s="416" t="s">
        <v>460</v>
      </c>
      <c r="C142" s="417" t="s">
        <v>461</v>
      </c>
      <c r="D142" s="418" t="s">
        <v>462</v>
      </c>
      <c r="E142" s="419" t="s">
        <v>463</v>
      </c>
    </row>
    <row r="143" spans="2:8" x14ac:dyDescent="0.3">
      <c r="B143" s="2" t="s">
        <v>464</v>
      </c>
      <c r="C143" s="3">
        <f t="shared" ref="C143:C153" si="10">SUMIF(G$120:G$137,B143,F$120:F$137)+SUMIF(G$120:G$137,B143,E$120:E$137)</f>
        <v>0</v>
      </c>
      <c r="D143" s="4">
        <f t="shared" ref="D143:D153" si="11">IFERROR(C143/SUM(E$139:F$139), 0)</f>
        <v>0</v>
      </c>
      <c r="E143" s="5">
        <f>IFERROR(C143/G116, 0)</f>
        <v>0</v>
      </c>
    </row>
    <row r="144" spans="2:8" x14ac:dyDescent="0.3">
      <c r="B144" s="6" t="s">
        <v>465</v>
      </c>
      <c r="C144" s="7">
        <f t="shared" si="10"/>
        <v>0</v>
      </c>
      <c r="D144" s="8">
        <f t="shared" si="11"/>
        <v>0</v>
      </c>
      <c r="E144" s="9">
        <f>IFERROR(C144/G116, 0)</f>
        <v>0</v>
      </c>
    </row>
    <row r="145" spans="2:5" x14ac:dyDescent="0.3">
      <c r="B145" s="6" t="s">
        <v>466</v>
      </c>
      <c r="C145" s="7">
        <f t="shared" si="10"/>
        <v>0</v>
      </c>
      <c r="D145" s="8">
        <f t="shared" si="11"/>
        <v>0</v>
      </c>
      <c r="E145" s="9">
        <f>IFERROR(C145/G116, 0)</f>
        <v>0</v>
      </c>
    </row>
    <row r="146" spans="2:5" x14ac:dyDescent="0.3">
      <c r="B146" s="6" t="s">
        <v>467</v>
      </c>
      <c r="C146" s="7">
        <f t="shared" si="10"/>
        <v>0</v>
      </c>
      <c r="D146" s="8">
        <f t="shared" si="11"/>
        <v>0</v>
      </c>
      <c r="E146" s="9">
        <f>IFERROR(C146/G116, 0)</f>
        <v>0</v>
      </c>
    </row>
    <row r="147" spans="2:5" x14ac:dyDescent="0.3">
      <c r="B147" s="6" t="s">
        <v>468</v>
      </c>
      <c r="C147" s="7">
        <f t="shared" si="10"/>
        <v>0</v>
      </c>
      <c r="D147" s="8">
        <f t="shared" si="11"/>
        <v>0</v>
      </c>
      <c r="E147" s="9">
        <f>IFERROR(C147/G116, 0)</f>
        <v>0</v>
      </c>
    </row>
    <row r="148" spans="2:5" x14ac:dyDescent="0.3">
      <c r="B148" s="6" t="s">
        <v>469</v>
      </c>
      <c r="C148" s="7">
        <f t="shared" si="10"/>
        <v>0</v>
      </c>
      <c r="D148" s="8">
        <f t="shared" si="11"/>
        <v>0</v>
      </c>
      <c r="E148" s="9">
        <f>IFERROR(C148/G116, 0)</f>
        <v>0</v>
      </c>
    </row>
    <row r="149" spans="2:5" x14ac:dyDescent="0.3">
      <c r="B149" s="6" t="s">
        <v>1152</v>
      </c>
      <c r="C149" s="7">
        <f t="shared" si="10"/>
        <v>0</v>
      </c>
      <c r="D149" s="8">
        <f t="shared" si="11"/>
        <v>0</v>
      </c>
      <c r="E149" s="9">
        <f>IFERROR(C149/G116, 0)</f>
        <v>0</v>
      </c>
    </row>
    <row r="150" spans="2:5" x14ac:dyDescent="0.3">
      <c r="B150" s="6" t="s">
        <v>470</v>
      </c>
      <c r="C150" s="7">
        <f t="shared" si="10"/>
        <v>0</v>
      </c>
      <c r="D150" s="8">
        <f t="shared" si="11"/>
        <v>0</v>
      </c>
      <c r="E150" s="9">
        <f>IFERROR(C150/G116, 0)</f>
        <v>0</v>
      </c>
    </row>
    <row r="151" spans="2:5" x14ac:dyDescent="0.3">
      <c r="B151" s="6" t="s">
        <v>471</v>
      </c>
      <c r="C151" s="7">
        <f t="shared" si="10"/>
        <v>0</v>
      </c>
      <c r="D151" s="8">
        <f t="shared" si="11"/>
        <v>0</v>
      </c>
      <c r="E151" s="9">
        <f>IFERROR(C151/G116, 0)</f>
        <v>0</v>
      </c>
    </row>
    <row r="152" spans="2:5" x14ac:dyDescent="0.3">
      <c r="B152" s="6" t="s">
        <v>473</v>
      </c>
      <c r="C152" s="7">
        <f t="shared" si="10"/>
        <v>0</v>
      </c>
      <c r="D152" s="8">
        <f t="shared" si="11"/>
        <v>0</v>
      </c>
      <c r="E152" s="9">
        <f>IFERROR(C152/G116, 0)</f>
        <v>0</v>
      </c>
    </row>
    <row r="153" spans="2:5" ht="14.5" thickBot="1" x14ac:dyDescent="0.35">
      <c r="B153" s="92" t="s">
        <v>472</v>
      </c>
      <c r="C153" s="93">
        <f t="shared" si="10"/>
        <v>0</v>
      </c>
      <c r="D153" s="94">
        <f t="shared" si="11"/>
        <v>0</v>
      </c>
      <c r="E153" s="95">
        <f>IFERROR(C153/G116, 0)</f>
        <v>0</v>
      </c>
    </row>
  </sheetData>
  <dataConsolidate/>
  <mergeCells count="23">
    <mergeCell ref="E14:G14"/>
    <mergeCell ref="J14:L15"/>
    <mergeCell ref="E15:G15"/>
    <mergeCell ref="E5:G5"/>
    <mergeCell ref="J5:L6"/>
    <mergeCell ref="E6:G6"/>
    <mergeCell ref="E7:G7"/>
    <mergeCell ref="E8:G8"/>
    <mergeCell ref="J8:L9"/>
    <mergeCell ref="E9:G9"/>
    <mergeCell ref="E10:G10"/>
    <mergeCell ref="E11:G11"/>
    <mergeCell ref="J11:L11"/>
    <mergeCell ref="E12:G12"/>
    <mergeCell ref="E13:G13"/>
    <mergeCell ref="B99:C99"/>
    <mergeCell ref="B110:C110"/>
    <mergeCell ref="E16:G16"/>
    <mergeCell ref="F18:G18"/>
    <mergeCell ref="B28:C28"/>
    <mergeCell ref="B48:C48"/>
    <mergeCell ref="B78:C78"/>
    <mergeCell ref="B89:C89"/>
  </mergeCells>
  <conditionalFormatting sqref="H16">
    <cfRule type="cellIs" dxfId="524" priority="1" operator="lessThan">
      <formula>0</formula>
    </cfRule>
  </conditionalFormatting>
  <conditionalFormatting sqref="H18">
    <cfRule type="containsText" dxfId="523" priority="2" operator="containsText" text="HIGH">
      <formula>NOT(ISERROR(SEARCH("HIGH",H18)))</formula>
    </cfRule>
    <cfRule type="containsText" dxfId="522" priority="3" operator="containsText" text="LOW">
      <formula>NOT(ISERROR(SEARCH("LOW",H18)))</formula>
    </cfRule>
    <cfRule type="containsText" dxfId="521" priority="4" operator="containsText" text="MEDIUM">
      <formula>NOT(ISERROR(SEARCH("MEDIUM",H18)))</formula>
    </cfRule>
    <cfRule type="containsText" dxfId="520" priority="5" operator="containsText" text="HIGH ">
      <formula>NOT(ISERROR(SEARCH("HIGH ",H18)))</formula>
    </cfRule>
    <cfRule type="cellIs" dxfId="519" priority="6" operator="equal">
      <formula>HIGH</formula>
    </cfRule>
    <cfRule type="containsText" dxfId="518"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disablePrompts="1" count="7">
    <dataValidation type="list" allowBlank="1" showInputMessage="1" showErrorMessage="1" sqref="C9" xr:uid="{C1A6EDFE-AD79-4B46-B73C-8039B79236D6}">
      <formula1>INDIRECT($C$8)</formula1>
    </dataValidation>
    <dataValidation type="list" allowBlank="1" showInputMessage="1" showErrorMessage="1" sqref="G120:G134" xr:uid="{FE7E991F-C1E3-4612-8F6E-30081B30DC75}">
      <formula1>"IT, WW/OPS ENGINEERING, COMPOSITE, AHJ, START_UP, LAUNCH, WHS, UNFORESEEN SITE CONDITIONS, CONSULTANT COORDINATION, MHE, OTHER"</formula1>
    </dataValidation>
    <dataValidation type="decimal" operator="notEqual" allowBlank="1" showErrorMessage="1" errorTitle="Do not enter $0 " error="It incorrectly affects Estimated Subtotal" sqref="E120:F136" xr:uid="{E6AD5883-FC54-4C08-8678-A2292FF363A0}">
      <formula1>0</formula1>
    </dataValidation>
    <dataValidation type="list" allowBlank="1" showInputMessage="1" showErrorMessage="1" sqref="H120:H137" xr:uid="{CF085482-E78D-4D6B-A269-1665C36F688B}">
      <formula1>"TI ALLOWANCE, TI CONTINGENCY, DEV CONTINGENCY, GC CONTINGENCY, BUYOUT SAVINGS, SUPPLEMENTAL"</formula1>
    </dataValidation>
    <dataValidation type="list" allowBlank="1" showInputMessage="1" showErrorMessage="1" sqref="G135:G137" xr:uid="{05BC6D2B-BEC5-43A5-8968-FA25641C79E0}">
      <formula1>"IT, WW/OPS ENGINEERING, COMPOSITE, AHJ, START_UP, LAUNCH, EHS, UNFORESEEN SITE CONDITIONS, CONSULTANT COORDINATION, MHE, OTHER"</formula1>
    </dataValidation>
    <dataValidation type="list" allowBlank="1" showInputMessage="1" showErrorMessage="1" sqref="C16" xr:uid="{277C5F2F-4D09-4081-9720-3604CACB1EFA}">
      <formula1>"YES, NO"</formula1>
    </dataValidation>
    <dataValidation type="list" allowBlank="1" showInputMessage="1" showErrorMessage="1" sqref="H18" xr:uid="{36E5AA5D-123A-4841-8AB4-6F913005172B}">
      <formula1>"LOW, MEDIUM, 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Templates">
                <anchor moveWithCells="1" sizeWithCells="1">
                  <from>
                    <xdr:col>10</xdr:col>
                    <xdr:colOff>196850</xdr:colOff>
                    <xdr:row>20</xdr:row>
                    <xdr:rowOff>374650</xdr:rowOff>
                  </from>
                  <to>
                    <xdr:col>10</xdr:col>
                    <xdr:colOff>1892300</xdr:colOff>
                    <xdr:row>23</xdr:row>
                    <xdr:rowOff>19050</xdr:rowOff>
                  </to>
                </anchor>
              </controlPr>
            </control>
          </mc:Choice>
        </mc:AlternateContent>
        <mc:AlternateContent xmlns:mc="http://schemas.openxmlformats.org/markup-compatibility/2006">
          <mc:Choice Requires="x14">
            <control shapeId="32770" r:id="rId5" name="Button 2">
              <controlPr defaultSize="0" print="0" autoFill="0" autoPict="0" macro="[0]!Copy_Data">
                <anchor moveWithCells="1" sizeWithCells="1">
                  <from>
                    <xdr:col>10</xdr:col>
                    <xdr:colOff>190500</xdr:colOff>
                    <xdr:row>9</xdr:row>
                    <xdr:rowOff>165100</xdr:rowOff>
                  </from>
                  <to>
                    <xdr:col>10</xdr:col>
                    <xdr:colOff>1866900</xdr:colOff>
                    <xdr:row>12</xdr:row>
                    <xdr:rowOff>31750</xdr:rowOff>
                  </to>
                </anchor>
              </controlPr>
            </control>
          </mc:Choice>
        </mc:AlternateContent>
        <mc:AlternateContent xmlns:mc="http://schemas.openxmlformats.org/markup-compatibility/2006">
          <mc:Choice Requires="x14">
            <control shapeId="32771" r:id="rId6" name="Button 3">
              <controlPr defaultSize="0" print="0" autoFill="0" autoPict="0" macro="[0]!Save_Data">
                <anchor moveWithCells="1" sizeWithCells="1">
                  <from>
                    <xdr:col>10</xdr:col>
                    <xdr:colOff>190500</xdr:colOff>
                    <xdr:row>15</xdr:row>
                    <xdr:rowOff>133350</xdr:rowOff>
                  </from>
                  <to>
                    <xdr:col>10</xdr:col>
                    <xdr:colOff>1866900</xdr:colOff>
                    <xdr:row>18</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90B2BCA-8B04-48A1-AAAA-23AEA449648D}">
          <x14:formula1>
            <xm:f>'Drop Down Menus'!$N:$N</xm:f>
          </x14:formula1>
          <xm:sqref>C11</xm:sqref>
        </x14:dataValidation>
        <x14:dataValidation type="list" allowBlank="1" showInputMessage="1" showErrorMessage="1" xr:uid="{C31A6FAF-DC0F-48C8-A434-FBD3734951C9}">
          <x14:formula1>
            <xm:f>'Drop Down Menus'!$A$1:$L$1</xm:f>
          </x14:formula1>
          <xm:sqref>C8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C000"/>
  </sheetPr>
  <dimension ref="A1:Z520"/>
  <sheetViews>
    <sheetView topLeftCell="A27" zoomScaleNormal="100" workbookViewId="0">
      <selection activeCell="D51" sqref="D51"/>
    </sheetView>
  </sheetViews>
  <sheetFormatPr defaultColWidth="9.1796875" defaultRowHeight="14.5" x14ac:dyDescent="0.35"/>
  <cols>
    <col min="1" max="1" width="9.54296875" style="100" customWidth="1"/>
    <col min="2" max="2" width="45.453125" style="100" customWidth="1"/>
    <col min="3" max="3" width="15.81640625" style="100"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9" width="9.1796875" style="97"/>
    <col min="20" max="24" width="9.1796875" style="198"/>
    <col min="25" max="16384" width="9.1796875" style="97"/>
  </cols>
  <sheetData>
    <row r="1" spans="1:11" x14ac:dyDescent="0.35">
      <c r="A1" s="11" t="s">
        <v>433</v>
      </c>
      <c r="B1" s="19"/>
    </row>
    <row r="2" spans="1:11" x14ac:dyDescent="0.35">
      <c r="A2" s="36"/>
      <c r="B2" s="19"/>
    </row>
    <row r="3" spans="1:11" x14ac:dyDescent="0.35">
      <c r="A3" s="11" t="s">
        <v>434</v>
      </c>
      <c r="B3" s="19"/>
    </row>
    <row r="4" spans="1:11" ht="15" thickBot="1" x14ac:dyDescent="0.4">
      <c r="A4" s="36"/>
      <c r="B4" s="19"/>
    </row>
    <row r="5" spans="1:11" ht="15" thickBot="1" x14ac:dyDescent="0.4">
      <c r="A5" s="12" t="s">
        <v>428</v>
      </c>
      <c r="B5" s="96">
        <f>'GMP-PO Breakdown'!C5</f>
        <v>0</v>
      </c>
      <c r="D5" s="101" t="s">
        <v>728</v>
      </c>
      <c r="E5" s="610"/>
      <c r="F5" s="611"/>
      <c r="G5" s="612" t="s">
        <v>729</v>
      </c>
      <c r="H5" s="613"/>
    </row>
    <row r="6" spans="1:11" ht="15" thickBot="1" x14ac:dyDescent="0.4">
      <c r="A6" s="97"/>
      <c r="B6" s="97"/>
      <c r="D6" s="102" t="s">
        <v>730</v>
      </c>
      <c r="E6" s="250">
        <v>0</v>
      </c>
      <c r="F6" s="103" t="s">
        <v>731</v>
      </c>
      <c r="G6" s="614" t="s">
        <v>732</v>
      </c>
      <c r="H6" s="615"/>
    </row>
    <row r="7" spans="1:11" ht="15" thickBot="1" x14ac:dyDescent="0.4">
      <c r="A7" s="13" t="s">
        <v>429</v>
      </c>
      <c r="B7" s="20">
        <f>'GMP-PO Breakdown'!C6</f>
        <v>0</v>
      </c>
      <c r="D7" s="104" t="s">
        <v>733</v>
      </c>
      <c r="E7" s="251">
        <v>0</v>
      </c>
      <c r="F7" s="105" t="s">
        <v>734</v>
      </c>
      <c r="G7" s="616" t="s">
        <v>735</v>
      </c>
      <c r="H7" s="617"/>
    </row>
    <row r="8" spans="1:11" ht="15" thickBot="1" x14ac:dyDescent="0.4">
      <c r="A8" s="14" t="s">
        <v>565</v>
      </c>
      <c r="B8" s="21">
        <f>'GMP-PO Breakdown'!C7</f>
        <v>0</v>
      </c>
      <c r="D8" s="106"/>
      <c r="E8" s="106"/>
      <c r="F8" s="106"/>
      <c r="G8" s="106"/>
      <c r="H8" s="106"/>
    </row>
    <row r="9" spans="1:11" x14ac:dyDescent="0.35">
      <c r="A9" s="14" t="s">
        <v>432</v>
      </c>
      <c r="B9" s="21">
        <f>'GMP-PO Breakdown'!C12</f>
        <v>0</v>
      </c>
      <c r="D9" s="107" t="s">
        <v>736</v>
      </c>
      <c r="E9" s="108">
        <f>SUM(E30:E141)/2</f>
        <v>0</v>
      </c>
      <c r="F9" s="108">
        <f>SUM(F30:F141)/2</f>
        <v>0</v>
      </c>
      <c r="G9" s="108">
        <f>SUM(G30:G141)/2</f>
        <v>0</v>
      </c>
      <c r="H9" s="109" t="str">
        <f>IFERROR(G9/E6/43560,"Enter site size above")</f>
        <v>Enter site size above</v>
      </c>
    </row>
    <row r="10" spans="1:11" x14ac:dyDescent="0.35">
      <c r="A10" s="14" t="s">
        <v>430</v>
      </c>
      <c r="B10" s="21">
        <f>'GMP-PO Breakdown'!C13</f>
        <v>0</v>
      </c>
      <c r="D10" s="110" t="s">
        <v>737</v>
      </c>
      <c r="E10" s="111">
        <f>SUM(E152:E499)/2</f>
        <v>0</v>
      </c>
      <c r="F10" s="111">
        <f>SUM(F152:F499)/2</f>
        <v>0</v>
      </c>
      <c r="G10" s="111">
        <f>SUM(G152:G499)/2</f>
        <v>0</v>
      </c>
      <c r="H10" s="112" t="str">
        <f>IFERROR(G10/$E$7,"Enter building size above")</f>
        <v>Enter building size above</v>
      </c>
    </row>
    <row r="11" spans="1:11" ht="15" thickBot="1" x14ac:dyDescent="0.4">
      <c r="A11" s="23" t="s">
        <v>431</v>
      </c>
      <c r="B11" s="22">
        <f>'GMP-PO Breakdown'!C14</f>
        <v>0</v>
      </c>
      <c r="D11" s="110" t="s">
        <v>738</v>
      </c>
      <c r="E11" s="111">
        <f>SUM(E143:E150)/2+SUM(E501:E513)/2</f>
        <v>0</v>
      </c>
      <c r="F11" s="111">
        <f>SUM(F143:F150)/2+SUM(F501:F513)/2</f>
        <v>0</v>
      </c>
      <c r="G11" s="111">
        <f>SUM(G143:G150)/2+SUM(G501:G513)/2</f>
        <v>0</v>
      </c>
      <c r="H11" s="112" t="str">
        <f>IFERROR(G11/$E$7,"Enter building size above")</f>
        <v>Enter building size above</v>
      </c>
      <c r="K11" s="343"/>
    </row>
    <row r="12" spans="1:11" ht="15" thickBot="1" x14ac:dyDescent="0.4">
      <c r="A12" s="98"/>
      <c r="B12" s="99"/>
      <c r="D12" s="113" t="s">
        <v>739</v>
      </c>
      <c r="E12" s="114">
        <f>SUM(E9:E11)</f>
        <v>0</v>
      </c>
      <c r="F12" s="114">
        <f t="shared" ref="F12:G12" si="0">SUM(F9:F11)</f>
        <v>0</v>
      </c>
      <c r="G12" s="114">
        <f t="shared" si="0"/>
        <v>0</v>
      </c>
      <c r="H12" s="115" t="str">
        <f>IFERROR(G12/$E$7,"Enter building size above")</f>
        <v>Enter building size above</v>
      </c>
    </row>
    <row r="13" spans="1:11" ht="15" thickBot="1" x14ac:dyDescent="0.4">
      <c r="A13" s="98"/>
      <c r="B13" s="99"/>
      <c r="D13" s="104" t="s">
        <v>982</v>
      </c>
      <c r="E13" s="252">
        <v>0</v>
      </c>
      <c r="F13" s="252">
        <v>0</v>
      </c>
      <c r="G13" s="253">
        <f>IFERROR(E13/F13, 0)</f>
        <v>0</v>
      </c>
      <c r="H13" s="115"/>
    </row>
    <row r="14" spans="1:11" x14ac:dyDescent="0.35">
      <c r="A14" s="98"/>
      <c r="B14" s="99"/>
      <c r="D14" s="254" t="s">
        <v>786</v>
      </c>
    </row>
    <row r="15" spans="1:11" ht="14.5" hidden="1" customHeight="1" x14ac:dyDescent="0.35">
      <c r="A15" s="98"/>
      <c r="B15" s="99"/>
    </row>
    <row r="16" spans="1:11" ht="14.5" hidden="1" customHeight="1" x14ac:dyDescent="0.35">
      <c r="A16" s="98"/>
      <c r="B16" s="99"/>
    </row>
    <row r="17" spans="1:26" ht="14.5" hidden="1" customHeight="1" x14ac:dyDescent="0.35">
      <c r="A17" s="98"/>
      <c r="B17" s="99"/>
      <c r="D17" s="97" t="s">
        <v>787</v>
      </c>
    </row>
    <row r="18" spans="1:26" ht="14.5" hidden="1" customHeight="1" x14ac:dyDescent="0.35">
      <c r="A18" s="98"/>
      <c r="B18" s="99"/>
      <c r="D18" s="97" t="s">
        <v>788</v>
      </c>
    </row>
    <row r="19" spans="1:26" ht="14.5" hidden="1" customHeight="1" x14ac:dyDescent="0.35">
      <c r="A19" s="98"/>
      <c r="B19" s="99"/>
    </row>
    <row r="20" spans="1:26" ht="14.5" hidden="1" customHeight="1" x14ac:dyDescent="0.35">
      <c r="A20" s="98"/>
      <c r="B20" s="99"/>
    </row>
    <row r="21" spans="1:26" ht="14.5" hidden="1" customHeight="1" x14ac:dyDescent="0.35"/>
    <row r="22" spans="1:26" ht="14.5" hidden="1" customHeight="1" x14ac:dyDescent="0.35"/>
    <row r="23" spans="1:26" ht="14.5" hidden="1" customHeight="1" x14ac:dyDescent="0.35"/>
    <row r="24" spans="1:26" ht="14.5" hidden="1" customHeight="1" x14ac:dyDescent="0.35"/>
    <row r="25" spans="1:26" ht="14.5" hidden="1" customHeight="1" x14ac:dyDescent="0.35"/>
    <row r="26" spans="1:26" ht="14.5" hidden="1" customHeight="1" x14ac:dyDescent="0.35"/>
    <row r="27" spans="1:26" ht="4.5" customHeight="1" thickBot="1" x14ac:dyDescent="0.4"/>
    <row r="28" spans="1:26" ht="15.5" thickTop="1" thickBot="1" x14ac:dyDescent="0.4">
      <c r="A28" s="125" t="s">
        <v>166</v>
      </c>
      <c r="B28" s="336" t="s">
        <v>168</v>
      </c>
      <c r="C28" s="339" t="s">
        <v>167</v>
      </c>
      <c r="D28" s="337" t="s">
        <v>26</v>
      </c>
      <c r="E28" s="338" t="s">
        <v>781</v>
      </c>
      <c r="F28" s="337" t="s">
        <v>1078</v>
      </c>
      <c r="G28" s="337" t="s">
        <v>782</v>
      </c>
      <c r="H28" s="338" t="s">
        <v>783</v>
      </c>
      <c r="I28" s="337" t="s">
        <v>784</v>
      </c>
      <c r="J28" s="349" t="s">
        <v>1079</v>
      </c>
    </row>
    <row r="29" spans="1:26" ht="15" thickTop="1" x14ac:dyDescent="0.35">
      <c r="A29" s="100" t="s">
        <v>647</v>
      </c>
      <c r="B29" s="100" t="s">
        <v>33</v>
      </c>
      <c r="C29" s="100" t="s">
        <v>167</v>
      </c>
      <c r="D29" s="100" t="s">
        <v>26</v>
      </c>
      <c r="E29" s="100" t="s">
        <v>781</v>
      </c>
      <c r="F29" s="332" t="s">
        <v>1078</v>
      </c>
      <c r="G29" s="332" t="s">
        <v>782</v>
      </c>
      <c r="H29" s="332" t="s">
        <v>783</v>
      </c>
      <c r="I29" s="100" t="s">
        <v>785</v>
      </c>
      <c r="J29" s="345" t="s">
        <v>1079</v>
      </c>
      <c r="K29" s="198"/>
      <c r="T29" s="97"/>
      <c r="U29" s="97"/>
      <c r="X29" s="199"/>
      <c r="Y29" s="198"/>
      <c r="Z29" s="198"/>
    </row>
    <row r="30" spans="1:26" x14ac:dyDescent="0.35">
      <c r="A30" s="128">
        <v>34</v>
      </c>
      <c r="B30" s="132" t="s">
        <v>258</v>
      </c>
      <c r="C30" s="132" t="s">
        <v>231</v>
      </c>
      <c r="D30" s="133" t="s">
        <v>34</v>
      </c>
      <c r="E30" s="255">
        <v>0</v>
      </c>
      <c r="F30" s="255">
        <v>0</v>
      </c>
      <c r="G30" s="255">
        <v>0</v>
      </c>
      <c r="H30" s="255">
        <f>IF(OffSite2206244[[#This Row],[Actual Buyout]]+OffSite2206244[[#This Row],[Change Orders]]=0,OffSite2206244[[#This Row],[Original Contract]],OffSite2206244[[#This Row],[Actual Buyout]]+OffSite2206244[[#This Row],[Change Orders]])</f>
        <v>0</v>
      </c>
      <c r="I30" s="255">
        <v>0</v>
      </c>
      <c r="J30" s="150">
        <f>OffSite2206244[[#This Row],[Original Contract]]-OffSite2206244[[#This Row],[Revised Contract]]</f>
        <v>0</v>
      </c>
      <c r="K30" s="199"/>
      <c r="T30" s="97"/>
      <c r="U30" s="97"/>
      <c r="W30" s="199"/>
      <c r="X30" s="199"/>
      <c r="Y30" s="198"/>
      <c r="Z30" s="198"/>
    </row>
    <row r="31" spans="1:26" x14ac:dyDescent="0.35">
      <c r="A31" s="128">
        <v>34</v>
      </c>
      <c r="B31" s="132" t="s">
        <v>258</v>
      </c>
      <c r="C31" s="132" t="s">
        <v>231</v>
      </c>
      <c r="D31" s="133" t="s">
        <v>35</v>
      </c>
      <c r="E31" s="255">
        <v>0</v>
      </c>
      <c r="F31" s="255">
        <v>0</v>
      </c>
      <c r="G31" s="255">
        <f>0</f>
        <v>0</v>
      </c>
      <c r="H31" s="255">
        <f>IF(OffSite2206244[[#This Row],[Actual Buyout]]+OffSite2206244[[#This Row],[Change Orders]]=0,OffSite2206244[[#This Row],[Original Contract]],OffSite2206244[[#This Row],[Actual Buyout]]+OffSite2206244[[#This Row],[Change Orders]])</f>
        <v>0</v>
      </c>
      <c r="I31" s="255">
        <v>0</v>
      </c>
      <c r="J31" s="150">
        <f>OffSite2206244[[#This Row],[Original Contract]]-OffSite2206244[[#This Row],[Revised Contract]]</f>
        <v>0</v>
      </c>
      <c r="K31" s="199"/>
      <c r="T31" s="97"/>
      <c r="U31" s="97"/>
      <c r="W31" s="199"/>
      <c r="X31" s="199"/>
      <c r="Y31" s="198"/>
      <c r="Z31" s="198"/>
    </row>
    <row r="32" spans="1:26" x14ac:dyDescent="0.35">
      <c r="A32" s="128">
        <v>34</v>
      </c>
      <c r="B32" s="132" t="s">
        <v>258</v>
      </c>
      <c r="C32" s="132" t="s">
        <v>231</v>
      </c>
      <c r="D32" s="133" t="s">
        <v>36</v>
      </c>
      <c r="E32" s="255">
        <v>0</v>
      </c>
      <c r="F32" s="255">
        <v>0</v>
      </c>
      <c r="G32" s="255">
        <f>0</f>
        <v>0</v>
      </c>
      <c r="H32" s="255">
        <f>IF(OffSite2206244[[#This Row],[Actual Buyout]]+OffSite2206244[[#This Row],[Change Orders]]=0,OffSite2206244[[#This Row],[Original Contract]],OffSite2206244[[#This Row],[Actual Buyout]]+OffSite2206244[[#This Row],[Change Orders]])</f>
        <v>0</v>
      </c>
      <c r="I32" s="255">
        <v>0</v>
      </c>
      <c r="J32" s="150">
        <f>OffSite2206244[[#This Row],[Original Contract]]-OffSite2206244[[#This Row],[Revised Contract]]</f>
        <v>0</v>
      </c>
      <c r="K32" s="199"/>
      <c r="T32" s="97"/>
      <c r="U32" s="97"/>
      <c r="W32" s="199"/>
      <c r="X32" s="199"/>
      <c r="Y32" s="198"/>
      <c r="Z32" s="198"/>
    </row>
    <row r="33" spans="1:26" x14ac:dyDescent="0.35">
      <c r="A33" s="128">
        <v>34</v>
      </c>
      <c r="B33" s="132" t="s">
        <v>257</v>
      </c>
      <c r="C33" s="132" t="s">
        <v>229</v>
      </c>
      <c r="D33" s="133" t="s">
        <v>230</v>
      </c>
      <c r="E33" s="255">
        <v>0</v>
      </c>
      <c r="F33" s="255">
        <v>0</v>
      </c>
      <c r="G33" s="255">
        <f>0</f>
        <v>0</v>
      </c>
      <c r="H33" s="255">
        <f>IF(OffSite2206244[[#This Row],[Actual Buyout]]+OffSite2206244[[#This Row],[Change Orders]]=0,OffSite2206244[[#This Row],[Original Contract]],OffSite2206244[[#This Row],[Actual Buyout]]+OffSite2206244[[#This Row],[Change Orders]])</f>
        <v>0</v>
      </c>
      <c r="I33" s="255">
        <v>0</v>
      </c>
      <c r="J33" s="150">
        <f>OffSite2206244[[#This Row],[Original Contract]]-OffSite2206244[[#This Row],[Revised Contract]]</f>
        <v>0</v>
      </c>
      <c r="K33" s="199"/>
      <c r="L33" s="198"/>
      <c r="T33" s="97"/>
      <c r="U33" s="97"/>
      <c r="W33" s="199"/>
      <c r="X33" s="199"/>
      <c r="Y33" s="198"/>
      <c r="Z33" s="198"/>
    </row>
    <row r="34" spans="1:26" x14ac:dyDescent="0.35">
      <c r="A34" s="128">
        <v>34</v>
      </c>
      <c r="B34" s="132"/>
      <c r="C34" s="132"/>
      <c r="D34" s="133" t="s">
        <v>799</v>
      </c>
      <c r="E34" s="255">
        <v>0</v>
      </c>
      <c r="F34" s="255">
        <v>0</v>
      </c>
      <c r="G34" s="255">
        <f>0</f>
        <v>0</v>
      </c>
      <c r="H34" s="255">
        <f>IF(OffSite2206244[[#This Row],[Actual Buyout]]+OffSite2206244[[#This Row],[Change Orders]]=0,OffSite2206244[[#This Row],[Original Contract]],OffSite2206244[[#This Row],[Actual Buyout]]+OffSite2206244[[#This Row],[Change Orders]])</f>
        <v>0</v>
      </c>
      <c r="I34" s="255">
        <v>0</v>
      </c>
      <c r="J34" s="150">
        <f>OffSite2206244[[#This Row],[Original Contract]]-OffSite2206244[[#This Row],[Revised Contract]]</f>
        <v>0</v>
      </c>
      <c r="K34" s="199"/>
      <c r="L34" s="198"/>
      <c r="T34" s="97"/>
      <c r="U34" s="97"/>
      <c r="W34" s="199"/>
      <c r="X34" s="199"/>
      <c r="Y34" s="198"/>
      <c r="Z34" s="198"/>
    </row>
    <row r="35" spans="1:26" x14ac:dyDescent="0.35">
      <c r="A35" s="128">
        <v>34</v>
      </c>
      <c r="B35" s="132"/>
      <c r="C35" s="132"/>
      <c r="D35" s="133" t="s">
        <v>37</v>
      </c>
      <c r="E35" s="255">
        <v>0</v>
      </c>
      <c r="F35" s="255">
        <v>0</v>
      </c>
      <c r="G35" s="255">
        <f>0</f>
        <v>0</v>
      </c>
      <c r="H35" s="255">
        <f>IF(OffSite2206244[[#This Row],[Actual Buyout]]+OffSite2206244[[#This Row],[Change Orders]]=0,OffSite2206244[[#This Row],[Original Contract]],OffSite2206244[[#This Row],[Actual Buyout]]+OffSite2206244[[#This Row],[Change Orders]])</f>
        <v>0</v>
      </c>
      <c r="I35" s="255">
        <v>0</v>
      </c>
      <c r="J35" s="150">
        <f>OffSite2206244[[#This Row],[Original Contract]]-OffSite2206244[[#This Row],[Revised Contract]]</f>
        <v>0</v>
      </c>
      <c r="K35" s="199"/>
      <c r="L35" s="198"/>
      <c r="T35" s="97"/>
      <c r="U35" s="97"/>
      <c r="W35" s="199"/>
      <c r="X35" s="199"/>
      <c r="Y35" s="198"/>
      <c r="Z35" s="198"/>
    </row>
    <row r="36" spans="1:26" x14ac:dyDescent="0.35">
      <c r="A36" s="128">
        <v>34</v>
      </c>
      <c r="B36" s="132"/>
      <c r="C36" s="132"/>
      <c r="D36" s="133" t="s">
        <v>37</v>
      </c>
      <c r="E36" s="255">
        <v>0</v>
      </c>
      <c r="F36" s="255">
        <v>0</v>
      </c>
      <c r="G36" s="255">
        <f>0</f>
        <v>0</v>
      </c>
      <c r="H36" s="255">
        <f>IF(OffSite2206244[[#This Row],[Actual Buyout]]+OffSite2206244[[#This Row],[Change Orders]]=0,OffSite2206244[[#This Row],[Original Contract]],OffSite2206244[[#This Row],[Actual Buyout]]+OffSite2206244[[#This Row],[Change Orders]])</f>
        <v>0</v>
      </c>
      <c r="I36" s="255">
        <v>0</v>
      </c>
      <c r="J36" s="150">
        <f>OffSite2206244[[#This Row],[Original Contract]]-OffSite2206244[[#This Row],[Revised Contract]]</f>
        <v>0</v>
      </c>
      <c r="K36" s="199"/>
      <c r="L36" s="198"/>
      <c r="T36" s="97"/>
      <c r="U36" s="97"/>
      <c r="W36" s="199"/>
      <c r="X36" s="199"/>
      <c r="Y36" s="198"/>
      <c r="Z36" s="198"/>
    </row>
    <row r="37" spans="1:26" x14ac:dyDescent="0.35">
      <c r="A37" s="128">
        <v>34</v>
      </c>
      <c r="B37" s="132"/>
      <c r="C37" s="132"/>
      <c r="D37" s="133" t="s">
        <v>37</v>
      </c>
      <c r="E37" s="255">
        <v>0</v>
      </c>
      <c r="F37" s="255">
        <v>0</v>
      </c>
      <c r="G37" s="255">
        <f>0</f>
        <v>0</v>
      </c>
      <c r="H37" s="255">
        <f>IF(OffSite2206244[[#This Row],[Actual Buyout]]+OffSite2206244[[#This Row],[Change Orders]]=0,OffSite2206244[[#This Row],[Original Contract]],OffSite2206244[[#This Row],[Actual Buyout]]+OffSite2206244[[#This Row],[Change Orders]])</f>
        <v>0</v>
      </c>
      <c r="I37" s="255">
        <v>0</v>
      </c>
      <c r="J37" s="150">
        <f>OffSite2206244[[#This Row],[Original Contract]]-OffSite2206244[[#This Row],[Revised Contract]]</f>
        <v>0</v>
      </c>
      <c r="K37" s="199"/>
      <c r="L37" s="198"/>
      <c r="T37" s="97"/>
      <c r="U37" s="97"/>
      <c r="W37" s="199"/>
      <c r="X37" s="199"/>
      <c r="Y37" s="198"/>
      <c r="Z37" s="198"/>
    </row>
    <row r="38" spans="1:26" x14ac:dyDescent="0.35">
      <c r="A38" s="128">
        <v>34</v>
      </c>
      <c r="B38" s="132"/>
      <c r="C38" s="132"/>
      <c r="D38" s="133" t="s">
        <v>37</v>
      </c>
      <c r="E38" s="255">
        <v>0</v>
      </c>
      <c r="F38" s="255">
        <v>0</v>
      </c>
      <c r="G38" s="255">
        <f>0</f>
        <v>0</v>
      </c>
      <c r="H38" s="255">
        <f>IF(OffSite2206244[[#This Row],[Actual Buyout]]+OffSite2206244[[#This Row],[Change Orders]]=0,OffSite2206244[[#This Row],[Original Contract]],OffSite2206244[[#This Row],[Actual Buyout]]+OffSite2206244[[#This Row],[Change Orders]])</f>
        <v>0</v>
      </c>
      <c r="I38" s="255">
        <v>0</v>
      </c>
      <c r="J38" s="150">
        <f>OffSite2206244[[#This Row],[Original Contract]]-OffSite2206244[[#This Row],[Revised Contract]]</f>
        <v>0</v>
      </c>
      <c r="K38" s="199"/>
      <c r="L38" s="198"/>
      <c r="T38" s="97"/>
      <c r="U38" s="97"/>
      <c r="W38" s="199"/>
      <c r="X38" s="199"/>
      <c r="Y38" s="198"/>
      <c r="Z38" s="198"/>
    </row>
    <row r="39" spans="1:26" x14ac:dyDescent="0.35">
      <c r="A39" s="130"/>
      <c r="B39" s="131"/>
      <c r="C39" s="131"/>
      <c r="D39" s="256" t="s">
        <v>38</v>
      </c>
      <c r="E39" s="151">
        <f>SUM(OffSite2206244[Original Contract])</f>
        <v>0</v>
      </c>
      <c r="F39" s="151">
        <f>SUM(OffSite2206244[Actual Buyout])</f>
        <v>0</v>
      </c>
      <c r="G39" s="151">
        <f>SUM(OffSite2206244[Change Orders])</f>
        <v>0</v>
      </c>
      <c r="H39" s="151">
        <f>SUM(OffSite2206244[Revised Contract])</f>
        <v>0</v>
      </c>
      <c r="I39" s="151">
        <f>SUM(OffSite2206244[Total completed and Stored])</f>
        <v>0</v>
      </c>
      <c r="J39" s="152">
        <f>SUM(OffSite2206244[Delta])</f>
        <v>0</v>
      </c>
      <c r="U39" s="199"/>
      <c r="V39" s="199"/>
    </row>
    <row r="40" spans="1:26" x14ac:dyDescent="0.35">
      <c r="A40" s="100" t="s">
        <v>648</v>
      </c>
      <c r="B40" s="100" t="s">
        <v>3</v>
      </c>
      <c r="C40" s="100" t="s">
        <v>167</v>
      </c>
      <c r="D40" s="100" t="s">
        <v>26</v>
      </c>
      <c r="E40" s="100" t="s">
        <v>781</v>
      </c>
      <c r="F40" s="332" t="s">
        <v>1078</v>
      </c>
      <c r="G40" s="332" t="s">
        <v>782</v>
      </c>
      <c r="H40" s="332" t="s">
        <v>783</v>
      </c>
      <c r="I40" s="334" t="s">
        <v>785</v>
      </c>
      <c r="J40" s="346" t="s">
        <v>1079</v>
      </c>
      <c r="K40" s="199"/>
      <c r="L40" s="199"/>
      <c r="T40" s="97"/>
      <c r="U40" s="97"/>
      <c r="W40" s="199"/>
      <c r="X40" s="199"/>
      <c r="Y40" s="198"/>
      <c r="Z40" s="198"/>
    </row>
    <row r="41" spans="1:26" x14ac:dyDescent="0.35">
      <c r="A41" s="128">
        <v>31</v>
      </c>
      <c r="B41" s="132" t="s">
        <v>260</v>
      </c>
      <c r="C41" s="132" t="s">
        <v>259</v>
      </c>
      <c r="D41" s="133" t="s">
        <v>39</v>
      </c>
      <c r="E41" s="255">
        <v>0</v>
      </c>
      <c r="F41" s="255">
        <v>0</v>
      </c>
      <c r="G41" s="129">
        <f>0</f>
        <v>0</v>
      </c>
      <c r="H41" s="255">
        <f>IF(Demolition3207245[[#This Row],[Actual Buyout]]+Demolition3207245[[#This Row],[Change Orders]]=0,Demolition3207245[[#This Row],[Original Contract]],Demolition3207245[[#This Row],[Actual Buyout]]+Demolition3207245[[#This Row],[Change Orders]])</f>
        <v>0</v>
      </c>
      <c r="I41" s="129">
        <v>0</v>
      </c>
      <c r="J41" s="333">
        <f>Demolition3207245[[#This Row],[Original Contract]]-Demolition3207245[[#This Row],[Revised Contract]]</f>
        <v>0</v>
      </c>
      <c r="K41" s="199"/>
      <c r="L41" s="198"/>
      <c r="T41" s="97"/>
      <c r="U41" s="97"/>
      <c r="W41" s="199"/>
      <c r="X41" s="199"/>
      <c r="Y41" s="198"/>
      <c r="Z41" s="198"/>
    </row>
    <row r="42" spans="1:26" x14ac:dyDescent="0.35">
      <c r="A42" s="128">
        <v>31</v>
      </c>
      <c r="B42" s="132" t="s">
        <v>260</v>
      </c>
      <c r="C42" s="132" t="s">
        <v>259</v>
      </c>
      <c r="D42" s="133" t="s">
        <v>40</v>
      </c>
      <c r="E42" s="255">
        <v>0</v>
      </c>
      <c r="F42" s="255">
        <v>0</v>
      </c>
      <c r="G42" s="129">
        <f>0</f>
        <v>0</v>
      </c>
      <c r="H42" s="255">
        <f>IF(Demolition3207245[[#This Row],[Actual Buyout]]+Demolition3207245[[#This Row],[Change Orders]]=0,Demolition3207245[[#This Row],[Original Contract]],Demolition3207245[[#This Row],[Actual Buyout]]+Demolition3207245[[#This Row],[Change Orders]])</f>
        <v>0</v>
      </c>
      <c r="I42" s="129">
        <v>0</v>
      </c>
      <c r="J42" s="333">
        <f>Demolition3207245[[#This Row],[Original Contract]]-Demolition3207245[[#This Row],[Revised Contract]]</f>
        <v>0</v>
      </c>
      <c r="K42" s="199"/>
      <c r="L42" s="198"/>
      <c r="T42" s="97"/>
      <c r="U42" s="97"/>
      <c r="W42" s="199"/>
      <c r="X42" s="199"/>
      <c r="Y42" s="198"/>
      <c r="Z42" s="198"/>
    </row>
    <row r="43" spans="1:26" x14ac:dyDescent="0.35">
      <c r="A43" s="128">
        <v>31</v>
      </c>
      <c r="B43" s="132"/>
      <c r="C43" s="132"/>
      <c r="D43" s="133" t="s">
        <v>37</v>
      </c>
      <c r="E43" s="255">
        <v>0</v>
      </c>
      <c r="F43" s="255">
        <v>0</v>
      </c>
      <c r="G43" s="129">
        <f>0</f>
        <v>0</v>
      </c>
      <c r="H43" s="255">
        <f>IF(Demolition3207245[[#This Row],[Actual Buyout]]+Demolition3207245[[#This Row],[Change Orders]]=0,Demolition3207245[[#This Row],[Original Contract]],Demolition3207245[[#This Row],[Actual Buyout]]+Demolition3207245[[#This Row],[Change Orders]])</f>
        <v>0</v>
      </c>
      <c r="I43" s="129">
        <v>0</v>
      </c>
      <c r="J43" s="333">
        <f>Demolition3207245[[#This Row],[Original Contract]]-Demolition3207245[[#This Row],[Revised Contract]]</f>
        <v>0</v>
      </c>
      <c r="K43" s="199"/>
      <c r="L43" s="198"/>
      <c r="T43" s="97"/>
      <c r="U43" s="97"/>
      <c r="W43" s="199"/>
      <c r="X43" s="199"/>
      <c r="Y43" s="198"/>
      <c r="Z43" s="198"/>
    </row>
    <row r="44" spans="1:26" x14ac:dyDescent="0.35">
      <c r="A44" s="128">
        <v>31</v>
      </c>
      <c r="B44" s="132"/>
      <c r="C44" s="132"/>
      <c r="D44" s="133" t="s">
        <v>37</v>
      </c>
      <c r="E44" s="255">
        <v>0</v>
      </c>
      <c r="F44" s="255">
        <v>0</v>
      </c>
      <c r="G44" s="129">
        <f>0</f>
        <v>0</v>
      </c>
      <c r="H44" s="255">
        <f>IF(Demolition3207245[[#This Row],[Actual Buyout]]+Demolition3207245[[#This Row],[Change Orders]]=0,Demolition3207245[[#This Row],[Original Contract]],Demolition3207245[[#This Row],[Actual Buyout]]+Demolition3207245[[#This Row],[Change Orders]])</f>
        <v>0</v>
      </c>
      <c r="I44" s="129">
        <v>0</v>
      </c>
      <c r="J44" s="342">
        <f>Demolition3207245[[#This Row],[Original Contract]]-Demolition3207245[[#This Row],[Revised Contract]]</f>
        <v>0</v>
      </c>
      <c r="K44" s="199"/>
      <c r="L44" s="198"/>
      <c r="T44" s="97"/>
      <c r="U44" s="97"/>
      <c r="W44" s="199"/>
      <c r="X44" s="199"/>
      <c r="Y44" s="198"/>
      <c r="Z44" s="198"/>
    </row>
    <row r="45" spans="1:26" x14ac:dyDescent="0.35">
      <c r="A45" s="128">
        <v>31</v>
      </c>
      <c r="B45" s="132"/>
      <c r="C45" s="132"/>
      <c r="D45" s="133" t="s">
        <v>37</v>
      </c>
      <c r="E45" s="255">
        <v>0</v>
      </c>
      <c r="F45" s="255">
        <v>0</v>
      </c>
      <c r="G45" s="129">
        <f>0</f>
        <v>0</v>
      </c>
      <c r="H45" s="255">
        <f>IF(Demolition3207245[[#This Row],[Actual Buyout]]+Demolition3207245[[#This Row],[Change Orders]]=0,Demolition3207245[[#This Row],[Original Contract]],Demolition3207245[[#This Row],[Actual Buyout]]+Demolition3207245[[#This Row],[Change Orders]])</f>
        <v>0</v>
      </c>
      <c r="I45" s="129">
        <v>0</v>
      </c>
      <c r="J45" s="342">
        <f>Demolition3207245[[#This Row],[Original Contract]]-Demolition3207245[[#This Row],[Revised Contract]]</f>
        <v>0</v>
      </c>
      <c r="K45" s="199"/>
      <c r="L45" s="198"/>
      <c r="T45" s="97"/>
      <c r="U45" s="97"/>
      <c r="W45" s="199"/>
      <c r="X45" s="199"/>
      <c r="Y45" s="198"/>
      <c r="Z45" s="198"/>
    </row>
    <row r="46" spans="1:26" x14ac:dyDescent="0.35">
      <c r="A46" s="128">
        <v>31</v>
      </c>
      <c r="B46" s="132"/>
      <c r="C46" s="132"/>
      <c r="D46" s="133" t="s">
        <v>37</v>
      </c>
      <c r="E46" s="255">
        <v>0</v>
      </c>
      <c r="F46" s="255">
        <v>0</v>
      </c>
      <c r="G46" s="129">
        <f>0</f>
        <v>0</v>
      </c>
      <c r="H46" s="255">
        <f>IF(Demolition3207245[[#This Row],[Actual Buyout]]+Demolition3207245[[#This Row],[Change Orders]]=0,Demolition3207245[[#This Row],[Original Contract]],Demolition3207245[[#This Row],[Actual Buyout]]+Demolition3207245[[#This Row],[Change Orders]])</f>
        <v>0</v>
      </c>
      <c r="I46" s="129">
        <v>0</v>
      </c>
      <c r="J46" s="129">
        <f>Demolition3207245[[#This Row],[Original Contract]]-Demolition3207245[[#This Row],[Revised Contract]]</f>
        <v>0</v>
      </c>
      <c r="K46" s="335"/>
      <c r="L46" s="341"/>
      <c r="M46" s="343"/>
      <c r="T46" s="97"/>
      <c r="U46" s="97"/>
      <c r="W46" s="199"/>
      <c r="X46" s="199"/>
      <c r="Y46" s="198"/>
      <c r="Z46" s="198"/>
    </row>
    <row r="47" spans="1:26" x14ac:dyDescent="0.35">
      <c r="A47" s="128">
        <v>31</v>
      </c>
      <c r="B47" s="132"/>
      <c r="C47" s="132"/>
      <c r="D47" s="133" t="s">
        <v>37</v>
      </c>
      <c r="E47" s="255">
        <v>0</v>
      </c>
      <c r="F47" s="255">
        <v>0</v>
      </c>
      <c r="G47" s="129">
        <f>0</f>
        <v>0</v>
      </c>
      <c r="H47" s="255">
        <f>IF(Demolition3207245[[#This Row],[Actual Buyout]]+Demolition3207245[[#This Row],[Change Orders]]=0,Demolition3207245[[#This Row],[Original Contract]],Demolition3207245[[#This Row],[Actual Buyout]]+Demolition3207245[[#This Row],[Change Orders]])</f>
        <v>0</v>
      </c>
      <c r="I47" s="129">
        <v>0</v>
      </c>
      <c r="J47" s="129">
        <f>Demolition3207245[[#This Row],[Original Contract]]-Demolition3207245[[#This Row],[Revised Contract]]</f>
        <v>0</v>
      </c>
      <c r="K47" s="347"/>
      <c r="L47" s="341"/>
      <c r="M47" s="343"/>
      <c r="T47" s="97"/>
      <c r="U47" s="97"/>
      <c r="W47" s="199"/>
      <c r="X47" s="199"/>
      <c r="Y47" s="198"/>
      <c r="Z47" s="198"/>
    </row>
    <row r="48" spans="1:26" x14ac:dyDescent="0.35">
      <c r="A48" s="257"/>
      <c r="B48" s="258"/>
      <c r="C48" s="258"/>
      <c r="D48" s="256" t="s">
        <v>38</v>
      </c>
      <c r="E48" s="151">
        <f>SUM(Demolition3207245[Original Contract])</f>
        <v>0</v>
      </c>
      <c r="F48" s="151">
        <f>SUM(Demolition3207245[Actual Buyout])</f>
        <v>0</v>
      </c>
      <c r="G48" s="151">
        <f>SUM(Demolition3207245[Change Orders])</f>
        <v>0</v>
      </c>
      <c r="H48" s="151">
        <f>SUM(Demolition3207245[Revised Contract])</f>
        <v>0</v>
      </c>
      <c r="I48" s="151">
        <f>SUM(Demolition3207245[Total completed and Stored])</f>
        <v>0</v>
      </c>
      <c r="J48" s="151">
        <f>SUM(Demolition3207245[Delta])</f>
        <v>0</v>
      </c>
      <c r="K48" s="348"/>
      <c r="L48" s="343"/>
      <c r="M48" s="343"/>
      <c r="U48" s="199"/>
      <c r="V48" s="199"/>
    </row>
    <row r="49" spans="1:26" x14ac:dyDescent="0.35">
      <c r="A49" s="100" t="s">
        <v>648</v>
      </c>
      <c r="B49" s="100" t="s">
        <v>254</v>
      </c>
      <c r="C49" s="100" t="s">
        <v>167</v>
      </c>
      <c r="D49" s="100" t="s">
        <v>26</v>
      </c>
      <c r="E49" s="100" t="s">
        <v>781</v>
      </c>
      <c r="F49" s="332" t="s">
        <v>1078</v>
      </c>
      <c r="G49" s="332" t="s">
        <v>782</v>
      </c>
      <c r="H49" s="332" t="s">
        <v>783</v>
      </c>
      <c r="I49" s="334" t="s">
        <v>785</v>
      </c>
      <c r="J49" s="340" t="s">
        <v>1079</v>
      </c>
      <c r="K49" s="347"/>
      <c r="L49" s="335"/>
      <c r="M49" s="343"/>
      <c r="T49" s="97"/>
      <c r="U49" s="97"/>
      <c r="W49" s="199"/>
      <c r="X49" s="199"/>
      <c r="Y49" s="198"/>
      <c r="Z49" s="198"/>
    </row>
    <row r="50" spans="1:26" x14ac:dyDescent="0.35">
      <c r="A50" s="128">
        <v>31</v>
      </c>
      <c r="B50" s="132" t="s">
        <v>262</v>
      </c>
      <c r="C50" s="132" t="s">
        <v>261</v>
      </c>
      <c r="D50" s="133" t="s">
        <v>41</v>
      </c>
      <c r="E50" s="255">
        <v>0</v>
      </c>
      <c r="F50" s="255">
        <v>0</v>
      </c>
      <c r="G50" s="129">
        <f>0</f>
        <v>0</v>
      </c>
      <c r="H50" s="255">
        <f>IF(Earthwork4208246[[#This Row],[Actual Buyout]]+Earthwork4208246[[#This Row],[Change Orders]]=0,Earthwork4208246[[#This Row],[Original Contract]],Earthwork4208246[[#This Row],[Actual Buyout]]+Earthwork4208246[[#This Row],[Change Orders]])</f>
        <v>0</v>
      </c>
      <c r="I50" s="129">
        <v>0</v>
      </c>
      <c r="J50" s="129">
        <f>Earthwork4208246[[#This Row],[Original Contract]]-Earthwork4208246[[#This Row],[Revised Contract]]</f>
        <v>0</v>
      </c>
      <c r="K50" s="347"/>
      <c r="L50" s="341"/>
      <c r="M50" s="343"/>
      <c r="T50" s="97"/>
      <c r="U50" s="97"/>
      <c r="W50" s="199"/>
      <c r="X50" s="199"/>
      <c r="Y50" s="198"/>
      <c r="Z50" s="198"/>
    </row>
    <row r="51" spans="1:26" x14ac:dyDescent="0.35">
      <c r="A51" s="128">
        <v>31</v>
      </c>
      <c r="B51" s="132" t="s">
        <v>263</v>
      </c>
      <c r="C51" s="132" t="s">
        <v>212</v>
      </c>
      <c r="D51" s="133" t="s">
        <v>42</v>
      </c>
      <c r="E51" s="255">
        <v>0</v>
      </c>
      <c r="F51" s="255">
        <v>0</v>
      </c>
      <c r="G51" s="129">
        <f>0</f>
        <v>0</v>
      </c>
      <c r="H51" s="255">
        <f>IF(Earthwork4208246[[#This Row],[Actual Buyout]]+Earthwork4208246[[#This Row],[Change Orders]]=0,Earthwork4208246[[#This Row],[Original Contract]],Earthwork4208246[[#This Row],[Actual Buyout]]+Earthwork4208246[[#This Row],[Change Orders]])</f>
        <v>0</v>
      </c>
      <c r="I51" s="129">
        <v>0</v>
      </c>
      <c r="J51" s="129">
        <f>Earthwork4208246[[#This Row],[Original Contract]]-Earthwork4208246[[#This Row],[Revised Contract]]</f>
        <v>0</v>
      </c>
      <c r="K51" s="347"/>
      <c r="L51" s="341"/>
      <c r="M51" s="343"/>
      <c r="T51" s="97"/>
      <c r="U51" s="97"/>
      <c r="W51" s="199"/>
      <c r="X51" s="199"/>
      <c r="Y51" s="198"/>
      <c r="Z51" s="198"/>
    </row>
    <row r="52" spans="1:26" x14ac:dyDescent="0.35">
      <c r="A52" s="128">
        <v>31</v>
      </c>
      <c r="B52" s="132" t="s">
        <v>265</v>
      </c>
      <c r="C52" s="132" t="s">
        <v>264</v>
      </c>
      <c r="D52" s="133" t="s">
        <v>43</v>
      </c>
      <c r="E52" s="255">
        <v>0</v>
      </c>
      <c r="F52" s="255">
        <v>0</v>
      </c>
      <c r="G52" s="129">
        <f>0</f>
        <v>0</v>
      </c>
      <c r="H52" s="255">
        <f>IF(Earthwork4208246[[#This Row],[Actual Buyout]]+Earthwork4208246[[#This Row],[Change Orders]]=0,Earthwork4208246[[#This Row],[Original Contract]],Earthwork4208246[[#This Row],[Actual Buyout]]+Earthwork4208246[[#This Row],[Change Orders]])</f>
        <v>0</v>
      </c>
      <c r="I52" s="129">
        <v>0</v>
      </c>
      <c r="J52" s="129">
        <f>Earthwork4208246[[#This Row],[Original Contract]]-Earthwork4208246[[#This Row],[Revised Contract]]</f>
        <v>0</v>
      </c>
      <c r="K52" s="347"/>
      <c r="L52" s="341"/>
      <c r="M52" s="343"/>
      <c r="T52" s="97"/>
      <c r="U52" s="97"/>
      <c r="W52" s="199"/>
      <c r="X52" s="199"/>
      <c r="Y52" s="198"/>
      <c r="Z52" s="198"/>
    </row>
    <row r="53" spans="1:26" x14ac:dyDescent="0.35">
      <c r="A53" s="128">
        <v>31</v>
      </c>
      <c r="B53" s="132" t="s">
        <v>265</v>
      </c>
      <c r="C53" s="132" t="s">
        <v>264</v>
      </c>
      <c r="D53" s="133" t="s">
        <v>44</v>
      </c>
      <c r="E53" s="255">
        <v>0</v>
      </c>
      <c r="F53" s="255">
        <v>0</v>
      </c>
      <c r="G53" s="129">
        <f>0</f>
        <v>0</v>
      </c>
      <c r="H53" s="255">
        <f>IF(Earthwork4208246[[#This Row],[Actual Buyout]]+Earthwork4208246[[#This Row],[Change Orders]]=0,Earthwork4208246[[#This Row],[Original Contract]],Earthwork4208246[[#This Row],[Actual Buyout]]+Earthwork4208246[[#This Row],[Change Orders]])</f>
        <v>0</v>
      </c>
      <c r="I53" s="129">
        <v>0</v>
      </c>
      <c r="J53" s="129">
        <f>Earthwork4208246[[#This Row],[Original Contract]]-Earthwork4208246[[#This Row],[Revised Contract]]</f>
        <v>0</v>
      </c>
      <c r="K53" s="347"/>
      <c r="L53" s="341"/>
      <c r="M53" s="343"/>
      <c r="T53" s="97"/>
      <c r="U53" s="97"/>
      <c r="W53" s="199"/>
      <c r="X53" s="199"/>
      <c r="Y53" s="198"/>
      <c r="Z53" s="198"/>
    </row>
    <row r="54" spans="1:26" x14ac:dyDescent="0.35">
      <c r="A54" s="128">
        <v>31</v>
      </c>
      <c r="B54" s="132" t="s">
        <v>292</v>
      </c>
      <c r="C54" s="132" t="s">
        <v>291</v>
      </c>
      <c r="D54" s="133" t="s">
        <v>673</v>
      </c>
      <c r="E54" s="255">
        <v>0</v>
      </c>
      <c r="F54" s="255">
        <v>0</v>
      </c>
      <c r="G54" s="129">
        <f>0</f>
        <v>0</v>
      </c>
      <c r="H54" s="255">
        <f>IF(Earthwork4208246[[#This Row],[Actual Buyout]]+Earthwork4208246[[#This Row],[Change Orders]]=0,Earthwork4208246[[#This Row],[Original Contract]],Earthwork4208246[[#This Row],[Actual Buyout]]+Earthwork4208246[[#This Row],[Change Orders]])</f>
        <v>0</v>
      </c>
      <c r="I54" s="129">
        <v>0</v>
      </c>
      <c r="J54" s="129">
        <f>Earthwork4208246[[#This Row],[Original Contract]]-Earthwork4208246[[#This Row],[Revised Contract]]</f>
        <v>0</v>
      </c>
      <c r="K54" s="347"/>
      <c r="L54" s="341"/>
      <c r="M54" s="343"/>
      <c r="T54" s="97"/>
      <c r="U54" s="97"/>
      <c r="W54" s="199"/>
      <c r="X54" s="199"/>
      <c r="Y54" s="198"/>
      <c r="Z54" s="198"/>
    </row>
    <row r="55" spans="1:26" x14ac:dyDescent="0.35">
      <c r="A55" s="128">
        <v>31</v>
      </c>
      <c r="B55" s="132" t="s">
        <v>214</v>
      </c>
      <c r="C55" s="132" t="s">
        <v>213</v>
      </c>
      <c r="D55" s="133" t="s">
        <v>214</v>
      </c>
      <c r="E55" s="255">
        <v>0</v>
      </c>
      <c r="F55" s="255">
        <v>0</v>
      </c>
      <c r="G55" s="129">
        <f>0</f>
        <v>0</v>
      </c>
      <c r="H55" s="255">
        <f>IF(Earthwork4208246[[#This Row],[Actual Buyout]]+Earthwork4208246[[#This Row],[Change Orders]]=0,Earthwork4208246[[#This Row],[Original Contract]],Earthwork4208246[[#This Row],[Actual Buyout]]+Earthwork4208246[[#This Row],[Change Orders]])</f>
        <v>0</v>
      </c>
      <c r="I55" s="129">
        <v>0</v>
      </c>
      <c r="J55" s="129">
        <f>Earthwork4208246[[#This Row],[Original Contract]]-Earthwork4208246[[#This Row],[Revised Contract]]</f>
        <v>0</v>
      </c>
      <c r="K55" s="347"/>
      <c r="L55" s="341"/>
      <c r="M55" s="343"/>
      <c r="T55" s="97"/>
      <c r="U55" s="97"/>
      <c r="W55" s="199"/>
      <c r="X55" s="199"/>
      <c r="Y55" s="198"/>
      <c r="Z55" s="198"/>
    </row>
    <row r="56" spans="1:26" x14ac:dyDescent="0.35">
      <c r="A56" s="128">
        <v>31</v>
      </c>
      <c r="B56" s="132"/>
      <c r="C56" s="132"/>
      <c r="D56" s="133" t="s">
        <v>740</v>
      </c>
      <c r="E56" s="255">
        <v>0</v>
      </c>
      <c r="F56" s="255">
        <v>0</v>
      </c>
      <c r="G56" s="129">
        <f>0</f>
        <v>0</v>
      </c>
      <c r="H56" s="255">
        <f>IF(Earthwork4208246[[#This Row],[Actual Buyout]]+Earthwork4208246[[#This Row],[Change Orders]]=0,Earthwork4208246[[#This Row],[Original Contract]],Earthwork4208246[[#This Row],[Actual Buyout]]+Earthwork4208246[[#This Row],[Change Orders]])</f>
        <v>0</v>
      </c>
      <c r="I56" s="129">
        <v>0</v>
      </c>
      <c r="J56" s="129">
        <f>Earthwork4208246[[#This Row],[Original Contract]]-Earthwork4208246[[#This Row],[Revised Contract]]</f>
        <v>0</v>
      </c>
      <c r="K56" s="347"/>
      <c r="L56" s="341"/>
      <c r="M56" s="343"/>
      <c r="T56" s="97"/>
      <c r="U56" s="97"/>
      <c r="W56" s="199"/>
      <c r="X56" s="199"/>
      <c r="Y56" s="198"/>
      <c r="Z56" s="198"/>
    </row>
    <row r="57" spans="1:26" x14ac:dyDescent="0.35">
      <c r="A57" s="128">
        <v>31</v>
      </c>
      <c r="B57" s="132"/>
      <c r="C57" s="132"/>
      <c r="D57" s="133" t="s">
        <v>800</v>
      </c>
      <c r="E57" s="255">
        <v>0</v>
      </c>
      <c r="F57" s="255">
        <v>0</v>
      </c>
      <c r="G57" s="129">
        <f>0</f>
        <v>0</v>
      </c>
      <c r="H57" s="255">
        <f>IF(Earthwork4208246[[#This Row],[Actual Buyout]]+Earthwork4208246[[#This Row],[Change Orders]]=0,Earthwork4208246[[#This Row],[Original Contract]],Earthwork4208246[[#This Row],[Actual Buyout]]+Earthwork4208246[[#This Row],[Change Orders]])</f>
        <v>0</v>
      </c>
      <c r="I57" s="129">
        <v>0</v>
      </c>
      <c r="J57" s="129">
        <f>Earthwork4208246[[#This Row],[Original Contract]]-Earthwork4208246[[#This Row],[Revised Contract]]</f>
        <v>0</v>
      </c>
      <c r="K57" s="347"/>
      <c r="L57" s="341"/>
      <c r="M57" s="343"/>
      <c r="T57" s="97"/>
      <c r="U57" s="97"/>
      <c r="W57" s="199"/>
      <c r="X57" s="199"/>
      <c r="Y57" s="198"/>
      <c r="Z57" s="198"/>
    </row>
    <row r="58" spans="1:26" x14ac:dyDescent="0.35">
      <c r="A58" s="128">
        <v>31</v>
      </c>
      <c r="B58" s="132"/>
      <c r="C58" s="132"/>
      <c r="D58" s="133" t="s">
        <v>37</v>
      </c>
      <c r="E58" s="255">
        <v>0</v>
      </c>
      <c r="F58" s="255">
        <v>0</v>
      </c>
      <c r="G58" s="129">
        <f>0</f>
        <v>0</v>
      </c>
      <c r="H58" s="255">
        <f>IF(Earthwork4208246[[#This Row],[Actual Buyout]]+Earthwork4208246[[#This Row],[Change Orders]]=0,Earthwork4208246[[#This Row],[Original Contract]],Earthwork4208246[[#This Row],[Actual Buyout]]+Earthwork4208246[[#This Row],[Change Orders]])</f>
        <v>0</v>
      </c>
      <c r="I58" s="129">
        <v>0</v>
      </c>
      <c r="J58" s="129">
        <f>Earthwork4208246[[#This Row],[Original Contract]]-Earthwork4208246[[#This Row],[Revised Contract]]</f>
        <v>0</v>
      </c>
      <c r="K58" s="347"/>
      <c r="L58" s="341"/>
      <c r="M58" s="343"/>
      <c r="T58" s="97"/>
      <c r="U58" s="97"/>
      <c r="W58" s="199"/>
      <c r="X58" s="199"/>
      <c r="Y58" s="198"/>
      <c r="Z58" s="198"/>
    </row>
    <row r="59" spans="1:26" x14ac:dyDescent="0.35">
      <c r="A59" s="128">
        <v>31</v>
      </c>
      <c r="B59" s="132"/>
      <c r="C59" s="132"/>
      <c r="D59" s="133" t="s">
        <v>37</v>
      </c>
      <c r="E59" s="255">
        <v>0</v>
      </c>
      <c r="F59" s="255">
        <v>0</v>
      </c>
      <c r="G59" s="129">
        <f>0</f>
        <v>0</v>
      </c>
      <c r="H59" s="255">
        <f>IF(Earthwork4208246[[#This Row],[Actual Buyout]]+Earthwork4208246[[#This Row],[Change Orders]]=0,Earthwork4208246[[#This Row],[Original Contract]],Earthwork4208246[[#This Row],[Actual Buyout]]+Earthwork4208246[[#This Row],[Change Orders]])</f>
        <v>0</v>
      </c>
      <c r="I59" s="129">
        <v>0</v>
      </c>
      <c r="J59" s="129">
        <f>Earthwork4208246[[#This Row],[Original Contract]]-Earthwork4208246[[#This Row],[Revised Contract]]</f>
        <v>0</v>
      </c>
      <c r="K59" s="347"/>
      <c r="L59" s="341"/>
      <c r="M59" s="343"/>
      <c r="T59" s="97"/>
      <c r="U59" s="97"/>
      <c r="W59" s="199"/>
      <c r="X59" s="199"/>
      <c r="Y59" s="198"/>
      <c r="Z59" s="198"/>
    </row>
    <row r="60" spans="1:26" x14ac:dyDescent="0.35">
      <c r="A60" s="128">
        <v>31</v>
      </c>
      <c r="B60" s="132"/>
      <c r="C60" s="132"/>
      <c r="D60" s="133" t="s">
        <v>37</v>
      </c>
      <c r="E60" s="255">
        <v>0</v>
      </c>
      <c r="F60" s="255">
        <v>0</v>
      </c>
      <c r="G60" s="129">
        <f>0</f>
        <v>0</v>
      </c>
      <c r="H60" s="255">
        <f>IF(Earthwork4208246[[#This Row],[Actual Buyout]]+Earthwork4208246[[#This Row],[Change Orders]]=0,Earthwork4208246[[#This Row],[Original Contract]],Earthwork4208246[[#This Row],[Actual Buyout]]+Earthwork4208246[[#This Row],[Change Orders]])</f>
        <v>0</v>
      </c>
      <c r="I60" s="129">
        <v>0</v>
      </c>
      <c r="J60" s="129">
        <f>Earthwork4208246[[#This Row],[Original Contract]]-Earthwork4208246[[#This Row],[Revised Contract]]</f>
        <v>0</v>
      </c>
      <c r="K60" s="347"/>
      <c r="L60" s="341"/>
      <c r="M60" s="343"/>
      <c r="T60" s="97"/>
      <c r="U60" s="97"/>
      <c r="W60" s="199"/>
      <c r="X60" s="199"/>
      <c r="Y60" s="198"/>
      <c r="Z60" s="198"/>
    </row>
    <row r="61" spans="1:26" x14ac:dyDescent="0.35">
      <c r="A61" s="257"/>
      <c r="B61" s="258"/>
      <c r="C61" s="258"/>
      <c r="D61" s="256" t="s">
        <v>38</v>
      </c>
      <c r="E61" s="151">
        <f>SUM(Earthwork4208246[Original Contract])</f>
        <v>0</v>
      </c>
      <c r="F61" s="151">
        <f>SUM(Earthwork4208246[Actual Buyout])</f>
        <v>0</v>
      </c>
      <c r="G61" s="151">
        <f>SUM(Earthwork4208246[Change Orders])</f>
        <v>0</v>
      </c>
      <c r="H61" s="151">
        <f>SUM(Earthwork4208246[Revised Contract])</f>
        <v>0</v>
      </c>
      <c r="I61" s="151">
        <f>SUM(Earthwork4208246[Total completed and Stored])</f>
        <v>0</v>
      </c>
      <c r="J61" s="151">
        <f>SUM(Earthwork4208246[Delta])</f>
        <v>0</v>
      </c>
      <c r="K61" s="347"/>
      <c r="L61" s="335"/>
      <c r="M61" s="343"/>
      <c r="T61" s="97"/>
      <c r="U61" s="97"/>
      <c r="W61" s="199"/>
      <c r="X61" s="199"/>
      <c r="Y61" s="198"/>
      <c r="Z61" s="198"/>
    </row>
    <row r="62" spans="1:26" x14ac:dyDescent="0.35">
      <c r="A62" s="100" t="s">
        <v>648</v>
      </c>
      <c r="B62" s="100" t="s">
        <v>49</v>
      </c>
      <c r="C62" s="100" t="s">
        <v>167</v>
      </c>
      <c r="D62" s="100" t="s">
        <v>26</v>
      </c>
      <c r="E62" s="100" t="s">
        <v>781</v>
      </c>
      <c r="F62" s="332" t="s">
        <v>1078</v>
      </c>
      <c r="G62" s="332" t="s">
        <v>782</v>
      </c>
      <c r="H62" s="332" t="s">
        <v>783</v>
      </c>
      <c r="I62" s="334" t="s">
        <v>785</v>
      </c>
      <c r="J62" s="340" t="s">
        <v>1079</v>
      </c>
      <c r="K62" s="347"/>
      <c r="L62" s="335"/>
      <c r="M62" s="343"/>
      <c r="T62" s="97"/>
      <c r="U62" s="97"/>
      <c r="W62" s="199"/>
      <c r="X62" s="199"/>
      <c r="Y62" s="198"/>
      <c r="Z62" s="198"/>
    </row>
    <row r="63" spans="1:26" x14ac:dyDescent="0.35">
      <c r="A63" s="128">
        <v>31</v>
      </c>
      <c r="B63" s="132" t="s">
        <v>266</v>
      </c>
      <c r="C63" s="132" t="s">
        <v>215</v>
      </c>
      <c r="D63" s="133" t="s">
        <v>50</v>
      </c>
      <c r="E63" s="255">
        <v>0</v>
      </c>
      <c r="F63" s="255">
        <v>0</v>
      </c>
      <c r="G63" s="129">
        <f>0</f>
        <v>0</v>
      </c>
      <c r="H63" s="255">
        <f>IF(Erosion5209247[[#This Row],[Actual Buyout]]+Erosion5209247[[#This Row],[Change Orders]]=0,Erosion5209247[[#This Row],[Original Contract]],Erosion5209247[[#This Row],[Actual Buyout]]+Erosion5209247[[#This Row],[Change Orders]])</f>
        <v>0</v>
      </c>
      <c r="I63" s="129">
        <v>0</v>
      </c>
      <c r="J63" s="129">
        <f>Erosion5209247[[#This Row],[Original Contract]]-Erosion5209247[[#This Row],[Revised Contract]]</f>
        <v>0</v>
      </c>
      <c r="K63" s="347"/>
      <c r="L63" s="341"/>
      <c r="M63" s="343"/>
      <c r="T63" s="97"/>
      <c r="U63" s="97"/>
      <c r="W63" s="199"/>
      <c r="X63" s="199"/>
      <c r="Y63" s="198"/>
      <c r="Z63" s="198"/>
    </row>
    <row r="64" spans="1:26" x14ac:dyDescent="0.35">
      <c r="A64" s="128">
        <v>31</v>
      </c>
      <c r="B64" s="132" t="s">
        <v>262</v>
      </c>
      <c r="C64" s="132" t="s">
        <v>261</v>
      </c>
      <c r="D64" s="133" t="s">
        <v>158</v>
      </c>
      <c r="E64" s="255">
        <v>0</v>
      </c>
      <c r="F64" s="255">
        <v>0</v>
      </c>
      <c r="G64" s="129">
        <f>0</f>
        <v>0</v>
      </c>
      <c r="H64" s="255">
        <f>IF(Erosion5209247[[#This Row],[Actual Buyout]]+Erosion5209247[[#This Row],[Change Orders]]=0,Erosion5209247[[#This Row],[Original Contract]],Erosion5209247[[#This Row],[Actual Buyout]]+Erosion5209247[[#This Row],[Change Orders]])</f>
        <v>0</v>
      </c>
      <c r="I64" s="129">
        <v>0</v>
      </c>
      <c r="J64" s="129">
        <f>Erosion5209247[[#This Row],[Original Contract]]-Erosion5209247[[#This Row],[Revised Contract]]</f>
        <v>0</v>
      </c>
      <c r="K64" s="347"/>
      <c r="L64" s="341"/>
      <c r="M64" s="343"/>
      <c r="T64" s="97"/>
      <c r="U64" s="97"/>
      <c r="W64" s="199"/>
      <c r="X64" s="199"/>
      <c r="Y64" s="198"/>
      <c r="Z64" s="198"/>
    </row>
    <row r="65" spans="1:26" x14ac:dyDescent="0.35">
      <c r="A65" s="128">
        <v>31</v>
      </c>
      <c r="B65" s="132" t="s">
        <v>262</v>
      </c>
      <c r="C65" s="132" t="s">
        <v>261</v>
      </c>
      <c r="D65" s="133" t="s">
        <v>51</v>
      </c>
      <c r="E65" s="255">
        <v>0</v>
      </c>
      <c r="F65" s="255">
        <v>0</v>
      </c>
      <c r="G65" s="129">
        <f>0</f>
        <v>0</v>
      </c>
      <c r="H65" s="255">
        <f>IF(Erosion5209247[[#This Row],[Actual Buyout]]+Erosion5209247[[#This Row],[Change Orders]]=0,Erosion5209247[[#This Row],[Original Contract]],Erosion5209247[[#This Row],[Actual Buyout]]+Erosion5209247[[#This Row],[Change Orders]])</f>
        <v>0</v>
      </c>
      <c r="I65" s="129">
        <v>0</v>
      </c>
      <c r="J65" s="129">
        <f>Erosion5209247[[#This Row],[Original Contract]]-Erosion5209247[[#This Row],[Revised Contract]]</f>
        <v>0</v>
      </c>
      <c r="K65" s="347"/>
      <c r="L65" s="341"/>
      <c r="M65" s="343"/>
      <c r="T65" s="97"/>
      <c r="U65" s="97"/>
      <c r="W65" s="199"/>
      <c r="X65" s="199"/>
      <c r="Y65" s="198"/>
      <c r="Z65" s="198"/>
    </row>
    <row r="66" spans="1:26" x14ac:dyDescent="0.35">
      <c r="A66" s="128">
        <v>31</v>
      </c>
      <c r="B66" s="132"/>
      <c r="C66" s="132"/>
      <c r="D66" s="133" t="s">
        <v>37</v>
      </c>
      <c r="E66" s="255">
        <v>0</v>
      </c>
      <c r="F66" s="255">
        <v>0</v>
      </c>
      <c r="G66" s="129">
        <f>0</f>
        <v>0</v>
      </c>
      <c r="H66" s="255">
        <f>IF(Erosion5209247[[#This Row],[Actual Buyout]]+Erosion5209247[[#This Row],[Change Orders]]=0,Erosion5209247[[#This Row],[Original Contract]],Erosion5209247[[#This Row],[Actual Buyout]]+Erosion5209247[[#This Row],[Change Orders]])</f>
        <v>0</v>
      </c>
      <c r="I66" s="129">
        <v>0</v>
      </c>
      <c r="J66" s="129">
        <f>Erosion5209247[[#This Row],[Original Contract]]-Erosion5209247[[#This Row],[Revised Contract]]</f>
        <v>0</v>
      </c>
      <c r="K66" s="347"/>
      <c r="L66" s="341"/>
      <c r="M66" s="343"/>
      <c r="T66" s="97"/>
      <c r="U66" s="97"/>
      <c r="W66" s="199"/>
      <c r="X66" s="199"/>
      <c r="Y66" s="198"/>
      <c r="Z66" s="198"/>
    </row>
    <row r="67" spans="1:26" x14ac:dyDescent="0.35">
      <c r="A67" s="128">
        <v>31</v>
      </c>
      <c r="B67" s="132"/>
      <c r="C67" s="132"/>
      <c r="D67" s="133" t="s">
        <v>37</v>
      </c>
      <c r="E67" s="255">
        <v>0</v>
      </c>
      <c r="F67" s="255">
        <v>0</v>
      </c>
      <c r="G67" s="129">
        <f>0</f>
        <v>0</v>
      </c>
      <c r="H67" s="255">
        <f>IF(Erosion5209247[[#This Row],[Actual Buyout]]+Erosion5209247[[#This Row],[Change Orders]]=0,Erosion5209247[[#This Row],[Original Contract]],Erosion5209247[[#This Row],[Actual Buyout]]+Erosion5209247[[#This Row],[Change Orders]])</f>
        <v>0</v>
      </c>
      <c r="I67" s="129">
        <v>0</v>
      </c>
      <c r="J67" s="129">
        <f>Erosion5209247[[#This Row],[Original Contract]]-Erosion5209247[[#This Row],[Revised Contract]]</f>
        <v>0</v>
      </c>
      <c r="K67" s="347"/>
      <c r="L67" s="341"/>
      <c r="M67" s="343"/>
      <c r="T67" s="97"/>
      <c r="U67" s="97"/>
      <c r="W67" s="199"/>
      <c r="X67" s="199"/>
      <c r="Y67" s="198"/>
      <c r="Z67" s="198"/>
    </row>
    <row r="68" spans="1:26" x14ac:dyDescent="0.35">
      <c r="A68" s="128">
        <v>31</v>
      </c>
      <c r="B68" s="132"/>
      <c r="C68" s="132"/>
      <c r="D68" s="133" t="s">
        <v>37</v>
      </c>
      <c r="E68" s="255">
        <v>0</v>
      </c>
      <c r="F68" s="255">
        <v>0</v>
      </c>
      <c r="G68" s="129">
        <f>0</f>
        <v>0</v>
      </c>
      <c r="H68" s="255">
        <f>IF(Erosion5209247[[#This Row],[Actual Buyout]]+Erosion5209247[[#This Row],[Change Orders]]=0,Erosion5209247[[#This Row],[Original Contract]],Erosion5209247[[#This Row],[Actual Buyout]]+Erosion5209247[[#This Row],[Change Orders]])</f>
        <v>0</v>
      </c>
      <c r="I68" s="129">
        <v>0</v>
      </c>
      <c r="J68" s="129">
        <f>Erosion5209247[[#This Row],[Original Contract]]-Erosion5209247[[#This Row],[Revised Contract]]</f>
        <v>0</v>
      </c>
      <c r="K68" s="347"/>
      <c r="L68" s="341"/>
      <c r="M68" s="343"/>
      <c r="T68" s="97"/>
      <c r="U68" s="97"/>
      <c r="W68" s="199"/>
      <c r="X68" s="199"/>
      <c r="Y68" s="198"/>
      <c r="Z68" s="198"/>
    </row>
    <row r="69" spans="1:26" x14ac:dyDescent="0.35">
      <c r="A69" s="128">
        <v>31</v>
      </c>
      <c r="B69" s="132"/>
      <c r="C69" s="132"/>
      <c r="D69" s="133" t="s">
        <v>37</v>
      </c>
      <c r="E69" s="255">
        <v>0</v>
      </c>
      <c r="F69" s="255">
        <v>0</v>
      </c>
      <c r="G69" s="129">
        <f>0</f>
        <v>0</v>
      </c>
      <c r="H69" s="255">
        <f>IF(Erosion5209247[[#This Row],[Actual Buyout]]+Erosion5209247[[#This Row],[Change Orders]]=0,Erosion5209247[[#This Row],[Original Contract]],Erosion5209247[[#This Row],[Actual Buyout]]+Erosion5209247[[#This Row],[Change Orders]])</f>
        <v>0</v>
      </c>
      <c r="I69" s="129">
        <v>0</v>
      </c>
      <c r="J69" s="129">
        <f>Erosion5209247[[#This Row],[Original Contract]]-Erosion5209247[[#This Row],[Revised Contract]]</f>
        <v>0</v>
      </c>
      <c r="K69" s="347"/>
      <c r="L69" s="341"/>
      <c r="M69" s="343"/>
      <c r="T69" s="97"/>
      <c r="U69" s="97"/>
      <c r="W69" s="199"/>
      <c r="X69" s="199"/>
      <c r="Y69" s="198"/>
      <c r="Z69" s="198"/>
    </row>
    <row r="70" spans="1:26" x14ac:dyDescent="0.35">
      <c r="A70" s="128">
        <v>31</v>
      </c>
      <c r="B70" s="132"/>
      <c r="C70" s="132"/>
      <c r="D70" s="133" t="s">
        <v>37</v>
      </c>
      <c r="E70" s="255">
        <v>0</v>
      </c>
      <c r="F70" s="255">
        <v>0</v>
      </c>
      <c r="G70" s="129">
        <f>0</f>
        <v>0</v>
      </c>
      <c r="H70" s="255">
        <f>IF(Erosion5209247[[#This Row],[Actual Buyout]]+Erosion5209247[[#This Row],[Change Orders]]=0,Erosion5209247[[#This Row],[Original Contract]],Erosion5209247[[#This Row],[Actual Buyout]]+Erosion5209247[[#This Row],[Change Orders]])</f>
        <v>0</v>
      </c>
      <c r="I70" s="129">
        <v>0</v>
      </c>
      <c r="J70" s="129">
        <f>Erosion5209247[[#This Row],[Original Contract]]-Erosion5209247[[#This Row],[Revised Contract]]</f>
        <v>0</v>
      </c>
      <c r="K70" s="347"/>
      <c r="L70" s="341"/>
      <c r="M70" s="343"/>
      <c r="T70" s="97"/>
      <c r="U70" s="97"/>
      <c r="W70" s="199"/>
      <c r="X70" s="199"/>
      <c r="Y70" s="198"/>
      <c r="Z70" s="198"/>
    </row>
    <row r="71" spans="1:26" x14ac:dyDescent="0.35">
      <c r="A71" s="257"/>
      <c r="B71" s="258"/>
      <c r="C71" s="258"/>
      <c r="D71" s="256" t="s">
        <v>38</v>
      </c>
      <c r="E71" s="151">
        <f>SUM(Erosion5209247[Original Contract])</f>
        <v>0</v>
      </c>
      <c r="F71" s="151">
        <f>SUM(Erosion5209247[Actual Buyout])</f>
        <v>0</v>
      </c>
      <c r="G71" s="151">
        <f>SUM(Erosion5209247[Change Orders])</f>
        <v>0</v>
      </c>
      <c r="H71" s="151">
        <f>SUM(Erosion5209247[Revised Contract])</f>
        <v>0</v>
      </c>
      <c r="I71" s="151">
        <f>SUM(Erosion5209247[Total completed and Stored])</f>
        <v>0</v>
      </c>
      <c r="J71" s="151">
        <f>SUM(Erosion5209247[Delta])</f>
        <v>0</v>
      </c>
      <c r="K71" s="348"/>
      <c r="L71" s="343"/>
      <c r="M71" s="343"/>
      <c r="U71" s="199"/>
      <c r="V71" s="199"/>
    </row>
    <row r="72" spans="1:26" x14ac:dyDescent="0.35">
      <c r="A72" s="100" t="s">
        <v>649</v>
      </c>
      <c r="B72" s="100" t="s">
        <v>27</v>
      </c>
      <c r="C72" s="100" t="s">
        <v>167</v>
      </c>
      <c r="D72" s="100" t="s">
        <v>26</v>
      </c>
      <c r="E72" s="100" t="s">
        <v>781</v>
      </c>
      <c r="F72" s="332" t="s">
        <v>1078</v>
      </c>
      <c r="G72" s="332" t="s">
        <v>782</v>
      </c>
      <c r="H72" s="332" t="s">
        <v>783</v>
      </c>
      <c r="I72" s="334" t="s">
        <v>785</v>
      </c>
      <c r="J72" s="340" t="s">
        <v>1079</v>
      </c>
      <c r="K72" s="347"/>
      <c r="L72" s="335"/>
      <c r="M72" s="343"/>
      <c r="T72" s="97"/>
      <c r="U72" s="97"/>
      <c r="W72" s="199"/>
      <c r="X72" s="199"/>
      <c r="Y72" s="198"/>
      <c r="Z72" s="198"/>
    </row>
    <row r="73" spans="1:26" x14ac:dyDescent="0.35">
      <c r="A73" s="128">
        <v>32</v>
      </c>
      <c r="B73" s="132" t="s">
        <v>268</v>
      </c>
      <c r="C73" s="132" t="s">
        <v>267</v>
      </c>
      <c r="D73" s="133" t="s">
        <v>52</v>
      </c>
      <c r="E73" s="255">
        <v>0</v>
      </c>
      <c r="F73" s="255">
        <v>0</v>
      </c>
      <c r="G73" s="129">
        <f>0</f>
        <v>0</v>
      </c>
      <c r="H73" s="255">
        <f>IF(Asphalt6210248[[#This Row],[Actual Buyout]]+Asphalt6210248[[#This Row],[Change Orders]]=0,Asphalt6210248[[#This Row],[Original Contract]],Asphalt6210248[[#This Row],[Actual Buyout]]+Asphalt6210248[[#This Row],[Change Orders]])</f>
        <v>0</v>
      </c>
      <c r="I73" s="129">
        <v>0</v>
      </c>
      <c r="J73" s="129">
        <f>Asphalt6210248[[#This Row],[Original Contract]]-Asphalt6210248[[#This Row],[Revised Contract]]</f>
        <v>0</v>
      </c>
      <c r="K73" s="347"/>
      <c r="L73" s="341"/>
      <c r="M73" s="343"/>
      <c r="T73" s="97"/>
      <c r="U73" s="97"/>
      <c r="W73" s="199"/>
      <c r="X73" s="199"/>
      <c r="Y73" s="198"/>
      <c r="Z73" s="198"/>
    </row>
    <row r="74" spans="1:26" x14ac:dyDescent="0.35">
      <c r="A74" s="128">
        <v>32</v>
      </c>
      <c r="B74" s="132" t="s">
        <v>268</v>
      </c>
      <c r="C74" s="132" t="s">
        <v>267</v>
      </c>
      <c r="D74" s="133" t="s">
        <v>53</v>
      </c>
      <c r="E74" s="255">
        <v>0</v>
      </c>
      <c r="F74" s="255">
        <v>0</v>
      </c>
      <c r="G74" s="129">
        <f>0</f>
        <v>0</v>
      </c>
      <c r="H74" s="255">
        <f>IF(Asphalt6210248[[#This Row],[Actual Buyout]]+Asphalt6210248[[#This Row],[Change Orders]]=0,Asphalt6210248[[#This Row],[Original Contract]],Asphalt6210248[[#This Row],[Actual Buyout]]+Asphalt6210248[[#This Row],[Change Orders]])</f>
        <v>0</v>
      </c>
      <c r="I74" s="129">
        <v>0</v>
      </c>
      <c r="J74" s="129">
        <f>Asphalt6210248[[#This Row],[Original Contract]]-Asphalt6210248[[#This Row],[Revised Contract]]</f>
        <v>0</v>
      </c>
      <c r="K74" s="347"/>
      <c r="L74" s="341"/>
      <c r="M74" s="343"/>
      <c r="T74" s="97"/>
      <c r="U74" s="97"/>
      <c r="W74" s="199"/>
      <c r="X74" s="199"/>
      <c r="Y74" s="198"/>
      <c r="Z74" s="198"/>
    </row>
    <row r="75" spans="1:26" x14ac:dyDescent="0.35">
      <c r="A75" s="128">
        <v>32</v>
      </c>
      <c r="B75" s="132"/>
      <c r="C75" s="132"/>
      <c r="D75" s="133" t="s">
        <v>37</v>
      </c>
      <c r="E75" s="255">
        <v>0</v>
      </c>
      <c r="F75" s="255">
        <v>0</v>
      </c>
      <c r="G75" s="129">
        <f>0</f>
        <v>0</v>
      </c>
      <c r="H75" s="255">
        <f>IF(Asphalt6210248[[#This Row],[Actual Buyout]]+Asphalt6210248[[#This Row],[Change Orders]]=0,Asphalt6210248[[#This Row],[Original Contract]],Asphalt6210248[[#This Row],[Actual Buyout]]+Asphalt6210248[[#This Row],[Change Orders]])</f>
        <v>0</v>
      </c>
      <c r="I75" s="129">
        <v>0</v>
      </c>
      <c r="J75" s="129">
        <f>Asphalt6210248[[#This Row],[Original Contract]]-Asphalt6210248[[#This Row],[Revised Contract]]</f>
        <v>0</v>
      </c>
      <c r="K75" s="347"/>
      <c r="L75" s="341"/>
      <c r="M75" s="343"/>
      <c r="T75" s="97"/>
      <c r="U75" s="97"/>
      <c r="W75" s="199"/>
      <c r="X75" s="199"/>
      <c r="Y75" s="198"/>
      <c r="Z75" s="198"/>
    </row>
    <row r="76" spans="1:26" x14ac:dyDescent="0.35">
      <c r="A76" s="128">
        <v>32</v>
      </c>
      <c r="B76" s="132"/>
      <c r="C76" s="132"/>
      <c r="D76" s="133" t="s">
        <v>37</v>
      </c>
      <c r="E76" s="255">
        <v>0</v>
      </c>
      <c r="F76" s="255">
        <v>0</v>
      </c>
      <c r="G76" s="129">
        <f>0</f>
        <v>0</v>
      </c>
      <c r="H76" s="255">
        <f>IF(Asphalt6210248[[#This Row],[Actual Buyout]]+Asphalt6210248[[#This Row],[Change Orders]]=0,Asphalt6210248[[#This Row],[Original Contract]],Asphalt6210248[[#This Row],[Actual Buyout]]+Asphalt6210248[[#This Row],[Change Orders]])</f>
        <v>0</v>
      </c>
      <c r="I76" s="129">
        <v>0</v>
      </c>
      <c r="J76" s="129">
        <f>Asphalt6210248[[#This Row],[Original Contract]]-Asphalt6210248[[#This Row],[Revised Contract]]</f>
        <v>0</v>
      </c>
      <c r="K76" s="347"/>
      <c r="L76" s="341"/>
      <c r="M76" s="343"/>
      <c r="T76" s="97"/>
      <c r="U76" s="97"/>
      <c r="W76" s="199"/>
      <c r="X76" s="199"/>
      <c r="Y76" s="198"/>
      <c r="Z76" s="198"/>
    </row>
    <row r="77" spans="1:26" x14ac:dyDescent="0.35">
      <c r="A77" s="128">
        <v>32</v>
      </c>
      <c r="B77" s="132"/>
      <c r="C77" s="132"/>
      <c r="D77" s="133" t="s">
        <v>37</v>
      </c>
      <c r="E77" s="255">
        <v>0</v>
      </c>
      <c r="F77" s="255">
        <v>0</v>
      </c>
      <c r="G77" s="129">
        <f>0</f>
        <v>0</v>
      </c>
      <c r="H77" s="255">
        <f>IF(Asphalt6210248[[#This Row],[Actual Buyout]]+Asphalt6210248[[#This Row],[Change Orders]]=0,Asphalt6210248[[#This Row],[Original Contract]],Asphalt6210248[[#This Row],[Actual Buyout]]+Asphalt6210248[[#This Row],[Change Orders]])</f>
        <v>0</v>
      </c>
      <c r="I77" s="129">
        <v>0</v>
      </c>
      <c r="J77" s="129">
        <f>Asphalt6210248[[#This Row],[Original Contract]]-Asphalt6210248[[#This Row],[Revised Contract]]</f>
        <v>0</v>
      </c>
      <c r="K77" s="347"/>
      <c r="L77" s="341"/>
      <c r="M77" s="343"/>
      <c r="T77" s="97"/>
      <c r="U77" s="97"/>
      <c r="W77" s="199"/>
      <c r="X77" s="199"/>
      <c r="Y77" s="198"/>
      <c r="Z77" s="198"/>
    </row>
    <row r="78" spans="1:26" x14ac:dyDescent="0.35">
      <c r="A78" s="128">
        <v>32</v>
      </c>
      <c r="B78" s="132"/>
      <c r="C78" s="132"/>
      <c r="D78" s="133" t="s">
        <v>37</v>
      </c>
      <c r="E78" s="255">
        <v>0</v>
      </c>
      <c r="F78" s="255">
        <v>0</v>
      </c>
      <c r="G78" s="129">
        <f>0</f>
        <v>0</v>
      </c>
      <c r="H78" s="255">
        <f>IF(Asphalt6210248[[#This Row],[Actual Buyout]]+Asphalt6210248[[#This Row],[Change Orders]]=0,Asphalt6210248[[#This Row],[Original Contract]],Asphalt6210248[[#This Row],[Actual Buyout]]+Asphalt6210248[[#This Row],[Change Orders]])</f>
        <v>0</v>
      </c>
      <c r="I78" s="129">
        <v>0</v>
      </c>
      <c r="J78" s="129">
        <f>Asphalt6210248[[#This Row],[Original Contract]]-Asphalt6210248[[#This Row],[Revised Contract]]</f>
        <v>0</v>
      </c>
      <c r="K78" s="347"/>
      <c r="L78" s="341"/>
      <c r="M78" s="343"/>
      <c r="T78" s="97"/>
      <c r="U78" s="97"/>
      <c r="W78" s="199"/>
      <c r="X78" s="199"/>
      <c r="Y78" s="198"/>
      <c r="Z78" s="198"/>
    </row>
    <row r="79" spans="1:26" x14ac:dyDescent="0.35">
      <c r="A79" s="128">
        <v>32</v>
      </c>
      <c r="B79" s="132"/>
      <c r="C79" s="132"/>
      <c r="D79" s="133" t="s">
        <v>37</v>
      </c>
      <c r="E79" s="255">
        <v>0</v>
      </c>
      <c r="F79" s="255">
        <v>0</v>
      </c>
      <c r="G79" s="129">
        <f>0</f>
        <v>0</v>
      </c>
      <c r="H79" s="255">
        <f>IF(Asphalt6210248[[#This Row],[Actual Buyout]]+Asphalt6210248[[#This Row],[Change Orders]]=0,Asphalt6210248[[#This Row],[Original Contract]],Asphalt6210248[[#This Row],[Actual Buyout]]+Asphalt6210248[[#This Row],[Change Orders]])</f>
        <v>0</v>
      </c>
      <c r="I79" s="129">
        <v>0</v>
      </c>
      <c r="J79" s="129">
        <f>Asphalt6210248[[#This Row],[Original Contract]]-Asphalt6210248[[#This Row],[Revised Contract]]</f>
        <v>0</v>
      </c>
      <c r="K79" s="347"/>
      <c r="L79" s="341"/>
      <c r="M79" s="343"/>
      <c r="T79" s="97"/>
      <c r="U79" s="97"/>
      <c r="W79" s="199"/>
      <c r="X79" s="199"/>
      <c r="Y79" s="198"/>
      <c r="Z79" s="198"/>
    </row>
    <row r="80" spans="1:26" x14ac:dyDescent="0.35">
      <c r="A80" s="257"/>
      <c r="B80" s="258"/>
      <c r="C80" s="258"/>
      <c r="D80" s="256" t="s">
        <v>38</v>
      </c>
      <c r="E80" s="151">
        <f>SUM(Asphalt6210248[Original Contract])</f>
        <v>0</v>
      </c>
      <c r="F80" s="151">
        <f>SUM(Asphalt6210248[Actual Buyout])</f>
        <v>0</v>
      </c>
      <c r="G80" s="151">
        <f>SUM(Asphalt6210248[Change Orders])</f>
        <v>0</v>
      </c>
      <c r="H80" s="151">
        <f>SUM(Asphalt6210248[Revised Contract])</f>
        <v>0</v>
      </c>
      <c r="I80" s="151">
        <f>SUM(Asphalt6210248[Total completed and Stored])</f>
        <v>0</v>
      </c>
      <c r="J80" s="151">
        <f>SUM(Asphalt6210248[Delta])</f>
        <v>0</v>
      </c>
      <c r="K80" s="348"/>
      <c r="L80" s="343"/>
      <c r="M80" s="343"/>
      <c r="U80" s="199"/>
      <c r="V80" s="199"/>
    </row>
    <row r="81" spans="1:26" x14ac:dyDescent="0.35">
      <c r="A81" s="100" t="s">
        <v>649</v>
      </c>
      <c r="B81" s="100" t="s">
        <v>54</v>
      </c>
      <c r="C81" s="100" t="s">
        <v>167</v>
      </c>
      <c r="D81" s="100" t="s">
        <v>26</v>
      </c>
      <c r="E81" s="100" t="s">
        <v>781</v>
      </c>
      <c r="F81" s="332" t="s">
        <v>1078</v>
      </c>
      <c r="G81" s="332" t="s">
        <v>782</v>
      </c>
      <c r="H81" s="332" t="s">
        <v>783</v>
      </c>
      <c r="I81" s="334" t="s">
        <v>785</v>
      </c>
      <c r="J81" s="340" t="s">
        <v>1079</v>
      </c>
      <c r="K81" s="347"/>
      <c r="L81" s="335"/>
      <c r="M81" s="343"/>
      <c r="T81" s="97"/>
      <c r="U81" s="97"/>
      <c r="W81" s="199"/>
      <c r="X81" s="199"/>
      <c r="Y81" s="198"/>
      <c r="Z81" s="198"/>
    </row>
    <row r="82" spans="1:26" x14ac:dyDescent="0.35">
      <c r="A82" s="128">
        <v>32</v>
      </c>
      <c r="B82" s="132" t="s">
        <v>269</v>
      </c>
      <c r="C82" s="132" t="s">
        <v>217</v>
      </c>
      <c r="D82" s="133" t="s">
        <v>55</v>
      </c>
      <c r="E82" s="255">
        <v>0</v>
      </c>
      <c r="F82" s="255">
        <v>0</v>
      </c>
      <c r="G82" s="129">
        <f>0</f>
        <v>0</v>
      </c>
      <c r="H82" s="255">
        <f>IF(Concrete7211249[[#This Row],[Actual Buyout]]+Concrete7211249[[#This Row],[Change Orders]]=0,Concrete7211249[[#This Row],[Original Contract]],Concrete7211249[[#This Row],[Actual Buyout]]+Concrete7211249[[#This Row],[Change Orders]])</f>
        <v>0</v>
      </c>
      <c r="I82" s="129">
        <v>0</v>
      </c>
      <c r="J82" s="129">
        <f>Concrete7211249[[#This Row],[Original Contract]]-Concrete7211249[[#This Row],[Revised Contract]]</f>
        <v>0</v>
      </c>
      <c r="K82" s="347"/>
      <c r="L82" s="341"/>
      <c r="M82" s="343"/>
      <c r="T82" s="97"/>
      <c r="U82" s="97"/>
      <c r="W82" s="199"/>
      <c r="X82" s="199"/>
      <c r="Y82" s="198"/>
      <c r="Z82" s="198"/>
    </row>
    <row r="83" spans="1:26" x14ac:dyDescent="0.35">
      <c r="A83" s="128">
        <v>32</v>
      </c>
      <c r="B83" s="132" t="s">
        <v>269</v>
      </c>
      <c r="C83" s="132" t="s">
        <v>217</v>
      </c>
      <c r="D83" s="133" t="s">
        <v>56</v>
      </c>
      <c r="E83" s="255">
        <v>0</v>
      </c>
      <c r="F83" s="255">
        <v>0</v>
      </c>
      <c r="G83" s="129">
        <f>0</f>
        <v>0</v>
      </c>
      <c r="H83" s="255">
        <f>IF(Concrete7211249[[#This Row],[Actual Buyout]]+Concrete7211249[[#This Row],[Change Orders]]=0,Concrete7211249[[#This Row],[Original Contract]],Concrete7211249[[#This Row],[Actual Buyout]]+Concrete7211249[[#This Row],[Change Orders]])</f>
        <v>0</v>
      </c>
      <c r="I83" s="129">
        <v>0</v>
      </c>
      <c r="J83" s="129">
        <f>Concrete7211249[[#This Row],[Original Contract]]-Concrete7211249[[#This Row],[Revised Contract]]</f>
        <v>0</v>
      </c>
      <c r="K83" s="347"/>
      <c r="L83" s="341"/>
      <c r="M83" s="343"/>
      <c r="T83" s="97"/>
      <c r="U83" s="97"/>
      <c r="W83" s="199"/>
      <c r="X83" s="199"/>
      <c r="Y83" s="198"/>
      <c r="Z83" s="198"/>
    </row>
    <row r="84" spans="1:26" x14ac:dyDescent="0.35">
      <c r="A84" s="128">
        <v>32</v>
      </c>
      <c r="B84" s="132" t="s">
        <v>269</v>
      </c>
      <c r="C84" s="132" t="s">
        <v>217</v>
      </c>
      <c r="D84" s="133" t="s">
        <v>57</v>
      </c>
      <c r="E84" s="255">
        <v>0</v>
      </c>
      <c r="F84" s="255">
        <v>0</v>
      </c>
      <c r="G84" s="129">
        <f>0</f>
        <v>0</v>
      </c>
      <c r="H84" s="255">
        <f>IF(Concrete7211249[[#This Row],[Actual Buyout]]+Concrete7211249[[#This Row],[Change Orders]]=0,Concrete7211249[[#This Row],[Original Contract]],Concrete7211249[[#This Row],[Actual Buyout]]+Concrete7211249[[#This Row],[Change Orders]])</f>
        <v>0</v>
      </c>
      <c r="I84" s="129">
        <v>0</v>
      </c>
      <c r="J84" s="129">
        <f>Concrete7211249[[#This Row],[Original Contract]]-Concrete7211249[[#This Row],[Revised Contract]]</f>
        <v>0</v>
      </c>
      <c r="K84" s="347"/>
      <c r="L84" s="341"/>
      <c r="M84" s="343"/>
      <c r="T84" s="97"/>
      <c r="U84" s="97"/>
      <c r="W84" s="199"/>
      <c r="X84" s="199"/>
      <c r="Y84" s="198"/>
      <c r="Z84" s="198"/>
    </row>
    <row r="85" spans="1:26" x14ac:dyDescent="0.35">
      <c r="A85" s="128">
        <v>32</v>
      </c>
      <c r="B85" s="132" t="s">
        <v>270</v>
      </c>
      <c r="C85" s="132" t="s">
        <v>218</v>
      </c>
      <c r="D85" s="133" t="s">
        <v>58</v>
      </c>
      <c r="E85" s="255">
        <v>0</v>
      </c>
      <c r="F85" s="255">
        <v>0</v>
      </c>
      <c r="G85" s="129">
        <f>0</f>
        <v>0</v>
      </c>
      <c r="H85" s="255">
        <f>IF(Concrete7211249[[#This Row],[Actual Buyout]]+Concrete7211249[[#This Row],[Change Orders]]=0,Concrete7211249[[#This Row],[Original Contract]],Concrete7211249[[#This Row],[Actual Buyout]]+Concrete7211249[[#This Row],[Change Orders]])</f>
        <v>0</v>
      </c>
      <c r="I85" s="129">
        <v>0</v>
      </c>
      <c r="J85" s="129">
        <f>Concrete7211249[[#This Row],[Original Contract]]-Concrete7211249[[#This Row],[Revised Contract]]</f>
        <v>0</v>
      </c>
      <c r="K85" s="347"/>
      <c r="L85" s="341"/>
      <c r="M85" s="343"/>
      <c r="T85" s="97"/>
      <c r="U85" s="97"/>
      <c r="W85" s="199"/>
      <c r="X85" s="199"/>
      <c r="Y85" s="198"/>
      <c r="Z85" s="198"/>
    </row>
    <row r="86" spans="1:26" x14ac:dyDescent="0.35">
      <c r="A86" s="128">
        <v>32</v>
      </c>
      <c r="B86" s="132" t="s">
        <v>270</v>
      </c>
      <c r="C86" s="132" t="s">
        <v>218</v>
      </c>
      <c r="D86" s="133" t="s">
        <v>59</v>
      </c>
      <c r="E86" s="255">
        <v>0</v>
      </c>
      <c r="F86" s="255">
        <v>0</v>
      </c>
      <c r="G86" s="129">
        <f>0</f>
        <v>0</v>
      </c>
      <c r="H86" s="255">
        <f>IF(Concrete7211249[[#This Row],[Actual Buyout]]+Concrete7211249[[#This Row],[Change Orders]]=0,Concrete7211249[[#This Row],[Original Contract]],Concrete7211249[[#This Row],[Actual Buyout]]+Concrete7211249[[#This Row],[Change Orders]])</f>
        <v>0</v>
      </c>
      <c r="I86" s="129">
        <v>0</v>
      </c>
      <c r="J86" s="129">
        <f>Concrete7211249[[#This Row],[Original Contract]]-Concrete7211249[[#This Row],[Revised Contract]]</f>
        <v>0</v>
      </c>
      <c r="K86" s="347"/>
      <c r="L86" s="341"/>
      <c r="M86" s="343"/>
      <c r="T86" s="97"/>
      <c r="U86" s="97"/>
      <c r="W86" s="199"/>
      <c r="X86" s="199"/>
      <c r="Y86" s="198"/>
      <c r="Z86" s="198"/>
    </row>
    <row r="87" spans="1:26" x14ac:dyDescent="0.35">
      <c r="A87" s="128">
        <v>32</v>
      </c>
      <c r="B87" s="132" t="s">
        <v>270</v>
      </c>
      <c r="C87" s="132" t="s">
        <v>218</v>
      </c>
      <c r="D87" s="133" t="s">
        <v>674</v>
      </c>
      <c r="E87" s="255">
        <v>0</v>
      </c>
      <c r="F87" s="255">
        <v>0</v>
      </c>
      <c r="G87" s="129">
        <f>0</f>
        <v>0</v>
      </c>
      <c r="H87" s="255">
        <f>IF(Concrete7211249[[#This Row],[Actual Buyout]]+Concrete7211249[[#This Row],[Change Orders]]=0,Concrete7211249[[#This Row],[Original Contract]],Concrete7211249[[#This Row],[Actual Buyout]]+Concrete7211249[[#This Row],[Change Orders]])</f>
        <v>0</v>
      </c>
      <c r="I87" s="129">
        <v>0</v>
      </c>
      <c r="J87" s="129">
        <f>Concrete7211249[[#This Row],[Original Contract]]-Concrete7211249[[#This Row],[Revised Contract]]</f>
        <v>0</v>
      </c>
      <c r="K87" s="347"/>
      <c r="L87" s="341"/>
      <c r="M87" s="343"/>
      <c r="T87" s="97"/>
      <c r="U87" s="97"/>
      <c r="W87" s="199"/>
      <c r="X87" s="199"/>
      <c r="Y87" s="198"/>
      <c r="Z87" s="198"/>
    </row>
    <row r="88" spans="1:26" x14ac:dyDescent="0.35">
      <c r="A88" s="128">
        <v>32</v>
      </c>
      <c r="B88" s="132"/>
      <c r="C88" s="132"/>
      <c r="D88" s="133" t="s">
        <v>37</v>
      </c>
      <c r="E88" s="255">
        <v>0</v>
      </c>
      <c r="F88" s="255">
        <v>0</v>
      </c>
      <c r="G88" s="129">
        <f>0</f>
        <v>0</v>
      </c>
      <c r="H88" s="255">
        <f>IF(Concrete7211249[[#This Row],[Actual Buyout]]+Concrete7211249[[#This Row],[Change Orders]]=0,Concrete7211249[[#This Row],[Original Contract]],Concrete7211249[[#This Row],[Actual Buyout]]+Concrete7211249[[#This Row],[Change Orders]])</f>
        <v>0</v>
      </c>
      <c r="I88" s="129">
        <v>0</v>
      </c>
      <c r="J88" s="129">
        <f>Concrete7211249[[#This Row],[Original Contract]]-Concrete7211249[[#This Row],[Revised Contract]]</f>
        <v>0</v>
      </c>
      <c r="K88" s="347"/>
      <c r="L88" s="341"/>
      <c r="M88" s="343"/>
      <c r="T88" s="97"/>
      <c r="U88" s="97"/>
      <c r="W88" s="199"/>
      <c r="X88" s="199"/>
      <c r="Y88" s="198"/>
      <c r="Z88" s="198"/>
    </row>
    <row r="89" spans="1:26" x14ac:dyDescent="0.35">
      <c r="A89" s="128">
        <v>32</v>
      </c>
      <c r="B89" s="132"/>
      <c r="C89" s="132"/>
      <c r="D89" s="133" t="s">
        <v>37</v>
      </c>
      <c r="E89" s="255">
        <v>0</v>
      </c>
      <c r="F89" s="255">
        <v>0</v>
      </c>
      <c r="G89" s="129">
        <f>0</f>
        <v>0</v>
      </c>
      <c r="H89" s="255">
        <f>IF(Concrete7211249[[#This Row],[Actual Buyout]]+Concrete7211249[[#This Row],[Change Orders]]=0,Concrete7211249[[#This Row],[Original Contract]],Concrete7211249[[#This Row],[Actual Buyout]]+Concrete7211249[[#This Row],[Change Orders]])</f>
        <v>0</v>
      </c>
      <c r="I89" s="129">
        <v>0</v>
      </c>
      <c r="J89" s="129">
        <f>Concrete7211249[[#This Row],[Original Contract]]-Concrete7211249[[#This Row],[Revised Contract]]</f>
        <v>0</v>
      </c>
      <c r="K89" s="347"/>
      <c r="L89" s="341"/>
      <c r="M89" s="343"/>
      <c r="T89" s="97"/>
      <c r="U89" s="97"/>
      <c r="W89" s="199"/>
      <c r="X89" s="199"/>
      <c r="Y89" s="198"/>
      <c r="Z89" s="198"/>
    </row>
    <row r="90" spans="1:26" x14ac:dyDescent="0.35">
      <c r="A90" s="128">
        <v>32</v>
      </c>
      <c r="B90" s="132"/>
      <c r="C90" s="132"/>
      <c r="D90" s="133" t="s">
        <v>37</v>
      </c>
      <c r="E90" s="255">
        <v>0</v>
      </c>
      <c r="F90" s="255">
        <v>0</v>
      </c>
      <c r="G90" s="129">
        <f>0</f>
        <v>0</v>
      </c>
      <c r="H90" s="255">
        <f>IF(Concrete7211249[[#This Row],[Actual Buyout]]+Concrete7211249[[#This Row],[Change Orders]]=0,Concrete7211249[[#This Row],[Original Contract]],Concrete7211249[[#This Row],[Actual Buyout]]+Concrete7211249[[#This Row],[Change Orders]])</f>
        <v>0</v>
      </c>
      <c r="I90" s="129">
        <v>0</v>
      </c>
      <c r="J90" s="129">
        <f>Concrete7211249[[#This Row],[Original Contract]]-Concrete7211249[[#This Row],[Revised Contract]]</f>
        <v>0</v>
      </c>
      <c r="K90" s="347"/>
      <c r="L90" s="341"/>
      <c r="M90" s="343"/>
      <c r="T90" s="97"/>
      <c r="U90" s="97"/>
      <c r="W90" s="199"/>
      <c r="X90" s="199"/>
      <c r="Y90" s="198"/>
      <c r="Z90" s="198"/>
    </row>
    <row r="91" spans="1:26" x14ac:dyDescent="0.35">
      <c r="A91" s="128">
        <v>32</v>
      </c>
      <c r="B91" s="132"/>
      <c r="C91" s="132"/>
      <c r="D91" s="133" t="s">
        <v>37</v>
      </c>
      <c r="E91" s="255">
        <v>0</v>
      </c>
      <c r="F91" s="255">
        <v>0</v>
      </c>
      <c r="G91" s="129">
        <f>0</f>
        <v>0</v>
      </c>
      <c r="H91" s="255">
        <f>IF(Concrete7211249[[#This Row],[Actual Buyout]]+Concrete7211249[[#This Row],[Change Orders]]=0,Concrete7211249[[#This Row],[Original Contract]],Concrete7211249[[#This Row],[Actual Buyout]]+Concrete7211249[[#This Row],[Change Orders]])</f>
        <v>0</v>
      </c>
      <c r="I91" s="129">
        <v>0</v>
      </c>
      <c r="J91" s="129">
        <f>Concrete7211249[[#This Row],[Original Contract]]-Concrete7211249[[#This Row],[Revised Contract]]</f>
        <v>0</v>
      </c>
      <c r="K91" s="347"/>
      <c r="L91" s="341"/>
      <c r="M91" s="343"/>
      <c r="T91" s="97"/>
      <c r="U91" s="97"/>
      <c r="W91" s="199"/>
      <c r="X91" s="199"/>
      <c r="Y91" s="198"/>
      <c r="Z91" s="198"/>
    </row>
    <row r="92" spans="1:26" x14ac:dyDescent="0.35">
      <c r="A92" s="128">
        <v>32</v>
      </c>
      <c r="B92" s="132"/>
      <c r="C92" s="132"/>
      <c r="D92" s="133" t="s">
        <v>37</v>
      </c>
      <c r="E92" s="255">
        <v>0</v>
      </c>
      <c r="F92" s="255">
        <v>0</v>
      </c>
      <c r="G92" s="129">
        <f>0</f>
        <v>0</v>
      </c>
      <c r="H92" s="255">
        <f>IF(Concrete7211249[[#This Row],[Actual Buyout]]+Concrete7211249[[#This Row],[Change Orders]]=0,Concrete7211249[[#This Row],[Original Contract]],Concrete7211249[[#This Row],[Actual Buyout]]+Concrete7211249[[#This Row],[Change Orders]])</f>
        <v>0</v>
      </c>
      <c r="I92" s="129">
        <v>0</v>
      </c>
      <c r="J92" s="129">
        <f>Concrete7211249[[#This Row],[Original Contract]]-Concrete7211249[[#This Row],[Revised Contract]]</f>
        <v>0</v>
      </c>
      <c r="K92" s="347"/>
      <c r="L92" s="341"/>
      <c r="M92" s="343"/>
      <c r="T92" s="97"/>
      <c r="U92" s="97"/>
      <c r="W92" s="199"/>
      <c r="X92" s="199"/>
      <c r="Y92" s="198"/>
      <c r="Z92" s="198"/>
    </row>
    <row r="93" spans="1:26" x14ac:dyDescent="0.35">
      <c r="A93" s="257"/>
      <c r="B93" s="258"/>
      <c r="C93" s="258"/>
      <c r="D93" s="256" t="s">
        <v>38</v>
      </c>
      <c r="E93" s="151">
        <f>SUM(Concrete7211249[Original Contract])</f>
        <v>0</v>
      </c>
      <c r="F93" s="151">
        <f>SUM(Concrete7211249[Actual Buyout])</f>
        <v>0</v>
      </c>
      <c r="G93" s="151">
        <f>SUM(Concrete7211249[Change Orders])</f>
        <v>0</v>
      </c>
      <c r="H93" s="151">
        <f>SUM(Concrete7211249[Revised Contract])</f>
        <v>0</v>
      </c>
      <c r="I93" s="151">
        <f>SUM(Concrete7211249[Total completed and Stored])</f>
        <v>0</v>
      </c>
      <c r="J93" s="151">
        <f>SUM(Concrete7211249[Delta])</f>
        <v>0</v>
      </c>
      <c r="K93" s="348"/>
      <c r="L93" s="343"/>
      <c r="M93" s="343"/>
      <c r="U93" s="199"/>
      <c r="V93" s="199"/>
    </row>
    <row r="94" spans="1:26" x14ac:dyDescent="0.35">
      <c r="A94" s="100" t="s">
        <v>649</v>
      </c>
      <c r="B94" s="100" t="s">
        <v>60</v>
      </c>
      <c r="C94" s="100" t="s">
        <v>167</v>
      </c>
      <c r="D94" s="100" t="s">
        <v>26</v>
      </c>
      <c r="E94" s="100" t="s">
        <v>781</v>
      </c>
      <c r="F94" s="332" t="s">
        <v>1078</v>
      </c>
      <c r="G94" s="332" t="s">
        <v>782</v>
      </c>
      <c r="H94" s="332" t="s">
        <v>783</v>
      </c>
      <c r="I94" s="334" t="s">
        <v>785</v>
      </c>
      <c r="J94" s="340" t="s">
        <v>1079</v>
      </c>
      <c r="K94" s="347"/>
      <c r="L94" s="335"/>
      <c r="M94" s="343"/>
      <c r="T94" s="97"/>
      <c r="U94" s="97"/>
      <c r="W94" s="199"/>
      <c r="X94" s="199"/>
      <c r="Y94" s="198"/>
      <c r="Z94" s="198"/>
    </row>
    <row r="95" spans="1:26" x14ac:dyDescent="0.35">
      <c r="A95" s="128">
        <v>32</v>
      </c>
      <c r="B95" s="132" t="s">
        <v>61</v>
      </c>
      <c r="C95" s="132" t="s">
        <v>271</v>
      </c>
      <c r="D95" s="133" t="s">
        <v>61</v>
      </c>
      <c r="E95" s="255">
        <v>0</v>
      </c>
      <c r="F95" s="255">
        <v>0</v>
      </c>
      <c r="G95" s="129">
        <f>0</f>
        <v>0</v>
      </c>
      <c r="H95" s="255">
        <f>IF(PaveMarks8212250[[#This Row],[Actual Buyout]]+PaveMarks8212250[[#This Row],[Change Orders]]=0,PaveMarks8212250[[#This Row],[Original Contract]],PaveMarks8212250[[#This Row],[Actual Buyout]]+PaveMarks8212250[[#This Row],[Change Orders]])</f>
        <v>0</v>
      </c>
      <c r="I95" s="129">
        <v>0</v>
      </c>
      <c r="J95" s="129">
        <f>PaveMarks8212250[[#This Row],[Original Contract]]-PaveMarks8212250[[#This Row],[Revised Contract]]</f>
        <v>0</v>
      </c>
      <c r="K95" s="347"/>
      <c r="L95" s="341"/>
      <c r="M95" s="343"/>
      <c r="T95" s="97"/>
      <c r="U95" s="97"/>
      <c r="W95" s="199"/>
      <c r="X95" s="199"/>
      <c r="Y95" s="198"/>
      <c r="Z95" s="198"/>
    </row>
    <row r="96" spans="1:26" x14ac:dyDescent="0.35">
      <c r="A96" s="128">
        <v>32</v>
      </c>
      <c r="B96" s="132" t="s">
        <v>275</v>
      </c>
      <c r="C96" s="132" t="s">
        <v>274</v>
      </c>
      <c r="D96" s="133" t="s">
        <v>62</v>
      </c>
      <c r="E96" s="255">
        <v>0</v>
      </c>
      <c r="F96" s="255">
        <v>0</v>
      </c>
      <c r="G96" s="129">
        <f>0</f>
        <v>0</v>
      </c>
      <c r="H96" s="255">
        <f>IF(PaveMarks8212250[[#This Row],[Actual Buyout]]+PaveMarks8212250[[#This Row],[Change Orders]]=0,PaveMarks8212250[[#This Row],[Original Contract]],PaveMarks8212250[[#This Row],[Actual Buyout]]+PaveMarks8212250[[#This Row],[Change Orders]])</f>
        <v>0</v>
      </c>
      <c r="I96" s="129">
        <v>0</v>
      </c>
      <c r="J96" s="129">
        <f>PaveMarks8212250[[#This Row],[Original Contract]]-PaveMarks8212250[[#This Row],[Revised Contract]]</f>
        <v>0</v>
      </c>
      <c r="K96" s="347"/>
      <c r="L96" s="341"/>
      <c r="M96" s="343"/>
      <c r="T96" s="97"/>
      <c r="U96" s="97"/>
      <c r="W96" s="199"/>
      <c r="X96" s="199"/>
      <c r="Y96" s="198"/>
      <c r="Z96" s="198"/>
    </row>
    <row r="97" spans="1:26" x14ac:dyDescent="0.35">
      <c r="A97" s="128">
        <v>32</v>
      </c>
      <c r="B97" s="132" t="s">
        <v>273</v>
      </c>
      <c r="C97" s="132" t="s">
        <v>272</v>
      </c>
      <c r="D97" s="133" t="s">
        <v>29</v>
      </c>
      <c r="E97" s="255">
        <v>0</v>
      </c>
      <c r="F97" s="255">
        <v>0</v>
      </c>
      <c r="G97" s="129">
        <f>0</f>
        <v>0</v>
      </c>
      <c r="H97" s="255">
        <f>IF(PaveMarks8212250[[#This Row],[Actual Buyout]]+PaveMarks8212250[[#This Row],[Change Orders]]=0,PaveMarks8212250[[#This Row],[Original Contract]],PaveMarks8212250[[#This Row],[Actual Buyout]]+PaveMarks8212250[[#This Row],[Change Orders]])</f>
        <v>0</v>
      </c>
      <c r="I97" s="129">
        <v>0</v>
      </c>
      <c r="J97" s="129">
        <f>PaveMarks8212250[[#This Row],[Original Contract]]-PaveMarks8212250[[#This Row],[Revised Contract]]</f>
        <v>0</v>
      </c>
      <c r="K97" s="347"/>
      <c r="L97" s="341"/>
      <c r="M97" s="343"/>
      <c r="T97" s="97"/>
      <c r="U97" s="97"/>
      <c r="W97" s="199"/>
      <c r="X97" s="199"/>
      <c r="Y97" s="198"/>
      <c r="Z97" s="198"/>
    </row>
    <row r="98" spans="1:26" x14ac:dyDescent="0.35">
      <c r="A98" s="128">
        <v>32</v>
      </c>
      <c r="B98" s="132" t="s">
        <v>675</v>
      </c>
      <c r="C98" s="132" t="s">
        <v>271</v>
      </c>
      <c r="D98" s="133" t="s">
        <v>676</v>
      </c>
      <c r="E98" s="255">
        <v>0</v>
      </c>
      <c r="F98" s="255">
        <v>0</v>
      </c>
      <c r="G98" s="129">
        <f>0</f>
        <v>0</v>
      </c>
      <c r="H98" s="255">
        <f>IF(PaveMarks8212250[[#This Row],[Actual Buyout]]+PaveMarks8212250[[#This Row],[Change Orders]]=0,PaveMarks8212250[[#This Row],[Original Contract]],PaveMarks8212250[[#This Row],[Actual Buyout]]+PaveMarks8212250[[#This Row],[Change Orders]])</f>
        <v>0</v>
      </c>
      <c r="I98" s="129">
        <v>0</v>
      </c>
      <c r="J98" s="129">
        <f>PaveMarks8212250[[#This Row],[Original Contract]]-PaveMarks8212250[[#This Row],[Revised Contract]]</f>
        <v>0</v>
      </c>
      <c r="K98" s="347"/>
      <c r="L98" s="341"/>
      <c r="M98" s="343"/>
      <c r="T98" s="97"/>
      <c r="U98" s="97"/>
      <c r="W98" s="199"/>
      <c r="X98" s="199"/>
      <c r="Y98" s="198"/>
      <c r="Z98" s="198"/>
    </row>
    <row r="99" spans="1:26" x14ac:dyDescent="0.35">
      <c r="A99" s="128">
        <v>32</v>
      </c>
      <c r="B99" s="132" t="s">
        <v>273</v>
      </c>
      <c r="C99" s="132" t="s">
        <v>272</v>
      </c>
      <c r="D99" s="133" t="s">
        <v>677</v>
      </c>
      <c r="E99" s="255">
        <v>0</v>
      </c>
      <c r="F99" s="255">
        <v>0</v>
      </c>
      <c r="G99" s="129">
        <f>0</f>
        <v>0</v>
      </c>
      <c r="H99" s="255">
        <f>IF(PaveMarks8212250[[#This Row],[Actual Buyout]]+PaveMarks8212250[[#This Row],[Change Orders]]=0,PaveMarks8212250[[#This Row],[Original Contract]],PaveMarks8212250[[#This Row],[Actual Buyout]]+PaveMarks8212250[[#This Row],[Change Orders]])</f>
        <v>0</v>
      </c>
      <c r="I99" s="129">
        <v>0</v>
      </c>
      <c r="J99" s="129">
        <f>PaveMarks8212250[[#This Row],[Original Contract]]-PaveMarks8212250[[#This Row],[Revised Contract]]</f>
        <v>0</v>
      </c>
      <c r="K99" s="347"/>
      <c r="L99" s="341"/>
      <c r="M99" s="343"/>
      <c r="T99" s="97"/>
      <c r="U99" s="97"/>
      <c r="W99" s="199"/>
      <c r="X99" s="199"/>
      <c r="Y99" s="198"/>
      <c r="Z99" s="198"/>
    </row>
    <row r="100" spans="1:26" x14ac:dyDescent="0.35">
      <c r="A100" s="128">
        <v>32</v>
      </c>
      <c r="B100" s="132"/>
      <c r="C100" s="132"/>
      <c r="D100" s="133" t="s">
        <v>37</v>
      </c>
      <c r="E100" s="255">
        <v>0</v>
      </c>
      <c r="F100" s="255">
        <v>0</v>
      </c>
      <c r="G100" s="129">
        <f>0</f>
        <v>0</v>
      </c>
      <c r="H100" s="255">
        <f>IF(PaveMarks8212250[[#This Row],[Actual Buyout]]+PaveMarks8212250[[#This Row],[Change Orders]]=0,PaveMarks8212250[[#This Row],[Original Contract]],PaveMarks8212250[[#This Row],[Actual Buyout]]+PaveMarks8212250[[#This Row],[Change Orders]])</f>
        <v>0</v>
      </c>
      <c r="I100" s="129">
        <v>0</v>
      </c>
      <c r="J100" s="129">
        <f>PaveMarks8212250[[#This Row],[Original Contract]]-PaveMarks8212250[[#This Row],[Revised Contract]]</f>
        <v>0</v>
      </c>
      <c r="K100" s="347"/>
      <c r="L100" s="341"/>
      <c r="M100" s="343"/>
      <c r="T100" s="97"/>
      <c r="U100" s="97"/>
      <c r="W100" s="199"/>
      <c r="X100" s="199"/>
      <c r="Y100" s="198"/>
      <c r="Z100" s="198"/>
    </row>
    <row r="101" spans="1:26" x14ac:dyDescent="0.35">
      <c r="A101" s="128">
        <v>32</v>
      </c>
      <c r="B101" s="132"/>
      <c r="C101" s="132"/>
      <c r="D101" s="133" t="s">
        <v>37</v>
      </c>
      <c r="E101" s="255">
        <v>0</v>
      </c>
      <c r="F101" s="255">
        <v>0</v>
      </c>
      <c r="G101" s="129">
        <f>0</f>
        <v>0</v>
      </c>
      <c r="H101" s="255">
        <f>IF(PaveMarks8212250[[#This Row],[Actual Buyout]]+PaveMarks8212250[[#This Row],[Change Orders]]=0,PaveMarks8212250[[#This Row],[Original Contract]],PaveMarks8212250[[#This Row],[Actual Buyout]]+PaveMarks8212250[[#This Row],[Change Orders]])</f>
        <v>0</v>
      </c>
      <c r="I101" s="129">
        <v>0</v>
      </c>
      <c r="J101" s="129">
        <f>PaveMarks8212250[[#This Row],[Original Contract]]-PaveMarks8212250[[#This Row],[Revised Contract]]</f>
        <v>0</v>
      </c>
      <c r="K101" s="347"/>
      <c r="L101" s="341"/>
      <c r="M101" s="343"/>
      <c r="T101" s="97"/>
      <c r="U101" s="97"/>
      <c r="W101" s="199"/>
      <c r="X101" s="199"/>
      <c r="Y101" s="198"/>
      <c r="Z101" s="198"/>
    </row>
    <row r="102" spans="1:26" x14ac:dyDescent="0.35">
      <c r="A102" s="128">
        <v>32</v>
      </c>
      <c r="B102" s="132"/>
      <c r="C102" s="132"/>
      <c r="D102" s="133" t="s">
        <v>37</v>
      </c>
      <c r="E102" s="255">
        <v>0</v>
      </c>
      <c r="F102" s="255">
        <v>0</v>
      </c>
      <c r="G102" s="129">
        <f>0</f>
        <v>0</v>
      </c>
      <c r="H102" s="255">
        <f>IF(PaveMarks8212250[[#This Row],[Actual Buyout]]+PaveMarks8212250[[#This Row],[Change Orders]]=0,PaveMarks8212250[[#This Row],[Original Contract]],PaveMarks8212250[[#This Row],[Actual Buyout]]+PaveMarks8212250[[#This Row],[Change Orders]])</f>
        <v>0</v>
      </c>
      <c r="I102" s="129">
        <v>0</v>
      </c>
      <c r="J102" s="129">
        <f>PaveMarks8212250[[#This Row],[Original Contract]]-PaveMarks8212250[[#This Row],[Revised Contract]]</f>
        <v>0</v>
      </c>
      <c r="K102" s="347"/>
      <c r="L102" s="341"/>
      <c r="M102" s="343"/>
      <c r="T102" s="97"/>
      <c r="U102" s="97"/>
      <c r="W102" s="199"/>
      <c r="X102" s="199"/>
      <c r="Y102" s="198"/>
      <c r="Z102" s="198"/>
    </row>
    <row r="103" spans="1:26" x14ac:dyDescent="0.35">
      <c r="A103" s="128">
        <v>32</v>
      </c>
      <c r="B103" s="132"/>
      <c r="C103" s="132"/>
      <c r="D103" s="133" t="s">
        <v>37</v>
      </c>
      <c r="E103" s="255">
        <v>0</v>
      </c>
      <c r="F103" s="255">
        <v>0</v>
      </c>
      <c r="G103" s="129">
        <f>0</f>
        <v>0</v>
      </c>
      <c r="H103" s="255">
        <f>IF(PaveMarks8212250[[#This Row],[Actual Buyout]]+PaveMarks8212250[[#This Row],[Change Orders]]=0,PaveMarks8212250[[#This Row],[Original Contract]],PaveMarks8212250[[#This Row],[Actual Buyout]]+PaveMarks8212250[[#This Row],[Change Orders]])</f>
        <v>0</v>
      </c>
      <c r="I103" s="129">
        <v>0</v>
      </c>
      <c r="J103" s="129">
        <f>PaveMarks8212250[[#This Row],[Original Contract]]-PaveMarks8212250[[#This Row],[Revised Contract]]</f>
        <v>0</v>
      </c>
      <c r="K103" s="347"/>
      <c r="L103" s="341"/>
      <c r="M103" s="343"/>
      <c r="T103" s="97"/>
      <c r="U103" s="97"/>
      <c r="W103" s="199"/>
      <c r="X103" s="199"/>
      <c r="Y103" s="198"/>
      <c r="Z103" s="198"/>
    </row>
    <row r="104" spans="1:26" x14ac:dyDescent="0.35">
      <c r="A104" s="128">
        <v>32</v>
      </c>
      <c r="B104" s="132"/>
      <c r="C104" s="132"/>
      <c r="D104" s="133" t="s">
        <v>37</v>
      </c>
      <c r="E104" s="255">
        <v>0</v>
      </c>
      <c r="F104" s="255">
        <v>0</v>
      </c>
      <c r="G104" s="129">
        <f>0</f>
        <v>0</v>
      </c>
      <c r="H104" s="255">
        <f>IF(PaveMarks8212250[[#This Row],[Actual Buyout]]+PaveMarks8212250[[#This Row],[Change Orders]]=0,PaveMarks8212250[[#This Row],[Original Contract]],PaveMarks8212250[[#This Row],[Actual Buyout]]+PaveMarks8212250[[#This Row],[Change Orders]])</f>
        <v>0</v>
      </c>
      <c r="I104" s="129">
        <v>0</v>
      </c>
      <c r="J104" s="129">
        <f>PaveMarks8212250[[#This Row],[Original Contract]]-PaveMarks8212250[[#This Row],[Revised Contract]]</f>
        <v>0</v>
      </c>
      <c r="K104" s="347"/>
      <c r="L104" s="341"/>
      <c r="M104" s="343"/>
      <c r="T104" s="97"/>
      <c r="U104" s="97"/>
      <c r="W104" s="199"/>
      <c r="Y104" s="198"/>
      <c r="Z104" s="198"/>
    </row>
    <row r="105" spans="1:26" x14ac:dyDescent="0.35">
      <c r="A105" s="257"/>
      <c r="B105" s="258"/>
      <c r="C105" s="258"/>
      <c r="D105" s="256" t="s">
        <v>38</v>
      </c>
      <c r="E105" s="151">
        <f>SUM(PaveMarks8212250[Original Contract])</f>
        <v>0</v>
      </c>
      <c r="F105" s="151">
        <f>SUM(PaveMarks8212250[Actual Buyout])</f>
        <v>0</v>
      </c>
      <c r="G105" s="151">
        <f>SUM(PaveMarks8212250[Change Orders])</f>
        <v>0</v>
      </c>
      <c r="H105" s="151">
        <f>SUM(PaveMarks8212250[Revised Contract])</f>
        <v>0</v>
      </c>
      <c r="I105" s="151">
        <f>SUM(PaveMarks8212250[Total completed and Stored])</f>
        <v>0</v>
      </c>
      <c r="J105" s="151">
        <f>SUM(PaveMarks8212250[Delta])</f>
        <v>0</v>
      </c>
      <c r="K105" s="348"/>
      <c r="L105" s="343"/>
      <c r="M105" s="343"/>
    </row>
    <row r="106" spans="1:26" x14ac:dyDescent="0.35">
      <c r="A106" s="100" t="s">
        <v>649</v>
      </c>
      <c r="B106" s="100" t="s">
        <v>63</v>
      </c>
      <c r="C106" s="100" t="s">
        <v>167</v>
      </c>
      <c r="D106" s="100" t="s">
        <v>26</v>
      </c>
      <c r="E106" s="100" t="s">
        <v>781</v>
      </c>
      <c r="F106" s="332" t="s">
        <v>1078</v>
      </c>
      <c r="G106" s="332" t="s">
        <v>782</v>
      </c>
      <c r="H106" s="332" t="s">
        <v>783</v>
      </c>
      <c r="I106" s="334" t="s">
        <v>785</v>
      </c>
      <c r="J106" s="340" t="s">
        <v>1079</v>
      </c>
      <c r="K106" s="347"/>
      <c r="L106" s="335"/>
      <c r="M106" s="343"/>
      <c r="T106" s="97"/>
      <c r="U106" s="97"/>
      <c r="Y106" s="198"/>
      <c r="Z106" s="198"/>
    </row>
    <row r="107" spans="1:26" x14ac:dyDescent="0.35">
      <c r="A107" s="128">
        <v>32</v>
      </c>
      <c r="B107" s="132" t="s">
        <v>276</v>
      </c>
      <c r="C107" s="132" t="s">
        <v>219</v>
      </c>
      <c r="D107" s="133" t="s">
        <v>64</v>
      </c>
      <c r="E107" s="255">
        <v>0</v>
      </c>
      <c r="F107" s="255">
        <v>0</v>
      </c>
      <c r="G107" s="129">
        <f>0</f>
        <v>0</v>
      </c>
      <c r="H107" s="255">
        <f>IF(Fencing9213251[[#This Row],[Actual Buyout]]+Fencing9213251[[#This Row],[Change Orders]]=0,Fencing9213251[[#This Row],[Original Contract]],Fencing9213251[[#This Row],[Actual Buyout]]+Fencing9213251[[#This Row],[Change Orders]])</f>
        <v>0</v>
      </c>
      <c r="I107" s="129">
        <v>0</v>
      </c>
      <c r="J107" s="129">
        <f>Fencing9213251[[#This Row],[Original Contract]]-Fencing9213251[[#This Row],[Revised Contract]]</f>
        <v>0</v>
      </c>
      <c r="K107" s="347"/>
      <c r="L107" s="341"/>
      <c r="M107" s="343"/>
      <c r="T107" s="97"/>
      <c r="U107" s="97"/>
      <c r="Y107" s="198"/>
      <c r="Z107" s="198"/>
    </row>
    <row r="108" spans="1:26" x14ac:dyDescent="0.35">
      <c r="A108" s="128">
        <v>32</v>
      </c>
      <c r="B108" s="132" t="s">
        <v>278</v>
      </c>
      <c r="C108" s="132" t="s">
        <v>277</v>
      </c>
      <c r="D108" s="133" t="s">
        <v>65</v>
      </c>
      <c r="E108" s="255">
        <v>0</v>
      </c>
      <c r="F108" s="255">
        <v>0</v>
      </c>
      <c r="G108" s="129">
        <f>0</f>
        <v>0</v>
      </c>
      <c r="H108" s="255">
        <f>IF(Fencing9213251[[#This Row],[Actual Buyout]]+Fencing9213251[[#This Row],[Change Orders]]=0,Fencing9213251[[#This Row],[Original Contract]],Fencing9213251[[#This Row],[Actual Buyout]]+Fencing9213251[[#This Row],[Change Orders]])</f>
        <v>0</v>
      </c>
      <c r="I108" s="129">
        <v>0</v>
      </c>
      <c r="J108" s="129">
        <f>Fencing9213251[[#This Row],[Original Contract]]-Fencing9213251[[#This Row],[Revised Contract]]</f>
        <v>0</v>
      </c>
      <c r="K108" s="347"/>
      <c r="L108" s="341"/>
      <c r="M108" s="343"/>
      <c r="T108" s="97"/>
      <c r="U108" s="97"/>
      <c r="Y108" s="198"/>
      <c r="Z108" s="198"/>
    </row>
    <row r="109" spans="1:26" x14ac:dyDescent="0.35">
      <c r="A109" s="128">
        <v>32</v>
      </c>
      <c r="B109" s="132" t="s">
        <v>278</v>
      </c>
      <c r="C109" s="132" t="s">
        <v>277</v>
      </c>
      <c r="D109" s="133" t="s">
        <v>66</v>
      </c>
      <c r="E109" s="255">
        <v>0</v>
      </c>
      <c r="F109" s="255">
        <v>0</v>
      </c>
      <c r="G109" s="129">
        <f>0</f>
        <v>0</v>
      </c>
      <c r="H109" s="255">
        <f>IF(Fencing9213251[[#This Row],[Actual Buyout]]+Fencing9213251[[#This Row],[Change Orders]]=0,Fencing9213251[[#This Row],[Original Contract]],Fencing9213251[[#This Row],[Actual Buyout]]+Fencing9213251[[#This Row],[Change Orders]])</f>
        <v>0</v>
      </c>
      <c r="I109" s="129">
        <v>0</v>
      </c>
      <c r="J109" s="129">
        <f>Fencing9213251[[#This Row],[Original Contract]]-Fencing9213251[[#This Row],[Revised Contract]]</f>
        <v>0</v>
      </c>
      <c r="K109" s="347"/>
      <c r="L109" s="341"/>
      <c r="M109" s="343"/>
      <c r="T109" s="97"/>
      <c r="U109" s="97"/>
      <c r="Y109" s="198"/>
      <c r="Z109" s="198"/>
    </row>
    <row r="110" spans="1:26" x14ac:dyDescent="0.35">
      <c r="A110" s="128">
        <v>32</v>
      </c>
      <c r="B110" s="132" t="s">
        <v>279</v>
      </c>
      <c r="C110" s="132" t="s">
        <v>220</v>
      </c>
      <c r="D110" s="133" t="s">
        <v>221</v>
      </c>
      <c r="E110" s="255">
        <v>0</v>
      </c>
      <c r="F110" s="255">
        <v>0</v>
      </c>
      <c r="G110" s="129">
        <f>0</f>
        <v>0</v>
      </c>
      <c r="H110" s="255">
        <f>IF(Fencing9213251[[#This Row],[Actual Buyout]]+Fencing9213251[[#This Row],[Change Orders]]=0,Fencing9213251[[#This Row],[Original Contract]],Fencing9213251[[#This Row],[Actual Buyout]]+Fencing9213251[[#This Row],[Change Orders]])</f>
        <v>0</v>
      </c>
      <c r="I110" s="129">
        <v>0</v>
      </c>
      <c r="J110" s="129">
        <f>Fencing9213251[[#This Row],[Original Contract]]-Fencing9213251[[#This Row],[Revised Contract]]</f>
        <v>0</v>
      </c>
      <c r="K110" s="347"/>
      <c r="L110" s="341"/>
      <c r="M110" s="343"/>
      <c r="T110" s="97"/>
      <c r="U110" s="97"/>
      <c r="Y110" s="198"/>
      <c r="Z110" s="198"/>
    </row>
    <row r="111" spans="1:26" x14ac:dyDescent="0.35">
      <c r="A111" s="128">
        <v>32</v>
      </c>
      <c r="B111" s="132"/>
      <c r="C111" s="132"/>
      <c r="D111" s="133" t="s">
        <v>801</v>
      </c>
      <c r="E111" s="255">
        <v>0</v>
      </c>
      <c r="F111" s="255">
        <v>0</v>
      </c>
      <c r="G111" s="129">
        <f>0</f>
        <v>0</v>
      </c>
      <c r="H111" s="255">
        <f>IF(Fencing9213251[[#This Row],[Actual Buyout]]+Fencing9213251[[#This Row],[Change Orders]]=0,Fencing9213251[[#This Row],[Original Contract]],Fencing9213251[[#This Row],[Actual Buyout]]+Fencing9213251[[#This Row],[Change Orders]])</f>
        <v>0</v>
      </c>
      <c r="I111" s="129">
        <v>0</v>
      </c>
      <c r="J111" s="129">
        <f>Fencing9213251[[#This Row],[Original Contract]]-Fencing9213251[[#This Row],[Revised Contract]]</f>
        <v>0</v>
      </c>
      <c r="K111" s="347"/>
      <c r="L111" s="341"/>
      <c r="M111" s="343"/>
      <c r="T111" s="97"/>
      <c r="U111" s="97"/>
      <c r="Y111" s="198"/>
      <c r="Z111" s="198"/>
    </row>
    <row r="112" spans="1:26" x14ac:dyDescent="0.35">
      <c r="A112" s="128">
        <v>32</v>
      </c>
      <c r="B112" s="132"/>
      <c r="C112" s="132"/>
      <c r="D112" s="133" t="s">
        <v>37</v>
      </c>
      <c r="E112" s="255">
        <v>0</v>
      </c>
      <c r="F112" s="255">
        <v>0</v>
      </c>
      <c r="G112" s="129">
        <f>0</f>
        <v>0</v>
      </c>
      <c r="H112" s="255">
        <f>IF(Fencing9213251[[#This Row],[Actual Buyout]]+Fencing9213251[[#This Row],[Change Orders]]=0,Fencing9213251[[#This Row],[Original Contract]],Fencing9213251[[#This Row],[Actual Buyout]]+Fencing9213251[[#This Row],[Change Orders]])</f>
        <v>0</v>
      </c>
      <c r="I112" s="129">
        <v>0</v>
      </c>
      <c r="J112" s="129">
        <f>Fencing9213251[[#This Row],[Original Contract]]-Fencing9213251[[#This Row],[Revised Contract]]</f>
        <v>0</v>
      </c>
      <c r="K112" s="347"/>
      <c r="L112" s="341"/>
      <c r="M112" s="343"/>
      <c r="T112" s="97"/>
      <c r="U112" s="97"/>
      <c r="Y112" s="198"/>
      <c r="Z112" s="198"/>
    </row>
    <row r="113" spans="1:26" x14ac:dyDescent="0.35">
      <c r="A113" s="128">
        <v>32</v>
      </c>
      <c r="B113" s="132"/>
      <c r="C113" s="132"/>
      <c r="D113" s="133" t="s">
        <v>37</v>
      </c>
      <c r="E113" s="255">
        <v>0</v>
      </c>
      <c r="F113" s="255">
        <v>0</v>
      </c>
      <c r="G113" s="129">
        <f>0</f>
        <v>0</v>
      </c>
      <c r="H113" s="255">
        <f>IF(Fencing9213251[[#This Row],[Actual Buyout]]+Fencing9213251[[#This Row],[Change Orders]]=0,Fencing9213251[[#This Row],[Original Contract]],Fencing9213251[[#This Row],[Actual Buyout]]+Fencing9213251[[#This Row],[Change Orders]])</f>
        <v>0</v>
      </c>
      <c r="I113" s="129">
        <v>0</v>
      </c>
      <c r="J113" s="129">
        <f>Fencing9213251[[#This Row],[Original Contract]]-Fencing9213251[[#This Row],[Revised Contract]]</f>
        <v>0</v>
      </c>
      <c r="K113" s="347"/>
      <c r="L113" s="341"/>
      <c r="M113" s="343"/>
      <c r="T113" s="97"/>
      <c r="U113" s="97"/>
      <c r="Y113" s="198"/>
      <c r="Z113" s="198"/>
    </row>
    <row r="114" spans="1:26" x14ac:dyDescent="0.35">
      <c r="A114" s="128">
        <v>32</v>
      </c>
      <c r="B114" s="132"/>
      <c r="C114" s="132"/>
      <c r="D114" s="133" t="s">
        <v>37</v>
      </c>
      <c r="E114" s="255">
        <v>0</v>
      </c>
      <c r="F114" s="255">
        <v>0</v>
      </c>
      <c r="G114" s="129">
        <f>0</f>
        <v>0</v>
      </c>
      <c r="H114" s="255">
        <f>IF(Fencing9213251[[#This Row],[Actual Buyout]]+Fencing9213251[[#This Row],[Change Orders]]=0,Fencing9213251[[#This Row],[Original Contract]],Fencing9213251[[#This Row],[Actual Buyout]]+Fencing9213251[[#This Row],[Change Orders]])</f>
        <v>0</v>
      </c>
      <c r="I114" s="129">
        <v>0</v>
      </c>
      <c r="J114" s="129">
        <f>Fencing9213251[[#This Row],[Original Contract]]-Fencing9213251[[#This Row],[Revised Contract]]</f>
        <v>0</v>
      </c>
      <c r="K114" s="347"/>
      <c r="L114" s="341"/>
      <c r="M114" s="343"/>
      <c r="T114" s="97"/>
      <c r="U114" s="97"/>
      <c r="Y114" s="198"/>
      <c r="Z114" s="198"/>
    </row>
    <row r="115" spans="1:26" x14ac:dyDescent="0.35">
      <c r="A115" s="128">
        <v>32</v>
      </c>
      <c r="B115" s="132"/>
      <c r="C115" s="132"/>
      <c r="D115" s="133" t="s">
        <v>37</v>
      </c>
      <c r="E115" s="255">
        <v>0</v>
      </c>
      <c r="F115" s="255">
        <v>0</v>
      </c>
      <c r="G115" s="129">
        <f>0</f>
        <v>0</v>
      </c>
      <c r="H115" s="255">
        <f>IF(Fencing9213251[[#This Row],[Actual Buyout]]+Fencing9213251[[#This Row],[Change Orders]]=0,Fencing9213251[[#This Row],[Original Contract]],Fencing9213251[[#This Row],[Actual Buyout]]+Fencing9213251[[#This Row],[Change Orders]])</f>
        <v>0</v>
      </c>
      <c r="I115" s="129">
        <v>0</v>
      </c>
      <c r="J115" s="129">
        <f>Fencing9213251[[#This Row],[Original Contract]]-Fencing9213251[[#This Row],[Revised Contract]]</f>
        <v>0</v>
      </c>
      <c r="K115" s="347"/>
      <c r="L115" s="341"/>
      <c r="M115" s="343"/>
      <c r="T115" s="97"/>
      <c r="U115" s="97"/>
      <c r="Y115" s="198"/>
      <c r="Z115" s="198"/>
    </row>
    <row r="116" spans="1:26" x14ac:dyDescent="0.35">
      <c r="A116" s="128">
        <v>32</v>
      </c>
      <c r="B116" s="259"/>
      <c r="C116" s="259"/>
      <c r="D116" s="260" t="s">
        <v>37</v>
      </c>
      <c r="E116" s="255">
        <v>0</v>
      </c>
      <c r="F116" s="255">
        <v>0</v>
      </c>
      <c r="G116" s="129">
        <f>0</f>
        <v>0</v>
      </c>
      <c r="H116" s="255">
        <f>IF(Fencing9213251[[#This Row],[Actual Buyout]]+Fencing9213251[[#This Row],[Change Orders]]=0,Fencing9213251[[#This Row],[Original Contract]],Fencing9213251[[#This Row],[Actual Buyout]]+Fencing9213251[[#This Row],[Change Orders]])</f>
        <v>0</v>
      </c>
      <c r="I116" s="129">
        <v>0</v>
      </c>
      <c r="J116" s="129">
        <f>Fencing9213251[[#This Row],[Original Contract]]-Fencing9213251[[#This Row],[Revised Contract]]</f>
        <v>0</v>
      </c>
      <c r="K116" s="347"/>
      <c r="L116" s="341"/>
      <c r="M116" s="343"/>
      <c r="T116" s="97"/>
      <c r="U116" s="97"/>
      <c r="Y116" s="198"/>
      <c r="Z116" s="198"/>
    </row>
    <row r="117" spans="1:26" x14ac:dyDescent="0.35">
      <c r="A117" s="257"/>
      <c r="B117" s="258"/>
      <c r="C117" s="258"/>
      <c r="D117" s="256" t="s">
        <v>38</v>
      </c>
      <c r="E117" s="151">
        <f>SUM(Fencing9213251[Original Contract])</f>
        <v>0</v>
      </c>
      <c r="F117" s="151">
        <f>SUM(Fencing9213251[Actual Buyout])</f>
        <v>0</v>
      </c>
      <c r="G117" s="151">
        <f>SUM(Fencing9213251[Change Orders])</f>
        <v>0</v>
      </c>
      <c r="H117" s="151">
        <f>SUM(Fencing9213251[Revised Contract])</f>
        <v>0</v>
      </c>
      <c r="I117" s="151">
        <f>SUM(Fencing9213251[Total completed and Stored])</f>
        <v>0</v>
      </c>
      <c r="J117" s="151">
        <f>SUM(Fencing9213251[Delta])</f>
        <v>0</v>
      </c>
      <c r="K117" s="348"/>
      <c r="L117" s="343"/>
      <c r="M117" s="343"/>
    </row>
    <row r="118" spans="1:26" x14ac:dyDescent="0.35">
      <c r="A118" s="100" t="s">
        <v>649</v>
      </c>
      <c r="B118" s="100" t="s">
        <v>67</v>
      </c>
      <c r="C118" s="100" t="s">
        <v>167</v>
      </c>
      <c r="D118" s="100" t="s">
        <v>26</v>
      </c>
      <c r="E118" s="100" t="s">
        <v>781</v>
      </c>
      <c r="F118" s="332" t="s">
        <v>1078</v>
      </c>
      <c r="G118" s="332" t="s">
        <v>782</v>
      </c>
      <c r="H118" s="332" t="s">
        <v>783</v>
      </c>
      <c r="I118" s="334" t="s">
        <v>785</v>
      </c>
      <c r="J118" s="340" t="s">
        <v>1079</v>
      </c>
      <c r="K118" s="347"/>
      <c r="L118" s="335"/>
      <c r="M118" s="343"/>
      <c r="T118" s="97"/>
      <c r="U118" s="97"/>
      <c r="Y118" s="198"/>
      <c r="Z118" s="198"/>
    </row>
    <row r="119" spans="1:26" x14ac:dyDescent="0.35">
      <c r="A119" s="128">
        <v>32</v>
      </c>
      <c r="B119" s="132" t="s">
        <v>281</v>
      </c>
      <c r="C119" s="132" t="s">
        <v>280</v>
      </c>
      <c r="D119" s="133" t="s">
        <v>68</v>
      </c>
      <c r="E119" s="255">
        <v>0</v>
      </c>
      <c r="F119" s="255">
        <v>0</v>
      </c>
      <c r="G119" s="129">
        <f>0</f>
        <v>0</v>
      </c>
      <c r="H119" s="255">
        <f>IF(Landscape10214252[[#This Row],[Actual Buyout]]+Landscape10214252[[#This Row],[Change Orders]]=0,Landscape10214252[[#This Row],[Original Contract]],Landscape10214252[[#This Row],[Actual Buyout]]+Landscape10214252[[#This Row],[Change Orders]])</f>
        <v>0</v>
      </c>
      <c r="I119" s="129">
        <v>0</v>
      </c>
      <c r="J119" s="129">
        <f>Landscape10214252[[#This Row],[Original Contract]]-Landscape10214252[[#This Row],[Revised Contract]]</f>
        <v>0</v>
      </c>
      <c r="K119" s="347"/>
      <c r="L119" s="341"/>
      <c r="M119" s="343"/>
      <c r="T119" s="97"/>
      <c r="U119" s="97"/>
      <c r="Y119" s="198"/>
      <c r="Z119" s="198"/>
    </row>
    <row r="120" spans="1:26" x14ac:dyDescent="0.35">
      <c r="A120" s="128">
        <v>32</v>
      </c>
      <c r="B120" s="132" t="s">
        <v>282</v>
      </c>
      <c r="C120" s="132" t="s">
        <v>216</v>
      </c>
      <c r="D120" s="133" t="s">
        <v>69</v>
      </c>
      <c r="E120" s="255">
        <v>0</v>
      </c>
      <c r="F120" s="255">
        <v>0</v>
      </c>
      <c r="G120" s="129">
        <f>0</f>
        <v>0</v>
      </c>
      <c r="H120" s="255">
        <f>IF(Landscape10214252[[#This Row],[Actual Buyout]]+Landscape10214252[[#This Row],[Change Orders]]=0,Landscape10214252[[#This Row],[Original Contract]],Landscape10214252[[#This Row],[Actual Buyout]]+Landscape10214252[[#This Row],[Change Orders]])</f>
        <v>0</v>
      </c>
      <c r="I120" s="129">
        <v>0</v>
      </c>
      <c r="J120" s="129">
        <f>Landscape10214252[[#This Row],[Original Contract]]-Landscape10214252[[#This Row],[Revised Contract]]</f>
        <v>0</v>
      </c>
      <c r="K120" s="347"/>
      <c r="L120" s="341"/>
      <c r="M120" s="343"/>
      <c r="T120" s="97"/>
      <c r="U120" s="97"/>
      <c r="Y120" s="198"/>
      <c r="Z120" s="198"/>
    </row>
    <row r="121" spans="1:26" x14ac:dyDescent="0.35">
      <c r="A121" s="128">
        <v>32</v>
      </c>
      <c r="B121" s="132" t="s">
        <v>283</v>
      </c>
      <c r="C121" s="132" t="s">
        <v>222</v>
      </c>
      <c r="D121" s="133" t="s">
        <v>70</v>
      </c>
      <c r="E121" s="255">
        <v>0</v>
      </c>
      <c r="F121" s="255">
        <v>0</v>
      </c>
      <c r="G121" s="129">
        <f>0</f>
        <v>0</v>
      </c>
      <c r="H121" s="255">
        <f>IF(Landscape10214252[[#This Row],[Actual Buyout]]+Landscape10214252[[#This Row],[Change Orders]]=0,Landscape10214252[[#This Row],[Original Contract]],Landscape10214252[[#This Row],[Actual Buyout]]+Landscape10214252[[#This Row],[Change Orders]])</f>
        <v>0</v>
      </c>
      <c r="I121" s="129">
        <v>0</v>
      </c>
      <c r="J121" s="129">
        <f>Landscape10214252[[#This Row],[Original Contract]]-Landscape10214252[[#This Row],[Revised Contract]]</f>
        <v>0</v>
      </c>
      <c r="K121" s="347"/>
      <c r="L121" s="341"/>
      <c r="M121" s="343"/>
      <c r="T121" s="97"/>
      <c r="U121" s="97"/>
      <c r="Y121" s="198"/>
      <c r="Z121" s="198"/>
    </row>
    <row r="122" spans="1:26" x14ac:dyDescent="0.35">
      <c r="A122" s="128">
        <v>32</v>
      </c>
      <c r="B122" s="132"/>
      <c r="C122" s="132"/>
      <c r="D122" s="133" t="s">
        <v>37</v>
      </c>
      <c r="E122" s="255">
        <v>0</v>
      </c>
      <c r="F122" s="255">
        <v>0</v>
      </c>
      <c r="G122" s="129">
        <f>0</f>
        <v>0</v>
      </c>
      <c r="H122" s="255">
        <f>IF(Landscape10214252[[#This Row],[Actual Buyout]]+Landscape10214252[[#This Row],[Change Orders]]=0,Landscape10214252[[#This Row],[Original Contract]],Landscape10214252[[#This Row],[Actual Buyout]]+Landscape10214252[[#This Row],[Change Orders]])</f>
        <v>0</v>
      </c>
      <c r="I122" s="129">
        <v>0</v>
      </c>
      <c r="J122" s="129">
        <f>Landscape10214252[[#This Row],[Original Contract]]-Landscape10214252[[#This Row],[Revised Contract]]</f>
        <v>0</v>
      </c>
      <c r="K122" s="347"/>
      <c r="L122" s="341"/>
      <c r="M122" s="343"/>
      <c r="T122" s="97"/>
      <c r="U122" s="97"/>
      <c r="Y122" s="198"/>
      <c r="Z122" s="198"/>
    </row>
    <row r="123" spans="1:26" x14ac:dyDescent="0.35">
      <c r="A123" s="128">
        <v>32</v>
      </c>
      <c r="B123" s="132"/>
      <c r="C123" s="132"/>
      <c r="D123" s="133" t="s">
        <v>37</v>
      </c>
      <c r="E123" s="255">
        <v>0</v>
      </c>
      <c r="F123" s="255">
        <v>0</v>
      </c>
      <c r="G123" s="129">
        <f>0</f>
        <v>0</v>
      </c>
      <c r="H123" s="255">
        <f>IF(Landscape10214252[[#This Row],[Actual Buyout]]+Landscape10214252[[#This Row],[Change Orders]]=0,Landscape10214252[[#This Row],[Original Contract]],Landscape10214252[[#This Row],[Actual Buyout]]+Landscape10214252[[#This Row],[Change Orders]])</f>
        <v>0</v>
      </c>
      <c r="I123" s="129">
        <v>0</v>
      </c>
      <c r="J123" s="129">
        <f>Landscape10214252[[#This Row],[Original Contract]]-Landscape10214252[[#This Row],[Revised Contract]]</f>
        <v>0</v>
      </c>
      <c r="K123" s="347"/>
      <c r="L123" s="341"/>
      <c r="M123" s="343"/>
      <c r="T123" s="97"/>
      <c r="U123" s="97"/>
      <c r="Y123" s="198"/>
      <c r="Z123" s="198"/>
    </row>
    <row r="124" spans="1:26" x14ac:dyDescent="0.35">
      <c r="A124" s="128">
        <v>32</v>
      </c>
      <c r="B124" s="132"/>
      <c r="C124" s="132"/>
      <c r="D124" s="133" t="s">
        <v>37</v>
      </c>
      <c r="E124" s="255">
        <v>0</v>
      </c>
      <c r="F124" s="255">
        <v>0</v>
      </c>
      <c r="G124" s="129">
        <f>0</f>
        <v>0</v>
      </c>
      <c r="H124" s="255">
        <f>IF(Landscape10214252[[#This Row],[Actual Buyout]]+Landscape10214252[[#This Row],[Change Orders]]=0,Landscape10214252[[#This Row],[Original Contract]],Landscape10214252[[#This Row],[Actual Buyout]]+Landscape10214252[[#This Row],[Change Orders]])</f>
        <v>0</v>
      </c>
      <c r="I124" s="129">
        <v>0</v>
      </c>
      <c r="J124" s="129">
        <f>Landscape10214252[[#This Row],[Original Contract]]-Landscape10214252[[#This Row],[Revised Contract]]</f>
        <v>0</v>
      </c>
      <c r="K124" s="347"/>
      <c r="L124" s="341"/>
      <c r="M124" s="343"/>
      <c r="T124" s="97"/>
      <c r="U124" s="97"/>
      <c r="Y124" s="198"/>
      <c r="Z124" s="198"/>
    </row>
    <row r="125" spans="1:26" x14ac:dyDescent="0.35">
      <c r="A125" s="128">
        <v>32</v>
      </c>
      <c r="B125" s="132"/>
      <c r="C125" s="132"/>
      <c r="D125" s="133" t="s">
        <v>37</v>
      </c>
      <c r="E125" s="255">
        <v>0</v>
      </c>
      <c r="F125" s="255">
        <v>0</v>
      </c>
      <c r="G125" s="129">
        <f>0</f>
        <v>0</v>
      </c>
      <c r="H125" s="255">
        <f>IF(Landscape10214252[[#This Row],[Actual Buyout]]+Landscape10214252[[#This Row],[Change Orders]]=0,Landscape10214252[[#This Row],[Original Contract]],Landscape10214252[[#This Row],[Actual Buyout]]+Landscape10214252[[#This Row],[Change Orders]])</f>
        <v>0</v>
      </c>
      <c r="I125" s="129">
        <v>0</v>
      </c>
      <c r="J125" s="129">
        <f>Landscape10214252[[#This Row],[Original Contract]]-Landscape10214252[[#This Row],[Revised Contract]]</f>
        <v>0</v>
      </c>
      <c r="K125" s="347"/>
      <c r="L125" s="341"/>
      <c r="M125" s="343"/>
      <c r="T125" s="97"/>
      <c r="U125" s="97"/>
      <c r="Y125" s="198"/>
      <c r="Z125" s="198"/>
    </row>
    <row r="126" spans="1:26" x14ac:dyDescent="0.35">
      <c r="A126" s="128">
        <v>32</v>
      </c>
      <c r="B126" s="132"/>
      <c r="C126" s="132"/>
      <c r="D126" s="133" t="s">
        <v>37</v>
      </c>
      <c r="E126" s="255">
        <v>0</v>
      </c>
      <c r="F126" s="255">
        <v>0</v>
      </c>
      <c r="G126" s="129">
        <f>0</f>
        <v>0</v>
      </c>
      <c r="H126" s="255">
        <f>IF(Landscape10214252[[#This Row],[Actual Buyout]]+Landscape10214252[[#This Row],[Change Orders]]=0,Landscape10214252[[#This Row],[Original Contract]],Landscape10214252[[#This Row],[Actual Buyout]]+Landscape10214252[[#This Row],[Change Orders]])</f>
        <v>0</v>
      </c>
      <c r="I126" s="129">
        <v>0</v>
      </c>
      <c r="J126" s="129">
        <f>Landscape10214252[[#This Row],[Original Contract]]-Landscape10214252[[#This Row],[Revised Contract]]</f>
        <v>0</v>
      </c>
      <c r="K126" s="347"/>
      <c r="L126" s="341"/>
      <c r="M126" s="343"/>
      <c r="T126" s="97"/>
      <c r="U126" s="97"/>
      <c r="Y126" s="198"/>
      <c r="Z126" s="198"/>
    </row>
    <row r="127" spans="1:26" x14ac:dyDescent="0.35">
      <c r="A127" s="257"/>
      <c r="B127" s="258"/>
      <c r="C127" s="258"/>
      <c r="D127" s="256" t="s">
        <v>38</v>
      </c>
      <c r="E127" s="151">
        <f>SUM(Landscape10214252[Original Contract])</f>
        <v>0</v>
      </c>
      <c r="F127" s="151">
        <f>SUM(Landscape10214252[Actual Buyout])</f>
        <v>0</v>
      </c>
      <c r="G127" s="151">
        <f>SUM(Landscape10214252[Change Orders])</f>
        <v>0</v>
      </c>
      <c r="H127" s="151">
        <f>SUM(Landscape10214252[Revised Contract])</f>
        <v>0</v>
      </c>
      <c r="I127" s="151">
        <f>SUM(Landscape10214252[Total completed and Stored])</f>
        <v>0</v>
      </c>
      <c r="J127" s="151">
        <f>SUM(Landscape10214252[Delta])</f>
        <v>0</v>
      </c>
      <c r="K127" s="348"/>
      <c r="L127" s="343"/>
      <c r="M127" s="343"/>
    </row>
    <row r="128" spans="1:26" x14ac:dyDescent="0.35">
      <c r="A128" s="100" t="s">
        <v>650</v>
      </c>
      <c r="B128" s="100" t="s">
        <v>28</v>
      </c>
      <c r="C128" s="100" t="s">
        <v>167</v>
      </c>
      <c r="D128" s="100" t="s">
        <v>26</v>
      </c>
      <c r="E128" s="100" t="s">
        <v>781</v>
      </c>
      <c r="F128" s="332" t="s">
        <v>1078</v>
      </c>
      <c r="G128" s="332" t="s">
        <v>782</v>
      </c>
      <c r="H128" s="332" t="s">
        <v>783</v>
      </c>
      <c r="I128" s="334" t="s">
        <v>785</v>
      </c>
      <c r="J128" s="340" t="s">
        <v>1079</v>
      </c>
      <c r="K128" s="347"/>
      <c r="L128" s="335"/>
      <c r="M128" s="343"/>
      <c r="T128" s="97"/>
      <c r="U128" s="97"/>
      <c r="Y128" s="198"/>
      <c r="Z128" s="198"/>
    </row>
    <row r="129" spans="1:26" x14ac:dyDescent="0.35">
      <c r="A129" s="128">
        <v>33</v>
      </c>
      <c r="B129" s="132" t="s">
        <v>284</v>
      </c>
      <c r="C129" s="132" t="s">
        <v>226</v>
      </c>
      <c r="D129" s="133" t="s">
        <v>709</v>
      </c>
      <c r="E129" s="255">
        <v>0</v>
      </c>
      <c r="F129" s="255">
        <v>0</v>
      </c>
      <c r="G129" s="129">
        <f>0</f>
        <v>0</v>
      </c>
      <c r="H129" s="255">
        <f>IF(Utilities11215253[[#This Row],[Actual Buyout]]+Utilities11215253[[#This Row],[Change Orders]]=0,Utilities11215253[[#This Row],[Original Contract]],Utilities11215253[[#This Row],[Actual Buyout]]+Utilities11215253[[#This Row],[Change Orders]])</f>
        <v>0</v>
      </c>
      <c r="I129" s="129">
        <v>0</v>
      </c>
      <c r="J129" s="129">
        <f>Utilities11215253[[#This Row],[Original Contract]]-Utilities11215253[[#This Row],[Revised Contract]]</f>
        <v>0</v>
      </c>
      <c r="K129" s="347"/>
      <c r="L129" s="341"/>
      <c r="M129" s="343"/>
      <c r="T129" s="97"/>
      <c r="U129" s="97"/>
      <c r="Y129" s="198"/>
      <c r="Z129" s="198"/>
    </row>
    <row r="130" spans="1:26" x14ac:dyDescent="0.35">
      <c r="A130" s="128">
        <v>33</v>
      </c>
      <c r="B130" s="132" t="s">
        <v>285</v>
      </c>
      <c r="C130" s="132" t="s">
        <v>224</v>
      </c>
      <c r="D130" s="133" t="s">
        <v>45</v>
      </c>
      <c r="E130" s="255">
        <v>0</v>
      </c>
      <c r="F130" s="255">
        <v>0</v>
      </c>
      <c r="G130" s="129">
        <f>0</f>
        <v>0</v>
      </c>
      <c r="H130" s="255">
        <f>IF(Utilities11215253[[#This Row],[Actual Buyout]]+Utilities11215253[[#This Row],[Change Orders]]=0,Utilities11215253[[#This Row],[Original Contract]],Utilities11215253[[#This Row],[Actual Buyout]]+Utilities11215253[[#This Row],[Change Orders]])</f>
        <v>0</v>
      </c>
      <c r="I130" s="129">
        <v>0</v>
      </c>
      <c r="J130" s="129">
        <f>Utilities11215253[[#This Row],[Original Contract]]-Utilities11215253[[#This Row],[Revised Contract]]</f>
        <v>0</v>
      </c>
      <c r="K130" s="347"/>
      <c r="L130" s="341"/>
      <c r="M130" s="343"/>
      <c r="T130" s="97"/>
      <c r="U130" s="97"/>
      <c r="Y130" s="198"/>
      <c r="Z130" s="198"/>
    </row>
    <row r="131" spans="1:26" x14ac:dyDescent="0.35">
      <c r="A131" s="128">
        <v>33</v>
      </c>
      <c r="B131" s="132" t="s">
        <v>285</v>
      </c>
      <c r="C131" s="132" t="s">
        <v>224</v>
      </c>
      <c r="D131" s="133" t="s">
        <v>46</v>
      </c>
      <c r="E131" s="255">
        <v>0</v>
      </c>
      <c r="F131" s="255">
        <v>0</v>
      </c>
      <c r="G131" s="129">
        <f>0</f>
        <v>0</v>
      </c>
      <c r="H131" s="255">
        <f>IF(Utilities11215253[[#This Row],[Actual Buyout]]+Utilities11215253[[#This Row],[Change Orders]]=0,Utilities11215253[[#This Row],[Original Contract]],Utilities11215253[[#This Row],[Actual Buyout]]+Utilities11215253[[#This Row],[Change Orders]])</f>
        <v>0</v>
      </c>
      <c r="I131" s="129">
        <v>0</v>
      </c>
      <c r="J131" s="129">
        <f>Utilities11215253[[#This Row],[Original Contract]]-Utilities11215253[[#This Row],[Revised Contract]]</f>
        <v>0</v>
      </c>
      <c r="K131" s="347"/>
      <c r="L131" s="341"/>
      <c r="M131" s="343"/>
      <c r="T131" s="97"/>
      <c r="U131" s="97"/>
      <c r="Y131" s="198"/>
      <c r="Z131" s="198"/>
    </row>
    <row r="132" spans="1:26" x14ac:dyDescent="0.35">
      <c r="A132" s="128">
        <v>33</v>
      </c>
      <c r="B132" s="132" t="s">
        <v>286</v>
      </c>
      <c r="C132" s="132" t="s">
        <v>225</v>
      </c>
      <c r="D132" s="133" t="s">
        <v>47</v>
      </c>
      <c r="E132" s="255">
        <v>0</v>
      </c>
      <c r="F132" s="255">
        <v>0</v>
      </c>
      <c r="G132" s="129">
        <f>0</f>
        <v>0</v>
      </c>
      <c r="H132" s="255">
        <f>IF(Utilities11215253[[#This Row],[Actual Buyout]]+Utilities11215253[[#This Row],[Change Orders]]=0,Utilities11215253[[#This Row],[Original Contract]],Utilities11215253[[#This Row],[Actual Buyout]]+Utilities11215253[[#This Row],[Change Orders]])</f>
        <v>0</v>
      </c>
      <c r="I132" s="129">
        <v>0</v>
      </c>
      <c r="J132" s="129">
        <f>Utilities11215253[[#This Row],[Original Contract]]-Utilities11215253[[#This Row],[Revised Contract]]</f>
        <v>0</v>
      </c>
      <c r="K132" s="347"/>
      <c r="L132" s="341"/>
      <c r="M132" s="343"/>
      <c r="T132" s="97"/>
      <c r="U132" s="97"/>
      <c r="Y132" s="198"/>
      <c r="Z132" s="198"/>
    </row>
    <row r="133" spans="1:26" x14ac:dyDescent="0.35">
      <c r="A133" s="128">
        <v>33</v>
      </c>
      <c r="B133" s="132" t="s">
        <v>284</v>
      </c>
      <c r="C133" s="132" t="s">
        <v>226</v>
      </c>
      <c r="D133" s="133" t="s">
        <v>48</v>
      </c>
      <c r="E133" s="255">
        <v>0</v>
      </c>
      <c r="F133" s="255">
        <v>0</v>
      </c>
      <c r="G133" s="129">
        <f>0</f>
        <v>0</v>
      </c>
      <c r="H133" s="255">
        <f>IF(Utilities11215253[[#This Row],[Actual Buyout]]+Utilities11215253[[#This Row],[Change Orders]]=0,Utilities11215253[[#This Row],[Original Contract]],Utilities11215253[[#This Row],[Actual Buyout]]+Utilities11215253[[#This Row],[Change Orders]])</f>
        <v>0</v>
      </c>
      <c r="I133" s="129">
        <v>0</v>
      </c>
      <c r="J133" s="129">
        <f>Utilities11215253[[#This Row],[Original Contract]]-Utilities11215253[[#This Row],[Revised Contract]]</f>
        <v>0</v>
      </c>
      <c r="K133" s="347"/>
      <c r="L133" s="341"/>
      <c r="M133" s="343"/>
      <c r="T133" s="97"/>
      <c r="U133" s="97"/>
      <c r="Y133" s="198"/>
      <c r="Z133" s="198"/>
    </row>
    <row r="134" spans="1:26" x14ac:dyDescent="0.35">
      <c r="A134" s="128">
        <v>33</v>
      </c>
      <c r="B134" s="132" t="s">
        <v>290</v>
      </c>
      <c r="C134" s="132" t="s">
        <v>287</v>
      </c>
      <c r="D134" s="261" t="s">
        <v>227</v>
      </c>
      <c r="E134" s="255">
        <v>0</v>
      </c>
      <c r="F134" s="255">
        <v>0</v>
      </c>
      <c r="G134" s="129">
        <f>0</f>
        <v>0</v>
      </c>
      <c r="H134" s="255">
        <f>IF(Utilities11215253[[#This Row],[Actual Buyout]]+Utilities11215253[[#This Row],[Change Orders]]=0,Utilities11215253[[#This Row],[Original Contract]],Utilities11215253[[#This Row],[Actual Buyout]]+Utilities11215253[[#This Row],[Change Orders]])</f>
        <v>0</v>
      </c>
      <c r="I134" s="129">
        <v>0</v>
      </c>
      <c r="J134" s="129">
        <f>Utilities11215253[[#This Row],[Original Contract]]-Utilities11215253[[#This Row],[Revised Contract]]</f>
        <v>0</v>
      </c>
      <c r="K134" s="347"/>
      <c r="L134" s="341"/>
      <c r="M134" s="343"/>
      <c r="T134" s="97"/>
      <c r="U134" s="97"/>
      <c r="Y134" s="198"/>
      <c r="Z134" s="198"/>
    </row>
    <row r="135" spans="1:26" x14ac:dyDescent="0.35">
      <c r="A135" s="128">
        <v>33</v>
      </c>
      <c r="B135" s="132" t="s">
        <v>289</v>
      </c>
      <c r="C135" s="132" t="s">
        <v>288</v>
      </c>
      <c r="D135" s="133" t="s">
        <v>228</v>
      </c>
      <c r="E135" s="255">
        <v>0</v>
      </c>
      <c r="F135" s="255">
        <v>0</v>
      </c>
      <c r="G135" s="129">
        <f>0</f>
        <v>0</v>
      </c>
      <c r="H135" s="255">
        <f>IF(Utilities11215253[[#This Row],[Actual Buyout]]+Utilities11215253[[#This Row],[Change Orders]]=0,Utilities11215253[[#This Row],[Original Contract]],Utilities11215253[[#This Row],[Actual Buyout]]+Utilities11215253[[#This Row],[Change Orders]])</f>
        <v>0</v>
      </c>
      <c r="I135" s="129">
        <v>0</v>
      </c>
      <c r="J135" s="129">
        <f>Utilities11215253[[#This Row],[Original Contract]]-Utilities11215253[[#This Row],[Revised Contract]]</f>
        <v>0</v>
      </c>
      <c r="K135" s="347"/>
      <c r="L135" s="341"/>
      <c r="M135" s="343"/>
      <c r="T135" s="97"/>
      <c r="U135" s="97"/>
      <c r="Y135" s="198"/>
      <c r="Z135" s="198"/>
    </row>
    <row r="136" spans="1:26" x14ac:dyDescent="0.35">
      <c r="A136" s="128">
        <v>33</v>
      </c>
      <c r="B136" s="132"/>
      <c r="C136" s="132"/>
      <c r="D136" s="133" t="s">
        <v>37</v>
      </c>
      <c r="E136" s="255">
        <v>0</v>
      </c>
      <c r="F136" s="255">
        <v>0</v>
      </c>
      <c r="G136" s="129">
        <f>0</f>
        <v>0</v>
      </c>
      <c r="H136" s="255">
        <f>IF(Utilities11215253[[#This Row],[Actual Buyout]]+Utilities11215253[[#This Row],[Change Orders]]=0,Utilities11215253[[#This Row],[Original Contract]],Utilities11215253[[#This Row],[Actual Buyout]]+Utilities11215253[[#This Row],[Change Orders]])</f>
        <v>0</v>
      </c>
      <c r="I136" s="129">
        <v>0</v>
      </c>
      <c r="J136" s="129">
        <f>Utilities11215253[[#This Row],[Original Contract]]-Utilities11215253[[#This Row],[Revised Contract]]</f>
        <v>0</v>
      </c>
      <c r="K136" s="347"/>
      <c r="L136" s="341"/>
      <c r="M136" s="343"/>
      <c r="T136" s="97"/>
      <c r="U136" s="97"/>
      <c r="Y136" s="198"/>
      <c r="Z136" s="198"/>
    </row>
    <row r="137" spans="1:26" x14ac:dyDescent="0.35">
      <c r="A137" s="128">
        <v>33</v>
      </c>
      <c r="B137" s="132"/>
      <c r="C137" s="132"/>
      <c r="D137" s="133" t="s">
        <v>37</v>
      </c>
      <c r="E137" s="255">
        <v>0</v>
      </c>
      <c r="F137" s="255">
        <v>0</v>
      </c>
      <c r="G137" s="129">
        <f>0</f>
        <v>0</v>
      </c>
      <c r="H137" s="255">
        <f>IF(Utilities11215253[[#This Row],[Actual Buyout]]+Utilities11215253[[#This Row],[Change Orders]]=0,Utilities11215253[[#This Row],[Original Contract]],Utilities11215253[[#This Row],[Actual Buyout]]+Utilities11215253[[#This Row],[Change Orders]])</f>
        <v>0</v>
      </c>
      <c r="I137" s="129">
        <v>0</v>
      </c>
      <c r="J137" s="129">
        <f>Utilities11215253[[#This Row],[Original Contract]]-Utilities11215253[[#This Row],[Revised Contract]]</f>
        <v>0</v>
      </c>
      <c r="K137" s="347"/>
      <c r="L137" s="341"/>
      <c r="M137" s="343"/>
      <c r="T137" s="97"/>
      <c r="U137" s="97"/>
      <c r="Y137" s="198"/>
      <c r="Z137" s="198"/>
    </row>
    <row r="138" spans="1:26" x14ac:dyDescent="0.35">
      <c r="A138" s="128">
        <v>33</v>
      </c>
      <c r="B138" s="132"/>
      <c r="C138" s="132"/>
      <c r="D138" s="133" t="s">
        <v>37</v>
      </c>
      <c r="E138" s="255">
        <v>0</v>
      </c>
      <c r="F138" s="255">
        <v>0</v>
      </c>
      <c r="G138" s="129">
        <f>0</f>
        <v>0</v>
      </c>
      <c r="H138" s="255">
        <f>IF(Utilities11215253[[#This Row],[Actual Buyout]]+Utilities11215253[[#This Row],[Change Orders]]=0,Utilities11215253[[#This Row],[Original Contract]],Utilities11215253[[#This Row],[Actual Buyout]]+Utilities11215253[[#This Row],[Change Orders]])</f>
        <v>0</v>
      </c>
      <c r="I138" s="129">
        <v>0</v>
      </c>
      <c r="J138" s="129">
        <f>Utilities11215253[[#This Row],[Original Contract]]-Utilities11215253[[#This Row],[Revised Contract]]</f>
        <v>0</v>
      </c>
      <c r="K138" s="347"/>
      <c r="L138" s="341"/>
      <c r="M138" s="343"/>
      <c r="T138" s="97"/>
      <c r="U138" s="97"/>
      <c r="Y138" s="198"/>
      <c r="Z138" s="198"/>
    </row>
    <row r="139" spans="1:26" x14ac:dyDescent="0.35">
      <c r="A139" s="128">
        <v>33</v>
      </c>
      <c r="B139" s="132"/>
      <c r="C139" s="132"/>
      <c r="D139" s="133" t="s">
        <v>37</v>
      </c>
      <c r="E139" s="255">
        <v>0</v>
      </c>
      <c r="F139" s="255">
        <v>0</v>
      </c>
      <c r="G139" s="129">
        <f>0</f>
        <v>0</v>
      </c>
      <c r="H139" s="255">
        <f>IF(Utilities11215253[[#This Row],[Actual Buyout]]+Utilities11215253[[#This Row],[Change Orders]]=0,Utilities11215253[[#This Row],[Original Contract]],Utilities11215253[[#This Row],[Actual Buyout]]+Utilities11215253[[#This Row],[Change Orders]])</f>
        <v>0</v>
      </c>
      <c r="I139" s="129">
        <v>0</v>
      </c>
      <c r="J139" s="129">
        <f>Utilities11215253[[#This Row],[Original Contract]]-Utilities11215253[[#This Row],[Revised Contract]]</f>
        <v>0</v>
      </c>
      <c r="K139" s="347"/>
      <c r="L139" s="341"/>
      <c r="M139" s="343"/>
      <c r="T139" s="97"/>
      <c r="U139" s="97"/>
      <c r="Y139" s="198"/>
      <c r="Z139" s="198"/>
    </row>
    <row r="140" spans="1:26" x14ac:dyDescent="0.35">
      <c r="A140" s="128">
        <v>33</v>
      </c>
      <c r="B140" s="132"/>
      <c r="C140" s="132"/>
      <c r="D140" s="133" t="s">
        <v>37</v>
      </c>
      <c r="E140" s="255">
        <v>0</v>
      </c>
      <c r="F140" s="255">
        <v>0</v>
      </c>
      <c r="G140" s="129">
        <f>0</f>
        <v>0</v>
      </c>
      <c r="H140" s="255">
        <f>IF(Utilities11215253[[#This Row],[Actual Buyout]]+Utilities11215253[[#This Row],[Change Orders]]=0,Utilities11215253[[#This Row],[Original Contract]],Utilities11215253[[#This Row],[Actual Buyout]]+Utilities11215253[[#This Row],[Change Orders]])</f>
        <v>0</v>
      </c>
      <c r="I140" s="129">
        <v>0</v>
      </c>
      <c r="J140" s="129">
        <f>Utilities11215253[[#This Row],[Original Contract]]-Utilities11215253[[#This Row],[Revised Contract]]</f>
        <v>0</v>
      </c>
      <c r="K140" s="347"/>
      <c r="L140" s="341"/>
      <c r="M140" s="343"/>
      <c r="T140" s="97"/>
      <c r="U140" s="97"/>
      <c r="Y140" s="198"/>
      <c r="Z140" s="198"/>
    </row>
    <row r="141" spans="1:26" x14ac:dyDescent="0.35">
      <c r="A141" s="257"/>
      <c r="B141" s="258"/>
      <c r="C141" s="258"/>
      <c r="D141" s="256" t="s">
        <v>38</v>
      </c>
      <c r="E141" s="151">
        <f>SUM(Utilities11215253[Original Contract])</f>
        <v>0</v>
      </c>
      <c r="F141" s="151">
        <f>SUM(Utilities11215253[Actual Buyout])</f>
        <v>0</v>
      </c>
      <c r="G141" s="151">
        <f>SUM(Utilities11215253[Change Orders])</f>
        <v>0</v>
      </c>
      <c r="H141" s="151">
        <f>SUM(Utilities11215253[Revised Contract])</f>
        <v>0</v>
      </c>
      <c r="I141" s="151">
        <f>SUM(Utilities11215253[Total completed and Stored])</f>
        <v>0</v>
      </c>
      <c r="J141" s="151">
        <f>SUM(Utilities11215253[Delta])</f>
        <v>0</v>
      </c>
      <c r="K141" s="348"/>
      <c r="L141" s="343"/>
      <c r="M141" s="343"/>
    </row>
    <row r="142" spans="1:26" x14ac:dyDescent="0.35">
      <c r="A142" s="100" t="s">
        <v>651</v>
      </c>
      <c r="B142" s="100" t="s">
        <v>237</v>
      </c>
      <c r="C142" s="100" t="s">
        <v>167</v>
      </c>
      <c r="D142" s="100" t="s">
        <v>26</v>
      </c>
      <c r="E142" s="100" t="s">
        <v>781</v>
      </c>
      <c r="F142" s="332" t="s">
        <v>1078</v>
      </c>
      <c r="G142" s="332" t="s">
        <v>782</v>
      </c>
      <c r="H142" s="332" t="s">
        <v>783</v>
      </c>
      <c r="I142" s="334" t="s">
        <v>785</v>
      </c>
      <c r="J142" s="340" t="s">
        <v>1079</v>
      </c>
      <c r="K142" s="347"/>
      <c r="L142" s="335"/>
      <c r="M142" s="343"/>
      <c r="T142" s="97"/>
      <c r="U142" s="97"/>
      <c r="Y142" s="198"/>
      <c r="Z142" s="198"/>
    </row>
    <row r="143" spans="1:26" x14ac:dyDescent="0.35">
      <c r="A143" s="128">
        <v>1</v>
      </c>
      <c r="B143" s="132" t="s">
        <v>237</v>
      </c>
      <c r="C143" s="132" t="s">
        <v>233</v>
      </c>
      <c r="D143" s="133" t="s">
        <v>232</v>
      </c>
      <c r="E143" s="255">
        <v>0</v>
      </c>
      <c r="F143" s="255">
        <v>0</v>
      </c>
      <c r="G143" s="129">
        <f>0</f>
        <v>0</v>
      </c>
      <c r="H143" s="255">
        <f>IF(TimeAllow12216254[[#This Row],[Actual Buyout]]+TimeAllow12216254[[#This Row],[Change Orders]]=0,TimeAllow12216254[[#This Row],[Original Contract]],TimeAllow12216254[[#This Row],[Actual Buyout]]+TimeAllow12216254[[#This Row],[Change Orders]])</f>
        <v>0</v>
      </c>
      <c r="I143" s="129">
        <v>0</v>
      </c>
      <c r="J143" s="129">
        <f>TimeAllow12216254[[#This Row],[Original Contract]]-TimeAllow12216254[[#This Row],[Revised Contract]]</f>
        <v>0</v>
      </c>
      <c r="K143" s="347"/>
      <c r="L143" s="341"/>
      <c r="M143" s="343"/>
      <c r="T143" s="97"/>
      <c r="U143" s="97"/>
      <c r="Y143" s="198"/>
      <c r="Z143" s="198"/>
    </row>
    <row r="144" spans="1:26" x14ac:dyDescent="0.35">
      <c r="A144" s="128">
        <v>1</v>
      </c>
      <c r="B144" s="132" t="s">
        <v>237</v>
      </c>
      <c r="C144" s="132" t="s">
        <v>233</v>
      </c>
      <c r="D144" s="133" t="s">
        <v>234</v>
      </c>
      <c r="E144" s="255">
        <v>0</v>
      </c>
      <c r="F144" s="255">
        <v>0</v>
      </c>
      <c r="G144" s="129">
        <f>0</f>
        <v>0</v>
      </c>
      <c r="H144" s="255">
        <f>IF(TimeAllow12216254[[#This Row],[Actual Buyout]]+TimeAllow12216254[[#This Row],[Change Orders]]=0,TimeAllow12216254[[#This Row],[Original Contract]],TimeAllow12216254[[#This Row],[Actual Buyout]]+TimeAllow12216254[[#This Row],[Change Orders]])</f>
        <v>0</v>
      </c>
      <c r="I144" s="129">
        <v>0</v>
      </c>
      <c r="J144" s="129">
        <f>TimeAllow12216254[[#This Row],[Original Contract]]-TimeAllow12216254[[#This Row],[Revised Contract]]</f>
        <v>0</v>
      </c>
      <c r="K144" s="347"/>
      <c r="L144" s="341"/>
      <c r="M144" s="343"/>
      <c r="T144" s="97"/>
      <c r="U144" s="97"/>
      <c r="Y144" s="198"/>
      <c r="Z144" s="198"/>
    </row>
    <row r="145" spans="1:26" x14ac:dyDescent="0.35">
      <c r="A145" s="128">
        <v>1</v>
      </c>
      <c r="B145" s="132"/>
      <c r="C145" s="132"/>
      <c r="D145" s="133" t="s">
        <v>802</v>
      </c>
      <c r="E145" s="255">
        <v>0</v>
      </c>
      <c r="F145" s="255">
        <v>0</v>
      </c>
      <c r="G145" s="129">
        <f>0</f>
        <v>0</v>
      </c>
      <c r="H145" s="255">
        <f>IF(TimeAllow12216254[[#This Row],[Actual Buyout]]+TimeAllow12216254[[#This Row],[Change Orders]]=0,TimeAllow12216254[[#This Row],[Original Contract]],TimeAllow12216254[[#This Row],[Actual Buyout]]+TimeAllow12216254[[#This Row],[Change Orders]])</f>
        <v>0</v>
      </c>
      <c r="I145" s="129">
        <v>0</v>
      </c>
      <c r="J145" s="129">
        <f>TimeAllow12216254[[#This Row],[Original Contract]]-TimeAllow12216254[[#This Row],[Revised Contract]]</f>
        <v>0</v>
      </c>
      <c r="K145" s="347"/>
      <c r="L145" s="341"/>
      <c r="M145" s="343"/>
      <c r="T145" s="97"/>
      <c r="U145" s="97"/>
      <c r="Y145" s="198"/>
      <c r="Z145" s="198"/>
    </row>
    <row r="146" spans="1:26" x14ac:dyDescent="0.35">
      <c r="A146" s="128">
        <v>1</v>
      </c>
      <c r="B146" s="132"/>
      <c r="C146" s="132"/>
      <c r="D146" s="133" t="s">
        <v>803</v>
      </c>
      <c r="E146" s="255">
        <v>0</v>
      </c>
      <c r="F146" s="255">
        <v>0</v>
      </c>
      <c r="G146" s="129">
        <f>0</f>
        <v>0</v>
      </c>
      <c r="H146" s="255">
        <f>IF(TimeAllow12216254[[#This Row],[Actual Buyout]]+TimeAllow12216254[[#This Row],[Change Orders]]=0,TimeAllow12216254[[#This Row],[Original Contract]],TimeAllow12216254[[#This Row],[Actual Buyout]]+TimeAllow12216254[[#This Row],[Change Orders]])</f>
        <v>0</v>
      </c>
      <c r="I146" s="129">
        <v>0</v>
      </c>
      <c r="J146" s="129">
        <f>TimeAllow12216254[[#This Row],[Original Contract]]-TimeAllow12216254[[#This Row],[Revised Contract]]</f>
        <v>0</v>
      </c>
      <c r="K146" s="347"/>
      <c r="L146" s="341"/>
      <c r="M146" s="343"/>
      <c r="T146" s="97"/>
      <c r="U146" s="97"/>
      <c r="Y146" s="198"/>
      <c r="Z146" s="198"/>
    </row>
    <row r="147" spans="1:26" x14ac:dyDescent="0.35">
      <c r="A147" s="128">
        <v>1</v>
      </c>
      <c r="B147" s="132"/>
      <c r="C147" s="132"/>
      <c r="D147" s="133" t="s">
        <v>804</v>
      </c>
      <c r="E147" s="255">
        <v>0</v>
      </c>
      <c r="F147" s="255">
        <v>0</v>
      </c>
      <c r="G147" s="129">
        <f>0</f>
        <v>0</v>
      </c>
      <c r="H147" s="255">
        <f>IF(TimeAllow12216254[[#This Row],[Actual Buyout]]+TimeAllow12216254[[#This Row],[Change Orders]]=0,TimeAllow12216254[[#This Row],[Original Contract]],TimeAllow12216254[[#This Row],[Actual Buyout]]+TimeAllow12216254[[#This Row],[Change Orders]])</f>
        <v>0</v>
      </c>
      <c r="I147" s="129">
        <v>0</v>
      </c>
      <c r="J147" s="129">
        <f>TimeAllow12216254[[#This Row],[Original Contract]]-TimeAllow12216254[[#This Row],[Revised Contract]]</f>
        <v>0</v>
      </c>
      <c r="K147" s="347"/>
      <c r="L147" s="341"/>
      <c r="M147" s="343"/>
      <c r="T147" s="97"/>
      <c r="U147" s="97"/>
      <c r="Y147" s="198"/>
      <c r="Z147" s="198"/>
    </row>
    <row r="148" spans="1:26" x14ac:dyDescent="0.35">
      <c r="A148" s="128">
        <v>1</v>
      </c>
      <c r="B148" s="132"/>
      <c r="C148" s="132"/>
      <c r="D148" s="133" t="s">
        <v>37</v>
      </c>
      <c r="E148" s="255">
        <v>0</v>
      </c>
      <c r="F148" s="255">
        <v>0</v>
      </c>
      <c r="G148" s="129">
        <f>0</f>
        <v>0</v>
      </c>
      <c r="H148" s="255">
        <f>IF(TimeAllow12216254[[#This Row],[Actual Buyout]]+TimeAllow12216254[[#This Row],[Change Orders]]=0,TimeAllow12216254[[#This Row],[Original Contract]],TimeAllow12216254[[#This Row],[Actual Buyout]]+TimeAllow12216254[[#This Row],[Change Orders]])</f>
        <v>0</v>
      </c>
      <c r="I148" s="129">
        <v>0</v>
      </c>
      <c r="J148" s="129">
        <f>TimeAllow12216254[[#This Row],[Original Contract]]-TimeAllow12216254[[#This Row],[Revised Contract]]</f>
        <v>0</v>
      </c>
      <c r="K148" s="347"/>
      <c r="L148" s="341"/>
      <c r="M148" s="343"/>
      <c r="T148" s="97"/>
      <c r="U148" s="97"/>
      <c r="Y148" s="198"/>
      <c r="Z148" s="198"/>
    </row>
    <row r="149" spans="1:26" x14ac:dyDescent="0.35">
      <c r="A149" s="128">
        <v>1</v>
      </c>
      <c r="B149" s="132"/>
      <c r="C149" s="132"/>
      <c r="D149" s="133" t="s">
        <v>37</v>
      </c>
      <c r="E149" s="255">
        <v>0</v>
      </c>
      <c r="F149" s="255">
        <v>0</v>
      </c>
      <c r="G149" s="129">
        <f>0</f>
        <v>0</v>
      </c>
      <c r="H149" s="255">
        <f>IF(TimeAllow12216254[[#This Row],[Actual Buyout]]+TimeAllow12216254[[#This Row],[Change Orders]]=0,TimeAllow12216254[[#This Row],[Original Contract]],TimeAllow12216254[[#This Row],[Actual Buyout]]+TimeAllow12216254[[#This Row],[Change Orders]])</f>
        <v>0</v>
      </c>
      <c r="I149" s="129">
        <v>0</v>
      </c>
      <c r="J149" s="129">
        <f>TimeAllow12216254[[#This Row],[Original Contract]]-TimeAllow12216254[[#This Row],[Revised Contract]]</f>
        <v>0</v>
      </c>
      <c r="K149" s="347"/>
      <c r="L149" s="341"/>
      <c r="M149" s="343"/>
      <c r="T149" s="97"/>
      <c r="U149" s="97"/>
      <c r="Y149" s="198"/>
      <c r="Z149" s="198"/>
    </row>
    <row r="150" spans="1:26" x14ac:dyDescent="0.35">
      <c r="A150" s="257"/>
      <c r="B150" s="258"/>
      <c r="C150" s="258"/>
      <c r="D150" s="256" t="s">
        <v>38</v>
      </c>
      <c r="E150" s="151">
        <f>SUM(TimeAllow12216254[Original Contract])</f>
        <v>0</v>
      </c>
      <c r="F150" s="151">
        <f>SUM(TimeAllow12216254[Actual Buyout])</f>
        <v>0</v>
      </c>
      <c r="G150" s="151">
        <f>SUM(TimeAllow12216254[Change Orders])</f>
        <v>0</v>
      </c>
      <c r="H150" s="151">
        <f>SUM(TimeAllow12216254[Revised Contract])</f>
        <v>0</v>
      </c>
      <c r="I150" s="151">
        <f>SUM(TimeAllow12216254[Total completed and Stored])</f>
        <v>0</v>
      </c>
      <c r="J150" s="151">
        <f>SUM(TimeAllow12216254[Delta])</f>
        <v>0</v>
      </c>
      <c r="K150" s="348"/>
      <c r="L150" s="343"/>
      <c r="M150" s="343"/>
    </row>
    <row r="151" spans="1:26" x14ac:dyDescent="0.35">
      <c r="A151" s="100" t="s">
        <v>652</v>
      </c>
      <c r="B151" s="100" t="s">
        <v>3</v>
      </c>
      <c r="C151" s="100" t="s">
        <v>167</v>
      </c>
      <c r="D151" s="100" t="s">
        <v>26</v>
      </c>
      <c r="E151" s="100" t="s">
        <v>781</v>
      </c>
      <c r="F151" s="332" t="s">
        <v>1078</v>
      </c>
      <c r="G151" s="332" t="s">
        <v>782</v>
      </c>
      <c r="H151" s="332" t="s">
        <v>783</v>
      </c>
      <c r="I151" s="334" t="s">
        <v>785</v>
      </c>
      <c r="J151" s="340" t="s">
        <v>1079</v>
      </c>
      <c r="K151" s="347"/>
      <c r="L151" s="335"/>
      <c r="M151" s="343"/>
      <c r="T151" s="97"/>
      <c r="U151" s="97"/>
      <c r="Y151" s="198"/>
      <c r="Z151" s="198"/>
    </row>
    <row r="152" spans="1:26" x14ac:dyDescent="0.35">
      <c r="A152" s="128">
        <v>2</v>
      </c>
      <c r="B152" s="132" t="s">
        <v>293</v>
      </c>
      <c r="C152" s="132" t="s">
        <v>235</v>
      </c>
      <c r="D152" s="133" t="s">
        <v>3</v>
      </c>
      <c r="E152" s="255">
        <v>0</v>
      </c>
      <c r="F152" s="255">
        <v>0</v>
      </c>
      <c r="G152" s="129">
        <f>0</f>
        <v>0</v>
      </c>
      <c r="H152" s="255">
        <f>IF(Demo13217255[[#This Row],[Actual Buyout]]+Demo13217255[[#This Row],[Change Orders]]=0,Demo13217255[[#This Row],[Original Contract]],Demo13217255[[#This Row],[Actual Buyout]]+Demo13217255[[#This Row],[Change Orders]])</f>
        <v>0</v>
      </c>
      <c r="I152" s="129">
        <v>0</v>
      </c>
      <c r="J152" s="129">
        <f>Demo13217255[[#This Row],[Original Contract]]-Demo13217255[[#This Row],[Revised Contract]]</f>
        <v>0</v>
      </c>
      <c r="K152" s="347"/>
      <c r="L152" s="341"/>
      <c r="M152" s="343"/>
      <c r="T152" s="97"/>
      <c r="U152" s="97"/>
      <c r="Y152" s="198"/>
      <c r="Z152" s="198"/>
    </row>
    <row r="153" spans="1:26" x14ac:dyDescent="0.35">
      <c r="A153" s="128">
        <v>2</v>
      </c>
      <c r="B153" s="132"/>
      <c r="C153" s="132"/>
      <c r="D153" s="133" t="s">
        <v>37</v>
      </c>
      <c r="E153" s="255">
        <v>0</v>
      </c>
      <c r="F153" s="255">
        <v>0</v>
      </c>
      <c r="G153" s="129">
        <f>0</f>
        <v>0</v>
      </c>
      <c r="H153" s="255">
        <f>IF(Demo13217255[[#This Row],[Actual Buyout]]+Demo13217255[[#This Row],[Change Orders]]=0,Demo13217255[[#This Row],[Original Contract]],Demo13217255[[#This Row],[Actual Buyout]]+Demo13217255[[#This Row],[Change Orders]])</f>
        <v>0</v>
      </c>
      <c r="I153" s="129">
        <v>0</v>
      </c>
      <c r="J153" s="129">
        <f>Demo13217255[[#This Row],[Original Contract]]-Demo13217255[[#This Row],[Revised Contract]]</f>
        <v>0</v>
      </c>
      <c r="K153" s="347"/>
      <c r="L153" s="341"/>
      <c r="M153" s="343"/>
      <c r="T153" s="97"/>
      <c r="U153" s="97"/>
      <c r="Y153" s="198"/>
      <c r="Z153" s="198"/>
    </row>
    <row r="154" spans="1:26" x14ac:dyDescent="0.35">
      <c r="A154" s="128">
        <v>2</v>
      </c>
      <c r="B154" s="132"/>
      <c r="C154" s="132"/>
      <c r="D154" s="133" t="s">
        <v>37</v>
      </c>
      <c r="E154" s="255">
        <v>0</v>
      </c>
      <c r="F154" s="255">
        <v>0</v>
      </c>
      <c r="G154" s="129">
        <f>0</f>
        <v>0</v>
      </c>
      <c r="H154" s="255">
        <f>IF(Demo13217255[[#This Row],[Actual Buyout]]+Demo13217255[[#This Row],[Change Orders]]=0,Demo13217255[[#This Row],[Original Contract]],Demo13217255[[#This Row],[Actual Buyout]]+Demo13217255[[#This Row],[Change Orders]])</f>
        <v>0</v>
      </c>
      <c r="I154" s="129">
        <v>0</v>
      </c>
      <c r="J154" s="129">
        <f>Demo13217255[[#This Row],[Original Contract]]-Demo13217255[[#This Row],[Revised Contract]]</f>
        <v>0</v>
      </c>
      <c r="K154" s="347"/>
      <c r="L154" s="341"/>
      <c r="M154" s="343"/>
      <c r="T154" s="97"/>
      <c r="U154" s="97"/>
      <c r="Y154" s="198"/>
      <c r="Z154" s="198"/>
    </row>
    <row r="155" spans="1:26" x14ac:dyDescent="0.35">
      <c r="A155" s="128">
        <v>2</v>
      </c>
      <c r="B155" s="132"/>
      <c r="C155" s="132"/>
      <c r="D155" s="133" t="s">
        <v>37</v>
      </c>
      <c r="E155" s="255">
        <v>0</v>
      </c>
      <c r="F155" s="255">
        <v>0</v>
      </c>
      <c r="G155" s="129">
        <f>0</f>
        <v>0</v>
      </c>
      <c r="H155" s="255">
        <f>IF(Demo13217255[[#This Row],[Actual Buyout]]+Demo13217255[[#This Row],[Change Orders]]=0,Demo13217255[[#This Row],[Original Contract]],Demo13217255[[#This Row],[Actual Buyout]]+Demo13217255[[#This Row],[Change Orders]])</f>
        <v>0</v>
      </c>
      <c r="I155" s="129">
        <v>0</v>
      </c>
      <c r="J155" s="129">
        <f>Demo13217255[[#This Row],[Original Contract]]-Demo13217255[[#This Row],[Revised Contract]]</f>
        <v>0</v>
      </c>
      <c r="K155" s="347"/>
      <c r="L155" s="341"/>
      <c r="M155" s="343"/>
      <c r="T155" s="97"/>
      <c r="U155" s="97"/>
      <c r="Y155" s="198"/>
      <c r="Z155" s="198"/>
    </row>
    <row r="156" spans="1:26" x14ac:dyDescent="0.35">
      <c r="A156" s="128">
        <v>2</v>
      </c>
      <c r="B156" s="132"/>
      <c r="C156" s="132"/>
      <c r="D156" s="133" t="s">
        <v>37</v>
      </c>
      <c r="E156" s="255">
        <v>0</v>
      </c>
      <c r="F156" s="255">
        <v>0</v>
      </c>
      <c r="G156" s="129">
        <f>0</f>
        <v>0</v>
      </c>
      <c r="H156" s="255">
        <f>IF(Demo13217255[[#This Row],[Actual Buyout]]+Demo13217255[[#This Row],[Change Orders]]=0,Demo13217255[[#This Row],[Original Contract]],Demo13217255[[#This Row],[Actual Buyout]]+Demo13217255[[#This Row],[Change Orders]])</f>
        <v>0</v>
      </c>
      <c r="I156" s="129">
        <v>0</v>
      </c>
      <c r="J156" s="129">
        <f>Demo13217255[[#This Row],[Original Contract]]-Demo13217255[[#This Row],[Revised Contract]]</f>
        <v>0</v>
      </c>
      <c r="K156" s="347"/>
      <c r="L156" s="341"/>
      <c r="M156" s="343"/>
      <c r="T156" s="97"/>
      <c r="U156" s="97"/>
      <c r="Y156" s="198"/>
      <c r="Z156" s="198"/>
    </row>
    <row r="157" spans="1:26" x14ac:dyDescent="0.35">
      <c r="A157" s="128">
        <v>2</v>
      </c>
      <c r="B157" s="132"/>
      <c r="C157" s="132"/>
      <c r="D157" s="133" t="s">
        <v>37</v>
      </c>
      <c r="E157" s="255">
        <v>0</v>
      </c>
      <c r="F157" s="255">
        <v>0</v>
      </c>
      <c r="G157" s="129">
        <f>0</f>
        <v>0</v>
      </c>
      <c r="H157" s="255">
        <f>IF(Demo13217255[[#This Row],[Actual Buyout]]+Demo13217255[[#This Row],[Change Orders]]=0,Demo13217255[[#This Row],[Original Contract]],Demo13217255[[#This Row],[Actual Buyout]]+Demo13217255[[#This Row],[Change Orders]])</f>
        <v>0</v>
      </c>
      <c r="I157" s="129">
        <v>0</v>
      </c>
      <c r="J157" s="129">
        <f>Demo13217255[[#This Row],[Original Contract]]-Demo13217255[[#This Row],[Revised Contract]]</f>
        <v>0</v>
      </c>
      <c r="K157" s="347"/>
      <c r="L157" s="341"/>
      <c r="M157" s="343"/>
      <c r="T157" s="97"/>
      <c r="U157" s="97"/>
      <c r="Y157" s="198"/>
      <c r="Z157" s="198"/>
    </row>
    <row r="158" spans="1:26" x14ac:dyDescent="0.35">
      <c r="A158" s="257"/>
      <c r="B158" s="258"/>
      <c r="C158" s="258"/>
      <c r="D158" s="256" t="s">
        <v>38</v>
      </c>
      <c r="E158" s="151">
        <f>SUM(Demo13217255[Original Contract])</f>
        <v>0</v>
      </c>
      <c r="F158" s="151">
        <f>SUM(Demo13217255[Actual Buyout])</f>
        <v>0</v>
      </c>
      <c r="G158" s="151">
        <f>SUM(Demo13217255[Change Orders])</f>
        <v>0</v>
      </c>
      <c r="H158" s="151">
        <f>SUM(Demo13217255[Revised Contract])</f>
        <v>0</v>
      </c>
      <c r="I158" s="151">
        <f>SUM(Demo13217255[Total completed and Stored])</f>
        <v>0</v>
      </c>
      <c r="J158" s="151">
        <f>SUM(Demo13217255[Delta])</f>
        <v>0</v>
      </c>
      <c r="K158" s="348"/>
      <c r="L158" s="343"/>
      <c r="M158" s="343"/>
    </row>
    <row r="159" spans="1:26" x14ac:dyDescent="0.35">
      <c r="A159" s="100" t="s">
        <v>653</v>
      </c>
      <c r="B159" s="100" t="s">
        <v>71</v>
      </c>
      <c r="C159" s="100" t="s">
        <v>167</v>
      </c>
      <c r="D159" s="100" t="s">
        <v>26</v>
      </c>
      <c r="E159" s="100" t="s">
        <v>781</v>
      </c>
      <c r="F159" s="332" t="s">
        <v>1078</v>
      </c>
      <c r="G159" s="332" t="s">
        <v>782</v>
      </c>
      <c r="H159" s="332" t="s">
        <v>783</v>
      </c>
      <c r="I159" s="334" t="s">
        <v>785</v>
      </c>
      <c r="J159" s="340" t="s">
        <v>1079</v>
      </c>
      <c r="K159" s="347"/>
      <c r="L159" s="335"/>
      <c r="M159" s="343"/>
      <c r="T159" s="97"/>
      <c r="U159" s="97"/>
      <c r="Y159" s="198"/>
      <c r="Z159" s="198"/>
    </row>
    <row r="160" spans="1:26" x14ac:dyDescent="0.35">
      <c r="A160" s="128">
        <v>3</v>
      </c>
      <c r="B160" s="132" t="s">
        <v>294</v>
      </c>
      <c r="C160" s="132" t="s">
        <v>171</v>
      </c>
      <c r="D160" s="133" t="s">
        <v>741</v>
      </c>
      <c r="E160" s="255">
        <v>0</v>
      </c>
      <c r="F160" s="255">
        <v>0</v>
      </c>
      <c r="G160" s="129">
        <f>0</f>
        <v>0</v>
      </c>
      <c r="H160" s="255">
        <f>IF(BuildConcrete14218256[[#This Row],[Actual Buyout]]+BuildConcrete14218256[[#This Row],[Change Orders]]=0,BuildConcrete14218256[[#This Row],[Original Contract]],BuildConcrete14218256[[#This Row],[Actual Buyout]]+BuildConcrete14218256[[#This Row],[Change Orders]])</f>
        <v>0</v>
      </c>
      <c r="I160" s="129">
        <v>0</v>
      </c>
      <c r="J160" s="129">
        <f>BuildConcrete14218256[[#This Row],[Original Contract]]-BuildConcrete14218256[[#This Row],[Revised Contract]]</f>
        <v>0</v>
      </c>
      <c r="K160" s="347"/>
      <c r="L160" s="341"/>
      <c r="M160" s="343"/>
      <c r="T160" s="97"/>
      <c r="U160" s="97"/>
      <c r="Y160" s="198"/>
      <c r="Z160" s="198"/>
    </row>
    <row r="161" spans="1:26" x14ac:dyDescent="0.35">
      <c r="A161" s="128">
        <v>3</v>
      </c>
      <c r="B161" s="132" t="s">
        <v>294</v>
      </c>
      <c r="C161" s="132" t="s">
        <v>171</v>
      </c>
      <c r="D161" s="133" t="s">
        <v>742</v>
      </c>
      <c r="E161" s="255">
        <v>0</v>
      </c>
      <c r="F161" s="255">
        <v>0</v>
      </c>
      <c r="G161" s="129">
        <f>0</f>
        <v>0</v>
      </c>
      <c r="H161" s="255">
        <f>IF(BuildConcrete14218256[[#This Row],[Actual Buyout]]+BuildConcrete14218256[[#This Row],[Change Orders]]=0,BuildConcrete14218256[[#This Row],[Original Contract]],BuildConcrete14218256[[#This Row],[Actual Buyout]]+BuildConcrete14218256[[#This Row],[Change Orders]])</f>
        <v>0</v>
      </c>
      <c r="I161" s="129">
        <v>0</v>
      </c>
      <c r="J161" s="129">
        <f>BuildConcrete14218256[[#This Row],[Original Contract]]-BuildConcrete14218256[[#This Row],[Revised Contract]]</f>
        <v>0</v>
      </c>
      <c r="K161" s="347"/>
      <c r="L161" s="341"/>
      <c r="M161" s="343"/>
      <c r="T161" s="97"/>
      <c r="U161" s="97"/>
      <c r="Y161" s="198"/>
      <c r="Z161" s="198"/>
    </row>
    <row r="162" spans="1:26" x14ac:dyDescent="0.35">
      <c r="A162" s="128">
        <v>3</v>
      </c>
      <c r="B162" s="132" t="s">
        <v>294</v>
      </c>
      <c r="C162" s="132" t="s">
        <v>171</v>
      </c>
      <c r="D162" s="133" t="s">
        <v>743</v>
      </c>
      <c r="E162" s="255">
        <v>0</v>
      </c>
      <c r="F162" s="255">
        <v>0</v>
      </c>
      <c r="G162" s="129">
        <f>0</f>
        <v>0</v>
      </c>
      <c r="H162" s="255">
        <f>IF(BuildConcrete14218256[[#This Row],[Actual Buyout]]+BuildConcrete14218256[[#This Row],[Change Orders]]=0,BuildConcrete14218256[[#This Row],[Original Contract]],BuildConcrete14218256[[#This Row],[Actual Buyout]]+BuildConcrete14218256[[#This Row],[Change Orders]])</f>
        <v>0</v>
      </c>
      <c r="I162" s="129">
        <v>0</v>
      </c>
      <c r="J162" s="129">
        <f>BuildConcrete14218256[[#This Row],[Original Contract]]-BuildConcrete14218256[[#This Row],[Revised Contract]]</f>
        <v>0</v>
      </c>
      <c r="K162" s="347"/>
      <c r="L162" s="341"/>
      <c r="M162" s="343"/>
      <c r="T162" s="97"/>
      <c r="U162" s="97"/>
      <c r="Y162" s="198"/>
      <c r="Z162" s="198"/>
    </row>
    <row r="163" spans="1:26" x14ac:dyDescent="0.35">
      <c r="A163" s="128">
        <v>3</v>
      </c>
      <c r="B163" s="132" t="s">
        <v>294</v>
      </c>
      <c r="C163" s="132" t="s">
        <v>171</v>
      </c>
      <c r="D163" s="133" t="s">
        <v>72</v>
      </c>
      <c r="E163" s="255">
        <v>0</v>
      </c>
      <c r="F163" s="255">
        <v>0</v>
      </c>
      <c r="G163" s="129">
        <f>0</f>
        <v>0</v>
      </c>
      <c r="H163" s="255">
        <f>IF(BuildConcrete14218256[[#This Row],[Actual Buyout]]+BuildConcrete14218256[[#This Row],[Change Orders]]=0,BuildConcrete14218256[[#This Row],[Original Contract]],BuildConcrete14218256[[#This Row],[Actual Buyout]]+BuildConcrete14218256[[#This Row],[Change Orders]])</f>
        <v>0</v>
      </c>
      <c r="I163" s="129">
        <v>0</v>
      </c>
      <c r="J163" s="129">
        <f>BuildConcrete14218256[[#This Row],[Original Contract]]-BuildConcrete14218256[[#This Row],[Revised Contract]]</f>
        <v>0</v>
      </c>
      <c r="K163" s="347"/>
      <c r="L163" s="341"/>
      <c r="M163" s="343"/>
      <c r="T163" s="97"/>
      <c r="U163" s="97"/>
      <c r="Y163" s="198"/>
      <c r="Z163" s="198"/>
    </row>
    <row r="164" spans="1:26" x14ac:dyDescent="0.35">
      <c r="A164" s="128">
        <v>3</v>
      </c>
      <c r="B164" s="132" t="s">
        <v>296</v>
      </c>
      <c r="C164" s="132" t="s">
        <v>295</v>
      </c>
      <c r="D164" s="133" t="s">
        <v>73</v>
      </c>
      <c r="E164" s="255">
        <v>0</v>
      </c>
      <c r="F164" s="255">
        <v>0</v>
      </c>
      <c r="G164" s="129">
        <f>0</f>
        <v>0</v>
      </c>
      <c r="H164" s="255">
        <f>IF(BuildConcrete14218256[[#This Row],[Actual Buyout]]+BuildConcrete14218256[[#This Row],[Change Orders]]=0,BuildConcrete14218256[[#This Row],[Original Contract]],BuildConcrete14218256[[#This Row],[Actual Buyout]]+BuildConcrete14218256[[#This Row],[Change Orders]])</f>
        <v>0</v>
      </c>
      <c r="I164" s="129">
        <v>0</v>
      </c>
      <c r="J164" s="129">
        <f>BuildConcrete14218256[[#This Row],[Original Contract]]-BuildConcrete14218256[[#This Row],[Revised Contract]]</f>
        <v>0</v>
      </c>
      <c r="K164" s="347"/>
      <c r="L164" s="341"/>
      <c r="M164" s="343"/>
      <c r="T164" s="97"/>
      <c r="U164" s="97"/>
      <c r="Y164" s="198"/>
      <c r="Z164" s="198"/>
    </row>
    <row r="165" spans="1:26" x14ac:dyDescent="0.35">
      <c r="A165" s="128">
        <v>3</v>
      </c>
      <c r="B165" s="132" t="s">
        <v>296</v>
      </c>
      <c r="C165" s="132" t="s">
        <v>295</v>
      </c>
      <c r="D165" s="133" t="s">
        <v>744</v>
      </c>
      <c r="E165" s="255">
        <v>0</v>
      </c>
      <c r="F165" s="255">
        <v>0</v>
      </c>
      <c r="G165" s="129">
        <f>0</f>
        <v>0</v>
      </c>
      <c r="H165" s="255">
        <f>IF(BuildConcrete14218256[[#This Row],[Actual Buyout]]+BuildConcrete14218256[[#This Row],[Change Orders]]=0,BuildConcrete14218256[[#This Row],[Original Contract]],BuildConcrete14218256[[#This Row],[Actual Buyout]]+BuildConcrete14218256[[#This Row],[Change Orders]])</f>
        <v>0</v>
      </c>
      <c r="I165" s="129">
        <v>0</v>
      </c>
      <c r="J165" s="129">
        <f>BuildConcrete14218256[[#This Row],[Original Contract]]-BuildConcrete14218256[[#This Row],[Revised Contract]]</f>
        <v>0</v>
      </c>
      <c r="K165" s="347"/>
      <c r="L165" s="341"/>
      <c r="M165" s="343"/>
      <c r="T165" s="97"/>
      <c r="U165" s="97"/>
      <c r="Y165" s="198"/>
      <c r="Z165" s="198"/>
    </row>
    <row r="166" spans="1:26" x14ac:dyDescent="0.35">
      <c r="A166" s="128">
        <v>3</v>
      </c>
      <c r="B166" s="132" t="s">
        <v>294</v>
      </c>
      <c r="C166" s="132" t="s">
        <v>171</v>
      </c>
      <c r="D166" s="133" t="s">
        <v>745</v>
      </c>
      <c r="E166" s="255">
        <v>0</v>
      </c>
      <c r="F166" s="255">
        <v>0</v>
      </c>
      <c r="G166" s="129">
        <f>0</f>
        <v>0</v>
      </c>
      <c r="H166" s="255">
        <f>IF(BuildConcrete14218256[[#This Row],[Actual Buyout]]+BuildConcrete14218256[[#This Row],[Change Orders]]=0,BuildConcrete14218256[[#This Row],[Original Contract]],BuildConcrete14218256[[#This Row],[Actual Buyout]]+BuildConcrete14218256[[#This Row],[Change Orders]])</f>
        <v>0</v>
      </c>
      <c r="I166" s="129">
        <v>0</v>
      </c>
      <c r="J166" s="129">
        <f>BuildConcrete14218256[[#This Row],[Original Contract]]-BuildConcrete14218256[[#This Row],[Revised Contract]]</f>
        <v>0</v>
      </c>
      <c r="K166" s="347"/>
      <c r="L166" s="341"/>
      <c r="M166" s="343"/>
      <c r="T166" s="97"/>
      <c r="U166" s="97"/>
      <c r="Y166" s="198"/>
      <c r="Z166" s="198"/>
    </row>
    <row r="167" spans="1:26" x14ac:dyDescent="0.35">
      <c r="A167" s="128">
        <v>3</v>
      </c>
      <c r="B167" s="132" t="s">
        <v>297</v>
      </c>
      <c r="C167" s="132" t="s">
        <v>172</v>
      </c>
      <c r="D167" s="133" t="s">
        <v>170</v>
      </c>
      <c r="E167" s="255">
        <v>0</v>
      </c>
      <c r="F167" s="255">
        <v>0</v>
      </c>
      <c r="G167" s="129">
        <f>0</f>
        <v>0</v>
      </c>
      <c r="H167" s="255">
        <f>IF(BuildConcrete14218256[[#This Row],[Actual Buyout]]+BuildConcrete14218256[[#This Row],[Change Orders]]=0,BuildConcrete14218256[[#This Row],[Original Contract]],BuildConcrete14218256[[#This Row],[Actual Buyout]]+BuildConcrete14218256[[#This Row],[Change Orders]])</f>
        <v>0</v>
      </c>
      <c r="I167" s="129">
        <v>0</v>
      </c>
      <c r="J167" s="129">
        <f>BuildConcrete14218256[[#This Row],[Original Contract]]-BuildConcrete14218256[[#This Row],[Revised Contract]]</f>
        <v>0</v>
      </c>
      <c r="K167" s="347"/>
      <c r="L167" s="341"/>
      <c r="M167" s="343"/>
      <c r="T167" s="97"/>
      <c r="U167" s="97"/>
      <c r="Y167" s="198"/>
      <c r="Z167" s="198"/>
    </row>
    <row r="168" spans="1:26" x14ac:dyDescent="0.35">
      <c r="A168" s="128">
        <v>3</v>
      </c>
      <c r="B168" s="132" t="s">
        <v>297</v>
      </c>
      <c r="C168" s="132" t="s">
        <v>172</v>
      </c>
      <c r="D168" s="133" t="s">
        <v>173</v>
      </c>
      <c r="E168" s="255">
        <v>0</v>
      </c>
      <c r="F168" s="255">
        <v>0</v>
      </c>
      <c r="G168" s="129">
        <f>0</f>
        <v>0</v>
      </c>
      <c r="H168" s="255">
        <f>IF(BuildConcrete14218256[[#This Row],[Actual Buyout]]+BuildConcrete14218256[[#This Row],[Change Orders]]=0,BuildConcrete14218256[[#This Row],[Original Contract]],BuildConcrete14218256[[#This Row],[Actual Buyout]]+BuildConcrete14218256[[#This Row],[Change Orders]])</f>
        <v>0</v>
      </c>
      <c r="I168" s="129">
        <v>0</v>
      </c>
      <c r="J168" s="129">
        <f>BuildConcrete14218256[[#This Row],[Original Contract]]-BuildConcrete14218256[[#This Row],[Revised Contract]]</f>
        <v>0</v>
      </c>
      <c r="K168" s="347"/>
      <c r="L168" s="341"/>
      <c r="M168" s="343"/>
      <c r="T168" s="97"/>
      <c r="U168" s="97"/>
      <c r="Y168" s="198"/>
      <c r="Z168" s="198"/>
    </row>
    <row r="169" spans="1:26" x14ac:dyDescent="0.35">
      <c r="A169" s="128">
        <v>3</v>
      </c>
      <c r="B169" s="132" t="s">
        <v>678</v>
      </c>
      <c r="C169" s="132" t="s">
        <v>171</v>
      </c>
      <c r="D169" s="133" t="s">
        <v>746</v>
      </c>
      <c r="E169" s="255">
        <v>0</v>
      </c>
      <c r="F169" s="255">
        <v>0</v>
      </c>
      <c r="G169" s="129">
        <f>0</f>
        <v>0</v>
      </c>
      <c r="H169" s="255">
        <f>IF(BuildConcrete14218256[[#This Row],[Actual Buyout]]+BuildConcrete14218256[[#This Row],[Change Orders]]=0,BuildConcrete14218256[[#This Row],[Original Contract]],BuildConcrete14218256[[#This Row],[Actual Buyout]]+BuildConcrete14218256[[#This Row],[Change Orders]])</f>
        <v>0</v>
      </c>
      <c r="I169" s="129">
        <v>0</v>
      </c>
      <c r="J169" s="129">
        <f>BuildConcrete14218256[[#This Row],[Original Contract]]-BuildConcrete14218256[[#This Row],[Revised Contract]]</f>
        <v>0</v>
      </c>
      <c r="K169" s="347"/>
      <c r="L169" s="341"/>
      <c r="M169" s="343"/>
      <c r="T169" s="97"/>
      <c r="U169" s="97"/>
      <c r="Y169" s="198"/>
      <c r="Z169" s="198"/>
    </row>
    <row r="170" spans="1:26" x14ac:dyDescent="0.35">
      <c r="A170" s="128">
        <v>3</v>
      </c>
      <c r="B170" s="132" t="s">
        <v>678</v>
      </c>
      <c r="C170" s="132" t="s">
        <v>171</v>
      </c>
      <c r="D170" s="133" t="s">
        <v>747</v>
      </c>
      <c r="E170" s="255">
        <v>0</v>
      </c>
      <c r="F170" s="255">
        <v>0</v>
      </c>
      <c r="G170" s="129">
        <f>0</f>
        <v>0</v>
      </c>
      <c r="H170" s="255">
        <f>IF(BuildConcrete14218256[[#This Row],[Actual Buyout]]+BuildConcrete14218256[[#This Row],[Change Orders]]=0,BuildConcrete14218256[[#This Row],[Original Contract]],BuildConcrete14218256[[#This Row],[Actual Buyout]]+BuildConcrete14218256[[#This Row],[Change Orders]])</f>
        <v>0</v>
      </c>
      <c r="I170" s="129">
        <v>0</v>
      </c>
      <c r="J170" s="129">
        <f>BuildConcrete14218256[[#This Row],[Original Contract]]-BuildConcrete14218256[[#This Row],[Revised Contract]]</f>
        <v>0</v>
      </c>
      <c r="K170" s="347"/>
      <c r="L170" s="341"/>
      <c r="M170" s="343"/>
      <c r="T170" s="97"/>
      <c r="U170" s="97"/>
      <c r="Y170" s="198"/>
      <c r="Z170" s="198"/>
    </row>
    <row r="171" spans="1:26" x14ac:dyDescent="0.35">
      <c r="A171" s="128">
        <v>3</v>
      </c>
      <c r="B171" s="132"/>
      <c r="C171" s="132"/>
      <c r="D171" s="133" t="s">
        <v>37</v>
      </c>
      <c r="E171" s="255">
        <v>0</v>
      </c>
      <c r="F171" s="255">
        <v>0</v>
      </c>
      <c r="G171" s="129">
        <f>0</f>
        <v>0</v>
      </c>
      <c r="H171" s="255">
        <f>IF(BuildConcrete14218256[[#This Row],[Actual Buyout]]+BuildConcrete14218256[[#This Row],[Change Orders]]=0,BuildConcrete14218256[[#This Row],[Original Contract]],BuildConcrete14218256[[#This Row],[Actual Buyout]]+BuildConcrete14218256[[#This Row],[Change Orders]])</f>
        <v>0</v>
      </c>
      <c r="I171" s="129">
        <v>0</v>
      </c>
      <c r="J171" s="129">
        <f>BuildConcrete14218256[[#This Row],[Original Contract]]-BuildConcrete14218256[[#This Row],[Revised Contract]]</f>
        <v>0</v>
      </c>
      <c r="K171" s="347"/>
      <c r="L171" s="341"/>
      <c r="M171" s="343"/>
      <c r="T171" s="97"/>
      <c r="U171" s="97"/>
      <c r="Y171" s="198"/>
      <c r="Z171" s="198"/>
    </row>
    <row r="172" spans="1:26" x14ac:dyDescent="0.35">
      <c r="A172" s="128">
        <v>3</v>
      </c>
      <c r="B172" s="132"/>
      <c r="C172" s="132"/>
      <c r="D172" s="133" t="s">
        <v>37</v>
      </c>
      <c r="E172" s="255">
        <v>0</v>
      </c>
      <c r="F172" s="255">
        <v>0</v>
      </c>
      <c r="G172" s="129">
        <f>0</f>
        <v>0</v>
      </c>
      <c r="H172" s="255">
        <f>IF(BuildConcrete14218256[[#This Row],[Actual Buyout]]+BuildConcrete14218256[[#This Row],[Change Orders]]=0,BuildConcrete14218256[[#This Row],[Original Contract]],BuildConcrete14218256[[#This Row],[Actual Buyout]]+BuildConcrete14218256[[#This Row],[Change Orders]])</f>
        <v>0</v>
      </c>
      <c r="I172" s="129">
        <v>0</v>
      </c>
      <c r="J172" s="129">
        <f>BuildConcrete14218256[[#This Row],[Original Contract]]-BuildConcrete14218256[[#This Row],[Revised Contract]]</f>
        <v>0</v>
      </c>
      <c r="K172" s="347"/>
      <c r="L172" s="341"/>
      <c r="M172" s="343"/>
      <c r="T172" s="97"/>
      <c r="U172" s="97"/>
      <c r="Y172" s="198"/>
      <c r="Z172" s="198"/>
    </row>
    <row r="173" spans="1:26" x14ac:dyDescent="0.35">
      <c r="A173" s="128">
        <v>3</v>
      </c>
      <c r="B173" s="132"/>
      <c r="C173" s="132"/>
      <c r="D173" s="133" t="s">
        <v>37</v>
      </c>
      <c r="E173" s="255">
        <v>0</v>
      </c>
      <c r="F173" s="255">
        <v>0</v>
      </c>
      <c r="G173" s="129">
        <f>0</f>
        <v>0</v>
      </c>
      <c r="H173" s="255">
        <f>IF(BuildConcrete14218256[[#This Row],[Actual Buyout]]+BuildConcrete14218256[[#This Row],[Change Orders]]=0,BuildConcrete14218256[[#This Row],[Original Contract]],BuildConcrete14218256[[#This Row],[Actual Buyout]]+BuildConcrete14218256[[#This Row],[Change Orders]])</f>
        <v>0</v>
      </c>
      <c r="I173" s="129">
        <v>0</v>
      </c>
      <c r="J173" s="129">
        <f>BuildConcrete14218256[[#This Row],[Original Contract]]-BuildConcrete14218256[[#This Row],[Revised Contract]]</f>
        <v>0</v>
      </c>
      <c r="K173" s="347"/>
      <c r="L173" s="341"/>
      <c r="M173" s="343"/>
      <c r="T173" s="97"/>
      <c r="U173" s="97"/>
      <c r="Y173" s="198"/>
      <c r="Z173" s="198"/>
    </row>
    <row r="174" spans="1:26" x14ac:dyDescent="0.35">
      <c r="A174" s="128">
        <v>3</v>
      </c>
      <c r="B174" s="132"/>
      <c r="C174" s="132"/>
      <c r="D174" s="133" t="s">
        <v>37</v>
      </c>
      <c r="E174" s="255">
        <v>0</v>
      </c>
      <c r="F174" s="255">
        <v>0</v>
      </c>
      <c r="G174" s="129">
        <f>0</f>
        <v>0</v>
      </c>
      <c r="H174" s="255">
        <f>IF(BuildConcrete14218256[[#This Row],[Actual Buyout]]+BuildConcrete14218256[[#This Row],[Change Orders]]=0,BuildConcrete14218256[[#This Row],[Original Contract]],BuildConcrete14218256[[#This Row],[Actual Buyout]]+BuildConcrete14218256[[#This Row],[Change Orders]])</f>
        <v>0</v>
      </c>
      <c r="I174" s="129">
        <v>0</v>
      </c>
      <c r="J174" s="129">
        <f>BuildConcrete14218256[[#This Row],[Original Contract]]-BuildConcrete14218256[[#This Row],[Revised Contract]]</f>
        <v>0</v>
      </c>
      <c r="K174" s="347"/>
      <c r="L174" s="341"/>
      <c r="M174" s="343"/>
      <c r="T174" s="97"/>
      <c r="U174" s="97"/>
      <c r="Y174" s="198"/>
      <c r="Z174" s="198"/>
    </row>
    <row r="175" spans="1:26" x14ac:dyDescent="0.35">
      <c r="A175" s="128">
        <v>3</v>
      </c>
      <c r="B175" s="132"/>
      <c r="C175" s="132"/>
      <c r="D175" s="133" t="s">
        <v>37</v>
      </c>
      <c r="E175" s="255">
        <v>0</v>
      </c>
      <c r="F175" s="255">
        <v>0</v>
      </c>
      <c r="G175" s="129">
        <f>0</f>
        <v>0</v>
      </c>
      <c r="H175" s="255">
        <f>IF(BuildConcrete14218256[[#This Row],[Actual Buyout]]+BuildConcrete14218256[[#This Row],[Change Orders]]=0,BuildConcrete14218256[[#This Row],[Original Contract]],BuildConcrete14218256[[#This Row],[Actual Buyout]]+BuildConcrete14218256[[#This Row],[Change Orders]])</f>
        <v>0</v>
      </c>
      <c r="I175" s="129">
        <v>0</v>
      </c>
      <c r="J175" s="129">
        <f>BuildConcrete14218256[[#This Row],[Original Contract]]-BuildConcrete14218256[[#This Row],[Revised Contract]]</f>
        <v>0</v>
      </c>
      <c r="K175" s="347"/>
      <c r="L175" s="341"/>
      <c r="M175" s="343"/>
      <c r="T175" s="97"/>
      <c r="U175" s="97"/>
      <c r="Y175" s="198"/>
      <c r="Z175" s="198"/>
    </row>
    <row r="176" spans="1:26" x14ac:dyDescent="0.35">
      <c r="A176" s="128">
        <v>3</v>
      </c>
      <c r="B176" s="259"/>
      <c r="C176" s="259"/>
      <c r="D176" s="260" t="s">
        <v>37</v>
      </c>
      <c r="E176" s="255">
        <v>0</v>
      </c>
      <c r="F176" s="255">
        <v>0</v>
      </c>
      <c r="G176" s="129">
        <f>0</f>
        <v>0</v>
      </c>
      <c r="H176" s="255">
        <f>IF(BuildConcrete14218256[[#This Row],[Actual Buyout]]+BuildConcrete14218256[[#This Row],[Change Orders]]=0,BuildConcrete14218256[[#This Row],[Original Contract]],BuildConcrete14218256[[#This Row],[Actual Buyout]]+BuildConcrete14218256[[#This Row],[Change Orders]])</f>
        <v>0</v>
      </c>
      <c r="I176" s="129">
        <v>0</v>
      </c>
      <c r="J176" s="129">
        <f>BuildConcrete14218256[[#This Row],[Original Contract]]-BuildConcrete14218256[[#This Row],[Revised Contract]]</f>
        <v>0</v>
      </c>
      <c r="K176" s="347"/>
      <c r="L176" s="341"/>
      <c r="M176" s="343"/>
      <c r="T176" s="97"/>
      <c r="U176" s="97"/>
      <c r="Y176" s="198"/>
      <c r="Z176" s="198"/>
    </row>
    <row r="177" spans="1:26" x14ac:dyDescent="0.35">
      <c r="A177" s="257"/>
      <c r="B177" s="258"/>
      <c r="C177" s="258"/>
      <c r="D177" s="256" t="s">
        <v>38</v>
      </c>
      <c r="E177" s="151">
        <f>SUM(BuildConcrete14218256[Original Contract])</f>
        <v>0</v>
      </c>
      <c r="F177" s="151">
        <f>SUM(BuildConcrete14218256[Actual Buyout])</f>
        <v>0</v>
      </c>
      <c r="G177" s="151">
        <f>SUM(BuildConcrete14218256[Change Orders])</f>
        <v>0</v>
      </c>
      <c r="H177" s="151">
        <f>SUM(BuildConcrete14218256[Revised Contract])</f>
        <v>0</v>
      </c>
      <c r="I177" s="151">
        <f>SUM(BuildConcrete14218256[Total completed and Stored])</f>
        <v>0</v>
      </c>
      <c r="J177" s="151">
        <f>SUM(BuildConcrete14218256[Delta])</f>
        <v>0</v>
      </c>
      <c r="K177" s="348"/>
      <c r="L177" s="343"/>
      <c r="M177" s="343"/>
    </row>
    <row r="178" spans="1:26" x14ac:dyDescent="0.35">
      <c r="A178" s="100" t="s">
        <v>654</v>
      </c>
      <c r="B178" s="100" t="s">
        <v>0</v>
      </c>
      <c r="C178" s="100" t="s">
        <v>167</v>
      </c>
      <c r="D178" s="100" t="s">
        <v>26</v>
      </c>
      <c r="E178" s="100" t="s">
        <v>781</v>
      </c>
      <c r="F178" s="332" t="s">
        <v>1078</v>
      </c>
      <c r="G178" s="332" t="s">
        <v>782</v>
      </c>
      <c r="H178" s="332" t="s">
        <v>783</v>
      </c>
      <c r="I178" s="334" t="s">
        <v>785</v>
      </c>
      <c r="J178" s="340" t="s">
        <v>1079</v>
      </c>
      <c r="K178" s="347"/>
      <c r="L178" s="335"/>
      <c r="M178" s="343"/>
      <c r="T178" s="97"/>
      <c r="U178" s="97"/>
      <c r="Y178" s="198"/>
      <c r="Z178" s="198"/>
    </row>
    <row r="179" spans="1:26" x14ac:dyDescent="0.35">
      <c r="A179" s="128">
        <v>4</v>
      </c>
      <c r="B179" s="132" t="s">
        <v>0</v>
      </c>
      <c r="C179" s="132" t="s">
        <v>174</v>
      </c>
      <c r="D179" s="133" t="s">
        <v>0</v>
      </c>
      <c r="E179" s="255">
        <v>0</v>
      </c>
      <c r="F179" s="255">
        <v>0</v>
      </c>
      <c r="G179" s="129">
        <f>0</f>
        <v>0</v>
      </c>
      <c r="H179" s="255">
        <f>IF(Masonry15219257[[#This Row],[Actual Buyout]]+Masonry15219257[[#This Row],[Change Orders]]=0,Masonry15219257[[#This Row],[Original Contract]],Masonry15219257[[#This Row],[Actual Buyout]]+Masonry15219257[[#This Row],[Change Orders]])</f>
        <v>0</v>
      </c>
      <c r="I179" s="129">
        <v>0</v>
      </c>
      <c r="J179" s="129">
        <f>Masonry15219257[[#This Row],[Original Contract]]-Masonry15219257[[#This Row],[Revised Contract]]</f>
        <v>0</v>
      </c>
      <c r="K179" s="347"/>
      <c r="L179" s="341"/>
      <c r="M179" s="343"/>
      <c r="T179" s="97"/>
      <c r="U179" s="97"/>
      <c r="Y179" s="198"/>
      <c r="Z179" s="198"/>
    </row>
    <row r="180" spans="1:26" x14ac:dyDescent="0.35">
      <c r="A180" s="128">
        <v>4</v>
      </c>
      <c r="B180" s="132"/>
      <c r="C180" s="132"/>
      <c r="D180" s="133" t="s">
        <v>37</v>
      </c>
      <c r="E180" s="255">
        <v>0</v>
      </c>
      <c r="F180" s="255">
        <v>0</v>
      </c>
      <c r="G180" s="129">
        <f>0</f>
        <v>0</v>
      </c>
      <c r="H180" s="255">
        <f>IF(Masonry15219257[[#This Row],[Actual Buyout]]+Masonry15219257[[#This Row],[Change Orders]]=0,Masonry15219257[[#This Row],[Original Contract]],Masonry15219257[[#This Row],[Actual Buyout]]+Masonry15219257[[#This Row],[Change Orders]])</f>
        <v>0</v>
      </c>
      <c r="I180" s="129">
        <v>0</v>
      </c>
      <c r="J180" s="129">
        <f>Masonry15219257[[#This Row],[Original Contract]]-Masonry15219257[[#This Row],[Revised Contract]]</f>
        <v>0</v>
      </c>
      <c r="K180" s="347"/>
      <c r="L180" s="341"/>
      <c r="M180" s="343"/>
      <c r="T180" s="97"/>
      <c r="U180" s="97"/>
      <c r="Y180" s="198"/>
      <c r="Z180" s="198"/>
    </row>
    <row r="181" spans="1:26" x14ac:dyDescent="0.35">
      <c r="A181" s="128">
        <v>4</v>
      </c>
      <c r="B181" s="132"/>
      <c r="C181" s="132"/>
      <c r="D181" s="133" t="s">
        <v>37</v>
      </c>
      <c r="E181" s="255">
        <v>0</v>
      </c>
      <c r="F181" s="255">
        <v>0</v>
      </c>
      <c r="G181" s="129">
        <f>0</f>
        <v>0</v>
      </c>
      <c r="H181" s="255">
        <f>IF(Masonry15219257[[#This Row],[Actual Buyout]]+Masonry15219257[[#This Row],[Change Orders]]=0,Masonry15219257[[#This Row],[Original Contract]],Masonry15219257[[#This Row],[Actual Buyout]]+Masonry15219257[[#This Row],[Change Orders]])</f>
        <v>0</v>
      </c>
      <c r="I181" s="129">
        <v>0</v>
      </c>
      <c r="J181" s="129">
        <f>Masonry15219257[[#This Row],[Original Contract]]-Masonry15219257[[#This Row],[Revised Contract]]</f>
        <v>0</v>
      </c>
      <c r="K181" s="347"/>
      <c r="L181" s="341"/>
      <c r="M181" s="343"/>
      <c r="T181" s="97"/>
      <c r="U181" s="97"/>
      <c r="Y181" s="198"/>
      <c r="Z181" s="198"/>
    </row>
    <row r="182" spans="1:26" x14ac:dyDescent="0.35">
      <c r="A182" s="128">
        <v>4</v>
      </c>
      <c r="B182" s="132"/>
      <c r="C182" s="132"/>
      <c r="D182" s="133" t="s">
        <v>37</v>
      </c>
      <c r="E182" s="255">
        <v>0</v>
      </c>
      <c r="F182" s="255">
        <v>0</v>
      </c>
      <c r="G182" s="129">
        <f>0</f>
        <v>0</v>
      </c>
      <c r="H182" s="255">
        <f>IF(Masonry15219257[[#This Row],[Actual Buyout]]+Masonry15219257[[#This Row],[Change Orders]]=0,Masonry15219257[[#This Row],[Original Contract]],Masonry15219257[[#This Row],[Actual Buyout]]+Masonry15219257[[#This Row],[Change Orders]])</f>
        <v>0</v>
      </c>
      <c r="I182" s="129">
        <v>0</v>
      </c>
      <c r="J182" s="129">
        <f>Masonry15219257[[#This Row],[Original Contract]]-Masonry15219257[[#This Row],[Revised Contract]]</f>
        <v>0</v>
      </c>
      <c r="K182" s="347"/>
      <c r="L182" s="341"/>
      <c r="M182" s="343"/>
      <c r="T182" s="97"/>
      <c r="U182" s="97"/>
      <c r="Y182" s="198"/>
      <c r="Z182" s="198"/>
    </row>
    <row r="183" spans="1:26" x14ac:dyDescent="0.35">
      <c r="A183" s="128">
        <v>4</v>
      </c>
      <c r="B183" s="132"/>
      <c r="C183" s="132"/>
      <c r="D183" s="133" t="s">
        <v>37</v>
      </c>
      <c r="E183" s="255">
        <v>0</v>
      </c>
      <c r="F183" s="255">
        <v>0</v>
      </c>
      <c r="G183" s="129">
        <f>0</f>
        <v>0</v>
      </c>
      <c r="H183" s="255">
        <f>IF(Masonry15219257[[#This Row],[Actual Buyout]]+Masonry15219257[[#This Row],[Change Orders]]=0,Masonry15219257[[#This Row],[Original Contract]],Masonry15219257[[#This Row],[Actual Buyout]]+Masonry15219257[[#This Row],[Change Orders]])</f>
        <v>0</v>
      </c>
      <c r="I183" s="129">
        <v>0</v>
      </c>
      <c r="J183" s="129">
        <f>Masonry15219257[[#This Row],[Original Contract]]-Masonry15219257[[#This Row],[Revised Contract]]</f>
        <v>0</v>
      </c>
      <c r="K183" s="347"/>
      <c r="L183" s="341"/>
      <c r="M183" s="343"/>
      <c r="T183" s="97"/>
      <c r="U183" s="97"/>
      <c r="Y183" s="198"/>
      <c r="Z183" s="198"/>
    </row>
    <row r="184" spans="1:26" x14ac:dyDescent="0.35">
      <c r="A184" s="128">
        <v>4</v>
      </c>
      <c r="B184" s="132"/>
      <c r="C184" s="132"/>
      <c r="D184" s="133" t="s">
        <v>37</v>
      </c>
      <c r="E184" s="255">
        <v>0</v>
      </c>
      <c r="F184" s="255">
        <v>0</v>
      </c>
      <c r="G184" s="129">
        <f>0</f>
        <v>0</v>
      </c>
      <c r="H184" s="255">
        <f>IF(Masonry15219257[[#This Row],[Actual Buyout]]+Masonry15219257[[#This Row],[Change Orders]]=0,Masonry15219257[[#This Row],[Original Contract]],Masonry15219257[[#This Row],[Actual Buyout]]+Masonry15219257[[#This Row],[Change Orders]])</f>
        <v>0</v>
      </c>
      <c r="I184" s="129">
        <v>0</v>
      </c>
      <c r="J184" s="129">
        <f>Masonry15219257[[#This Row],[Original Contract]]-Masonry15219257[[#This Row],[Revised Contract]]</f>
        <v>0</v>
      </c>
      <c r="K184" s="347"/>
      <c r="L184" s="341"/>
      <c r="M184" s="343"/>
      <c r="T184" s="97"/>
      <c r="U184" s="97"/>
      <c r="Y184" s="198"/>
      <c r="Z184" s="198"/>
    </row>
    <row r="185" spans="1:26" x14ac:dyDescent="0.35">
      <c r="A185" s="257"/>
      <c r="B185" s="258"/>
      <c r="C185" s="258"/>
      <c r="D185" s="256" t="s">
        <v>38</v>
      </c>
      <c r="E185" s="151">
        <f>SUM(Masonry15219257[Original Contract])</f>
        <v>0</v>
      </c>
      <c r="F185" s="151">
        <f>SUM(Masonry15219257[Actual Buyout])</f>
        <v>0</v>
      </c>
      <c r="G185" s="151">
        <f>SUM(Masonry15219257[Change Orders])</f>
        <v>0</v>
      </c>
      <c r="H185" s="151">
        <f>SUM(Masonry15219257[Revised Contract])</f>
        <v>0</v>
      </c>
      <c r="I185" s="151">
        <f>SUM(Masonry15219257[Total completed and Stored])</f>
        <v>0</v>
      </c>
      <c r="J185" s="151">
        <f>SUM(Masonry15219257[Delta])</f>
        <v>0</v>
      </c>
      <c r="K185" s="348"/>
      <c r="L185" s="343"/>
      <c r="M185" s="343"/>
    </row>
    <row r="186" spans="1:26" x14ac:dyDescent="0.35">
      <c r="A186" s="100" t="s">
        <v>655</v>
      </c>
      <c r="B186" s="100" t="s">
        <v>1</v>
      </c>
      <c r="C186" s="100" t="s">
        <v>167</v>
      </c>
      <c r="D186" s="100" t="s">
        <v>26</v>
      </c>
      <c r="E186" s="100" t="s">
        <v>781</v>
      </c>
      <c r="F186" s="332" t="s">
        <v>1078</v>
      </c>
      <c r="G186" s="332" t="s">
        <v>782</v>
      </c>
      <c r="H186" s="332" t="s">
        <v>783</v>
      </c>
      <c r="I186" s="334" t="s">
        <v>785</v>
      </c>
      <c r="J186" s="340" t="s">
        <v>1079</v>
      </c>
      <c r="K186" s="347"/>
      <c r="L186" s="335"/>
      <c r="M186" s="343"/>
      <c r="T186" s="97"/>
      <c r="U186" s="97"/>
      <c r="Y186" s="198"/>
      <c r="Z186" s="198"/>
    </row>
    <row r="187" spans="1:26" x14ac:dyDescent="0.35">
      <c r="A187" s="128">
        <v>5</v>
      </c>
      <c r="B187" s="132" t="s">
        <v>298</v>
      </c>
      <c r="C187" s="132" t="s">
        <v>176</v>
      </c>
      <c r="D187" s="133" t="s">
        <v>74</v>
      </c>
      <c r="E187" s="255">
        <v>0</v>
      </c>
      <c r="F187" s="255">
        <v>0</v>
      </c>
      <c r="G187" s="129">
        <f>0</f>
        <v>0</v>
      </c>
      <c r="H187" s="255">
        <f>IF(StrucSteel16220258[[#This Row],[Actual Buyout]]+StrucSteel16220258[[#This Row],[Change Orders]]=0,StrucSteel16220258[[#This Row],[Original Contract]],StrucSteel16220258[[#This Row],[Actual Buyout]]+StrucSteel16220258[[#This Row],[Change Orders]])</f>
        <v>0</v>
      </c>
      <c r="I187" s="129">
        <v>0</v>
      </c>
      <c r="J187" s="129">
        <f>StrucSteel16220258[[#This Row],[Original Contract]]-StrucSteel16220258[[#This Row],[Revised Contract]]</f>
        <v>0</v>
      </c>
      <c r="K187" s="347"/>
      <c r="L187" s="341"/>
      <c r="M187" s="343"/>
      <c r="T187" s="97"/>
      <c r="U187" s="97"/>
      <c r="Y187" s="198"/>
      <c r="Z187" s="198"/>
    </row>
    <row r="188" spans="1:26" x14ac:dyDescent="0.35">
      <c r="A188" s="128">
        <v>5</v>
      </c>
      <c r="B188" s="132" t="s">
        <v>300</v>
      </c>
      <c r="C188" s="132" t="s">
        <v>299</v>
      </c>
      <c r="D188" s="133" t="s">
        <v>75</v>
      </c>
      <c r="E188" s="255">
        <v>0</v>
      </c>
      <c r="F188" s="255">
        <v>0</v>
      </c>
      <c r="G188" s="129">
        <f>0</f>
        <v>0</v>
      </c>
      <c r="H188" s="255">
        <f>IF(StrucSteel16220258[[#This Row],[Actual Buyout]]+StrucSteel16220258[[#This Row],[Change Orders]]=0,StrucSteel16220258[[#This Row],[Original Contract]],StrucSteel16220258[[#This Row],[Actual Buyout]]+StrucSteel16220258[[#This Row],[Change Orders]])</f>
        <v>0</v>
      </c>
      <c r="I188" s="129">
        <v>0</v>
      </c>
      <c r="J188" s="129">
        <f>StrucSteel16220258[[#This Row],[Original Contract]]-StrucSteel16220258[[#This Row],[Revised Contract]]</f>
        <v>0</v>
      </c>
      <c r="K188" s="347"/>
      <c r="L188" s="341"/>
      <c r="M188" s="343"/>
      <c r="T188" s="97"/>
      <c r="U188" s="97"/>
      <c r="Y188" s="198"/>
      <c r="Z188" s="198"/>
    </row>
    <row r="189" spans="1:26" x14ac:dyDescent="0.35">
      <c r="A189" s="128">
        <v>5</v>
      </c>
      <c r="B189" s="132" t="s">
        <v>302</v>
      </c>
      <c r="C189" s="132" t="s">
        <v>301</v>
      </c>
      <c r="D189" s="133" t="s">
        <v>748</v>
      </c>
      <c r="E189" s="255">
        <v>0</v>
      </c>
      <c r="F189" s="255">
        <v>0</v>
      </c>
      <c r="G189" s="129">
        <f>0</f>
        <v>0</v>
      </c>
      <c r="H189" s="255">
        <f>IF(StrucSteel16220258[[#This Row],[Actual Buyout]]+StrucSteel16220258[[#This Row],[Change Orders]]=0,StrucSteel16220258[[#This Row],[Original Contract]],StrucSteel16220258[[#This Row],[Actual Buyout]]+StrucSteel16220258[[#This Row],[Change Orders]])</f>
        <v>0</v>
      </c>
      <c r="I189" s="129">
        <v>0</v>
      </c>
      <c r="J189" s="129">
        <f>StrucSteel16220258[[#This Row],[Original Contract]]-StrucSteel16220258[[#This Row],[Revised Contract]]</f>
        <v>0</v>
      </c>
      <c r="K189" s="347"/>
      <c r="L189" s="341"/>
      <c r="M189" s="343"/>
      <c r="T189" s="97"/>
      <c r="U189" s="97"/>
      <c r="Y189" s="198"/>
      <c r="Z189" s="198"/>
    </row>
    <row r="190" spans="1:26" x14ac:dyDescent="0.35">
      <c r="A190" s="128">
        <v>5</v>
      </c>
      <c r="B190" s="132" t="s">
        <v>303</v>
      </c>
      <c r="C190" s="132" t="s">
        <v>175</v>
      </c>
      <c r="D190" s="133" t="s">
        <v>749</v>
      </c>
      <c r="E190" s="255">
        <v>0</v>
      </c>
      <c r="F190" s="255">
        <v>0</v>
      </c>
      <c r="G190" s="129">
        <f>0</f>
        <v>0</v>
      </c>
      <c r="H190" s="255">
        <f>IF(StrucSteel16220258[[#This Row],[Actual Buyout]]+StrucSteel16220258[[#This Row],[Change Orders]]=0,StrucSteel16220258[[#This Row],[Original Contract]],StrucSteel16220258[[#This Row],[Actual Buyout]]+StrucSteel16220258[[#This Row],[Change Orders]])</f>
        <v>0</v>
      </c>
      <c r="I190" s="129">
        <v>0</v>
      </c>
      <c r="J190" s="129">
        <f>StrucSteel16220258[[#This Row],[Original Contract]]-StrucSteel16220258[[#This Row],[Revised Contract]]</f>
        <v>0</v>
      </c>
      <c r="K190" s="347"/>
      <c r="L190" s="341"/>
      <c r="M190" s="343"/>
      <c r="T190" s="97"/>
      <c r="U190" s="97"/>
      <c r="Y190" s="198"/>
      <c r="Z190" s="198"/>
    </row>
    <row r="191" spans="1:26" x14ac:dyDescent="0.35">
      <c r="A191" s="128">
        <v>5</v>
      </c>
      <c r="B191" s="132" t="s">
        <v>298</v>
      </c>
      <c r="C191" s="132" t="s">
        <v>176</v>
      </c>
      <c r="D191" s="133" t="s">
        <v>750</v>
      </c>
      <c r="E191" s="255">
        <v>0</v>
      </c>
      <c r="F191" s="255">
        <v>0</v>
      </c>
      <c r="G191" s="129">
        <f>0</f>
        <v>0</v>
      </c>
      <c r="H191" s="255">
        <f>IF(StrucSteel16220258[[#This Row],[Actual Buyout]]+StrucSteel16220258[[#This Row],[Change Orders]]=0,StrucSteel16220258[[#This Row],[Original Contract]],StrucSteel16220258[[#This Row],[Actual Buyout]]+StrucSteel16220258[[#This Row],[Change Orders]])</f>
        <v>0</v>
      </c>
      <c r="I191" s="129">
        <v>0</v>
      </c>
      <c r="J191" s="129">
        <f>StrucSteel16220258[[#This Row],[Original Contract]]-StrucSteel16220258[[#This Row],[Revised Contract]]</f>
        <v>0</v>
      </c>
      <c r="K191" s="347"/>
      <c r="L191" s="341"/>
      <c r="M191" s="343"/>
      <c r="T191" s="97"/>
      <c r="U191" s="97"/>
      <c r="Y191" s="198"/>
      <c r="Z191" s="198"/>
    </row>
    <row r="192" spans="1:26" x14ac:dyDescent="0.35">
      <c r="A192" s="128">
        <v>5</v>
      </c>
      <c r="B192" s="132" t="s">
        <v>298</v>
      </c>
      <c r="C192" s="132" t="s">
        <v>176</v>
      </c>
      <c r="D192" s="133" t="s">
        <v>751</v>
      </c>
      <c r="E192" s="255">
        <v>0</v>
      </c>
      <c r="F192" s="255">
        <v>0</v>
      </c>
      <c r="G192" s="129">
        <f>0</f>
        <v>0</v>
      </c>
      <c r="H192" s="255">
        <f>IF(StrucSteel16220258[[#This Row],[Actual Buyout]]+StrucSteel16220258[[#This Row],[Change Orders]]=0,StrucSteel16220258[[#This Row],[Original Contract]],StrucSteel16220258[[#This Row],[Actual Buyout]]+StrucSteel16220258[[#This Row],[Change Orders]])</f>
        <v>0</v>
      </c>
      <c r="I192" s="129">
        <v>0</v>
      </c>
      <c r="J192" s="129">
        <f>StrucSteel16220258[[#This Row],[Original Contract]]-StrucSteel16220258[[#This Row],[Revised Contract]]</f>
        <v>0</v>
      </c>
      <c r="K192" s="347"/>
      <c r="L192" s="341"/>
      <c r="M192" s="343"/>
      <c r="T192" s="97"/>
      <c r="U192" s="97"/>
      <c r="Y192" s="198"/>
      <c r="Z192" s="198"/>
    </row>
    <row r="193" spans="1:26" x14ac:dyDescent="0.35">
      <c r="A193" s="128">
        <v>5</v>
      </c>
      <c r="B193" s="132" t="s">
        <v>298</v>
      </c>
      <c r="C193" s="132" t="s">
        <v>176</v>
      </c>
      <c r="D193" s="133" t="s">
        <v>752</v>
      </c>
      <c r="E193" s="255">
        <v>0</v>
      </c>
      <c r="F193" s="255">
        <v>0</v>
      </c>
      <c r="G193" s="129">
        <f>0</f>
        <v>0</v>
      </c>
      <c r="H193" s="255">
        <f>IF(StrucSteel16220258[[#This Row],[Actual Buyout]]+StrucSteel16220258[[#This Row],[Change Orders]]=0,StrucSteel16220258[[#This Row],[Original Contract]],StrucSteel16220258[[#This Row],[Actual Buyout]]+StrucSteel16220258[[#This Row],[Change Orders]])</f>
        <v>0</v>
      </c>
      <c r="I193" s="129">
        <v>0</v>
      </c>
      <c r="J193" s="129">
        <f>StrucSteel16220258[[#This Row],[Original Contract]]-StrucSteel16220258[[#This Row],[Revised Contract]]</f>
        <v>0</v>
      </c>
      <c r="K193" s="347"/>
      <c r="L193" s="341"/>
      <c r="M193" s="343"/>
      <c r="T193" s="97"/>
      <c r="U193" s="97"/>
      <c r="Y193" s="198"/>
      <c r="Z193" s="198"/>
    </row>
    <row r="194" spans="1:26" x14ac:dyDescent="0.35">
      <c r="A194" s="128">
        <v>5</v>
      </c>
      <c r="B194" s="132" t="s">
        <v>300</v>
      </c>
      <c r="C194" s="132" t="s">
        <v>299</v>
      </c>
      <c r="D194" s="133" t="s">
        <v>753</v>
      </c>
      <c r="E194" s="255">
        <v>0</v>
      </c>
      <c r="F194" s="255">
        <v>0</v>
      </c>
      <c r="G194" s="129">
        <f>0</f>
        <v>0</v>
      </c>
      <c r="H194" s="255">
        <f>IF(StrucSteel16220258[[#This Row],[Actual Buyout]]+StrucSteel16220258[[#This Row],[Change Orders]]=0,StrucSteel16220258[[#This Row],[Original Contract]],StrucSteel16220258[[#This Row],[Actual Buyout]]+StrucSteel16220258[[#This Row],[Change Orders]])</f>
        <v>0</v>
      </c>
      <c r="I194" s="129">
        <v>0</v>
      </c>
      <c r="J194" s="129">
        <f>StrucSteel16220258[[#This Row],[Original Contract]]-StrucSteel16220258[[#This Row],[Revised Contract]]</f>
        <v>0</v>
      </c>
      <c r="K194" s="347"/>
      <c r="L194" s="341"/>
      <c r="M194" s="343"/>
      <c r="T194" s="97"/>
      <c r="U194" s="97"/>
      <c r="Y194" s="198"/>
      <c r="Z194" s="198"/>
    </row>
    <row r="195" spans="1:26" x14ac:dyDescent="0.35">
      <c r="A195" s="128">
        <v>5</v>
      </c>
      <c r="B195" s="132" t="s">
        <v>302</v>
      </c>
      <c r="C195" s="132" t="s">
        <v>301</v>
      </c>
      <c r="D195" s="133" t="s">
        <v>754</v>
      </c>
      <c r="E195" s="255">
        <v>0</v>
      </c>
      <c r="F195" s="255">
        <v>0</v>
      </c>
      <c r="G195" s="129">
        <f>0</f>
        <v>0</v>
      </c>
      <c r="H195" s="255">
        <f>IF(StrucSteel16220258[[#This Row],[Actual Buyout]]+StrucSteel16220258[[#This Row],[Change Orders]]=0,StrucSteel16220258[[#This Row],[Original Contract]],StrucSteel16220258[[#This Row],[Actual Buyout]]+StrucSteel16220258[[#This Row],[Change Orders]])</f>
        <v>0</v>
      </c>
      <c r="I195" s="129">
        <v>0</v>
      </c>
      <c r="J195" s="129">
        <f>StrucSteel16220258[[#This Row],[Original Contract]]-StrucSteel16220258[[#This Row],[Revised Contract]]</f>
        <v>0</v>
      </c>
      <c r="K195" s="347"/>
      <c r="L195" s="341"/>
      <c r="M195" s="343"/>
      <c r="T195" s="97"/>
      <c r="U195" s="97"/>
      <c r="Y195" s="198"/>
      <c r="Z195" s="198"/>
    </row>
    <row r="196" spans="1:26" x14ac:dyDescent="0.35">
      <c r="A196" s="128">
        <v>5</v>
      </c>
      <c r="B196" s="132"/>
      <c r="C196" s="132"/>
      <c r="D196" s="133" t="s">
        <v>37</v>
      </c>
      <c r="E196" s="255">
        <v>0</v>
      </c>
      <c r="F196" s="255">
        <v>0</v>
      </c>
      <c r="G196" s="129">
        <f>0</f>
        <v>0</v>
      </c>
      <c r="H196" s="255">
        <f>IF(StrucSteel16220258[[#This Row],[Actual Buyout]]+StrucSteel16220258[[#This Row],[Change Orders]]=0,StrucSteel16220258[[#This Row],[Original Contract]],StrucSteel16220258[[#This Row],[Actual Buyout]]+StrucSteel16220258[[#This Row],[Change Orders]])</f>
        <v>0</v>
      </c>
      <c r="I196" s="129">
        <v>0</v>
      </c>
      <c r="J196" s="129">
        <f>StrucSteel16220258[[#This Row],[Original Contract]]-StrucSteel16220258[[#This Row],[Revised Contract]]</f>
        <v>0</v>
      </c>
      <c r="K196" s="347"/>
      <c r="L196" s="341"/>
      <c r="M196" s="343"/>
      <c r="T196" s="97"/>
      <c r="U196" s="97"/>
      <c r="Y196" s="198"/>
      <c r="Z196" s="198"/>
    </row>
    <row r="197" spans="1:26" x14ac:dyDescent="0.35">
      <c r="A197" s="128">
        <v>5</v>
      </c>
      <c r="B197" s="132"/>
      <c r="C197" s="132"/>
      <c r="D197" s="133" t="s">
        <v>37</v>
      </c>
      <c r="E197" s="255">
        <v>0</v>
      </c>
      <c r="F197" s="255">
        <v>0</v>
      </c>
      <c r="G197" s="129">
        <f>0</f>
        <v>0</v>
      </c>
      <c r="H197" s="255">
        <f>IF(StrucSteel16220258[[#This Row],[Actual Buyout]]+StrucSteel16220258[[#This Row],[Change Orders]]=0,StrucSteel16220258[[#This Row],[Original Contract]],StrucSteel16220258[[#This Row],[Actual Buyout]]+StrucSteel16220258[[#This Row],[Change Orders]])</f>
        <v>0</v>
      </c>
      <c r="I197" s="129">
        <v>0</v>
      </c>
      <c r="J197" s="129">
        <f>StrucSteel16220258[[#This Row],[Original Contract]]-StrucSteel16220258[[#This Row],[Revised Contract]]</f>
        <v>0</v>
      </c>
      <c r="K197" s="347"/>
      <c r="L197" s="341"/>
      <c r="M197" s="343"/>
      <c r="T197" s="97"/>
      <c r="U197" s="97"/>
      <c r="Y197" s="198"/>
      <c r="Z197" s="198"/>
    </row>
    <row r="198" spans="1:26" x14ac:dyDescent="0.35">
      <c r="A198" s="128">
        <v>5</v>
      </c>
      <c r="B198" s="132"/>
      <c r="C198" s="132"/>
      <c r="D198" s="133" t="s">
        <v>37</v>
      </c>
      <c r="E198" s="255">
        <v>0</v>
      </c>
      <c r="F198" s="255">
        <v>0</v>
      </c>
      <c r="G198" s="129">
        <f>0</f>
        <v>0</v>
      </c>
      <c r="H198" s="255">
        <f>IF(StrucSteel16220258[[#This Row],[Actual Buyout]]+StrucSteel16220258[[#This Row],[Change Orders]]=0,StrucSteel16220258[[#This Row],[Original Contract]],StrucSteel16220258[[#This Row],[Actual Buyout]]+StrucSteel16220258[[#This Row],[Change Orders]])</f>
        <v>0</v>
      </c>
      <c r="I198" s="129">
        <v>0</v>
      </c>
      <c r="J198" s="129">
        <f>StrucSteel16220258[[#This Row],[Original Contract]]-StrucSteel16220258[[#This Row],[Revised Contract]]</f>
        <v>0</v>
      </c>
      <c r="K198" s="347"/>
      <c r="L198" s="341"/>
      <c r="M198" s="343"/>
      <c r="T198" s="97"/>
      <c r="U198" s="97"/>
      <c r="Y198" s="198"/>
      <c r="Z198" s="198"/>
    </row>
    <row r="199" spans="1:26" x14ac:dyDescent="0.35">
      <c r="A199" s="128">
        <v>5</v>
      </c>
      <c r="B199" s="132"/>
      <c r="C199" s="132"/>
      <c r="D199" s="133" t="s">
        <v>37</v>
      </c>
      <c r="E199" s="255">
        <v>0</v>
      </c>
      <c r="F199" s="255">
        <v>0</v>
      </c>
      <c r="G199" s="129">
        <f>0</f>
        <v>0</v>
      </c>
      <c r="H199" s="255">
        <f>IF(StrucSteel16220258[[#This Row],[Actual Buyout]]+StrucSteel16220258[[#This Row],[Change Orders]]=0,StrucSteel16220258[[#This Row],[Original Contract]],StrucSteel16220258[[#This Row],[Actual Buyout]]+StrucSteel16220258[[#This Row],[Change Orders]])</f>
        <v>0</v>
      </c>
      <c r="I199" s="129">
        <v>0</v>
      </c>
      <c r="J199" s="129">
        <f>StrucSteel16220258[[#This Row],[Original Contract]]-StrucSteel16220258[[#This Row],[Revised Contract]]</f>
        <v>0</v>
      </c>
      <c r="K199" s="347"/>
      <c r="L199" s="341"/>
      <c r="M199" s="343"/>
      <c r="T199" s="97"/>
      <c r="U199" s="97"/>
      <c r="Y199" s="198"/>
      <c r="Z199" s="198"/>
    </row>
    <row r="200" spans="1:26" x14ac:dyDescent="0.35">
      <c r="A200" s="128">
        <v>5</v>
      </c>
      <c r="B200" s="132"/>
      <c r="C200" s="132"/>
      <c r="D200" s="133" t="s">
        <v>37</v>
      </c>
      <c r="E200" s="255">
        <v>0</v>
      </c>
      <c r="F200" s="255">
        <v>0</v>
      </c>
      <c r="G200" s="129">
        <f>0</f>
        <v>0</v>
      </c>
      <c r="H200" s="255">
        <f>IF(StrucSteel16220258[[#This Row],[Actual Buyout]]+StrucSteel16220258[[#This Row],[Change Orders]]=0,StrucSteel16220258[[#This Row],[Original Contract]],StrucSteel16220258[[#This Row],[Actual Buyout]]+StrucSteel16220258[[#This Row],[Change Orders]])</f>
        <v>0</v>
      </c>
      <c r="I200" s="129">
        <v>0</v>
      </c>
      <c r="J200" s="129">
        <f>StrucSteel16220258[[#This Row],[Original Contract]]-StrucSteel16220258[[#This Row],[Revised Contract]]</f>
        <v>0</v>
      </c>
      <c r="K200" s="347"/>
      <c r="L200" s="341"/>
      <c r="M200" s="343"/>
      <c r="T200" s="97"/>
      <c r="U200" s="97"/>
      <c r="Y200" s="198"/>
      <c r="Z200" s="198"/>
    </row>
    <row r="201" spans="1:26" x14ac:dyDescent="0.35">
      <c r="A201" s="128">
        <v>5</v>
      </c>
      <c r="B201" s="259"/>
      <c r="C201" s="259"/>
      <c r="D201" s="260" t="s">
        <v>37</v>
      </c>
      <c r="E201" s="255">
        <v>0</v>
      </c>
      <c r="F201" s="255">
        <v>0</v>
      </c>
      <c r="G201" s="129">
        <f>0</f>
        <v>0</v>
      </c>
      <c r="H201" s="255">
        <f>IF(StrucSteel16220258[[#This Row],[Actual Buyout]]+StrucSteel16220258[[#This Row],[Change Orders]]=0,StrucSteel16220258[[#This Row],[Original Contract]],StrucSteel16220258[[#This Row],[Actual Buyout]]+StrucSteel16220258[[#This Row],[Change Orders]])</f>
        <v>0</v>
      </c>
      <c r="I201" s="129">
        <v>0</v>
      </c>
      <c r="J201" s="129">
        <f>StrucSteel16220258[[#This Row],[Original Contract]]-StrucSteel16220258[[#This Row],[Revised Contract]]</f>
        <v>0</v>
      </c>
      <c r="K201" s="347"/>
      <c r="L201" s="341"/>
      <c r="M201" s="343"/>
      <c r="T201" s="97"/>
      <c r="U201" s="97"/>
      <c r="Y201" s="198"/>
      <c r="Z201" s="198"/>
    </row>
    <row r="202" spans="1:26" x14ac:dyDescent="0.35">
      <c r="A202" s="128">
        <v>5</v>
      </c>
      <c r="B202" s="259"/>
      <c r="C202" s="259"/>
      <c r="D202" s="260" t="s">
        <v>37</v>
      </c>
      <c r="E202" s="255">
        <v>0</v>
      </c>
      <c r="F202" s="255">
        <v>0</v>
      </c>
      <c r="G202" s="129">
        <f>0</f>
        <v>0</v>
      </c>
      <c r="H202" s="255">
        <f>IF(StrucSteel16220258[[#This Row],[Actual Buyout]]+StrucSteel16220258[[#This Row],[Change Orders]]=0,StrucSteel16220258[[#This Row],[Original Contract]],StrucSteel16220258[[#This Row],[Actual Buyout]]+StrucSteel16220258[[#This Row],[Change Orders]])</f>
        <v>0</v>
      </c>
      <c r="I202" s="129">
        <v>0</v>
      </c>
      <c r="J202" s="129">
        <f>StrucSteel16220258[[#This Row],[Original Contract]]-StrucSteel16220258[[#This Row],[Revised Contract]]</f>
        <v>0</v>
      </c>
      <c r="K202" s="347"/>
      <c r="L202" s="341"/>
      <c r="M202" s="343"/>
      <c r="T202" s="97"/>
      <c r="U202" s="97"/>
      <c r="Y202" s="198"/>
      <c r="Z202" s="198"/>
    </row>
    <row r="203" spans="1:26" x14ac:dyDescent="0.35">
      <c r="A203" s="128">
        <v>5</v>
      </c>
      <c r="B203" s="259"/>
      <c r="C203" s="259"/>
      <c r="D203" s="260" t="s">
        <v>37</v>
      </c>
      <c r="E203" s="255">
        <v>0</v>
      </c>
      <c r="F203" s="255">
        <v>0</v>
      </c>
      <c r="G203" s="129">
        <f>0</f>
        <v>0</v>
      </c>
      <c r="H203" s="255">
        <f>IF(StrucSteel16220258[[#This Row],[Actual Buyout]]+StrucSteel16220258[[#This Row],[Change Orders]]=0,StrucSteel16220258[[#This Row],[Original Contract]],StrucSteel16220258[[#This Row],[Actual Buyout]]+StrucSteel16220258[[#This Row],[Change Orders]])</f>
        <v>0</v>
      </c>
      <c r="I203" s="129">
        <v>0</v>
      </c>
      <c r="J203" s="129">
        <f>StrucSteel16220258[[#This Row],[Original Contract]]-StrucSteel16220258[[#This Row],[Revised Contract]]</f>
        <v>0</v>
      </c>
      <c r="K203" s="347"/>
      <c r="L203" s="341"/>
      <c r="M203" s="343"/>
      <c r="T203" s="97"/>
      <c r="U203" s="97"/>
      <c r="Y203" s="198"/>
      <c r="Z203" s="198"/>
    </row>
    <row r="204" spans="1:26" x14ac:dyDescent="0.35">
      <c r="A204" s="128">
        <v>5</v>
      </c>
      <c r="B204" s="259"/>
      <c r="C204" s="259"/>
      <c r="D204" s="260" t="s">
        <v>37</v>
      </c>
      <c r="E204" s="255">
        <v>0</v>
      </c>
      <c r="F204" s="255">
        <v>0</v>
      </c>
      <c r="G204" s="129">
        <f>0</f>
        <v>0</v>
      </c>
      <c r="H204" s="255">
        <f>IF(StrucSteel16220258[[#This Row],[Actual Buyout]]+StrucSteel16220258[[#This Row],[Change Orders]]=0,StrucSteel16220258[[#This Row],[Original Contract]],StrucSteel16220258[[#This Row],[Actual Buyout]]+StrucSteel16220258[[#This Row],[Change Orders]])</f>
        <v>0</v>
      </c>
      <c r="I204" s="129">
        <v>0</v>
      </c>
      <c r="J204" s="129">
        <f>StrucSteel16220258[[#This Row],[Original Contract]]-StrucSteel16220258[[#This Row],[Revised Contract]]</f>
        <v>0</v>
      </c>
      <c r="K204" s="347"/>
      <c r="L204" s="341"/>
      <c r="M204" s="343"/>
      <c r="T204" s="97"/>
      <c r="U204" s="97"/>
      <c r="Y204" s="198"/>
      <c r="Z204" s="198"/>
    </row>
    <row r="205" spans="1:26" x14ac:dyDescent="0.35">
      <c r="A205" s="128">
        <v>5</v>
      </c>
      <c r="B205" s="259"/>
      <c r="C205" s="259"/>
      <c r="D205" s="260" t="s">
        <v>37</v>
      </c>
      <c r="E205" s="255">
        <v>0</v>
      </c>
      <c r="F205" s="255">
        <v>0</v>
      </c>
      <c r="G205" s="129">
        <f>0</f>
        <v>0</v>
      </c>
      <c r="H205" s="255">
        <f>IF(StrucSteel16220258[[#This Row],[Actual Buyout]]+StrucSteel16220258[[#This Row],[Change Orders]]=0,StrucSteel16220258[[#This Row],[Original Contract]],StrucSteel16220258[[#This Row],[Actual Buyout]]+StrucSteel16220258[[#This Row],[Change Orders]])</f>
        <v>0</v>
      </c>
      <c r="I205" s="129">
        <v>0</v>
      </c>
      <c r="J205" s="129">
        <f>StrucSteel16220258[[#This Row],[Original Contract]]-StrucSteel16220258[[#This Row],[Revised Contract]]</f>
        <v>0</v>
      </c>
      <c r="K205" s="347"/>
      <c r="L205" s="341"/>
      <c r="M205" s="343"/>
      <c r="T205" s="97"/>
      <c r="U205" s="97"/>
      <c r="Y205" s="198"/>
      <c r="Z205" s="198"/>
    </row>
    <row r="206" spans="1:26" x14ac:dyDescent="0.35">
      <c r="A206" s="128">
        <v>5</v>
      </c>
      <c r="B206" s="259"/>
      <c r="C206" s="259"/>
      <c r="D206" s="260" t="s">
        <v>37</v>
      </c>
      <c r="E206" s="255">
        <v>0</v>
      </c>
      <c r="F206" s="255">
        <v>0</v>
      </c>
      <c r="G206" s="129">
        <f>0</f>
        <v>0</v>
      </c>
      <c r="H206" s="255">
        <f>IF(StrucSteel16220258[[#This Row],[Actual Buyout]]+StrucSteel16220258[[#This Row],[Change Orders]]=0,StrucSteel16220258[[#This Row],[Original Contract]],StrucSteel16220258[[#This Row],[Actual Buyout]]+StrucSteel16220258[[#This Row],[Change Orders]])</f>
        <v>0</v>
      </c>
      <c r="I206" s="129">
        <v>0</v>
      </c>
      <c r="J206" s="129">
        <f>StrucSteel16220258[[#This Row],[Original Contract]]-StrucSteel16220258[[#This Row],[Revised Contract]]</f>
        <v>0</v>
      </c>
      <c r="K206" s="347"/>
      <c r="L206" s="341"/>
      <c r="M206" s="343"/>
      <c r="T206" s="97"/>
      <c r="U206" s="97"/>
      <c r="Y206" s="198"/>
      <c r="Z206" s="198"/>
    </row>
    <row r="207" spans="1:26" x14ac:dyDescent="0.35">
      <c r="A207" s="257"/>
      <c r="B207" s="258"/>
      <c r="C207" s="258"/>
      <c r="D207" s="256" t="s">
        <v>38</v>
      </c>
      <c r="E207" s="151">
        <f>SUM(StrucSteel16220258[Original Contract])</f>
        <v>0</v>
      </c>
      <c r="F207" s="151">
        <f>SUM(StrucSteel16220258[Actual Buyout])</f>
        <v>0</v>
      </c>
      <c r="G207" s="151">
        <f>SUM(StrucSteel16220258[Change Orders])</f>
        <v>0</v>
      </c>
      <c r="H207" s="151">
        <f>SUM(StrucSteel16220258[Revised Contract])</f>
        <v>0</v>
      </c>
      <c r="I207" s="151">
        <f>SUM(StrucSteel16220258[Total completed and Stored])</f>
        <v>0</v>
      </c>
      <c r="J207" s="151">
        <f>SUM(StrucSteel16220258[Delta])</f>
        <v>0</v>
      </c>
      <c r="K207" s="348"/>
      <c r="L207" s="343"/>
      <c r="M207" s="343"/>
    </row>
    <row r="208" spans="1:26" x14ac:dyDescent="0.35">
      <c r="A208" s="100" t="s">
        <v>655</v>
      </c>
      <c r="B208" s="100" t="s">
        <v>76</v>
      </c>
      <c r="C208" s="100" t="s">
        <v>167</v>
      </c>
      <c r="D208" s="100" t="s">
        <v>26</v>
      </c>
      <c r="E208" s="100" t="s">
        <v>781</v>
      </c>
      <c r="F208" s="332" t="s">
        <v>1078</v>
      </c>
      <c r="G208" s="332" t="s">
        <v>782</v>
      </c>
      <c r="H208" s="332" t="s">
        <v>783</v>
      </c>
      <c r="I208" s="334" t="s">
        <v>785</v>
      </c>
      <c r="J208" s="340" t="s">
        <v>1079</v>
      </c>
      <c r="K208" s="347"/>
      <c r="L208" s="335"/>
      <c r="M208" s="343"/>
      <c r="T208" s="97"/>
      <c r="U208" s="97"/>
      <c r="Y208" s="198"/>
      <c r="Z208" s="198"/>
    </row>
    <row r="209" spans="1:26" x14ac:dyDescent="0.35">
      <c r="A209" s="128">
        <v>5</v>
      </c>
      <c r="B209" s="132" t="s">
        <v>298</v>
      </c>
      <c r="C209" s="132" t="s">
        <v>176</v>
      </c>
      <c r="D209" s="133" t="s">
        <v>755</v>
      </c>
      <c r="E209" s="255">
        <v>0</v>
      </c>
      <c r="F209" s="255">
        <v>0</v>
      </c>
      <c r="G209" s="129">
        <f>0</f>
        <v>0</v>
      </c>
      <c r="H209" s="255">
        <f>IF(Steel17221259[[#This Row],[Actual Buyout]]+Steel17221259[[#This Row],[Change Orders]]=0,Steel17221259[[#This Row],[Original Contract]],Steel17221259[[#This Row],[Actual Buyout]]+Steel17221259[[#This Row],[Change Orders]])</f>
        <v>0</v>
      </c>
      <c r="I209" s="129">
        <v>0</v>
      </c>
      <c r="J209" s="129">
        <f>Steel17221259[[#This Row],[Original Contract]]-Steel17221259[[#This Row],[Revised Contract]]</f>
        <v>0</v>
      </c>
      <c r="K209" s="347"/>
      <c r="L209" s="341"/>
      <c r="M209" s="343"/>
      <c r="T209" s="97"/>
      <c r="U209" s="97"/>
      <c r="Y209" s="198"/>
      <c r="Z209" s="198"/>
    </row>
    <row r="210" spans="1:26" x14ac:dyDescent="0.35">
      <c r="A210" s="128">
        <v>5</v>
      </c>
      <c r="B210" s="132" t="s">
        <v>298</v>
      </c>
      <c r="C210" s="132" t="s">
        <v>299</v>
      </c>
      <c r="D210" s="133" t="s">
        <v>756</v>
      </c>
      <c r="E210" s="255">
        <v>0</v>
      </c>
      <c r="F210" s="255">
        <v>0</v>
      </c>
      <c r="G210" s="129">
        <f>0</f>
        <v>0</v>
      </c>
      <c r="H210" s="255">
        <f>IF(Steel17221259[[#This Row],[Actual Buyout]]+Steel17221259[[#This Row],[Change Orders]]=0,Steel17221259[[#This Row],[Original Contract]],Steel17221259[[#This Row],[Actual Buyout]]+Steel17221259[[#This Row],[Change Orders]])</f>
        <v>0</v>
      </c>
      <c r="I210" s="129">
        <v>0</v>
      </c>
      <c r="J210" s="129">
        <f>Steel17221259[[#This Row],[Original Contract]]-Steel17221259[[#This Row],[Revised Contract]]</f>
        <v>0</v>
      </c>
      <c r="K210" s="347"/>
      <c r="L210" s="341"/>
      <c r="M210" s="343"/>
      <c r="T210" s="97"/>
      <c r="U210" s="97"/>
      <c r="Y210" s="198"/>
      <c r="Z210" s="198"/>
    </row>
    <row r="211" spans="1:26" x14ac:dyDescent="0.35">
      <c r="A211" s="128">
        <v>5</v>
      </c>
      <c r="B211" s="132" t="s">
        <v>298</v>
      </c>
      <c r="C211" s="132" t="s">
        <v>175</v>
      </c>
      <c r="D211" s="133" t="s">
        <v>757</v>
      </c>
      <c r="E211" s="255">
        <v>0</v>
      </c>
      <c r="F211" s="255">
        <v>0</v>
      </c>
      <c r="G211" s="129">
        <f>0</f>
        <v>0</v>
      </c>
      <c r="H211" s="255">
        <f>IF(Steel17221259[[#This Row],[Actual Buyout]]+Steel17221259[[#This Row],[Change Orders]]=0,Steel17221259[[#This Row],[Original Contract]],Steel17221259[[#This Row],[Actual Buyout]]+Steel17221259[[#This Row],[Change Orders]])</f>
        <v>0</v>
      </c>
      <c r="I211" s="129">
        <v>0</v>
      </c>
      <c r="J211" s="129">
        <f>Steel17221259[[#This Row],[Original Contract]]-Steel17221259[[#This Row],[Revised Contract]]</f>
        <v>0</v>
      </c>
      <c r="K211" s="347"/>
      <c r="L211" s="341"/>
      <c r="M211" s="343"/>
      <c r="T211" s="97"/>
      <c r="U211" s="97"/>
      <c r="Y211" s="198"/>
      <c r="Z211" s="198"/>
    </row>
    <row r="212" spans="1:26" x14ac:dyDescent="0.35">
      <c r="A212" s="128">
        <v>5</v>
      </c>
      <c r="B212" s="132" t="s">
        <v>298</v>
      </c>
      <c r="C212" s="132" t="s">
        <v>176</v>
      </c>
      <c r="D212" s="133" t="s">
        <v>758</v>
      </c>
      <c r="E212" s="255">
        <v>0</v>
      </c>
      <c r="F212" s="255">
        <v>0</v>
      </c>
      <c r="G212" s="129">
        <f>0</f>
        <v>0</v>
      </c>
      <c r="H212" s="255">
        <f>IF(Steel17221259[[#This Row],[Actual Buyout]]+Steel17221259[[#This Row],[Change Orders]]=0,Steel17221259[[#This Row],[Original Contract]],Steel17221259[[#This Row],[Actual Buyout]]+Steel17221259[[#This Row],[Change Orders]])</f>
        <v>0</v>
      </c>
      <c r="I212" s="129">
        <v>0</v>
      </c>
      <c r="J212" s="129">
        <f>Steel17221259[[#This Row],[Original Contract]]-Steel17221259[[#This Row],[Revised Contract]]</f>
        <v>0</v>
      </c>
      <c r="K212" s="347"/>
      <c r="L212" s="341"/>
      <c r="M212" s="343"/>
      <c r="T212" s="97"/>
      <c r="U212" s="97"/>
      <c r="Y212" s="198"/>
      <c r="Z212" s="198"/>
    </row>
    <row r="213" spans="1:26" x14ac:dyDescent="0.35">
      <c r="A213" s="128">
        <v>5</v>
      </c>
      <c r="B213" s="132" t="s">
        <v>298</v>
      </c>
      <c r="C213" s="132" t="s">
        <v>176</v>
      </c>
      <c r="D213" s="133" t="s">
        <v>759</v>
      </c>
      <c r="E213" s="255">
        <v>0</v>
      </c>
      <c r="F213" s="255">
        <v>0</v>
      </c>
      <c r="G213" s="129">
        <f>0</f>
        <v>0</v>
      </c>
      <c r="H213" s="255">
        <f>IF(Steel17221259[[#This Row],[Actual Buyout]]+Steel17221259[[#This Row],[Change Orders]]=0,Steel17221259[[#This Row],[Original Contract]],Steel17221259[[#This Row],[Actual Buyout]]+Steel17221259[[#This Row],[Change Orders]])</f>
        <v>0</v>
      </c>
      <c r="I213" s="129">
        <v>0</v>
      </c>
      <c r="J213" s="129">
        <f>Steel17221259[[#This Row],[Original Contract]]-Steel17221259[[#This Row],[Revised Contract]]</f>
        <v>0</v>
      </c>
      <c r="K213" s="347"/>
      <c r="L213" s="341"/>
      <c r="M213" s="343"/>
      <c r="T213" s="97"/>
      <c r="U213" s="97"/>
      <c r="Y213" s="198"/>
      <c r="Z213" s="198"/>
    </row>
    <row r="214" spans="1:26" x14ac:dyDescent="0.35">
      <c r="A214" s="128">
        <v>5</v>
      </c>
      <c r="B214" s="132"/>
      <c r="C214" s="132"/>
      <c r="D214" s="133" t="s">
        <v>37</v>
      </c>
      <c r="E214" s="255">
        <v>0</v>
      </c>
      <c r="F214" s="255">
        <v>0</v>
      </c>
      <c r="G214" s="129">
        <f>0</f>
        <v>0</v>
      </c>
      <c r="H214" s="255">
        <f>IF(Steel17221259[[#This Row],[Actual Buyout]]+Steel17221259[[#This Row],[Change Orders]]=0,Steel17221259[[#This Row],[Original Contract]],Steel17221259[[#This Row],[Actual Buyout]]+Steel17221259[[#This Row],[Change Orders]])</f>
        <v>0</v>
      </c>
      <c r="I214" s="129">
        <v>0</v>
      </c>
      <c r="J214" s="129">
        <f>Steel17221259[[#This Row],[Original Contract]]-Steel17221259[[#This Row],[Revised Contract]]</f>
        <v>0</v>
      </c>
      <c r="K214" s="347"/>
      <c r="L214" s="341"/>
      <c r="M214" s="343"/>
      <c r="T214" s="97"/>
      <c r="U214" s="97"/>
      <c r="Y214" s="198"/>
      <c r="Z214" s="198"/>
    </row>
    <row r="215" spans="1:26" x14ac:dyDescent="0.35">
      <c r="A215" s="128">
        <v>5</v>
      </c>
      <c r="B215" s="132"/>
      <c r="C215" s="132"/>
      <c r="D215" s="133" t="s">
        <v>37</v>
      </c>
      <c r="E215" s="255">
        <v>0</v>
      </c>
      <c r="F215" s="255">
        <v>0</v>
      </c>
      <c r="G215" s="129">
        <f>0</f>
        <v>0</v>
      </c>
      <c r="H215" s="255">
        <f>IF(Steel17221259[[#This Row],[Actual Buyout]]+Steel17221259[[#This Row],[Change Orders]]=0,Steel17221259[[#This Row],[Original Contract]],Steel17221259[[#This Row],[Actual Buyout]]+Steel17221259[[#This Row],[Change Orders]])</f>
        <v>0</v>
      </c>
      <c r="I215" s="129">
        <v>0</v>
      </c>
      <c r="J215" s="129">
        <f>Steel17221259[[#This Row],[Original Contract]]-Steel17221259[[#This Row],[Revised Contract]]</f>
        <v>0</v>
      </c>
      <c r="K215" s="347"/>
      <c r="L215" s="341"/>
      <c r="M215" s="343"/>
      <c r="T215" s="97"/>
      <c r="U215" s="97"/>
      <c r="Y215" s="198"/>
      <c r="Z215" s="198"/>
    </row>
    <row r="216" spans="1:26" x14ac:dyDescent="0.35">
      <c r="A216" s="128">
        <v>5</v>
      </c>
      <c r="B216" s="132"/>
      <c r="C216" s="132"/>
      <c r="D216" s="133" t="s">
        <v>37</v>
      </c>
      <c r="E216" s="255">
        <v>0</v>
      </c>
      <c r="F216" s="255">
        <v>0</v>
      </c>
      <c r="G216" s="129">
        <f>0</f>
        <v>0</v>
      </c>
      <c r="H216" s="255">
        <f>IF(Steel17221259[[#This Row],[Actual Buyout]]+Steel17221259[[#This Row],[Change Orders]]=0,Steel17221259[[#This Row],[Original Contract]],Steel17221259[[#This Row],[Actual Buyout]]+Steel17221259[[#This Row],[Change Orders]])</f>
        <v>0</v>
      </c>
      <c r="I216" s="129">
        <v>0</v>
      </c>
      <c r="J216" s="129">
        <f>Steel17221259[[#This Row],[Original Contract]]-Steel17221259[[#This Row],[Revised Contract]]</f>
        <v>0</v>
      </c>
      <c r="K216" s="347"/>
      <c r="L216" s="341"/>
      <c r="M216" s="343"/>
      <c r="T216" s="97"/>
      <c r="U216" s="97"/>
      <c r="Y216" s="198"/>
      <c r="Z216" s="198"/>
    </row>
    <row r="217" spans="1:26" x14ac:dyDescent="0.35">
      <c r="A217" s="128">
        <v>5</v>
      </c>
      <c r="B217" s="132"/>
      <c r="C217" s="132"/>
      <c r="D217" s="133" t="s">
        <v>37</v>
      </c>
      <c r="E217" s="255">
        <v>0</v>
      </c>
      <c r="F217" s="255">
        <v>0</v>
      </c>
      <c r="G217" s="129">
        <f>0</f>
        <v>0</v>
      </c>
      <c r="H217" s="255">
        <f>IF(Steel17221259[[#This Row],[Actual Buyout]]+Steel17221259[[#This Row],[Change Orders]]=0,Steel17221259[[#This Row],[Original Contract]],Steel17221259[[#This Row],[Actual Buyout]]+Steel17221259[[#This Row],[Change Orders]])</f>
        <v>0</v>
      </c>
      <c r="I217" s="129">
        <v>0</v>
      </c>
      <c r="J217" s="129">
        <f>Steel17221259[[#This Row],[Original Contract]]-Steel17221259[[#This Row],[Revised Contract]]</f>
        <v>0</v>
      </c>
      <c r="K217" s="347"/>
      <c r="L217" s="341"/>
      <c r="M217" s="343"/>
      <c r="T217" s="97"/>
      <c r="U217" s="97"/>
      <c r="Y217" s="198"/>
      <c r="Z217" s="198"/>
    </row>
    <row r="218" spans="1:26" x14ac:dyDescent="0.35">
      <c r="A218" s="128">
        <v>5</v>
      </c>
      <c r="B218" s="132"/>
      <c r="C218" s="132"/>
      <c r="D218" s="133" t="s">
        <v>37</v>
      </c>
      <c r="E218" s="255">
        <v>0</v>
      </c>
      <c r="F218" s="255">
        <v>0</v>
      </c>
      <c r="G218" s="129">
        <f>0</f>
        <v>0</v>
      </c>
      <c r="H218" s="255">
        <f>IF(Steel17221259[[#This Row],[Actual Buyout]]+Steel17221259[[#This Row],[Change Orders]]=0,Steel17221259[[#This Row],[Original Contract]],Steel17221259[[#This Row],[Actual Buyout]]+Steel17221259[[#This Row],[Change Orders]])</f>
        <v>0</v>
      </c>
      <c r="I218" s="129">
        <v>0</v>
      </c>
      <c r="J218" s="129">
        <f>Steel17221259[[#This Row],[Original Contract]]-Steel17221259[[#This Row],[Revised Contract]]</f>
        <v>0</v>
      </c>
      <c r="K218" s="347"/>
      <c r="L218" s="341"/>
      <c r="M218" s="343"/>
      <c r="T218" s="97"/>
      <c r="U218" s="97"/>
      <c r="Y218" s="198"/>
      <c r="Z218" s="198"/>
    </row>
    <row r="219" spans="1:26" x14ac:dyDescent="0.35">
      <c r="A219" s="128">
        <v>5</v>
      </c>
      <c r="B219" s="259"/>
      <c r="C219" s="259"/>
      <c r="D219" s="260" t="s">
        <v>37</v>
      </c>
      <c r="E219" s="255">
        <v>0</v>
      </c>
      <c r="F219" s="255">
        <v>0</v>
      </c>
      <c r="G219" s="129">
        <f>0</f>
        <v>0</v>
      </c>
      <c r="H219" s="255">
        <f>IF(Steel17221259[[#This Row],[Actual Buyout]]+Steel17221259[[#This Row],[Change Orders]]=0,Steel17221259[[#This Row],[Original Contract]],Steel17221259[[#This Row],[Actual Buyout]]+Steel17221259[[#This Row],[Change Orders]])</f>
        <v>0</v>
      </c>
      <c r="I219" s="129">
        <v>0</v>
      </c>
      <c r="J219" s="129">
        <f>Steel17221259[[#This Row],[Original Contract]]-Steel17221259[[#This Row],[Revised Contract]]</f>
        <v>0</v>
      </c>
      <c r="K219" s="347"/>
      <c r="L219" s="341"/>
      <c r="M219" s="343"/>
      <c r="T219" s="97"/>
      <c r="U219" s="97"/>
      <c r="Y219" s="198"/>
      <c r="Z219" s="198"/>
    </row>
    <row r="220" spans="1:26" x14ac:dyDescent="0.35">
      <c r="A220" s="128">
        <v>5</v>
      </c>
      <c r="B220" s="259"/>
      <c r="C220" s="259"/>
      <c r="D220" s="260" t="s">
        <v>37</v>
      </c>
      <c r="E220" s="255">
        <v>0</v>
      </c>
      <c r="F220" s="255">
        <v>0</v>
      </c>
      <c r="G220" s="129">
        <f>0</f>
        <v>0</v>
      </c>
      <c r="H220" s="255">
        <f>IF(Steel17221259[[#This Row],[Actual Buyout]]+Steel17221259[[#This Row],[Change Orders]]=0,Steel17221259[[#This Row],[Original Contract]],Steel17221259[[#This Row],[Actual Buyout]]+Steel17221259[[#This Row],[Change Orders]])</f>
        <v>0</v>
      </c>
      <c r="I220" s="129">
        <v>0</v>
      </c>
      <c r="J220" s="129">
        <f>Steel17221259[[#This Row],[Original Contract]]-Steel17221259[[#This Row],[Revised Contract]]</f>
        <v>0</v>
      </c>
      <c r="K220" s="347"/>
      <c r="L220" s="341"/>
      <c r="M220" s="343"/>
      <c r="T220" s="97"/>
      <c r="U220" s="97"/>
      <c r="Y220" s="198"/>
      <c r="Z220" s="198"/>
    </row>
    <row r="221" spans="1:26" x14ac:dyDescent="0.35">
      <c r="A221" s="128">
        <v>5</v>
      </c>
      <c r="B221" s="259"/>
      <c r="C221" s="259"/>
      <c r="D221" s="260" t="s">
        <v>37</v>
      </c>
      <c r="E221" s="255">
        <v>0</v>
      </c>
      <c r="F221" s="255">
        <v>0</v>
      </c>
      <c r="G221" s="129">
        <f>0</f>
        <v>0</v>
      </c>
      <c r="H221" s="255">
        <f>IF(Steel17221259[[#This Row],[Actual Buyout]]+Steel17221259[[#This Row],[Change Orders]]=0,Steel17221259[[#This Row],[Original Contract]],Steel17221259[[#This Row],[Actual Buyout]]+Steel17221259[[#This Row],[Change Orders]])</f>
        <v>0</v>
      </c>
      <c r="I221" s="129">
        <v>0</v>
      </c>
      <c r="J221" s="129">
        <f>Steel17221259[[#This Row],[Original Contract]]-Steel17221259[[#This Row],[Revised Contract]]</f>
        <v>0</v>
      </c>
      <c r="K221" s="347"/>
      <c r="L221" s="341"/>
      <c r="M221" s="343"/>
      <c r="T221" s="97"/>
      <c r="U221" s="97"/>
      <c r="Y221" s="198"/>
      <c r="Z221" s="198"/>
    </row>
    <row r="222" spans="1:26" x14ac:dyDescent="0.35">
      <c r="A222" s="128">
        <v>5</v>
      </c>
      <c r="B222" s="259"/>
      <c r="C222" s="259"/>
      <c r="D222" s="260" t="s">
        <v>37</v>
      </c>
      <c r="E222" s="255">
        <v>0</v>
      </c>
      <c r="F222" s="255">
        <v>0</v>
      </c>
      <c r="G222" s="129">
        <f>0</f>
        <v>0</v>
      </c>
      <c r="H222" s="255">
        <f>IF(Steel17221259[[#This Row],[Actual Buyout]]+Steel17221259[[#This Row],[Change Orders]]=0,Steel17221259[[#This Row],[Original Contract]],Steel17221259[[#This Row],[Actual Buyout]]+Steel17221259[[#This Row],[Change Orders]])</f>
        <v>0</v>
      </c>
      <c r="I222" s="129">
        <v>0</v>
      </c>
      <c r="J222" s="129">
        <f>Steel17221259[[#This Row],[Original Contract]]-Steel17221259[[#This Row],[Revised Contract]]</f>
        <v>0</v>
      </c>
      <c r="K222" s="347"/>
      <c r="L222" s="341"/>
      <c r="M222" s="343"/>
      <c r="T222" s="97"/>
      <c r="U222" s="97"/>
      <c r="Y222" s="198"/>
      <c r="Z222" s="198"/>
    </row>
    <row r="223" spans="1:26" x14ac:dyDescent="0.35">
      <c r="A223" s="257"/>
      <c r="B223" s="258"/>
      <c r="C223" s="258"/>
      <c r="D223" s="256" t="s">
        <v>38</v>
      </c>
      <c r="E223" s="151">
        <f>SUM(Steel17221259[Original Contract])</f>
        <v>0</v>
      </c>
      <c r="F223" s="151">
        <f>SUM(Steel17221259[Actual Buyout])</f>
        <v>0</v>
      </c>
      <c r="G223" s="151">
        <f>SUM(Steel17221259[Change Orders])</f>
        <v>0</v>
      </c>
      <c r="H223" s="151">
        <f>SUM(Steel17221259[Revised Contract])</f>
        <v>0</v>
      </c>
      <c r="I223" s="151">
        <f>SUM(Steel17221259[Total completed and Stored])</f>
        <v>0</v>
      </c>
      <c r="J223" s="151">
        <f>SUM(Steel17221259[Delta])</f>
        <v>0</v>
      </c>
      <c r="K223" s="348"/>
      <c r="L223" s="343"/>
      <c r="M223" s="343"/>
    </row>
    <row r="224" spans="1:26" x14ac:dyDescent="0.35">
      <c r="A224" s="100" t="s">
        <v>656</v>
      </c>
      <c r="B224" s="100" t="s">
        <v>77</v>
      </c>
      <c r="C224" s="100" t="s">
        <v>167</v>
      </c>
      <c r="D224" s="100" t="s">
        <v>26</v>
      </c>
      <c r="E224" s="100" t="s">
        <v>781</v>
      </c>
      <c r="F224" s="332" t="s">
        <v>1078</v>
      </c>
      <c r="G224" s="332" t="s">
        <v>782</v>
      </c>
      <c r="H224" s="332" t="s">
        <v>783</v>
      </c>
      <c r="I224" s="334" t="s">
        <v>785</v>
      </c>
      <c r="J224" s="340" t="s">
        <v>1079</v>
      </c>
      <c r="K224" s="347"/>
      <c r="L224" s="335"/>
      <c r="M224" s="343"/>
      <c r="T224" s="97"/>
      <c r="U224" s="97"/>
      <c r="Y224" s="198"/>
      <c r="Z224" s="198"/>
    </row>
    <row r="225" spans="1:26" x14ac:dyDescent="0.35">
      <c r="A225" s="128">
        <v>6</v>
      </c>
      <c r="B225" s="132" t="s">
        <v>305</v>
      </c>
      <c r="C225" s="132" t="s">
        <v>177</v>
      </c>
      <c r="D225" s="133" t="s">
        <v>78</v>
      </c>
      <c r="E225" s="255">
        <v>0</v>
      </c>
      <c r="F225" s="255">
        <v>0</v>
      </c>
      <c r="G225" s="129">
        <f>0</f>
        <v>0</v>
      </c>
      <c r="H225" s="255">
        <f>IF(Carpentry18222260[[#This Row],[Actual Buyout]]+Carpentry18222260[[#This Row],[Change Orders]]=0,Carpentry18222260[[#This Row],[Original Contract]],Carpentry18222260[[#This Row],[Actual Buyout]]+Carpentry18222260[[#This Row],[Change Orders]])</f>
        <v>0</v>
      </c>
      <c r="I225" s="129">
        <v>0</v>
      </c>
      <c r="J225" s="129">
        <f>Carpentry18222260[[#This Row],[Original Contract]]-Carpentry18222260[[#This Row],[Revised Contract]]</f>
        <v>0</v>
      </c>
      <c r="K225" s="347"/>
      <c r="L225" s="341"/>
      <c r="M225" s="343"/>
      <c r="T225" s="97"/>
      <c r="U225" s="97"/>
      <c r="Y225" s="198"/>
      <c r="Z225" s="198"/>
    </row>
    <row r="226" spans="1:26" x14ac:dyDescent="0.35">
      <c r="A226" s="128">
        <v>6</v>
      </c>
      <c r="B226" s="132" t="s">
        <v>305</v>
      </c>
      <c r="C226" s="132" t="s">
        <v>177</v>
      </c>
      <c r="D226" s="133" t="s">
        <v>79</v>
      </c>
      <c r="E226" s="255">
        <v>0</v>
      </c>
      <c r="F226" s="255">
        <v>0</v>
      </c>
      <c r="G226" s="129">
        <f>0</f>
        <v>0</v>
      </c>
      <c r="H226" s="255">
        <f>IF(Carpentry18222260[[#This Row],[Actual Buyout]]+Carpentry18222260[[#This Row],[Change Orders]]=0,Carpentry18222260[[#This Row],[Original Contract]],Carpentry18222260[[#This Row],[Actual Buyout]]+Carpentry18222260[[#This Row],[Change Orders]])</f>
        <v>0</v>
      </c>
      <c r="I226" s="129">
        <v>0</v>
      </c>
      <c r="J226" s="129">
        <f>Carpentry18222260[[#This Row],[Original Contract]]-Carpentry18222260[[#This Row],[Revised Contract]]</f>
        <v>0</v>
      </c>
      <c r="K226" s="347"/>
      <c r="L226" s="341"/>
      <c r="M226" s="343"/>
      <c r="T226" s="97"/>
      <c r="U226" s="97"/>
      <c r="Y226" s="198"/>
      <c r="Z226" s="198"/>
    </row>
    <row r="227" spans="1:26" x14ac:dyDescent="0.35">
      <c r="A227" s="128">
        <v>6</v>
      </c>
      <c r="B227" s="132" t="s">
        <v>306</v>
      </c>
      <c r="C227" s="132" t="s">
        <v>178</v>
      </c>
      <c r="D227" s="133" t="s">
        <v>80</v>
      </c>
      <c r="E227" s="255">
        <v>0</v>
      </c>
      <c r="F227" s="255">
        <v>0</v>
      </c>
      <c r="G227" s="129">
        <f>0</f>
        <v>0</v>
      </c>
      <c r="H227" s="255">
        <f>IF(Carpentry18222260[[#This Row],[Actual Buyout]]+Carpentry18222260[[#This Row],[Change Orders]]=0,Carpentry18222260[[#This Row],[Original Contract]],Carpentry18222260[[#This Row],[Actual Buyout]]+Carpentry18222260[[#This Row],[Change Orders]])</f>
        <v>0</v>
      </c>
      <c r="I227" s="129">
        <v>0</v>
      </c>
      <c r="J227" s="129">
        <f>Carpentry18222260[[#This Row],[Original Contract]]-Carpentry18222260[[#This Row],[Revised Contract]]</f>
        <v>0</v>
      </c>
      <c r="K227" s="347"/>
      <c r="L227" s="341"/>
      <c r="M227" s="343"/>
      <c r="T227" s="97"/>
      <c r="U227" s="97"/>
      <c r="Y227" s="198"/>
      <c r="Z227" s="198"/>
    </row>
    <row r="228" spans="1:26" x14ac:dyDescent="0.35">
      <c r="A228" s="128">
        <v>6</v>
      </c>
      <c r="B228" s="132" t="s">
        <v>679</v>
      </c>
      <c r="C228" s="132" t="s">
        <v>680</v>
      </c>
      <c r="D228" s="133" t="s">
        <v>681</v>
      </c>
      <c r="E228" s="255">
        <v>0</v>
      </c>
      <c r="F228" s="255">
        <v>0</v>
      </c>
      <c r="G228" s="129">
        <f>0</f>
        <v>0</v>
      </c>
      <c r="H228" s="255">
        <f>IF(Carpentry18222260[[#This Row],[Actual Buyout]]+Carpentry18222260[[#This Row],[Change Orders]]=0,Carpentry18222260[[#This Row],[Original Contract]],Carpentry18222260[[#This Row],[Actual Buyout]]+Carpentry18222260[[#This Row],[Change Orders]])</f>
        <v>0</v>
      </c>
      <c r="I228" s="129">
        <v>0</v>
      </c>
      <c r="J228" s="129">
        <f>Carpentry18222260[[#This Row],[Original Contract]]-Carpentry18222260[[#This Row],[Revised Contract]]</f>
        <v>0</v>
      </c>
      <c r="K228" s="347"/>
      <c r="L228" s="341"/>
      <c r="M228" s="343"/>
      <c r="T228" s="97"/>
      <c r="U228" s="97"/>
      <c r="Y228" s="198"/>
      <c r="Z228" s="198"/>
    </row>
    <row r="229" spans="1:26" x14ac:dyDescent="0.35">
      <c r="A229" s="128">
        <v>6</v>
      </c>
      <c r="B229" s="132"/>
      <c r="C229" s="132"/>
      <c r="D229" s="133" t="s">
        <v>37</v>
      </c>
      <c r="E229" s="255">
        <v>0</v>
      </c>
      <c r="F229" s="255">
        <v>0</v>
      </c>
      <c r="G229" s="129">
        <f>0</f>
        <v>0</v>
      </c>
      <c r="H229" s="255">
        <f>IF(Carpentry18222260[[#This Row],[Actual Buyout]]+Carpentry18222260[[#This Row],[Change Orders]]=0,Carpentry18222260[[#This Row],[Original Contract]],Carpentry18222260[[#This Row],[Actual Buyout]]+Carpentry18222260[[#This Row],[Change Orders]])</f>
        <v>0</v>
      </c>
      <c r="I229" s="129">
        <v>0</v>
      </c>
      <c r="J229" s="129">
        <f>Carpentry18222260[[#This Row],[Original Contract]]-Carpentry18222260[[#This Row],[Revised Contract]]</f>
        <v>0</v>
      </c>
      <c r="K229" s="347"/>
      <c r="L229" s="341"/>
      <c r="M229" s="343"/>
      <c r="T229" s="97"/>
      <c r="U229" s="97"/>
      <c r="Y229" s="198"/>
      <c r="Z229" s="198"/>
    </row>
    <row r="230" spans="1:26" x14ac:dyDescent="0.35">
      <c r="A230" s="128">
        <v>6</v>
      </c>
      <c r="B230" s="132"/>
      <c r="C230" s="132"/>
      <c r="D230" s="133" t="s">
        <v>37</v>
      </c>
      <c r="E230" s="255">
        <v>0</v>
      </c>
      <c r="F230" s="255">
        <v>0</v>
      </c>
      <c r="G230" s="129">
        <f>0</f>
        <v>0</v>
      </c>
      <c r="H230" s="255">
        <f>IF(Carpentry18222260[[#This Row],[Actual Buyout]]+Carpentry18222260[[#This Row],[Change Orders]]=0,Carpentry18222260[[#This Row],[Original Contract]],Carpentry18222260[[#This Row],[Actual Buyout]]+Carpentry18222260[[#This Row],[Change Orders]])</f>
        <v>0</v>
      </c>
      <c r="I230" s="129">
        <v>0</v>
      </c>
      <c r="J230" s="129">
        <f>Carpentry18222260[[#This Row],[Original Contract]]-Carpentry18222260[[#This Row],[Revised Contract]]</f>
        <v>0</v>
      </c>
      <c r="K230" s="347"/>
      <c r="L230" s="341"/>
      <c r="M230" s="343"/>
      <c r="T230" s="97"/>
      <c r="U230" s="97"/>
      <c r="Y230" s="198"/>
      <c r="Z230" s="198"/>
    </row>
    <row r="231" spans="1:26" x14ac:dyDescent="0.35">
      <c r="A231" s="128">
        <v>6</v>
      </c>
      <c r="B231" s="132"/>
      <c r="C231" s="132"/>
      <c r="D231" s="133" t="s">
        <v>37</v>
      </c>
      <c r="E231" s="255">
        <v>0</v>
      </c>
      <c r="F231" s="255">
        <v>0</v>
      </c>
      <c r="G231" s="129">
        <f>0</f>
        <v>0</v>
      </c>
      <c r="H231" s="255">
        <f>IF(Carpentry18222260[[#This Row],[Actual Buyout]]+Carpentry18222260[[#This Row],[Change Orders]]=0,Carpentry18222260[[#This Row],[Original Contract]],Carpentry18222260[[#This Row],[Actual Buyout]]+Carpentry18222260[[#This Row],[Change Orders]])</f>
        <v>0</v>
      </c>
      <c r="I231" s="129">
        <v>0</v>
      </c>
      <c r="J231" s="129">
        <f>Carpentry18222260[[#This Row],[Original Contract]]-Carpentry18222260[[#This Row],[Revised Contract]]</f>
        <v>0</v>
      </c>
      <c r="K231" s="347"/>
      <c r="L231" s="341"/>
      <c r="M231" s="343"/>
      <c r="T231" s="97"/>
      <c r="U231" s="97"/>
      <c r="Y231" s="198"/>
      <c r="Z231" s="198"/>
    </row>
    <row r="232" spans="1:26" x14ac:dyDescent="0.35">
      <c r="A232" s="128">
        <v>6</v>
      </c>
      <c r="B232" s="132"/>
      <c r="C232" s="132"/>
      <c r="D232" s="133" t="s">
        <v>37</v>
      </c>
      <c r="E232" s="255">
        <v>0</v>
      </c>
      <c r="F232" s="255">
        <v>0</v>
      </c>
      <c r="G232" s="129">
        <f>0</f>
        <v>0</v>
      </c>
      <c r="H232" s="255">
        <f>IF(Carpentry18222260[[#This Row],[Actual Buyout]]+Carpentry18222260[[#This Row],[Change Orders]]=0,Carpentry18222260[[#This Row],[Original Contract]],Carpentry18222260[[#This Row],[Actual Buyout]]+Carpentry18222260[[#This Row],[Change Orders]])</f>
        <v>0</v>
      </c>
      <c r="I232" s="129">
        <v>0</v>
      </c>
      <c r="J232" s="129">
        <f>Carpentry18222260[[#This Row],[Original Contract]]-Carpentry18222260[[#This Row],[Revised Contract]]</f>
        <v>0</v>
      </c>
      <c r="K232" s="347"/>
      <c r="L232" s="341"/>
      <c r="M232" s="343"/>
      <c r="T232" s="97"/>
      <c r="U232" s="97"/>
      <c r="Y232" s="198"/>
      <c r="Z232" s="198"/>
    </row>
    <row r="233" spans="1:26" x14ac:dyDescent="0.35">
      <c r="A233" s="128">
        <v>6</v>
      </c>
      <c r="B233" s="132"/>
      <c r="C233" s="132"/>
      <c r="D233" s="133" t="s">
        <v>37</v>
      </c>
      <c r="E233" s="255">
        <v>0</v>
      </c>
      <c r="F233" s="255">
        <v>0</v>
      </c>
      <c r="G233" s="129">
        <f>0</f>
        <v>0</v>
      </c>
      <c r="H233" s="255">
        <f>IF(Carpentry18222260[[#This Row],[Actual Buyout]]+Carpentry18222260[[#This Row],[Change Orders]]=0,Carpentry18222260[[#This Row],[Original Contract]],Carpentry18222260[[#This Row],[Actual Buyout]]+Carpentry18222260[[#This Row],[Change Orders]])</f>
        <v>0</v>
      </c>
      <c r="I233" s="129">
        <v>0</v>
      </c>
      <c r="J233" s="129">
        <f>Carpentry18222260[[#This Row],[Original Contract]]-Carpentry18222260[[#This Row],[Revised Contract]]</f>
        <v>0</v>
      </c>
      <c r="K233" s="347"/>
      <c r="L233" s="341"/>
      <c r="M233" s="343"/>
      <c r="T233" s="97"/>
      <c r="U233" s="97"/>
      <c r="Y233" s="198"/>
      <c r="Z233" s="198"/>
    </row>
    <row r="234" spans="1:26" x14ac:dyDescent="0.35">
      <c r="A234" s="257"/>
      <c r="B234" s="258"/>
      <c r="C234" s="258"/>
      <c r="D234" s="256" t="s">
        <v>38</v>
      </c>
      <c r="E234" s="151">
        <f>SUM(Carpentry18222260[Original Contract])</f>
        <v>0</v>
      </c>
      <c r="F234" s="151">
        <f>SUM(Carpentry18222260[Actual Buyout])</f>
        <v>0</v>
      </c>
      <c r="G234" s="151">
        <f>SUM(Carpentry18222260[Change Orders])</f>
        <v>0</v>
      </c>
      <c r="H234" s="151">
        <f>SUM(Carpentry18222260[Revised Contract])</f>
        <v>0</v>
      </c>
      <c r="I234" s="151">
        <f>SUM(Carpentry18222260[Total completed and Stored])</f>
        <v>0</v>
      </c>
      <c r="J234" s="151">
        <f>SUM(Carpentry18222260[Delta])</f>
        <v>0</v>
      </c>
      <c r="K234" s="348"/>
      <c r="L234" s="343"/>
      <c r="M234" s="343"/>
    </row>
    <row r="235" spans="1:26" x14ac:dyDescent="0.35">
      <c r="A235" s="100" t="s">
        <v>657</v>
      </c>
      <c r="B235" s="100" t="s">
        <v>255</v>
      </c>
      <c r="C235" s="100" t="s">
        <v>167</v>
      </c>
      <c r="D235" s="100" t="s">
        <v>26</v>
      </c>
      <c r="E235" s="100" t="s">
        <v>781</v>
      </c>
      <c r="F235" s="332" t="s">
        <v>1078</v>
      </c>
      <c r="G235" s="332" t="s">
        <v>782</v>
      </c>
      <c r="H235" s="332" t="s">
        <v>783</v>
      </c>
      <c r="I235" s="334" t="s">
        <v>785</v>
      </c>
      <c r="J235" s="340" t="s">
        <v>1079</v>
      </c>
      <c r="K235" s="347"/>
      <c r="L235" s="335"/>
      <c r="M235" s="343"/>
      <c r="T235" s="97"/>
      <c r="U235" s="97"/>
      <c r="Y235" s="198"/>
      <c r="Z235" s="198"/>
    </row>
    <row r="236" spans="1:26" x14ac:dyDescent="0.35">
      <c r="A236" s="128">
        <v>7</v>
      </c>
      <c r="B236" s="132" t="s">
        <v>308</v>
      </c>
      <c r="C236" s="132" t="s">
        <v>307</v>
      </c>
      <c r="D236" s="133" t="s">
        <v>81</v>
      </c>
      <c r="E236" s="255">
        <v>0</v>
      </c>
      <c r="F236" s="255">
        <v>0</v>
      </c>
      <c r="G236" s="129">
        <f>0</f>
        <v>0</v>
      </c>
      <c r="H236" s="255">
        <f>IF(Thermal19223261[[#This Row],[Actual Buyout]]+Thermal19223261[[#This Row],[Change Orders]]=0,Thermal19223261[[#This Row],[Original Contract]],Thermal19223261[[#This Row],[Actual Buyout]]+Thermal19223261[[#This Row],[Change Orders]])</f>
        <v>0</v>
      </c>
      <c r="I236" s="129">
        <v>0</v>
      </c>
      <c r="J236" s="129">
        <f>Thermal19223261[[#This Row],[Original Contract]]-Thermal19223261[[#This Row],[Revised Contract]]</f>
        <v>0</v>
      </c>
      <c r="K236" s="347"/>
      <c r="L236" s="341"/>
      <c r="M236" s="343"/>
      <c r="T236" s="97"/>
      <c r="U236" s="97"/>
      <c r="Y236" s="198"/>
      <c r="Z236" s="198"/>
    </row>
    <row r="237" spans="1:26" x14ac:dyDescent="0.35">
      <c r="A237" s="128">
        <v>7</v>
      </c>
      <c r="B237" s="132" t="s">
        <v>308</v>
      </c>
      <c r="C237" s="132" t="s">
        <v>307</v>
      </c>
      <c r="D237" s="133" t="s">
        <v>82</v>
      </c>
      <c r="E237" s="255">
        <v>0</v>
      </c>
      <c r="F237" s="255">
        <v>0</v>
      </c>
      <c r="G237" s="129">
        <f>0</f>
        <v>0</v>
      </c>
      <c r="H237" s="255">
        <f>IF(Thermal19223261[[#This Row],[Actual Buyout]]+Thermal19223261[[#This Row],[Change Orders]]=0,Thermal19223261[[#This Row],[Original Contract]],Thermal19223261[[#This Row],[Actual Buyout]]+Thermal19223261[[#This Row],[Change Orders]])</f>
        <v>0</v>
      </c>
      <c r="I237" s="129">
        <v>0</v>
      </c>
      <c r="J237" s="129">
        <f>Thermal19223261[[#This Row],[Original Contract]]-Thermal19223261[[#This Row],[Revised Contract]]</f>
        <v>0</v>
      </c>
      <c r="K237" s="347"/>
      <c r="L237" s="341"/>
      <c r="M237" s="343"/>
      <c r="T237" s="97"/>
      <c r="U237" s="97"/>
      <c r="Y237" s="198"/>
      <c r="Z237" s="198"/>
    </row>
    <row r="238" spans="1:26" x14ac:dyDescent="0.35">
      <c r="A238" s="128">
        <v>7</v>
      </c>
      <c r="B238" s="132" t="s">
        <v>308</v>
      </c>
      <c r="C238" s="132" t="s">
        <v>307</v>
      </c>
      <c r="D238" s="133" t="s">
        <v>710</v>
      </c>
      <c r="E238" s="255">
        <v>0</v>
      </c>
      <c r="F238" s="255">
        <v>0</v>
      </c>
      <c r="G238" s="129">
        <f>0</f>
        <v>0</v>
      </c>
      <c r="H238" s="255">
        <f>IF(Thermal19223261[[#This Row],[Actual Buyout]]+Thermal19223261[[#This Row],[Change Orders]]=0,Thermal19223261[[#This Row],[Original Contract]],Thermal19223261[[#This Row],[Actual Buyout]]+Thermal19223261[[#This Row],[Change Orders]])</f>
        <v>0</v>
      </c>
      <c r="I238" s="129">
        <v>0</v>
      </c>
      <c r="J238" s="129">
        <f>Thermal19223261[[#This Row],[Original Contract]]-Thermal19223261[[#This Row],[Revised Contract]]</f>
        <v>0</v>
      </c>
      <c r="K238" s="347"/>
      <c r="L238" s="341"/>
      <c r="M238" s="343"/>
      <c r="T238" s="97"/>
      <c r="U238" s="97"/>
      <c r="Y238" s="198"/>
      <c r="Z238" s="198"/>
    </row>
    <row r="239" spans="1:26" x14ac:dyDescent="0.35">
      <c r="A239" s="128">
        <v>7</v>
      </c>
      <c r="B239" s="132" t="s">
        <v>308</v>
      </c>
      <c r="C239" s="132" t="s">
        <v>307</v>
      </c>
      <c r="D239" s="133" t="s">
        <v>83</v>
      </c>
      <c r="E239" s="255">
        <v>0</v>
      </c>
      <c r="F239" s="255">
        <v>0</v>
      </c>
      <c r="G239" s="129">
        <f>0</f>
        <v>0</v>
      </c>
      <c r="H239" s="255">
        <f>IF(Thermal19223261[[#This Row],[Actual Buyout]]+Thermal19223261[[#This Row],[Change Orders]]=0,Thermal19223261[[#This Row],[Original Contract]],Thermal19223261[[#This Row],[Actual Buyout]]+Thermal19223261[[#This Row],[Change Orders]])</f>
        <v>0</v>
      </c>
      <c r="I239" s="129">
        <v>0</v>
      </c>
      <c r="J239" s="129">
        <f>Thermal19223261[[#This Row],[Original Contract]]-Thermal19223261[[#This Row],[Revised Contract]]</f>
        <v>0</v>
      </c>
      <c r="K239" s="347"/>
      <c r="L239" s="341"/>
      <c r="M239" s="343"/>
      <c r="T239" s="97"/>
      <c r="U239" s="97"/>
      <c r="Y239" s="198"/>
      <c r="Z239" s="198"/>
    </row>
    <row r="240" spans="1:26" x14ac:dyDescent="0.35">
      <c r="A240" s="128">
        <v>7</v>
      </c>
      <c r="B240" s="132" t="s">
        <v>310</v>
      </c>
      <c r="C240" s="132" t="s">
        <v>309</v>
      </c>
      <c r="D240" s="133" t="s">
        <v>84</v>
      </c>
      <c r="E240" s="255">
        <v>0</v>
      </c>
      <c r="F240" s="255">
        <v>0</v>
      </c>
      <c r="G240" s="129">
        <f>0</f>
        <v>0</v>
      </c>
      <c r="H240" s="255">
        <f>IF(Thermal19223261[[#This Row],[Actual Buyout]]+Thermal19223261[[#This Row],[Change Orders]]=0,Thermal19223261[[#This Row],[Original Contract]],Thermal19223261[[#This Row],[Actual Buyout]]+Thermal19223261[[#This Row],[Change Orders]])</f>
        <v>0</v>
      </c>
      <c r="I240" s="129">
        <v>0</v>
      </c>
      <c r="J240" s="129">
        <f>Thermal19223261[[#This Row],[Original Contract]]-Thermal19223261[[#This Row],[Revised Contract]]</f>
        <v>0</v>
      </c>
      <c r="K240" s="347"/>
      <c r="L240" s="341"/>
      <c r="M240" s="343"/>
      <c r="T240" s="97"/>
      <c r="U240" s="97"/>
      <c r="Y240" s="198"/>
      <c r="Z240" s="198"/>
    </row>
    <row r="241" spans="1:26" x14ac:dyDescent="0.35">
      <c r="A241" s="128">
        <v>7</v>
      </c>
      <c r="B241" s="132" t="s">
        <v>311</v>
      </c>
      <c r="C241" s="132" t="s">
        <v>179</v>
      </c>
      <c r="D241" s="133" t="s">
        <v>85</v>
      </c>
      <c r="E241" s="255">
        <v>0</v>
      </c>
      <c r="F241" s="255">
        <v>0</v>
      </c>
      <c r="G241" s="129">
        <f>0</f>
        <v>0</v>
      </c>
      <c r="H241" s="255">
        <f>IF(Thermal19223261[[#This Row],[Actual Buyout]]+Thermal19223261[[#This Row],[Change Orders]]=0,Thermal19223261[[#This Row],[Original Contract]],Thermal19223261[[#This Row],[Actual Buyout]]+Thermal19223261[[#This Row],[Change Orders]])</f>
        <v>0</v>
      </c>
      <c r="I241" s="129">
        <v>0</v>
      </c>
      <c r="J241" s="129">
        <f>Thermal19223261[[#This Row],[Original Contract]]-Thermal19223261[[#This Row],[Revised Contract]]</f>
        <v>0</v>
      </c>
      <c r="K241" s="347"/>
      <c r="L241" s="341"/>
      <c r="M241" s="343"/>
      <c r="T241" s="97"/>
      <c r="U241" s="97"/>
      <c r="Y241" s="198"/>
      <c r="Z241" s="198"/>
    </row>
    <row r="242" spans="1:26" x14ac:dyDescent="0.35">
      <c r="A242" s="128">
        <v>7</v>
      </c>
      <c r="B242" s="132" t="s">
        <v>310</v>
      </c>
      <c r="C242" s="132" t="s">
        <v>682</v>
      </c>
      <c r="D242" s="133" t="s">
        <v>760</v>
      </c>
      <c r="E242" s="255">
        <v>0</v>
      </c>
      <c r="F242" s="255">
        <v>0</v>
      </c>
      <c r="G242" s="129">
        <f>0</f>
        <v>0</v>
      </c>
      <c r="H242" s="255">
        <f>IF(Thermal19223261[[#This Row],[Actual Buyout]]+Thermal19223261[[#This Row],[Change Orders]]=0,Thermal19223261[[#This Row],[Original Contract]],Thermal19223261[[#This Row],[Actual Buyout]]+Thermal19223261[[#This Row],[Change Orders]])</f>
        <v>0</v>
      </c>
      <c r="I242" s="129">
        <v>0</v>
      </c>
      <c r="J242" s="129">
        <f>Thermal19223261[[#This Row],[Original Contract]]-Thermal19223261[[#This Row],[Revised Contract]]</f>
        <v>0</v>
      </c>
      <c r="K242" s="347"/>
      <c r="L242" s="341"/>
      <c r="M242" s="343"/>
      <c r="T242" s="97"/>
      <c r="U242" s="97"/>
      <c r="Y242" s="198"/>
      <c r="Z242" s="198"/>
    </row>
    <row r="243" spans="1:26" x14ac:dyDescent="0.35">
      <c r="A243" s="128">
        <v>7</v>
      </c>
      <c r="B243" s="132" t="s">
        <v>683</v>
      </c>
      <c r="C243" s="132" t="s">
        <v>684</v>
      </c>
      <c r="D243" s="133" t="s">
        <v>685</v>
      </c>
      <c r="E243" s="255">
        <v>0</v>
      </c>
      <c r="F243" s="255">
        <v>0</v>
      </c>
      <c r="G243" s="129">
        <f>0</f>
        <v>0</v>
      </c>
      <c r="H243" s="255">
        <f>IF(Thermal19223261[[#This Row],[Actual Buyout]]+Thermal19223261[[#This Row],[Change Orders]]=0,Thermal19223261[[#This Row],[Original Contract]],Thermal19223261[[#This Row],[Actual Buyout]]+Thermal19223261[[#This Row],[Change Orders]])</f>
        <v>0</v>
      </c>
      <c r="I243" s="129">
        <v>0</v>
      </c>
      <c r="J243" s="129">
        <f>Thermal19223261[[#This Row],[Original Contract]]-Thermal19223261[[#This Row],[Revised Contract]]</f>
        <v>0</v>
      </c>
      <c r="K243" s="347"/>
      <c r="L243" s="341"/>
      <c r="M243" s="343"/>
      <c r="T243" s="97"/>
      <c r="U243" s="97"/>
      <c r="Y243" s="198"/>
      <c r="Z243" s="198"/>
    </row>
    <row r="244" spans="1:26" x14ac:dyDescent="0.35">
      <c r="A244" s="128">
        <v>7</v>
      </c>
      <c r="B244" s="132"/>
      <c r="C244" s="132"/>
      <c r="D244" s="133" t="s">
        <v>37</v>
      </c>
      <c r="E244" s="255">
        <v>0</v>
      </c>
      <c r="F244" s="255">
        <v>0</v>
      </c>
      <c r="G244" s="129">
        <f>0</f>
        <v>0</v>
      </c>
      <c r="H244" s="255">
        <f>IF(Thermal19223261[[#This Row],[Actual Buyout]]+Thermal19223261[[#This Row],[Change Orders]]=0,Thermal19223261[[#This Row],[Original Contract]],Thermal19223261[[#This Row],[Actual Buyout]]+Thermal19223261[[#This Row],[Change Orders]])</f>
        <v>0</v>
      </c>
      <c r="I244" s="129">
        <v>0</v>
      </c>
      <c r="J244" s="129">
        <f>Thermal19223261[[#This Row],[Original Contract]]-Thermal19223261[[#This Row],[Revised Contract]]</f>
        <v>0</v>
      </c>
      <c r="K244" s="347"/>
      <c r="L244" s="341"/>
      <c r="M244" s="343"/>
      <c r="T244" s="97"/>
      <c r="U244" s="97"/>
      <c r="Y244" s="198"/>
      <c r="Z244" s="198"/>
    </row>
    <row r="245" spans="1:26" x14ac:dyDescent="0.35">
      <c r="A245" s="128">
        <v>7</v>
      </c>
      <c r="B245" s="132"/>
      <c r="C245" s="132"/>
      <c r="D245" s="133" t="s">
        <v>37</v>
      </c>
      <c r="E245" s="255">
        <v>0</v>
      </c>
      <c r="F245" s="255">
        <v>0</v>
      </c>
      <c r="G245" s="129">
        <f>0</f>
        <v>0</v>
      </c>
      <c r="H245" s="255">
        <f>IF(Thermal19223261[[#This Row],[Actual Buyout]]+Thermal19223261[[#This Row],[Change Orders]]=0,Thermal19223261[[#This Row],[Original Contract]],Thermal19223261[[#This Row],[Actual Buyout]]+Thermal19223261[[#This Row],[Change Orders]])</f>
        <v>0</v>
      </c>
      <c r="I245" s="129">
        <v>0</v>
      </c>
      <c r="J245" s="129">
        <f>Thermal19223261[[#This Row],[Original Contract]]-Thermal19223261[[#This Row],[Revised Contract]]</f>
        <v>0</v>
      </c>
      <c r="K245" s="347"/>
      <c r="L245" s="341"/>
      <c r="M245" s="343"/>
      <c r="T245" s="97"/>
      <c r="U245" s="97"/>
      <c r="Y245" s="198"/>
      <c r="Z245" s="198"/>
    </row>
    <row r="246" spans="1:26" x14ac:dyDescent="0.35">
      <c r="A246" s="128">
        <v>7</v>
      </c>
      <c r="B246" s="132"/>
      <c r="C246" s="132"/>
      <c r="D246" s="133" t="s">
        <v>37</v>
      </c>
      <c r="E246" s="255">
        <v>0</v>
      </c>
      <c r="F246" s="255">
        <v>0</v>
      </c>
      <c r="G246" s="129">
        <f>0</f>
        <v>0</v>
      </c>
      <c r="H246" s="255">
        <f>IF(Thermal19223261[[#This Row],[Actual Buyout]]+Thermal19223261[[#This Row],[Change Orders]]=0,Thermal19223261[[#This Row],[Original Contract]],Thermal19223261[[#This Row],[Actual Buyout]]+Thermal19223261[[#This Row],[Change Orders]])</f>
        <v>0</v>
      </c>
      <c r="I246" s="129">
        <v>0</v>
      </c>
      <c r="J246" s="129">
        <f>Thermal19223261[[#This Row],[Original Contract]]-Thermal19223261[[#This Row],[Revised Contract]]</f>
        <v>0</v>
      </c>
      <c r="K246" s="347"/>
      <c r="L246" s="341"/>
      <c r="M246" s="343"/>
      <c r="T246" s="97"/>
      <c r="U246" s="97"/>
      <c r="Y246" s="198"/>
      <c r="Z246" s="198"/>
    </row>
    <row r="247" spans="1:26" x14ac:dyDescent="0.35">
      <c r="A247" s="128">
        <v>7</v>
      </c>
      <c r="B247" s="132"/>
      <c r="C247" s="132"/>
      <c r="D247" s="133" t="s">
        <v>37</v>
      </c>
      <c r="E247" s="255">
        <v>0</v>
      </c>
      <c r="F247" s="255">
        <v>0</v>
      </c>
      <c r="G247" s="129">
        <f>0</f>
        <v>0</v>
      </c>
      <c r="H247" s="255">
        <f>IF(Thermal19223261[[#This Row],[Actual Buyout]]+Thermal19223261[[#This Row],[Change Orders]]=0,Thermal19223261[[#This Row],[Original Contract]],Thermal19223261[[#This Row],[Actual Buyout]]+Thermal19223261[[#This Row],[Change Orders]])</f>
        <v>0</v>
      </c>
      <c r="I247" s="129">
        <v>0</v>
      </c>
      <c r="J247" s="129">
        <f>Thermal19223261[[#This Row],[Original Contract]]-Thermal19223261[[#This Row],[Revised Contract]]</f>
        <v>0</v>
      </c>
      <c r="K247" s="347"/>
      <c r="L247" s="341"/>
      <c r="M247" s="343"/>
      <c r="T247" s="97"/>
      <c r="U247" s="97"/>
      <c r="Y247" s="198"/>
      <c r="Z247" s="198"/>
    </row>
    <row r="248" spans="1:26" x14ac:dyDescent="0.35">
      <c r="A248" s="128">
        <v>7</v>
      </c>
      <c r="B248" s="132"/>
      <c r="C248" s="132"/>
      <c r="D248" s="133" t="s">
        <v>37</v>
      </c>
      <c r="E248" s="255">
        <v>0</v>
      </c>
      <c r="F248" s="255">
        <v>0</v>
      </c>
      <c r="G248" s="129">
        <f>0</f>
        <v>0</v>
      </c>
      <c r="H248" s="255">
        <f>IF(Thermal19223261[[#This Row],[Actual Buyout]]+Thermal19223261[[#This Row],[Change Orders]]=0,Thermal19223261[[#This Row],[Original Contract]],Thermal19223261[[#This Row],[Actual Buyout]]+Thermal19223261[[#This Row],[Change Orders]])</f>
        <v>0</v>
      </c>
      <c r="I248" s="129">
        <v>0</v>
      </c>
      <c r="J248" s="129">
        <f>Thermal19223261[[#This Row],[Original Contract]]-Thermal19223261[[#This Row],[Revised Contract]]</f>
        <v>0</v>
      </c>
      <c r="K248" s="347"/>
      <c r="L248" s="341"/>
      <c r="M248" s="343"/>
      <c r="T248" s="97"/>
      <c r="U248" s="97"/>
      <c r="Y248" s="198"/>
      <c r="Z248" s="198"/>
    </row>
    <row r="249" spans="1:26" x14ac:dyDescent="0.35">
      <c r="A249" s="257"/>
      <c r="B249" s="258"/>
      <c r="C249" s="258"/>
      <c r="D249" s="256" t="s">
        <v>38</v>
      </c>
      <c r="E249" s="151">
        <f>SUM(Thermal19223261[Original Contract])</f>
        <v>0</v>
      </c>
      <c r="F249" s="151">
        <f>SUM(Thermal19223261[Actual Buyout])</f>
        <v>0</v>
      </c>
      <c r="G249" s="151">
        <f>SUM(Thermal19223261[Change Orders])</f>
        <v>0</v>
      </c>
      <c r="H249" s="151">
        <f>SUM(Thermal19223261[Revised Contract])</f>
        <v>0</v>
      </c>
      <c r="I249" s="151">
        <f>SUM(Thermal19223261[Total completed and Stored])</f>
        <v>0</v>
      </c>
      <c r="J249" s="151">
        <f>SUM(Thermal19223261[Delta])</f>
        <v>0</v>
      </c>
      <c r="K249" s="348"/>
      <c r="L249" s="343"/>
      <c r="M249" s="343"/>
    </row>
    <row r="250" spans="1:26" x14ac:dyDescent="0.35">
      <c r="A250" s="100" t="s">
        <v>657</v>
      </c>
      <c r="B250" s="100" t="s">
        <v>86</v>
      </c>
      <c r="C250" s="100" t="s">
        <v>167</v>
      </c>
      <c r="D250" s="100" t="s">
        <v>26</v>
      </c>
      <c r="E250" s="100" t="s">
        <v>781</v>
      </c>
      <c r="F250" s="332" t="s">
        <v>1078</v>
      </c>
      <c r="G250" s="332" t="s">
        <v>782</v>
      </c>
      <c r="H250" s="332" t="s">
        <v>783</v>
      </c>
      <c r="I250" s="334" t="s">
        <v>785</v>
      </c>
      <c r="J250" s="340" t="s">
        <v>1079</v>
      </c>
      <c r="K250" s="347"/>
      <c r="L250" s="335"/>
      <c r="M250" s="343"/>
      <c r="T250" s="97"/>
      <c r="U250" s="97"/>
      <c r="Y250" s="198"/>
      <c r="Z250" s="198"/>
    </row>
    <row r="251" spans="1:26" x14ac:dyDescent="0.35">
      <c r="A251" s="128">
        <v>7</v>
      </c>
      <c r="B251" s="132" t="s">
        <v>686</v>
      </c>
      <c r="C251" s="132" t="s">
        <v>687</v>
      </c>
      <c r="D251" s="133" t="s">
        <v>686</v>
      </c>
      <c r="E251" s="255">
        <v>0</v>
      </c>
      <c r="F251" s="255">
        <v>0</v>
      </c>
      <c r="G251" s="129">
        <f>0</f>
        <v>0</v>
      </c>
      <c r="H251" s="255">
        <f>IF(Sealant20224262[[#This Row],[Actual Buyout]]+Sealant20224262[[#This Row],[Change Orders]]=0,Sealant20224262[[#This Row],[Original Contract]],Sealant20224262[[#This Row],[Actual Buyout]]+Sealant20224262[[#This Row],[Change Orders]])</f>
        <v>0</v>
      </c>
      <c r="I251" s="129">
        <v>0</v>
      </c>
      <c r="J251" s="129">
        <f>Sealant20224262[[#This Row],[Original Contract]]-Sealant20224262[[#This Row],[Revised Contract]]</f>
        <v>0</v>
      </c>
      <c r="K251" s="347"/>
      <c r="L251" s="341"/>
      <c r="M251" s="343"/>
      <c r="T251" s="97"/>
      <c r="U251" s="97"/>
      <c r="Y251" s="198"/>
      <c r="Z251" s="198"/>
    </row>
    <row r="252" spans="1:26" x14ac:dyDescent="0.35">
      <c r="A252" s="128">
        <v>7</v>
      </c>
      <c r="B252" s="132" t="s">
        <v>711</v>
      </c>
      <c r="C252" s="132" t="s">
        <v>688</v>
      </c>
      <c r="D252" s="133" t="s">
        <v>711</v>
      </c>
      <c r="E252" s="255">
        <v>0</v>
      </c>
      <c r="F252" s="255">
        <v>0</v>
      </c>
      <c r="G252" s="129">
        <f>0</f>
        <v>0</v>
      </c>
      <c r="H252" s="255">
        <f>IF(Sealant20224262[[#This Row],[Actual Buyout]]+Sealant20224262[[#This Row],[Change Orders]]=0,Sealant20224262[[#This Row],[Original Contract]],Sealant20224262[[#This Row],[Actual Buyout]]+Sealant20224262[[#This Row],[Change Orders]])</f>
        <v>0</v>
      </c>
      <c r="I252" s="129">
        <v>0</v>
      </c>
      <c r="J252" s="129">
        <f>Sealant20224262[[#This Row],[Original Contract]]-Sealant20224262[[#This Row],[Revised Contract]]</f>
        <v>0</v>
      </c>
      <c r="K252" s="347"/>
      <c r="L252" s="341"/>
      <c r="M252" s="343"/>
      <c r="T252" s="97"/>
      <c r="U252" s="97"/>
      <c r="Y252" s="198"/>
      <c r="Z252" s="198"/>
    </row>
    <row r="253" spans="1:26" x14ac:dyDescent="0.35">
      <c r="A253" s="128">
        <v>7</v>
      </c>
      <c r="B253" s="132" t="s">
        <v>313</v>
      </c>
      <c r="C253" s="132" t="s">
        <v>312</v>
      </c>
      <c r="D253" s="133" t="s">
        <v>87</v>
      </c>
      <c r="E253" s="255">
        <v>0</v>
      </c>
      <c r="F253" s="255">
        <v>0</v>
      </c>
      <c r="G253" s="129">
        <f>0</f>
        <v>0</v>
      </c>
      <c r="H253" s="255">
        <f>IF(Sealant20224262[[#This Row],[Actual Buyout]]+Sealant20224262[[#This Row],[Change Orders]]=0,Sealant20224262[[#This Row],[Original Contract]],Sealant20224262[[#This Row],[Actual Buyout]]+Sealant20224262[[#This Row],[Change Orders]])</f>
        <v>0</v>
      </c>
      <c r="I253" s="129">
        <v>0</v>
      </c>
      <c r="J253" s="129">
        <f>Sealant20224262[[#This Row],[Original Contract]]-Sealant20224262[[#This Row],[Revised Contract]]</f>
        <v>0</v>
      </c>
      <c r="K253" s="347"/>
      <c r="L253" s="341"/>
      <c r="M253" s="343"/>
      <c r="T253" s="97"/>
      <c r="U253" s="97"/>
      <c r="Y253" s="198"/>
      <c r="Z253" s="198"/>
    </row>
    <row r="254" spans="1:26" x14ac:dyDescent="0.35">
      <c r="A254" s="128">
        <v>7</v>
      </c>
      <c r="B254" s="132" t="s">
        <v>313</v>
      </c>
      <c r="C254" s="132" t="s">
        <v>312</v>
      </c>
      <c r="D254" s="133" t="s">
        <v>88</v>
      </c>
      <c r="E254" s="255">
        <v>0</v>
      </c>
      <c r="F254" s="255">
        <v>0</v>
      </c>
      <c r="G254" s="129">
        <f>0</f>
        <v>0</v>
      </c>
      <c r="H254" s="255">
        <f>IF(Sealant20224262[[#This Row],[Actual Buyout]]+Sealant20224262[[#This Row],[Change Orders]]=0,Sealant20224262[[#This Row],[Original Contract]],Sealant20224262[[#This Row],[Actual Buyout]]+Sealant20224262[[#This Row],[Change Orders]])</f>
        <v>0</v>
      </c>
      <c r="I254" s="129">
        <v>0</v>
      </c>
      <c r="J254" s="129">
        <f>Sealant20224262[[#This Row],[Original Contract]]-Sealant20224262[[#This Row],[Revised Contract]]</f>
        <v>0</v>
      </c>
      <c r="K254" s="347"/>
      <c r="L254" s="341"/>
      <c r="M254" s="343"/>
      <c r="T254" s="97"/>
      <c r="U254" s="97"/>
      <c r="Y254" s="198"/>
      <c r="Z254" s="198"/>
    </row>
    <row r="255" spans="1:26" x14ac:dyDescent="0.35">
      <c r="A255" s="128">
        <v>7</v>
      </c>
      <c r="B255" s="132" t="s">
        <v>313</v>
      </c>
      <c r="C255" s="132" t="s">
        <v>312</v>
      </c>
      <c r="D255" s="133" t="s">
        <v>89</v>
      </c>
      <c r="E255" s="255">
        <v>0</v>
      </c>
      <c r="F255" s="255">
        <v>0</v>
      </c>
      <c r="G255" s="129">
        <f>0</f>
        <v>0</v>
      </c>
      <c r="H255" s="255">
        <f>IF(Sealant20224262[[#This Row],[Actual Buyout]]+Sealant20224262[[#This Row],[Change Orders]]=0,Sealant20224262[[#This Row],[Original Contract]],Sealant20224262[[#This Row],[Actual Buyout]]+Sealant20224262[[#This Row],[Change Orders]])</f>
        <v>0</v>
      </c>
      <c r="I255" s="129">
        <v>0</v>
      </c>
      <c r="J255" s="129">
        <f>Sealant20224262[[#This Row],[Original Contract]]-Sealant20224262[[#This Row],[Revised Contract]]</f>
        <v>0</v>
      </c>
      <c r="K255" s="347"/>
      <c r="L255" s="341"/>
      <c r="M255" s="343"/>
      <c r="T255" s="97"/>
      <c r="U255" s="97"/>
      <c r="Y255" s="198"/>
      <c r="Z255" s="198"/>
    </row>
    <row r="256" spans="1:26" x14ac:dyDescent="0.35">
      <c r="A256" s="128">
        <v>7</v>
      </c>
      <c r="B256" s="132" t="s">
        <v>314</v>
      </c>
      <c r="C256" s="132" t="s">
        <v>304</v>
      </c>
      <c r="D256" s="133" t="s">
        <v>90</v>
      </c>
      <c r="E256" s="255">
        <v>0</v>
      </c>
      <c r="F256" s="255">
        <v>0</v>
      </c>
      <c r="G256" s="129">
        <f>0</f>
        <v>0</v>
      </c>
      <c r="H256" s="255">
        <f>IF(Sealant20224262[[#This Row],[Actual Buyout]]+Sealant20224262[[#This Row],[Change Orders]]=0,Sealant20224262[[#This Row],[Original Contract]],Sealant20224262[[#This Row],[Actual Buyout]]+Sealant20224262[[#This Row],[Change Orders]])</f>
        <v>0</v>
      </c>
      <c r="I256" s="129">
        <v>0</v>
      </c>
      <c r="J256" s="129">
        <f>Sealant20224262[[#This Row],[Original Contract]]-Sealant20224262[[#This Row],[Revised Contract]]</f>
        <v>0</v>
      </c>
      <c r="K256" s="347"/>
      <c r="L256" s="341"/>
      <c r="M256" s="343"/>
      <c r="T256" s="97"/>
      <c r="U256" s="97"/>
      <c r="Y256" s="198"/>
      <c r="Z256" s="198"/>
    </row>
    <row r="257" spans="1:26" x14ac:dyDescent="0.35">
      <c r="A257" s="128">
        <v>7</v>
      </c>
      <c r="B257" s="132" t="s">
        <v>313</v>
      </c>
      <c r="C257" s="132" t="s">
        <v>312</v>
      </c>
      <c r="D257" s="133" t="s">
        <v>761</v>
      </c>
      <c r="E257" s="255">
        <v>0</v>
      </c>
      <c r="F257" s="255">
        <v>0</v>
      </c>
      <c r="G257" s="129">
        <f>0</f>
        <v>0</v>
      </c>
      <c r="H257" s="255">
        <f>IF(Sealant20224262[[#This Row],[Actual Buyout]]+Sealant20224262[[#This Row],[Change Orders]]=0,Sealant20224262[[#This Row],[Original Contract]],Sealant20224262[[#This Row],[Actual Buyout]]+Sealant20224262[[#This Row],[Change Orders]])</f>
        <v>0</v>
      </c>
      <c r="I257" s="129">
        <v>0</v>
      </c>
      <c r="J257" s="129">
        <f>Sealant20224262[[#This Row],[Original Contract]]-Sealant20224262[[#This Row],[Revised Contract]]</f>
        <v>0</v>
      </c>
      <c r="K257" s="347"/>
      <c r="L257" s="341"/>
      <c r="M257" s="343"/>
      <c r="T257" s="97"/>
      <c r="U257" s="97"/>
      <c r="Y257" s="198"/>
      <c r="Z257" s="198"/>
    </row>
    <row r="258" spans="1:26" x14ac:dyDescent="0.35">
      <c r="A258" s="128">
        <v>7</v>
      </c>
      <c r="B258" s="132"/>
      <c r="C258" s="132"/>
      <c r="D258" s="133" t="s">
        <v>805</v>
      </c>
      <c r="E258" s="255">
        <v>0</v>
      </c>
      <c r="F258" s="255">
        <v>0</v>
      </c>
      <c r="G258" s="129">
        <f>0</f>
        <v>0</v>
      </c>
      <c r="H258" s="255">
        <f>IF(Sealant20224262[[#This Row],[Actual Buyout]]+Sealant20224262[[#This Row],[Change Orders]]=0,Sealant20224262[[#This Row],[Original Contract]],Sealant20224262[[#This Row],[Actual Buyout]]+Sealant20224262[[#This Row],[Change Orders]])</f>
        <v>0</v>
      </c>
      <c r="I258" s="129">
        <v>0</v>
      </c>
      <c r="J258" s="129">
        <f>Sealant20224262[[#This Row],[Original Contract]]-Sealant20224262[[#This Row],[Revised Contract]]</f>
        <v>0</v>
      </c>
      <c r="K258" s="347"/>
      <c r="L258" s="341"/>
      <c r="M258" s="343"/>
      <c r="T258" s="97"/>
      <c r="U258" s="97"/>
      <c r="Y258" s="198"/>
      <c r="Z258" s="198"/>
    </row>
    <row r="259" spans="1:26" x14ac:dyDescent="0.35">
      <c r="A259" s="128">
        <v>7</v>
      </c>
      <c r="B259" s="132"/>
      <c r="C259" s="132"/>
      <c r="D259" s="133" t="s">
        <v>37</v>
      </c>
      <c r="E259" s="255">
        <v>0</v>
      </c>
      <c r="F259" s="255">
        <v>0</v>
      </c>
      <c r="G259" s="129">
        <f>0</f>
        <v>0</v>
      </c>
      <c r="H259" s="255">
        <f>IF(Sealant20224262[[#This Row],[Actual Buyout]]+Sealant20224262[[#This Row],[Change Orders]]=0,Sealant20224262[[#This Row],[Original Contract]],Sealant20224262[[#This Row],[Actual Buyout]]+Sealant20224262[[#This Row],[Change Orders]])</f>
        <v>0</v>
      </c>
      <c r="I259" s="129">
        <v>0</v>
      </c>
      <c r="J259" s="129">
        <f>Sealant20224262[[#This Row],[Original Contract]]-Sealant20224262[[#This Row],[Revised Contract]]</f>
        <v>0</v>
      </c>
      <c r="K259" s="347"/>
      <c r="L259" s="341"/>
      <c r="M259" s="343"/>
      <c r="T259" s="97"/>
      <c r="U259" s="97"/>
      <c r="Y259" s="198"/>
      <c r="Z259" s="198"/>
    </row>
    <row r="260" spans="1:26" x14ac:dyDescent="0.35">
      <c r="A260" s="128">
        <v>7</v>
      </c>
      <c r="B260" s="132"/>
      <c r="C260" s="132"/>
      <c r="D260" s="133" t="s">
        <v>37</v>
      </c>
      <c r="E260" s="255">
        <v>0</v>
      </c>
      <c r="F260" s="255">
        <v>0</v>
      </c>
      <c r="G260" s="129">
        <f>0</f>
        <v>0</v>
      </c>
      <c r="H260" s="255">
        <f>IF(Sealant20224262[[#This Row],[Actual Buyout]]+Sealant20224262[[#This Row],[Change Orders]]=0,Sealant20224262[[#This Row],[Original Contract]],Sealant20224262[[#This Row],[Actual Buyout]]+Sealant20224262[[#This Row],[Change Orders]])</f>
        <v>0</v>
      </c>
      <c r="I260" s="129">
        <v>0</v>
      </c>
      <c r="J260" s="129">
        <f>Sealant20224262[[#This Row],[Original Contract]]-Sealant20224262[[#This Row],[Revised Contract]]</f>
        <v>0</v>
      </c>
      <c r="K260" s="347"/>
      <c r="L260" s="341"/>
      <c r="M260" s="343"/>
      <c r="T260" s="97"/>
      <c r="U260" s="97"/>
      <c r="Y260" s="198"/>
      <c r="Z260" s="198"/>
    </row>
    <row r="261" spans="1:26" x14ac:dyDescent="0.35">
      <c r="A261" s="128">
        <v>7</v>
      </c>
      <c r="B261" s="132"/>
      <c r="C261" s="132"/>
      <c r="D261" s="133" t="s">
        <v>37</v>
      </c>
      <c r="E261" s="255">
        <v>0</v>
      </c>
      <c r="F261" s="255">
        <v>0</v>
      </c>
      <c r="G261" s="129">
        <f>0</f>
        <v>0</v>
      </c>
      <c r="H261" s="255">
        <f>IF(Sealant20224262[[#This Row],[Actual Buyout]]+Sealant20224262[[#This Row],[Change Orders]]=0,Sealant20224262[[#This Row],[Original Contract]],Sealant20224262[[#This Row],[Actual Buyout]]+Sealant20224262[[#This Row],[Change Orders]])</f>
        <v>0</v>
      </c>
      <c r="I261" s="129">
        <v>0</v>
      </c>
      <c r="J261" s="129">
        <f>Sealant20224262[[#This Row],[Original Contract]]-Sealant20224262[[#This Row],[Revised Contract]]</f>
        <v>0</v>
      </c>
      <c r="K261" s="347"/>
      <c r="L261" s="341"/>
      <c r="M261" s="343"/>
      <c r="T261" s="97"/>
      <c r="U261" s="97"/>
      <c r="Y261" s="198"/>
      <c r="Z261" s="198"/>
    </row>
    <row r="262" spans="1:26" x14ac:dyDescent="0.35">
      <c r="A262" s="257"/>
      <c r="B262" s="258"/>
      <c r="C262" s="258"/>
      <c r="D262" s="256" t="s">
        <v>38</v>
      </c>
      <c r="E262" s="151">
        <f>SUM(Sealant20224262[Original Contract])</f>
        <v>0</v>
      </c>
      <c r="F262" s="151">
        <f>SUM(Sealant20224262[Actual Buyout])</f>
        <v>0</v>
      </c>
      <c r="G262" s="151">
        <f>SUM(Sealant20224262[Change Orders])</f>
        <v>0</v>
      </c>
      <c r="H262" s="151">
        <f>SUM(Sealant20224262[Revised Contract])</f>
        <v>0</v>
      </c>
      <c r="I262" s="151">
        <f>SUM(Sealant20224262[Total completed and Stored])</f>
        <v>0</v>
      </c>
      <c r="J262" s="151">
        <f>SUM(Sealant20224262[Delta])</f>
        <v>0</v>
      </c>
      <c r="K262" s="348"/>
      <c r="L262" s="343"/>
      <c r="M262" s="343"/>
    </row>
    <row r="263" spans="1:26" x14ac:dyDescent="0.35">
      <c r="A263" s="100" t="s">
        <v>658</v>
      </c>
      <c r="B263" s="100" t="s">
        <v>91</v>
      </c>
      <c r="C263" s="100" t="s">
        <v>167</v>
      </c>
      <c r="D263" s="100" t="s">
        <v>26</v>
      </c>
      <c r="E263" s="100" t="s">
        <v>781</v>
      </c>
      <c r="F263" s="332" t="s">
        <v>1078</v>
      </c>
      <c r="G263" s="332" t="s">
        <v>782</v>
      </c>
      <c r="H263" s="332" t="s">
        <v>783</v>
      </c>
      <c r="I263" s="334" t="s">
        <v>785</v>
      </c>
      <c r="J263" s="340" t="s">
        <v>1079</v>
      </c>
      <c r="K263" s="347"/>
      <c r="L263" s="335"/>
      <c r="M263" s="343"/>
      <c r="T263" s="97"/>
      <c r="U263" s="97"/>
      <c r="Y263" s="198"/>
      <c r="Z263" s="198"/>
    </row>
    <row r="264" spans="1:26" x14ac:dyDescent="0.35">
      <c r="A264" s="128">
        <v>8</v>
      </c>
      <c r="B264" s="132" t="s">
        <v>317</v>
      </c>
      <c r="C264" s="132" t="s">
        <v>316</v>
      </c>
      <c r="D264" s="133" t="s">
        <v>92</v>
      </c>
      <c r="E264" s="255">
        <v>0</v>
      </c>
      <c r="F264" s="255">
        <v>0</v>
      </c>
      <c r="G264" s="129">
        <f>0</f>
        <v>0</v>
      </c>
      <c r="H264" s="255">
        <f>IF(Glass21225263[[#This Row],[Actual Buyout]]+Glass21225263[[#This Row],[Change Orders]]=0,Glass21225263[[#This Row],[Original Contract]],Glass21225263[[#This Row],[Actual Buyout]]+Glass21225263[[#This Row],[Change Orders]])</f>
        <v>0</v>
      </c>
      <c r="I264" s="129">
        <v>0</v>
      </c>
      <c r="J264" s="129">
        <f>Glass21225263[[#This Row],[Original Contract]]-Glass21225263[[#This Row],[Revised Contract]]</f>
        <v>0</v>
      </c>
      <c r="K264" s="347"/>
      <c r="L264" s="341"/>
      <c r="M264" s="343"/>
      <c r="T264" s="97"/>
      <c r="U264" s="97"/>
      <c r="Y264" s="198"/>
      <c r="Z264" s="198"/>
    </row>
    <row r="265" spans="1:26" x14ac:dyDescent="0.35">
      <c r="A265" s="128">
        <v>8</v>
      </c>
      <c r="B265" s="132" t="s">
        <v>317</v>
      </c>
      <c r="C265" s="132" t="s">
        <v>316</v>
      </c>
      <c r="D265" s="133" t="s">
        <v>93</v>
      </c>
      <c r="E265" s="255">
        <v>0</v>
      </c>
      <c r="F265" s="255">
        <v>0</v>
      </c>
      <c r="G265" s="129">
        <f>0</f>
        <v>0</v>
      </c>
      <c r="H265" s="255">
        <f>IF(Glass21225263[[#This Row],[Actual Buyout]]+Glass21225263[[#This Row],[Change Orders]]=0,Glass21225263[[#This Row],[Original Contract]],Glass21225263[[#This Row],[Actual Buyout]]+Glass21225263[[#This Row],[Change Orders]])</f>
        <v>0</v>
      </c>
      <c r="I265" s="129">
        <v>0</v>
      </c>
      <c r="J265" s="129">
        <f>Glass21225263[[#This Row],[Original Contract]]-Glass21225263[[#This Row],[Revised Contract]]</f>
        <v>0</v>
      </c>
      <c r="K265" s="347"/>
      <c r="L265" s="341"/>
      <c r="M265" s="343"/>
      <c r="T265" s="97"/>
      <c r="U265" s="97"/>
      <c r="Y265" s="198"/>
      <c r="Z265" s="198"/>
    </row>
    <row r="266" spans="1:26" x14ac:dyDescent="0.35">
      <c r="A266" s="128">
        <v>8</v>
      </c>
      <c r="B266" s="132" t="s">
        <v>318</v>
      </c>
      <c r="C266" s="132" t="s">
        <v>315</v>
      </c>
      <c r="D266" s="133" t="s">
        <v>94</v>
      </c>
      <c r="E266" s="255">
        <v>0</v>
      </c>
      <c r="F266" s="255">
        <v>0</v>
      </c>
      <c r="G266" s="129">
        <f>0</f>
        <v>0</v>
      </c>
      <c r="H266" s="255">
        <f>IF(Glass21225263[[#This Row],[Actual Buyout]]+Glass21225263[[#This Row],[Change Orders]]=0,Glass21225263[[#This Row],[Original Contract]],Glass21225263[[#This Row],[Actual Buyout]]+Glass21225263[[#This Row],[Change Orders]])</f>
        <v>0</v>
      </c>
      <c r="I266" s="129">
        <v>0</v>
      </c>
      <c r="J266" s="129">
        <f>Glass21225263[[#This Row],[Original Contract]]-Glass21225263[[#This Row],[Revised Contract]]</f>
        <v>0</v>
      </c>
      <c r="K266" s="347"/>
      <c r="L266" s="341"/>
      <c r="M266" s="343"/>
      <c r="T266" s="97"/>
      <c r="U266" s="97"/>
      <c r="Y266" s="198"/>
      <c r="Z266" s="198"/>
    </row>
    <row r="267" spans="1:26" x14ac:dyDescent="0.35">
      <c r="A267" s="128">
        <v>8</v>
      </c>
      <c r="B267" s="132" t="s">
        <v>327</v>
      </c>
      <c r="C267" s="132" t="s">
        <v>326</v>
      </c>
      <c r="D267" s="133" t="s">
        <v>180</v>
      </c>
      <c r="E267" s="255">
        <v>0</v>
      </c>
      <c r="F267" s="255">
        <v>0</v>
      </c>
      <c r="G267" s="129">
        <f>0</f>
        <v>0</v>
      </c>
      <c r="H267" s="255">
        <f>IF(Glass21225263[[#This Row],[Actual Buyout]]+Glass21225263[[#This Row],[Change Orders]]=0,Glass21225263[[#This Row],[Original Contract]],Glass21225263[[#This Row],[Actual Buyout]]+Glass21225263[[#This Row],[Change Orders]])</f>
        <v>0</v>
      </c>
      <c r="I267" s="129">
        <v>0</v>
      </c>
      <c r="J267" s="129">
        <f>Glass21225263[[#This Row],[Original Contract]]-Glass21225263[[#This Row],[Revised Contract]]</f>
        <v>0</v>
      </c>
      <c r="K267" s="347"/>
      <c r="L267" s="341"/>
      <c r="M267" s="343"/>
      <c r="T267" s="97"/>
      <c r="U267" s="97"/>
      <c r="Y267" s="198"/>
      <c r="Z267" s="198"/>
    </row>
    <row r="268" spans="1:26" x14ac:dyDescent="0.35">
      <c r="A268" s="128">
        <v>8</v>
      </c>
      <c r="B268" s="132" t="s">
        <v>319</v>
      </c>
      <c r="C268" s="132" t="s">
        <v>181</v>
      </c>
      <c r="D268" s="133" t="s">
        <v>182</v>
      </c>
      <c r="E268" s="255">
        <v>0</v>
      </c>
      <c r="F268" s="255">
        <v>0</v>
      </c>
      <c r="G268" s="129">
        <f>0</f>
        <v>0</v>
      </c>
      <c r="H268" s="255">
        <f>IF(Glass21225263[[#This Row],[Actual Buyout]]+Glass21225263[[#This Row],[Change Orders]]=0,Glass21225263[[#This Row],[Original Contract]],Glass21225263[[#This Row],[Actual Buyout]]+Glass21225263[[#This Row],[Change Orders]])</f>
        <v>0</v>
      </c>
      <c r="I268" s="129">
        <v>0</v>
      </c>
      <c r="J268" s="129">
        <f>Glass21225263[[#This Row],[Original Contract]]-Glass21225263[[#This Row],[Revised Contract]]</f>
        <v>0</v>
      </c>
      <c r="K268" s="347"/>
      <c r="L268" s="341"/>
      <c r="M268" s="343"/>
      <c r="T268" s="97"/>
      <c r="U268" s="97"/>
      <c r="Y268" s="198"/>
      <c r="Z268" s="198"/>
    </row>
    <row r="269" spans="1:26" x14ac:dyDescent="0.35">
      <c r="A269" s="128">
        <v>8</v>
      </c>
      <c r="B269" s="132"/>
      <c r="C269" s="132"/>
      <c r="D269" s="133" t="s">
        <v>37</v>
      </c>
      <c r="E269" s="255">
        <v>0</v>
      </c>
      <c r="F269" s="255">
        <v>0</v>
      </c>
      <c r="G269" s="129">
        <f>0</f>
        <v>0</v>
      </c>
      <c r="H269" s="255">
        <f>IF(Glass21225263[[#This Row],[Actual Buyout]]+Glass21225263[[#This Row],[Change Orders]]=0,Glass21225263[[#This Row],[Original Contract]],Glass21225263[[#This Row],[Actual Buyout]]+Glass21225263[[#This Row],[Change Orders]])</f>
        <v>0</v>
      </c>
      <c r="I269" s="129">
        <v>0</v>
      </c>
      <c r="J269" s="129">
        <f>Glass21225263[[#This Row],[Original Contract]]-Glass21225263[[#This Row],[Revised Contract]]</f>
        <v>0</v>
      </c>
      <c r="K269" s="347"/>
      <c r="L269" s="341"/>
      <c r="M269" s="343"/>
      <c r="T269" s="97"/>
      <c r="U269" s="97"/>
      <c r="Y269" s="198"/>
      <c r="Z269" s="198"/>
    </row>
    <row r="270" spans="1:26" x14ac:dyDescent="0.35">
      <c r="A270" s="128">
        <v>8</v>
      </c>
      <c r="B270" s="132"/>
      <c r="C270" s="132"/>
      <c r="D270" s="133" t="s">
        <v>37</v>
      </c>
      <c r="E270" s="255">
        <v>0</v>
      </c>
      <c r="F270" s="255">
        <v>0</v>
      </c>
      <c r="G270" s="129">
        <f>0</f>
        <v>0</v>
      </c>
      <c r="H270" s="255">
        <f>IF(Glass21225263[[#This Row],[Actual Buyout]]+Glass21225263[[#This Row],[Change Orders]]=0,Glass21225263[[#This Row],[Original Contract]],Glass21225263[[#This Row],[Actual Buyout]]+Glass21225263[[#This Row],[Change Orders]])</f>
        <v>0</v>
      </c>
      <c r="I270" s="129">
        <v>0</v>
      </c>
      <c r="J270" s="129">
        <f>Glass21225263[[#This Row],[Original Contract]]-Glass21225263[[#This Row],[Revised Contract]]</f>
        <v>0</v>
      </c>
      <c r="K270" s="347"/>
      <c r="L270" s="341"/>
      <c r="M270" s="343"/>
      <c r="T270" s="97"/>
      <c r="U270" s="97"/>
      <c r="Y270" s="198"/>
      <c r="Z270" s="198"/>
    </row>
    <row r="271" spans="1:26" x14ac:dyDescent="0.35">
      <c r="A271" s="128">
        <v>8</v>
      </c>
      <c r="B271" s="132"/>
      <c r="C271" s="132"/>
      <c r="D271" s="133" t="s">
        <v>37</v>
      </c>
      <c r="E271" s="255">
        <v>0</v>
      </c>
      <c r="F271" s="255">
        <v>0</v>
      </c>
      <c r="G271" s="129">
        <f>0</f>
        <v>0</v>
      </c>
      <c r="H271" s="255">
        <f>IF(Glass21225263[[#This Row],[Actual Buyout]]+Glass21225263[[#This Row],[Change Orders]]=0,Glass21225263[[#This Row],[Original Contract]],Glass21225263[[#This Row],[Actual Buyout]]+Glass21225263[[#This Row],[Change Orders]])</f>
        <v>0</v>
      </c>
      <c r="I271" s="129">
        <v>0</v>
      </c>
      <c r="J271" s="129">
        <f>Glass21225263[[#This Row],[Original Contract]]-Glass21225263[[#This Row],[Revised Contract]]</f>
        <v>0</v>
      </c>
      <c r="K271" s="347"/>
      <c r="L271" s="341"/>
      <c r="M271" s="343"/>
      <c r="T271" s="97"/>
      <c r="U271" s="97"/>
      <c r="Y271" s="198"/>
      <c r="Z271" s="198"/>
    </row>
    <row r="272" spans="1:26" x14ac:dyDescent="0.35">
      <c r="A272" s="128">
        <v>8</v>
      </c>
      <c r="B272" s="132"/>
      <c r="C272" s="132"/>
      <c r="D272" s="133" t="s">
        <v>37</v>
      </c>
      <c r="E272" s="255">
        <v>0</v>
      </c>
      <c r="F272" s="255">
        <v>0</v>
      </c>
      <c r="G272" s="129">
        <f>0</f>
        <v>0</v>
      </c>
      <c r="H272" s="255">
        <f>IF(Glass21225263[[#This Row],[Actual Buyout]]+Glass21225263[[#This Row],[Change Orders]]=0,Glass21225263[[#This Row],[Original Contract]],Glass21225263[[#This Row],[Actual Buyout]]+Glass21225263[[#This Row],[Change Orders]])</f>
        <v>0</v>
      </c>
      <c r="I272" s="129">
        <v>0</v>
      </c>
      <c r="J272" s="129">
        <f>Glass21225263[[#This Row],[Original Contract]]-Glass21225263[[#This Row],[Revised Contract]]</f>
        <v>0</v>
      </c>
      <c r="K272" s="347"/>
      <c r="L272" s="341"/>
      <c r="M272" s="343"/>
      <c r="T272" s="97"/>
      <c r="U272" s="97"/>
      <c r="Y272" s="198"/>
      <c r="Z272" s="198"/>
    </row>
    <row r="273" spans="1:26" x14ac:dyDescent="0.35">
      <c r="A273" s="128">
        <v>8</v>
      </c>
      <c r="B273" s="132"/>
      <c r="C273" s="132"/>
      <c r="D273" s="133" t="s">
        <v>37</v>
      </c>
      <c r="E273" s="255">
        <v>0</v>
      </c>
      <c r="F273" s="255">
        <v>0</v>
      </c>
      <c r="G273" s="129">
        <f>0</f>
        <v>0</v>
      </c>
      <c r="H273" s="255">
        <f>IF(Glass21225263[[#This Row],[Actual Buyout]]+Glass21225263[[#This Row],[Change Orders]]=0,Glass21225263[[#This Row],[Original Contract]],Glass21225263[[#This Row],[Actual Buyout]]+Glass21225263[[#This Row],[Change Orders]])</f>
        <v>0</v>
      </c>
      <c r="I273" s="129">
        <v>0</v>
      </c>
      <c r="J273" s="129">
        <f>Glass21225263[[#This Row],[Original Contract]]-Glass21225263[[#This Row],[Revised Contract]]</f>
        <v>0</v>
      </c>
      <c r="K273" s="347"/>
      <c r="L273" s="341"/>
      <c r="M273" s="343"/>
      <c r="T273" s="97"/>
      <c r="U273" s="97"/>
      <c r="Y273" s="198"/>
      <c r="Z273" s="198"/>
    </row>
    <row r="274" spans="1:26" x14ac:dyDescent="0.35">
      <c r="A274" s="257"/>
      <c r="B274" s="258"/>
      <c r="C274" s="258"/>
      <c r="D274" s="256" t="s">
        <v>38</v>
      </c>
      <c r="E274" s="151">
        <f>SUM(Glass21225263[Original Contract])</f>
        <v>0</v>
      </c>
      <c r="F274" s="151">
        <f>SUM(Glass21225263[Actual Buyout])</f>
        <v>0</v>
      </c>
      <c r="G274" s="151">
        <f>SUM(Glass21225263[Change Orders])</f>
        <v>0</v>
      </c>
      <c r="H274" s="151">
        <f>SUM(Glass21225263[Revised Contract])</f>
        <v>0</v>
      </c>
      <c r="I274" s="151">
        <f>SUM(Glass21225263[Total completed and Stored])</f>
        <v>0</v>
      </c>
      <c r="J274" s="151">
        <f>SUM(Glass21225263[Delta])</f>
        <v>0</v>
      </c>
      <c r="K274" s="348"/>
      <c r="L274" s="343"/>
      <c r="M274" s="343"/>
    </row>
    <row r="275" spans="1:26" x14ac:dyDescent="0.35">
      <c r="A275" s="100" t="s">
        <v>658</v>
      </c>
      <c r="B275" s="100" t="s">
        <v>95</v>
      </c>
      <c r="C275" s="100" t="s">
        <v>167</v>
      </c>
      <c r="D275" s="100" t="s">
        <v>26</v>
      </c>
      <c r="E275" s="100" t="s">
        <v>781</v>
      </c>
      <c r="F275" s="332" t="s">
        <v>1078</v>
      </c>
      <c r="G275" s="332" t="s">
        <v>782</v>
      </c>
      <c r="H275" s="332" t="s">
        <v>783</v>
      </c>
      <c r="I275" s="334" t="s">
        <v>785</v>
      </c>
      <c r="J275" s="340" t="s">
        <v>1079</v>
      </c>
      <c r="K275" s="347"/>
      <c r="L275" s="335"/>
      <c r="M275" s="343"/>
      <c r="T275" s="97"/>
      <c r="U275" s="97"/>
      <c r="Y275" s="198"/>
      <c r="Z275" s="198"/>
    </row>
    <row r="276" spans="1:26" x14ac:dyDescent="0.35">
      <c r="A276" s="128">
        <v>8</v>
      </c>
      <c r="B276" s="132" t="s">
        <v>321</v>
      </c>
      <c r="C276" s="132" t="s">
        <v>320</v>
      </c>
      <c r="D276" s="133" t="s">
        <v>96</v>
      </c>
      <c r="E276" s="255">
        <v>0</v>
      </c>
      <c r="F276" s="255">
        <v>0</v>
      </c>
      <c r="G276" s="129">
        <f>0</f>
        <v>0</v>
      </c>
      <c r="H276" s="255">
        <f>IF(DockDoors22226264[[#This Row],[Actual Buyout]]+DockDoors22226264[[#This Row],[Change Orders]]=0,DockDoors22226264[[#This Row],[Original Contract]],DockDoors22226264[[#This Row],[Actual Buyout]]+DockDoors22226264[[#This Row],[Change Orders]])</f>
        <v>0</v>
      </c>
      <c r="I276" s="129">
        <v>0</v>
      </c>
      <c r="J276" s="129">
        <f>DockDoors22226264[[#This Row],[Original Contract]]-DockDoors22226264[[#This Row],[Revised Contract]]</f>
        <v>0</v>
      </c>
      <c r="K276" s="347"/>
      <c r="L276" s="341"/>
      <c r="M276" s="343"/>
      <c r="T276" s="97"/>
      <c r="U276" s="97"/>
      <c r="Y276" s="198"/>
      <c r="Z276" s="198"/>
    </row>
    <row r="277" spans="1:26" x14ac:dyDescent="0.35">
      <c r="A277" s="128">
        <v>8</v>
      </c>
      <c r="B277" s="132" t="s">
        <v>321</v>
      </c>
      <c r="C277" s="132" t="s">
        <v>320</v>
      </c>
      <c r="D277" s="133" t="s">
        <v>97</v>
      </c>
      <c r="E277" s="255">
        <v>0</v>
      </c>
      <c r="F277" s="255">
        <v>0</v>
      </c>
      <c r="G277" s="129">
        <f>0</f>
        <v>0</v>
      </c>
      <c r="H277" s="255">
        <f>IF(DockDoors22226264[[#This Row],[Actual Buyout]]+DockDoors22226264[[#This Row],[Change Orders]]=0,DockDoors22226264[[#This Row],[Original Contract]],DockDoors22226264[[#This Row],[Actual Buyout]]+DockDoors22226264[[#This Row],[Change Orders]])</f>
        <v>0</v>
      </c>
      <c r="I277" s="129">
        <v>0</v>
      </c>
      <c r="J277" s="129">
        <f>DockDoors22226264[[#This Row],[Original Contract]]-DockDoors22226264[[#This Row],[Revised Contract]]</f>
        <v>0</v>
      </c>
      <c r="K277" s="347"/>
      <c r="L277" s="341"/>
      <c r="M277" s="343"/>
      <c r="T277" s="97"/>
      <c r="U277" s="97"/>
      <c r="Y277" s="198"/>
      <c r="Z277" s="198"/>
    </row>
    <row r="278" spans="1:26" x14ac:dyDescent="0.35">
      <c r="A278" s="128">
        <v>8</v>
      </c>
      <c r="B278" s="132" t="s">
        <v>689</v>
      </c>
      <c r="C278" s="132" t="s">
        <v>690</v>
      </c>
      <c r="D278" s="133" t="s">
        <v>691</v>
      </c>
      <c r="E278" s="255">
        <v>0</v>
      </c>
      <c r="F278" s="255">
        <v>0</v>
      </c>
      <c r="G278" s="129">
        <f>0</f>
        <v>0</v>
      </c>
      <c r="H278" s="255">
        <f>IF(DockDoors22226264[[#This Row],[Actual Buyout]]+DockDoors22226264[[#This Row],[Change Orders]]=0,DockDoors22226264[[#This Row],[Original Contract]],DockDoors22226264[[#This Row],[Actual Buyout]]+DockDoors22226264[[#This Row],[Change Orders]])</f>
        <v>0</v>
      </c>
      <c r="I278" s="129">
        <v>0</v>
      </c>
      <c r="J278" s="129">
        <f>DockDoors22226264[[#This Row],[Original Contract]]-DockDoors22226264[[#This Row],[Revised Contract]]</f>
        <v>0</v>
      </c>
      <c r="K278" s="347"/>
      <c r="L278" s="341"/>
      <c r="M278" s="343"/>
      <c r="T278" s="97"/>
      <c r="U278" s="97"/>
      <c r="Y278" s="198"/>
      <c r="Z278" s="198"/>
    </row>
    <row r="279" spans="1:26" x14ac:dyDescent="0.35">
      <c r="A279" s="128">
        <v>8</v>
      </c>
      <c r="B279" s="132"/>
      <c r="C279" s="132"/>
      <c r="D279" s="133" t="s">
        <v>37</v>
      </c>
      <c r="E279" s="255">
        <v>0</v>
      </c>
      <c r="F279" s="255">
        <v>0</v>
      </c>
      <c r="G279" s="129">
        <f>0</f>
        <v>0</v>
      </c>
      <c r="H279" s="255">
        <f>IF(DockDoors22226264[[#This Row],[Actual Buyout]]+DockDoors22226264[[#This Row],[Change Orders]]=0,DockDoors22226264[[#This Row],[Original Contract]],DockDoors22226264[[#This Row],[Actual Buyout]]+DockDoors22226264[[#This Row],[Change Orders]])</f>
        <v>0</v>
      </c>
      <c r="I279" s="129">
        <v>0</v>
      </c>
      <c r="J279" s="129">
        <f>DockDoors22226264[[#This Row],[Original Contract]]-DockDoors22226264[[#This Row],[Revised Contract]]</f>
        <v>0</v>
      </c>
      <c r="K279" s="347"/>
      <c r="L279" s="341"/>
      <c r="M279" s="343"/>
      <c r="T279" s="97"/>
      <c r="U279" s="97"/>
      <c r="Y279" s="198"/>
      <c r="Z279" s="198"/>
    </row>
    <row r="280" spans="1:26" x14ac:dyDescent="0.35">
      <c r="A280" s="128">
        <v>8</v>
      </c>
      <c r="B280" s="132"/>
      <c r="C280" s="132"/>
      <c r="D280" s="133" t="s">
        <v>37</v>
      </c>
      <c r="E280" s="255">
        <v>0</v>
      </c>
      <c r="F280" s="255">
        <v>0</v>
      </c>
      <c r="G280" s="129">
        <f>0</f>
        <v>0</v>
      </c>
      <c r="H280" s="255">
        <f>IF(DockDoors22226264[[#This Row],[Actual Buyout]]+DockDoors22226264[[#This Row],[Change Orders]]=0,DockDoors22226264[[#This Row],[Original Contract]],DockDoors22226264[[#This Row],[Actual Buyout]]+DockDoors22226264[[#This Row],[Change Orders]])</f>
        <v>0</v>
      </c>
      <c r="I280" s="129">
        <v>0</v>
      </c>
      <c r="J280" s="129">
        <f>DockDoors22226264[[#This Row],[Original Contract]]-DockDoors22226264[[#This Row],[Revised Contract]]</f>
        <v>0</v>
      </c>
      <c r="K280" s="347"/>
      <c r="L280" s="341"/>
      <c r="M280" s="343"/>
      <c r="T280" s="97"/>
      <c r="U280" s="97"/>
      <c r="Y280" s="198"/>
      <c r="Z280" s="198"/>
    </row>
    <row r="281" spans="1:26" x14ac:dyDescent="0.35">
      <c r="A281" s="128">
        <v>8</v>
      </c>
      <c r="B281" s="132"/>
      <c r="C281" s="132"/>
      <c r="D281" s="133" t="s">
        <v>37</v>
      </c>
      <c r="E281" s="255">
        <v>0</v>
      </c>
      <c r="F281" s="255">
        <v>0</v>
      </c>
      <c r="G281" s="129">
        <f>0</f>
        <v>0</v>
      </c>
      <c r="H281" s="255">
        <f>IF(DockDoors22226264[[#This Row],[Actual Buyout]]+DockDoors22226264[[#This Row],[Change Orders]]=0,DockDoors22226264[[#This Row],[Original Contract]],DockDoors22226264[[#This Row],[Actual Buyout]]+DockDoors22226264[[#This Row],[Change Orders]])</f>
        <v>0</v>
      </c>
      <c r="I281" s="129">
        <v>0</v>
      </c>
      <c r="J281" s="129">
        <f>DockDoors22226264[[#This Row],[Original Contract]]-DockDoors22226264[[#This Row],[Revised Contract]]</f>
        <v>0</v>
      </c>
      <c r="K281" s="347"/>
      <c r="L281" s="341"/>
      <c r="M281" s="343"/>
      <c r="T281" s="97"/>
      <c r="U281" s="97"/>
      <c r="Y281" s="198"/>
      <c r="Z281" s="198"/>
    </row>
    <row r="282" spans="1:26" x14ac:dyDescent="0.35">
      <c r="A282" s="128">
        <v>8</v>
      </c>
      <c r="B282" s="132"/>
      <c r="C282" s="132"/>
      <c r="D282" s="133" t="s">
        <v>37</v>
      </c>
      <c r="E282" s="255">
        <v>0</v>
      </c>
      <c r="F282" s="255">
        <v>0</v>
      </c>
      <c r="G282" s="129">
        <f>0</f>
        <v>0</v>
      </c>
      <c r="H282" s="255">
        <f>IF(DockDoors22226264[[#This Row],[Actual Buyout]]+DockDoors22226264[[#This Row],[Change Orders]]=0,DockDoors22226264[[#This Row],[Original Contract]],DockDoors22226264[[#This Row],[Actual Buyout]]+DockDoors22226264[[#This Row],[Change Orders]])</f>
        <v>0</v>
      </c>
      <c r="I282" s="129">
        <v>0</v>
      </c>
      <c r="J282" s="129">
        <f>DockDoors22226264[[#This Row],[Original Contract]]-DockDoors22226264[[#This Row],[Revised Contract]]</f>
        <v>0</v>
      </c>
      <c r="K282" s="347"/>
      <c r="L282" s="341"/>
      <c r="M282" s="343"/>
      <c r="T282" s="97"/>
      <c r="U282" s="97"/>
      <c r="Y282" s="198"/>
      <c r="Z282" s="198"/>
    </row>
    <row r="283" spans="1:26" x14ac:dyDescent="0.35">
      <c r="A283" s="128">
        <v>8</v>
      </c>
      <c r="B283" s="132"/>
      <c r="C283" s="132"/>
      <c r="D283" s="133" t="s">
        <v>37</v>
      </c>
      <c r="E283" s="255">
        <v>0</v>
      </c>
      <c r="F283" s="255">
        <v>0</v>
      </c>
      <c r="G283" s="129">
        <f>0</f>
        <v>0</v>
      </c>
      <c r="H283" s="255">
        <f>IF(DockDoors22226264[[#This Row],[Actual Buyout]]+DockDoors22226264[[#This Row],[Change Orders]]=0,DockDoors22226264[[#This Row],[Original Contract]],DockDoors22226264[[#This Row],[Actual Buyout]]+DockDoors22226264[[#This Row],[Change Orders]])</f>
        <v>0</v>
      </c>
      <c r="I283" s="129">
        <v>0</v>
      </c>
      <c r="J283" s="129">
        <f>DockDoors22226264[[#This Row],[Original Contract]]-DockDoors22226264[[#This Row],[Revised Contract]]</f>
        <v>0</v>
      </c>
      <c r="K283" s="347"/>
      <c r="L283" s="341"/>
      <c r="M283" s="343"/>
      <c r="T283" s="97"/>
      <c r="U283" s="97"/>
      <c r="Y283" s="198"/>
      <c r="Z283" s="198"/>
    </row>
    <row r="284" spans="1:26" x14ac:dyDescent="0.35">
      <c r="A284" s="257"/>
      <c r="B284" s="258"/>
      <c r="C284" s="258"/>
      <c r="D284" s="256" t="s">
        <v>38</v>
      </c>
      <c r="E284" s="151">
        <f>SUM(DockDoors22226264[Original Contract])</f>
        <v>0</v>
      </c>
      <c r="F284" s="151">
        <f>SUM(DockDoors22226264[Actual Buyout])</f>
        <v>0</v>
      </c>
      <c r="G284" s="151">
        <f>SUM(DockDoors22226264[Change Orders])</f>
        <v>0</v>
      </c>
      <c r="H284" s="151">
        <f>SUM(DockDoors22226264[Revised Contract])</f>
        <v>0</v>
      </c>
      <c r="I284" s="151">
        <f>SUM(DockDoors22226264[Total completed and Stored])</f>
        <v>0</v>
      </c>
      <c r="J284" s="151">
        <f>SUM(DockDoors22226264[Delta])</f>
        <v>0</v>
      </c>
      <c r="K284" s="348"/>
      <c r="L284" s="343"/>
      <c r="M284" s="343"/>
    </row>
    <row r="285" spans="1:26" x14ac:dyDescent="0.35">
      <c r="A285" s="100" t="s">
        <v>658</v>
      </c>
      <c r="B285" s="100" t="s">
        <v>98</v>
      </c>
      <c r="C285" s="100" t="s">
        <v>167</v>
      </c>
      <c r="D285" s="100" t="s">
        <v>26</v>
      </c>
      <c r="E285" s="100" t="s">
        <v>781</v>
      </c>
      <c r="F285" s="332" t="s">
        <v>1078</v>
      </c>
      <c r="G285" s="332" t="s">
        <v>782</v>
      </c>
      <c r="H285" s="332" t="s">
        <v>783</v>
      </c>
      <c r="I285" s="334" t="s">
        <v>785</v>
      </c>
      <c r="J285" s="340" t="s">
        <v>1079</v>
      </c>
      <c r="K285" s="347"/>
      <c r="L285" s="335"/>
      <c r="M285" s="343"/>
      <c r="T285" s="97"/>
      <c r="U285" s="97"/>
      <c r="Y285" s="198"/>
      <c r="Z285" s="198"/>
    </row>
    <row r="286" spans="1:26" x14ac:dyDescent="0.35">
      <c r="A286" s="128">
        <v>8</v>
      </c>
      <c r="B286" s="132" t="s">
        <v>323</v>
      </c>
      <c r="C286" s="132" t="s">
        <v>322</v>
      </c>
      <c r="D286" s="262" t="s">
        <v>712</v>
      </c>
      <c r="E286" s="255">
        <v>0</v>
      </c>
      <c r="F286" s="255">
        <v>0</v>
      </c>
      <c r="G286" s="129">
        <f>0</f>
        <v>0</v>
      </c>
      <c r="H286" s="255">
        <f>IF(Doors23227265[[#This Row],[Actual Buyout]]+Doors23227265[[#This Row],[Change Orders]]=0,Doors23227265[[#This Row],[Original Contract]],Doors23227265[[#This Row],[Actual Buyout]]+Doors23227265[[#This Row],[Change Orders]])</f>
        <v>0</v>
      </c>
      <c r="I286" s="129">
        <v>0</v>
      </c>
      <c r="J286" s="129">
        <f>Doors23227265[[#This Row],[Original Contract]]-Doors23227265[[#This Row],[Revised Contract]]</f>
        <v>0</v>
      </c>
      <c r="K286" s="347"/>
      <c r="L286" s="341"/>
      <c r="M286" s="343"/>
      <c r="T286" s="97"/>
      <c r="U286" s="97"/>
      <c r="Y286" s="198"/>
      <c r="Z286" s="198"/>
    </row>
    <row r="287" spans="1:26" x14ac:dyDescent="0.35">
      <c r="A287" s="128">
        <v>8</v>
      </c>
      <c r="B287" s="132" t="s">
        <v>325</v>
      </c>
      <c r="C287" s="132" t="s">
        <v>324</v>
      </c>
      <c r="D287" s="262" t="s">
        <v>99</v>
      </c>
      <c r="E287" s="255">
        <v>0</v>
      </c>
      <c r="F287" s="255">
        <v>0</v>
      </c>
      <c r="G287" s="129">
        <f>0</f>
        <v>0</v>
      </c>
      <c r="H287" s="255">
        <f>IF(Doors23227265[[#This Row],[Actual Buyout]]+Doors23227265[[#This Row],[Change Orders]]=0,Doors23227265[[#This Row],[Original Contract]],Doors23227265[[#This Row],[Actual Buyout]]+Doors23227265[[#This Row],[Change Orders]])</f>
        <v>0</v>
      </c>
      <c r="I287" s="129">
        <v>0</v>
      </c>
      <c r="J287" s="129">
        <f>Doors23227265[[#This Row],[Original Contract]]-Doors23227265[[#This Row],[Revised Contract]]</f>
        <v>0</v>
      </c>
      <c r="K287" s="347"/>
      <c r="L287" s="341"/>
      <c r="M287" s="343"/>
      <c r="T287" s="97"/>
      <c r="U287" s="97"/>
      <c r="Y287" s="198"/>
      <c r="Z287" s="198"/>
    </row>
    <row r="288" spans="1:26" x14ac:dyDescent="0.35">
      <c r="A288" s="128">
        <v>8</v>
      </c>
      <c r="B288" s="132" t="s">
        <v>329</v>
      </c>
      <c r="C288" s="132" t="s">
        <v>328</v>
      </c>
      <c r="D288" s="133" t="s">
        <v>30</v>
      </c>
      <c r="E288" s="255">
        <v>0</v>
      </c>
      <c r="F288" s="255">
        <v>0</v>
      </c>
      <c r="G288" s="129">
        <f>0</f>
        <v>0</v>
      </c>
      <c r="H288" s="255">
        <f>IF(Doors23227265[[#This Row],[Actual Buyout]]+Doors23227265[[#This Row],[Change Orders]]=0,Doors23227265[[#This Row],[Original Contract]],Doors23227265[[#This Row],[Actual Buyout]]+Doors23227265[[#This Row],[Change Orders]])</f>
        <v>0</v>
      </c>
      <c r="I288" s="129">
        <v>0</v>
      </c>
      <c r="J288" s="129">
        <f>Doors23227265[[#This Row],[Original Contract]]-Doors23227265[[#This Row],[Revised Contract]]</f>
        <v>0</v>
      </c>
      <c r="K288" s="347"/>
      <c r="L288" s="341"/>
      <c r="M288" s="343"/>
      <c r="T288" s="97"/>
      <c r="U288" s="97"/>
      <c r="Y288" s="198"/>
      <c r="Z288" s="198"/>
    </row>
    <row r="289" spans="1:26" x14ac:dyDescent="0.35">
      <c r="A289" s="128">
        <v>8</v>
      </c>
      <c r="B289" s="132"/>
      <c r="C289" s="132"/>
      <c r="D289" s="133" t="s">
        <v>37</v>
      </c>
      <c r="E289" s="255">
        <v>0</v>
      </c>
      <c r="F289" s="255">
        <v>0</v>
      </c>
      <c r="G289" s="129">
        <f>0</f>
        <v>0</v>
      </c>
      <c r="H289" s="255">
        <f>IF(Doors23227265[[#This Row],[Actual Buyout]]+Doors23227265[[#This Row],[Change Orders]]=0,Doors23227265[[#This Row],[Original Contract]],Doors23227265[[#This Row],[Actual Buyout]]+Doors23227265[[#This Row],[Change Orders]])</f>
        <v>0</v>
      </c>
      <c r="I289" s="129">
        <v>0</v>
      </c>
      <c r="J289" s="129">
        <f>Doors23227265[[#This Row],[Original Contract]]-Doors23227265[[#This Row],[Revised Contract]]</f>
        <v>0</v>
      </c>
      <c r="K289" s="347"/>
      <c r="L289" s="341"/>
      <c r="M289" s="343"/>
      <c r="T289" s="97"/>
      <c r="U289" s="97"/>
      <c r="Y289" s="198"/>
      <c r="Z289" s="198"/>
    </row>
    <row r="290" spans="1:26" x14ac:dyDescent="0.35">
      <c r="A290" s="128">
        <v>8</v>
      </c>
      <c r="B290" s="132"/>
      <c r="C290" s="132"/>
      <c r="D290" s="133" t="s">
        <v>37</v>
      </c>
      <c r="E290" s="255">
        <v>0</v>
      </c>
      <c r="F290" s="255">
        <v>0</v>
      </c>
      <c r="G290" s="129">
        <f>0</f>
        <v>0</v>
      </c>
      <c r="H290" s="255">
        <f>IF(Doors23227265[[#This Row],[Actual Buyout]]+Doors23227265[[#This Row],[Change Orders]]=0,Doors23227265[[#This Row],[Original Contract]],Doors23227265[[#This Row],[Actual Buyout]]+Doors23227265[[#This Row],[Change Orders]])</f>
        <v>0</v>
      </c>
      <c r="I290" s="129">
        <v>0</v>
      </c>
      <c r="J290" s="129">
        <f>Doors23227265[[#This Row],[Original Contract]]-Doors23227265[[#This Row],[Revised Contract]]</f>
        <v>0</v>
      </c>
      <c r="K290" s="347"/>
      <c r="L290" s="341"/>
      <c r="M290" s="343"/>
      <c r="T290" s="97"/>
      <c r="U290" s="97"/>
      <c r="Y290" s="198"/>
      <c r="Z290" s="198"/>
    </row>
    <row r="291" spans="1:26" x14ac:dyDescent="0.35">
      <c r="A291" s="128">
        <v>8</v>
      </c>
      <c r="B291" s="132"/>
      <c r="C291" s="132"/>
      <c r="D291" s="133" t="s">
        <v>37</v>
      </c>
      <c r="E291" s="255">
        <v>0</v>
      </c>
      <c r="F291" s="255">
        <v>0</v>
      </c>
      <c r="G291" s="129">
        <f>0</f>
        <v>0</v>
      </c>
      <c r="H291" s="255">
        <f>IF(Doors23227265[[#This Row],[Actual Buyout]]+Doors23227265[[#This Row],[Change Orders]]=0,Doors23227265[[#This Row],[Original Contract]],Doors23227265[[#This Row],[Actual Buyout]]+Doors23227265[[#This Row],[Change Orders]])</f>
        <v>0</v>
      </c>
      <c r="I291" s="129">
        <v>0</v>
      </c>
      <c r="J291" s="129">
        <f>Doors23227265[[#This Row],[Original Contract]]-Doors23227265[[#This Row],[Revised Contract]]</f>
        <v>0</v>
      </c>
      <c r="K291" s="347"/>
      <c r="L291" s="341"/>
      <c r="M291" s="343"/>
      <c r="T291" s="97"/>
      <c r="U291" s="97"/>
      <c r="Y291" s="198"/>
      <c r="Z291" s="198"/>
    </row>
    <row r="292" spans="1:26" x14ac:dyDescent="0.35">
      <c r="A292" s="128">
        <v>8</v>
      </c>
      <c r="B292" s="132"/>
      <c r="C292" s="132"/>
      <c r="D292" s="133" t="s">
        <v>37</v>
      </c>
      <c r="E292" s="255">
        <v>0</v>
      </c>
      <c r="F292" s="255">
        <v>0</v>
      </c>
      <c r="G292" s="129">
        <f>0</f>
        <v>0</v>
      </c>
      <c r="H292" s="255">
        <f>IF(Doors23227265[[#This Row],[Actual Buyout]]+Doors23227265[[#This Row],[Change Orders]]=0,Doors23227265[[#This Row],[Original Contract]],Doors23227265[[#This Row],[Actual Buyout]]+Doors23227265[[#This Row],[Change Orders]])</f>
        <v>0</v>
      </c>
      <c r="I292" s="129">
        <v>0</v>
      </c>
      <c r="J292" s="129">
        <f>Doors23227265[[#This Row],[Original Contract]]-Doors23227265[[#This Row],[Revised Contract]]</f>
        <v>0</v>
      </c>
      <c r="K292" s="347"/>
      <c r="L292" s="341"/>
      <c r="M292" s="343"/>
      <c r="T292" s="97"/>
      <c r="U292" s="97"/>
      <c r="Y292" s="198"/>
      <c r="Z292" s="198"/>
    </row>
    <row r="293" spans="1:26" x14ac:dyDescent="0.35">
      <c r="A293" s="128">
        <v>8</v>
      </c>
      <c r="B293" s="132"/>
      <c r="C293" s="132"/>
      <c r="D293" s="133" t="s">
        <v>37</v>
      </c>
      <c r="E293" s="255">
        <v>0</v>
      </c>
      <c r="F293" s="255">
        <v>0</v>
      </c>
      <c r="G293" s="129">
        <f>0</f>
        <v>0</v>
      </c>
      <c r="H293" s="255">
        <f>IF(Doors23227265[[#This Row],[Actual Buyout]]+Doors23227265[[#This Row],[Change Orders]]=0,Doors23227265[[#This Row],[Original Contract]],Doors23227265[[#This Row],[Actual Buyout]]+Doors23227265[[#This Row],[Change Orders]])</f>
        <v>0</v>
      </c>
      <c r="I293" s="129">
        <v>0</v>
      </c>
      <c r="J293" s="129">
        <f>Doors23227265[[#This Row],[Original Contract]]-Doors23227265[[#This Row],[Revised Contract]]</f>
        <v>0</v>
      </c>
      <c r="K293" s="347"/>
      <c r="L293" s="341"/>
      <c r="M293" s="343"/>
      <c r="T293" s="97"/>
      <c r="U293" s="97"/>
      <c r="Y293" s="198"/>
      <c r="Z293" s="198"/>
    </row>
    <row r="294" spans="1:26" x14ac:dyDescent="0.35">
      <c r="A294" s="257"/>
      <c r="B294" s="258"/>
      <c r="C294" s="258"/>
      <c r="D294" s="256" t="s">
        <v>38</v>
      </c>
      <c r="E294" s="151">
        <f>SUM(Doors23227265[Original Contract])</f>
        <v>0</v>
      </c>
      <c r="F294" s="151">
        <f>SUM(Doors23227265[Actual Buyout])</f>
        <v>0</v>
      </c>
      <c r="G294" s="151">
        <f>SUM(Doors23227265[Change Orders])</f>
        <v>0</v>
      </c>
      <c r="H294" s="151">
        <f>SUM(Doors23227265[Revised Contract])</f>
        <v>0</v>
      </c>
      <c r="I294" s="151">
        <f>SUM(Doors23227265[Total completed and Stored])</f>
        <v>0</v>
      </c>
      <c r="J294" s="151">
        <f>SUM(Doors23227265[Delta])</f>
        <v>0</v>
      </c>
      <c r="K294" s="348"/>
      <c r="L294" s="343"/>
      <c r="M294" s="343"/>
    </row>
    <row r="295" spans="1:26" x14ac:dyDescent="0.35">
      <c r="A295" s="100" t="s">
        <v>659</v>
      </c>
      <c r="B295" s="100" t="s">
        <v>159</v>
      </c>
      <c r="C295" s="100" t="s">
        <v>167</v>
      </c>
      <c r="D295" s="100" t="s">
        <v>26</v>
      </c>
      <c r="E295" s="100" t="s">
        <v>781</v>
      </c>
      <c r="F295" s="332" t="s">
        <v>1078</v>
      </c>
      <c r="G295" s="332" t="s">
        <v>782</v>
      </c>
      <c r="H295" s="332" t="s">
        <v>783</v>
      </c>
      <c r="I295" s="334" t="s">
        <v>785</v>
      </c>
      <c r="J295" s="340" t="s">
        <v>1079</v>
      </c>
      <c r="K295" s="347"/>
      <c r="L295" s="335"/>
      <c r="M295" s="343"/>
      <c r="T295" s="97"/>
      <c r="U295" s="97"/>
      <c r="Y295" s="198"/>
      <c r="Z295" s="198"/>
    </row>
    <row r="296" spans="1:26" x14ac:dyDescent="0.35">
      <c r="A296" s="128">
        <v>9</v>
      </c>
      <c r="B296" s="132" t="s">
        <v>330</v>
      </c>
      <c r="C296" s="132" t="s">
        <v>183</v>
      </c>
      <c r="D296" s="133" t="s">
        <v>100</v>
      </c>
      <c r="E296" s="255">
        <v>0</v>
      </c>
      <c r="F296" s="255">
        <v>0</v>
      </c>
      <c r="G296" s="129">
        <f>0</f>
        <v>0</v>
      </c>
      <c r="H296" s="255">
        <f>IF(Walls24228266[[#This Row],[Actual Buyout]]+Walls24228266[[#This Row],[Change Orders]]=0,Walls24228266[[#This Row],[Original Contract]],Walls24228266[[#This Row],[Actual Buyout]]+Walls24228266[[#This Row],[Change Orders]])</f>
        <v>0</v>
      </c>
      <c r="I296" s="129">
        <v>0</v>
      </c>
      <c r="J296" s="129">
        <f>Walls24228266[[#This Row],[Original Contract]]-Walls24228266[[#This Row],[Revised Contract]]</f>
        <v>0</v>
      </c>
      <c r="K296" s="347"/>
      <c r="L296" s="341"/>
      <c r="M296" s="343"/>
      <c r="T296" s="97"/>
      <c r="U296" s="97"/>
      <c r="Y296" s="198"/>
      <c r="Z296" s="198"/>
    </row>
    <row r="297" spans="1:26" x14ac:dyDescent="0.35">
      <c r="A297" s="128">
        <v>9</v>
      </c>
      <c r="B297" s="132" t="s">
        <v>330</v>
      </c>
      <c r="C297" s="132" t="s">
        <v>183</v>
      </c>
      <c r="D297" s="133" t="s">
        <v>101</v>
      </c>
      <c r="E297" s="255">
        <v>0</v>
      </c>
      <c r="F297" s="255">
        <v>0</v>
      </c>
      <c r="G297" s="129">
        <f>0</f>
        <v>0</v>
      </c>
      <c r="H297" s="255">
        <f>IF(Walls24228266[[#This Row],[Actual Buyout]]+Walls24228266[[#This Row],[Change Orders]]=0,Walls24228266[[#This Row],[Original Contract]],Walls24228266[[#This Row],[Actual Buyout]]+Walls24228266[[#This Row],[Change Orders]])</f>
        <v>0</v>
      </c>
      <c r="I297" s="129">
        <v>0</v>
      </c>
      <c r="J297" s="129">
        <f>Walls24228266[[#This Row],[Original Contract]]-Walls24228266[[#This Row],[Revised Contract]]</f>
        <v>0</v>
      </c>
      <c r="K297" s="347"/>
      <c r="L297" s="341"/>
      <c r="M297" s="343"/>
      <c r="T297" s="97"/>
      <c r="U297" s="97"/>
      <c r="Y297" s="198"/>
      <c r="Z297" s="198"/>
    </row>
    <row r="298" spans="1:26" x14ac:dyDescent="0.35">
      <c r="A298" s="128">
        <v>9</v>
      </c>
      <c r="B298" s="132" t="s">
        <v>160</v>
      </c>
      <c r="C298" s="132" t="s">
        <v>331</v>
      </c>
      <c r="D298" s="133" t="s">
        <v>160</v>
      </c>
      <c r="E298" s="255">
        <v>0</v>
      </c>
      <c r="F298" s="255">
        <v>0</v>
      </c>
      <c r="G298" s="129">
        <f>0</f>
        <v>0</v>
      </c>
      <c r="H298" s="255">
        <f>IF(Walls24228266[[#This Row],[Actual Buyout]]+Walls24228266[[#This Row],[Change Orders]]=0,Walls24228266[[#This Row],[Original Contract]],Walls24228266[[#This Row],[Actual Buyout]]+Walls24228266[[#This Row],[Change Orders]])</f>
        <v>0</v>
      </c>
      <c r="I298" s="129">
        <v>0</v>
      </c>
      <c r="J298" s="129">
        <f>Walls24228266[[#This Row],[Original Contract]]-Walls24228266[[#This Row],[Revised Contract]]</f>
        <v>0</v>
      </c>
      <c r="K298" s="347"/>
      <c r="L298" s="341"/>
      <c r="M298" s="343"/>
      <c r="T298" s="97"/>
      <c r="U298" s="97"/>
      <c r="Y298" s="198"/>
      <c r="Z298" s="198"/>
    </row>
    <row r="299" spans="1:26" x14ac:dyDescent="0.35">
      <c r="A299" s="128">
        <v>9</v>
      </c>
      <c r="B299" s="132" t="s">
        <v>333</v>
      </c>
      <c r="C299" s="132" t="s">
        <v>332</v>
      </c>
      <c r="D299" s="133" t="s">
        <v>186</v>
      </c>
      <c r="E299" s="255">
        <v>0</v>
      </c>
      <c r="F299" s="255">
        <v>0</v>
      </c>
      <c r="G299" s="129">
        <f>0</f>
        <v>0</v>
      </c>
      <c r="H299" s="255">
        <f>IF(Walls24228266[[#This Row],[Actual Buyout]]+Walls24228266[[#This Row],[Change Orders]]=0,Walls24228266[[#This Row],[Original Contract]],Walls24228266[[#This Row],[Actual Buyout]]+Walls24228266[[#This Row],[Change Orders]])</f>
        <v>0</v>
      </c>
      <c r="I299" s="129">
        <v>0</v>
      </c>
      <c r="J299" s="129">
        <f>Walls24228266[[#This Row],[Original Contract]]-Walls24228266[[#This Row],[Revised Contract]]</f>
        <v>0</v>
      </c>
      <c r="K299" s="347"/>
      <c r="L299" s="341"/>
      <c r="M299" s="343"/>
      <c r="T299" s="97"/>
      <c r="U299" s="97"/>
      <c r="Y299" s="198"/>
      <c r="Z299" s="198"/>
    </row>
    <row r="300" spans="1:26" x14ac:dyDescent="0.35">
      <c r="A300" s="128">
        <v>9</v>
      </c>
      <c r="B300" s="132" t="s">
        <v>692</v>
      </c>
      <c r="C300" s="132" t="s">
        <v>693</v>
      </c>
      <c r="D300" s="133" t="s">
        <v>694</v>
      </c>
      <c r="E300" s="255">
        <v>0</v>
      </c>
      <c r="F300" s="255">
        <v>0</v>
      </c>
      <c r="G300" s="129">
        <f>0</f>
        <v>0</v>
      </c>
      <c r="H300" s="255">
        <f>IF(Walls24228266[[#This Row],[Actual Buyout]]+Walls24228266[[#This Row],[Change Orders]]=0,Walls24228266[[#This Row],[Original Contract]],Walls24228266[[#This Row],[Actual Buyout]]+Walls24228266[[#This Row],[Change Orders]])</f>
        <v>0</v>
      </c>
      <c r="I300" s="129">
        <v>0</v>
      </c>
      <c r="J300" s="129">
        <f>Walls24228266[[#This Row],[Original Contract]]-Walls24228266[[#This Row],[Revised Contract]]</f>
        <v>0</v>
      </c>
      <c r="K300" s="347"/>
      <c r="L300" s="341"/>
      <c r="M300" s="343"/>
      <c r="T300" s="97"/>
      <c r="U300" s="97"/>
      <c r="Y300" s="198"/>
      <c r="Z300" s="198"/>
    </row>
    <row r="301" spans="1:26" x14ac:dyDescent="0.35">
      <c r="A301" s="128">
        <v>9</v>
      </c>
      <c r="B301" s="132" t="s">
        <v>330</v>
      </c>
      <c r="C301" s="132" t="s">
        <v>183</v>
      </c>
      <c r="D301" s="133" t="s">
        <v>762</v>
      </c>
      <c r="E301" s="255">
        <v>0</v>
      </c>
      <c r="F301" s="255">
        <v>0</v>
      </c>
      <c r="G301" s="129">
        <f>0</f>
        <v>0</v>
      </c>
      <c r="H301" s="255">
        <f>IF(Walls24228266[[#This Row],[Actual Buyout]]+Walls24228266[[#This Row],[Change Orders]]=0,Walls24228266[[#This Row],[Original Contract]],Walls24228266[[#This Row],[Actual Buyout]]+Walls24228266[[#This Row],[Change Orders]])</f>
        <v>0</v>
      </c>
      <c r="I301" s="129">
        <v>0</v>
      </c>
      <c r="J301" s="129">
        <f>Walls24228266[[#This Row],[Original Contract]]-Walls24228266[[#This Row],[Revised Contract]]</f>
        <v>0</v>
      </c>
      <c r="K301" s="347"/>
      <c r="L301" s="341"/>
      <c r="M301" s="343"/>
      <c r="T301" s="97"/>
      <c r="U301" s="97"/>
      <c r="Y301" s="198"/>
      <c r="Z301" s="198"/>
    </row>
    <row r="302" spans="1:26" x14ac:dyDescent="0.35">
      <c r="A302" s="128">
        <v>9</v>
      </c>
      <c r="B302" s="132"/>
      <c r="C302" s="132"/>
      <c r="D302" s="133" t="s">
        <v>806</v>
      </c>
      <c r="E302" s="255">
        <v>0</v>
      </c>
      <c r="F302" s="255">
        <v>0</v>
      </c>
      <c r="G302" s="129">
        <f>0</f>
        <v>0</v>
      </c>
      <c r="H302" s="255">
        <f>IF(Walls24228266[[#This Row],[Actual Buyout]]+Walls24228266[[#This Row],[Change Orders]]=0,Walls24228266[[#This Row],[Original Contract]],Walls24228266[[#This Row],[Actual Buyout]]+Walls24228266[[#This Row],[Change Orders]])</f>
        <v>0</v>
      </c>
      <c r="I302" s="129">
        <v>0</v>
      </c>
      <c r="J302" s="129">
        <f>Walls24228266[[#This Row],[Original Contract]]-Walls24228266[[#This Row],[Revised Contract]]</f>
        <v>0</v>
      </c>
      <c r="K302" s="347"/>
      <c r="L302" s="341"/>
      <c r="M302" s="343"/>
      <c r="T302" s="97"/>
      <c r="U302" s="97"/>
      <c r="Y302" s="198"/>
      <c r="Z302" s="198"/>
    </row>
    <row r="303" spans="1:26" x14ac:dyDescent="0.35">
      <c r="A303" s="128">
        <v>9</v>
      </c>
      <c r="B303" s="132"/>
      <c r="C303" s="132"/>
      <c r="D303" s="133" t="s">
        <v>37</v>
      </c>
      <c r="E303" s="255">
        <v>0</v>
      </c>
      <c r="F303" s="255">
        <v>0</v>
      </c>
      <c r="G303" s="129">
        <f>0</f>
        <v>0</v>
      </c>
      <c r="H303" s="255">
        <f>IF(Walls24228266[[#This Row],[Actual Buyout]]+Walls24228266[[#This Row],[Change Orders]]=0,Walls24228266[[#This Row],[Original Contract]],Walls24228266[[#This Row],[Actual Buyout]]+Walls24228266[[#This Row],[Change Orders]])</f>
        <v>0</v>
      </c>
      <c r="I303" s="129">
        <v>0</v>
      </c>
      <c r="J303" s="129">
        <f>Walls24228266[[#This Row],[Original Contract]]-Walls24228266[[#This Row],[Revised Contract]]</f>
        <v>0</v>
      </c>
      <c r="K303" s="347"/>
      <c r="L303" s="341"/>
      <c r="M303" s="343"/>
      <c r="T303" s="97"/>
      <c r="U303" s="97"/>
      <c r="Y303" s="198"/>
      <c r="Z303" s="198"/>
    </row>
    <row r="304" spans="1:26" x14ac:dyDescent="0.35">
      <c r="A304" s="128">
        <v>9</v>
      </c>
      <c r="B304" s="132"/>
      <c r="C304" s="132"/>
      <c r="D304" s="133" t="s">
        <v>37</v>
      </c>
      <c r="E304" s="255">
        <v>0</v>
      </c>
      <c r="F304" s="255">
        <v>0</v>
      </c>
      <c r="G304" s="129">
        <f>0</f>
        <v>0</v>
      </c>
      <c r="H304" s="255">
        <f>IF(Walls24228266[[#This Row],[Actual Buyout]]+Walls24228266[[#This Row],[Change Orders]]=0,Walls24228266[[#This Row],[Original Contract]],Walls24228266[[#This Row],[Actual Buyout]]+Walls24228266[[#This Row],[Change Orders]])</f>
        <v>0</v>
      </c>
      <c r="I304" s="129">
        <v>0</v>
      </c>
      <c r="J304" s="129">
        <f>Walls24228266[[#This Row],[Original Contract]]-Walls24228266[[#This Row],[Revised Contract]]</f>
        <v>0</v>
      </c>
      <c r="K304" s="347"/>
      <c r="L304" s="341"/>
      <c r="M304" s="343"/>
      <c r="T304" s="97"/>
      <c r="U304" s="97"/>
      <c r="Y304" s="198"/>
      <c r="Z304" s="198"/>
    </row>
    <row r="305" spans="1:26" x14ac:dyDescent="0.35">
      <c r="A305" s="128">
        <v>9</v>
      </c>
      <c r="B305" s="132"/>
      <c r="C305" s="132"/>
      <c r="D305" s="133" t="s">
        <v>807</v>
      </c>
      <c r="E305" s="255">
        <v>0</v>
      </c>
      <c r="F305" s="255">
        <v>0</v>
      </c>
      <c r="G305" s="129">
        <f>0</f>
        <v>0</v>
      </c>
      <c r="H305" s="255">
        <f>IF(Walls24228266[[#This Row],[Actual Buyout]]+Walls24228266[[#This Row],[Change Orders]]=0,Walls24228266[[#This Row],[Original Contract]],Walls24228266[[#This Row],[Actual Buyout]]+Walls24228266[[#This Row],[Change Orders]])</f>
        <v>0</v>
      </c>
      <c r="I305" s="129">
        <v>0</v>
      </c>
      <c r="J305" s="129">
        <f>Walls24228266[[#This Row],[Original Contract]]-Walls24228266[[#This Row],[Revised Contract]]</f>
        <v>0</v>
      </c>
      <c r="K305" s="347"/>
      <c r="L305" s="341"/>
      <c r="M305" s="343"/>
      <c r="T305" s="97"/>
      <c r="U305" s="97"/>
      <c r="Y305" s="198"/>
      <c r="Z305" s="198"/>
    </row>
    <row r="306" spans="1:26" x14ac:dyDescent="0.35">
      <c r="A306" s="257"/>
      <c r="B306" s="258"/>
      <c r="C306" s="258"/>
      <c r="D306" s="256" t="s">
        <v>38</v>
      </c>
      <c r="E306" s="151">
        <f>SUM(Walls24228266[Original Contract])</f>
        <v>0</v>
      </c>
      <c r="F306" s="151">
        <f>SUM(Walls24228266[Actual Buyout])</f>
        <v>0</v>
      </c>
      <c r="G306" s="151">
        <f>SUM(Walls24228266[Change Orders])</f>
        <v>0</v>
      </c>
      <c r="H306" s="151">
        <f>SUM(Walls24228266[Revised Contract])</f>
        <v>0</v>
      </c>
      <c r="I306" s="151">
        <f>SUM(Walls24228266[Total completed and Stored])</f>
        <v>0</v>
      </c>
      <c r="J306" s="151">
        <f>SUM(Walls24228266[Delta])</f>
        <v>0</v>
      </c>
      <c r="K306" s="348"/>
      <c r="L306" s="343"/>
      <c r="M306" s="343"/>
    </row>
    <row r="307" spans="1:26" x14ac:dyDescent="0.35">
      <c r="A307" s="100" t="s">
        <v>659</v>
      </c>
      <c r="B307" s="100" t="s">
        <v>4</v>
      </c>
      <c r="C307" s="100" t="s">
        <v>167</v>
      </c>
      <c r="D307" s="100" t="s">
        <v>26</v>
      </c>
      <c r="E307" s="100" t="s">
        <v>781</v>
      </c>
      <c r="F307" s="332" t="s">
        <v>1078</v>
      </c>
      <c r="G307" s="332" t="s">
        <v>782</v>
      </c>
      <c r="H307" s="332" t="s">
        <v>783</v>
      </c>
      <c r="I307" s="334" t="s">
        <v>785</v>
      </c>
      <c r="J307" s="340" t="s">
        <v>1079</v>
      </c>
      <c r="K307" s="347"/>
      <c r="L307" s="335"/>
      <c r="M307" s="343"/>
      <c r="T307" s="97"/>
      <c r="U307" s="97"/>
      <c r="Y307" s="198"/>
      <c r="Z307" s="198"/>
    </row>
    <row r="308" spans="1:26" x14ac:dyDescent="0.35">
      <c r="A308" s="128">
        <v>9</v>
      </c>
      <c r="B308" s="132" t="s">
        <v>334</v>
      </c>
      <c r="C308" s="132" t="s">
        <v>185</v>
      </c>
      <c r="D308" s="133" t="s">
        <v>102</v>
      </c>
      <c r="E308" s="255">
        <v>0</v>
      </c>
      <c r="F308" s="255">
        <v>0</v>
      </c>
      <c r="G308" s="129">
        <f>0</f>
        <v>0</v>
      </c>
      <c r="H308" s="255">
        <f>IF(Flooring25229267[[#This Row],[Actual Buyout]]+Flooring25229267[[#This Row],[Change Orders]]=0,Flooring25229267[[#This Row],[Original Contract]],Flooring25229267[[#This Row],[Actual Buyout]]+Flooring25229267[[#This Row],[Change Orders]])</f>
        <v>0</v>
      </c>
      <c r="I308" s="129">
        <v>0</v>
      </c>
      <c r="J308" s="129">
        <f>Flooring25229267[[#This Row],[Original Contract]]-Flooring25229267[[#This Row],[Revised Contract]]</f>
        <v>0</v>
      </c>
      <c r="K308" s="347"/>
      <c r="L308" s="341"/>
      <c r="M308" s="343"/>
      <c r="T308" s="97"/>
      <c r="U308" s="97"/>
      <c r="Y308" s="198"/>
      <c r="Z308" s="198"/>
    </row>
    <row r="309" spans="1:26" x14ac:dyDescent="0.35">
      <c r="A309" s="128">
        <v>9</v>
      </c>
      <c r="B309" s="132" t="s">
        <v>336</v>
      </c>
      <c r="C309" s="132" t="s">
        <v>335</v>
      </c>
      <c r="D309" s="133" t="s">
        <v>103</v>
      </c>
      <c r="E309" s="255">
        <v>0</v>
      </c>
      <c r="F309" s="255">
        <v>0</v>
      </c>
      <c r="G309" s="129">
        <f>0</f>
        <v>0</v>
      </c>
      <c r="H309" s="255">
        <f>IF(Flooring25229267[[#This Row],[Actual Buyout]]+Flooring25229267[[#This Row],[Change Orders]]=0,Flooring25229267[[#This Row],[Original Contract]],Flooring25229267[[#This Row],[Actual Buyout]]+Flooring25229267[[#This Row],[Change Orders]])</f>
        <v>0</v>
      </c>
      <c r="I309" s="129">
        <v>0</v>
      </c>
      <c r="J309" s="129">
        <f>Flooring25229267[[#This Row],[Original Contract]]-Flooring25229267[[#This Row],[Revised Contract]]</f>
        <v>0</v>
      </c>
      <c r="K309" s="347"/>
      <c r="L309" s="341"/>
      <c r="M309" s="343"/>
      <c r="T309" s="97"/>
      <c r="U309" s="97"/>
      <c r="Y309" s="198"/>
      <c r="Z309" s="198"/>
    </row>
    <row r="310" spans="1:26" x14ac:dyDescent="0.35">
      <c r="A310" s="128">
        <v>9</v>
      </c>
      <c r="B310" s="132" t="s">
        <v>337</v>
      </c>
      <c r="C310" s="132" t="s">
        <v>184</v>
      </c>
      <c r="D310" s="133" t="s">
        <v>104</v>
      </c>
      <c r="E310" s="255">
        <v>0</v>
      </c>
      <c r="F310" s="255">
        <v>0</v>
      </c>
      <c r="G310" s="129">
        <f>0</f>
        <v>0</v>
      </c>
      <c r="H310" s="255">
        <f>IF(Flooring25229267[[#This Row],[Actual Buyout]]+Flooring25229267[[#This Row],[Change Orders]]=0,Flooring25229267[[#This Row],[Original Contract]],Flooring25229267[[#This Row],[Actual Buyout]]+Flooring25229267[[#This Row],[Change Orders]])</f>
        <v>0</v>
      </c>
      <c r="I310" s="129">
        <v>0</v>
      </c>
      <c r="J310" s="129">
        <f>Flooring25229267[[#This Row],[Original Contract]]-Flooring25229267[[#This Row],[Revised Contract]]</f>
        <v>0</v>
      </c>
      <c r="K310" s="347"/>
      <c r="L310" s="341"/>
      <c r="M310" s="343"/>
      <c r="T310" s="97"/>
      <c r="U310" s="97"/>
      <c r="Y310" s="198"/>
      <c r="Z310" s="198"/>
    </row>
    <row r="311" spans="1:26" x14ac:dyDescent="0.35">
      <c r="A311" s="128">
        <v>9</v>
      </c>
      <c r="B311" s="132"/>
      <c r="C311" s="132"/>
      <c r="D311" s="133" t="s">
        <v>37</v>
      </c>
      <c r="E311" s="255">
        <v>0</v>
      </c>
      <c r="F311" s="255">
        <v>0</v>
      </c>
      <c r="G311" s="129">
        <f>0</f>
        <v>0</v>
      </c>
      <c r="H311" s="255">
        <f>IF(Flooring25229267[[#This Row],[Actual Buyout]]+Flooring25229267[[#This Row],[Change Orders]]=0,Flooring25229267[[#This Row],[Original Contract]],Flooring25229267[[#This Row],[Actual Buyout]]+Flooring25229267[[#This Row],[Change Orders]])</f>
        <v>0</v>
      </c>
      <c r="I311" s="129">
        <v>0</v>
      </c>
      <c r="J311" s="129">
        <f>Flooring25229267[[#This Row],[Original Contract]]-Flooring25229267[[#This Row],[Revised Contract]]</f>
        <v>0</v>
      </c>
      <c r="K311" s="347"/>
      <c r="L311" s="341"/>
      <c r="M311" s="343"/>
      <c r="T311" s="97"/>
      <c r="U311" s="97"/>
      <c r="Y311" s="198"/>
      <c r="Z311" s="198"/>
    </row>
    <row r="312" spans="1:26" x14ac:dyDescent="0.35">
      <c r="A312" s="128">
        <v>9</v>
      </c>
      <c r="B312" s="132"/>
      <c r="C312" s="132"/>
      <c r="D312" s="133" t="s">
        <v>37</v>
      </c>
      <c r="E312" s="255">
        <v>0</v>
      </c>
      <c r="F312" s="255">
        <v>0</v>
      </c>
      <c r="G312" s="129">
        <f>0</f>
        <v>0</v>
      </c>
      <c r="H312" s="255">
        <f>IF(Flooring25229267[[#This Row],[Actual Buyout]]+Flooring25229267[[#This Row],[Change Orders]]=0,Flooring25229267[[#This Row],[Original Contract]],Flooring25229267[[#This Row],[Actual Buyout]]+Flooring25229267[[#This Row],[Change Orders]])</f>
        <v>0</v>
      </c>
      <c r="I312" s="129">
        <v>0</v>
      </c>
      <c r="J312" s="129">
        <f>Flooring25229267[[#This Row],[Original Contract]]-Flooring25229267[[#This Row],[Revised Contract]]</f>
        <v>0</v>
      </c>
      <c r="K312" s="347"/>
      <c r="L312" s="341"/>
      <c r="M312" s="343"/>
      <c r="T312" s="97"/>
      <c r="U312" s="97"/>
      <c r="Y312" s="198"/>
      <c r="Z312" s="198"/>
    </row>
    <row r="313" spans="1:26" x14ac:dyDescent="0.35">
      <c r="A313" s="128">
        <v>9</v>
      </c>
      <c r="B313" s="132"/>
      <c r="C313" s="132"/>
      <c r="D313" s="133" t="s">
        <v>37</v>
      </c>
      <c r="E313" s="255">
        <v>0</v>
      </c>
      <c r="F313" s="255">
        <v>0</v>
      </c>
      <c r="G313" s="129">
        <f>0</f>
        <v>0</v>
      </c>
      <c r="H313" s="255">
        <f>IF(Flooring25229267[[#This Row],[Actual Buyout]]+Flooring25229267[[#This Row],[Change Orders]]=0,Flooring25229267[[#This Row],[Original Contract]],Flooring25229267[[#This Row],[Actual Buyout]]+Flooring25229267[[#This Row],[Change Orders]])</f>
        <v>0</v>
      </c>
      <c r="I313" s="129">
        <v>0</v>
      </c>
      <c r="J313" s="129">
        <f>Flooring25229267[[#This Row],[Original Contract]]-Flooring25229267[[#This Row],[Revised Contract]]</f>
        <v>0</v>
      </c>
      <c r="K313" s="347"/>
      <c r="L313" s="341"/>
      <c r="M313" s="343"/>
      <c r="T313" s="97"/>
      <c r="U313" s="97"/>
      <c r="Y313" s="198"/>
      <c r="Z313" s="198"/>
    </row>
    <row r="314" spans="1:26" x14ac:dyDescent="0.35">
      <c r="A314" s="128">
        <v>9</v>
      </c>
      <c r="B314" s="132"/>
      <c r="C314" s="132"/>
      <c r="D314" s="133" t="s">
        <v>37</v>
      </c>
      <c r="E314" s="255">
        <v>0</v>
      </c>
      <c r="F314" s="255">
        <v>0</v>
      </c>
      <c r="G314" s="129">
        <f>0</f>
        <v>0</v>
      </c>
      <c r="H314" s="255">
        <f>IF(Flooring25229267[[#This Row],[Actual Buyout]]+Flooring25229267[[#This Row],[Change Orders]]=0,Flooring25229267[[#This Row],[Original Contract]],Flooring25229267[[#This Row],[Actual Buyout]]+Flooring25229267[[#This Row],[Change Orders]])</f>
        <v>0</v>
      </c>
      <c r="I314" s="129">
        <v>0</v>
      </c>
      <c r="J314" s="129">
        <f>Flooring25229267[[#This Row],[Original Contract]]-Flooring25229267[[#This Row],[Revised Contract]]</f>
        <v>0</v>
      </c>
      <c r="K314" s="347"/>
      <c r="L314" s="341"/>
      <c r="M314" s="343"/>
      <c r="T314" s="97"/>
      <c r="U314" s="97"/>
      <c r="Y314" s="198"/>
      <c r="Z314" s="198"/>
    </row>
    <row r="315" spans="1:26" x14ac:dyDescent="0.35">
      <c r="A315" s="128">
        <v>9</v>
      </c>
      <c r="B315" s="132"/>
      <c r="C315" s="132"/>
      <c r="D315" s="133" t="s">
        <v>37</v>
      </c>
      <c r="E315" s="255">
        <v>0</v>
      </c>
      <c r="F315" s="255">
        <v>0</v>
      </c>
      <c r="G315" s="129">
        <f>0</f>
        <v>0</v>
      </c>
      <c r="H315" s="255">
        <f>IF(Flooring25229267[[#This Row],[Actual Buyout]]+Flooring25229267[[#This Row],[Change Orders]]=0,Flooring25229267[[#This Row],[Original Contract]],Flooring25229267[[#This Row],[Actual Buyout]]+Flooring25229267[[#This Row],[Change Orders]])</f>
        <v>0</v>
      </c>
      <c r="I315" s="129">
        <v>0</v>
      </c>
      <c r="J315" s="129">
        <f>Flooring25229267[[#This Row],[Original Contract]]-Flooring25229267[[#This Row],[Revised Contract]]</f>
        <v>0</v>
      </c>
      <c r="K315" s="347"/>
      <c r="L315" s="341"/>
      <c r="M315" s="343"/>
      <c r="T315" s="97"/>
      <c r="U315" s="97"/>
      <c r="Y315" s="198"/>
      <c r="Z315" s="198"/>
    </row>
    <row r="316" spans="1:26" x14ac:dyDescent="0.35">
      <c r="A316" s="257"/>
      <c r="B316" s="258"/>
      <c r="C316" s="258"/>
      <c r="D316" s="256" t="s">
        <v>38</v>
      </c>
      <c r="E316" s="151">
        <f>SUM(Flooring25229267[Original Contract])</f>
        <v>0</v>
      </c>
      <c r="F316" s="151">
        <f>SUM(Flooring25229267[Actual Buyout])</f>
        <v>0</v>
      </c>
      <c r="G316" s="151">
        <f>SUM(Flooring25229267[Change Orders])</f>
        <v>0</v>
      </c>
      <c r="H316" s="151">
        <f>SUM(Flooring25229267[Revised Contract])</f>
        <v>0</v>
      </c>
      <c r="I316" s="151">
        <f>SUM(Flooring25229267[Total completed and Stored])</f>
        <v>0</v>
      </c>
      <c r="J316" s="151">
        <f>SUM(Flooring25229267[Delta])</f>
        <v>0</v>
      </c>
      <c r="K316" s="348"/>
      <c r="L316" s="343"/>
      <c r="M316" s="343"/>
    </row>
    <row r="317" spans="1:26" x14ac:dyDescent="0.35">
      <c r="A317" s="100" t="s">
        <v>659</v>
      </c>
      <c r="B317" s="100" t="s">
        <v>105</v>
      </c>
      <c r="C317" s="100" t="s">
        <v>167</v>
      </c>
      <c r="D317" s="100" t="s">
        <v>26</v>
      </c>
      <c r="E317" s="100" t="s">
        <v>781</v>
      </c>
      <c r="F317" s="332" t="s">
        <v>1078</v>
      </c>
      <c r="G317" s="332" t="s">
        <v>782</v>
      </c>
      <c r="H317" s="332" t="s">
        <v>783</v>
      </c>
      <c r="I317" s="334" t="s">
        <v>785</v>
      </c>
      <c r="J317" s="340" t="s">
        <v>1079</v>
      </c>
      <c r="K317" s="347"/>
      <c r="L317" s="335"/>
      <c r="M317" s="343"/>
      <c r="T317" s="97"/>
      <c r="U317" s="97"/>
      <c r="Y317" s="198"/>
      <c r="Z317" s="198"/>
    </row>
    <row r="318" spans="1:26" x14ac:dyDescent="0.35">
      <c r="A318" s="128">
        <v>9</v>
      </c>
      <c r="B318" s="132" t="s">
        <v>339</v>
      </c>
      <c r="C318" s="132" t="s">
        <v>338</v>
      </c>
      <c r="D318" s="133" t="s">
        <v>106</v>
      </c>
      <c r="E318" s="255">
        <v>0</v>
      </c>
      <c r="F318" s="255">
        <v>0</v>
      </c>
      <c r="G318" s="129">
        <f>0</f>
        <v>0</v>
      </c>
      <c r="H318" s="255">
        <f>IF(Paint26230268[[#This Row],[Actual Buyout]]+Paint26230268[[#This Row],[Change Orders]]=0,Paint26230268[[#This Row],[Original Contract]],Paint26230268[[#This Row],[Actual Buyout]]+Paint26230268[[#This Row],[Change Orders]])</f>
        <v>0</v>
      </c>
      <c r="I318" s="129">
        <v>0</v>
      </c>
      <c r="J318" s="129">
        <f>Paint26230268[[#This Row],[Original Contract]]-Paint26230268[[#This Row],[Revised Contract]]</f>
        <v>0</v>
      </c>
      <c r="K318" s="347"/>
      <c r="L318" s="341"/>
      <c r="M318" s="343"/>
      <c r="T318" s="97"/>
      <c r="U318" s="97"/>
      <c r="Y318" s="198"/>
      <c r="Z318" s="198"/>
    </row>
    <row r="319" spans="1:26" x14ac:dyDescent="0.35">
      <c r="A319" s="128">
        <v>9</v>
      </c>
      <c r="B319" s="132" t="s">
        <v>340</v>
      </c>
      <c r="C319" s="132" t="s">
        <v>341</v>
      </c>
      <c r="D319" s="133" t="s">
        <v>107</v>
      </c>
      <c r="E319" s="255">
        <v>0</v>
      </c>
      <c r="F319" s="255">
        <v>0</v>
      </c>
      <c r="G319" s="129">
        <f>0</f>
        <v>0</v>
      </c>
      <c r="H319" s="255">
        <f>IF(Paint26230268[[#This Row],[Actual Buyout]]+Paint26230268[[#This Row],[Change Orders]]=0,Paint26230268[[#This Row],[Original Contract]],Paint26230268[[#This Row],[Actual Buyout]]+Paint26230268[[#This Row],[Change Orders]])</f>
        <v>0</v>
      </c>
      <c r="I319" s="129">
        <v>0</v>
      </c>
      <c r="J319" s="129">
        <f>Paint26230268[[#This Row],[Original Contract]]-Paint26230268[[#This Row],[Revised Contract]]</f>
        <v>0</v>
      </c>
      <c r="K319" s="347"/>
      <c r="L319" s="341"/>
      <c r="M319" s="343"/>
      <c r="T319" s="97"/>
      <c r="U319" s="97"/>
      <c r="Y319" s="198"/>
      <c r="Z319" s="198"/>
    </row>
    <row r="320" spans="1:26" x14ac:dyDescent="0.35">
      <c r="A320" s="128">
        <v>9</v>
      </c>
      <c r="B320" s="132" t="s">
        <v>340</v>
      </c>
      <c r="C320" s="132" t="s">
        <v>341</v>
      </c>
      <c r="D320" s="133" t="s">
        <v>108</v>
      </c>
      <c r="E320" s="255">
        <v>0</v>
      </c>
      <c r="F320" s="255">
        <v>0</v>
      </c>
      <c r="G320" s="129">
        <f>0</f>
        <v>0</v>
      </c>
      <c r="H320" s="255">
        <f>IF(Paint26230268[[#This Row],[Actual Buyout]]+Paint26230268[[#This Row],[Change Orders]]=0,Paint26230268[[#This Row],[Original Contract]],Paint26230268[[#This Row],[Actual Buyout]]+Paint26230268[[#This Row],[Change Orders]])</f>
        <v>0</v>
      </c>
      <c r="I320" s="129">
        <v>0</v>
      </c>
      <c r="J320" s="129">
        <f>Paint26230268[[#This Row],[Original Contract]]-Paint26230268[[#This Row],[Revised Contract]]</f>
        <v>0</v>
      </c>
      <c r="K320" s="347"/>
      <c r="L320" s="341"/>
      <c r="M320" s="343"/>
      <c r="T320" s="97"/>
      <c r="U320" s="97"/>
      <c r="Y320" s="198"/>
      <c r="Z320" s="198"/>
    </row>
    <row r="321" spans="1:26" x14ac:dyDescent="0.35">
      <c r="A321" s="128">
        <v>9</v>
      </c>
      <c r="B321" s="132" t="s">
        <v>340</v>
      </c>
      <c r="C321" s="132" t="s">
        <v>341</v>
      </c>
      <c r="D321" s="133" t="s">
        <v>109</v>
      </c>
      <c r="E321" s="255">
        <v>0</v>
      </c>
      <c r="F321" s="255">
        <v>0</v>
      </c>
      <c r="G321" s="129">
        <f>0</f>
        <v>0</v>
      </c>
      <c r="H321" s="255">
        <f>IF(Paint26230268[[#This Row],[Actual Buyout]]+Paint26230268[[#This Row],[Change Orders]]=0,Paint26230268[[#This Row],[Original Contract]],Paint26230268[[#This Row],[Actual Buyout]]+Paint26230268[[#This Row],[Change Orders]])</f>
        <v>0</v>
      </c>
      <c r="I321" s="129">
        <v>0</v>
      </c>
      <c r="J321" s="129">
        <f>Paint26230268[[#This Row],[Original Contract]]-Paint26230268[[#This Row],[Revised Contract]]</f>
        <v>0</v>
      </c>
      <c r="K321" s="347"/>
      <c r="L321" s="341"/>
      <c r="M321" s="343"/>
      <c r="T321" s="97"/>
      <c r="U321" s="97"/>
      <c r="Y321" s="198"/>
      <c r="Z321" s="198"/>
    </row>
    <row r="322" spans="1:26" x14ac:dyDescent="0.35">
      <c r="A322" s="128">
        <v>9</v>
      </c>
      <c r="B322" s="132" t="s">
        <v>343</v>
      </c>
      <c r="C322" s="132" t="s">
        <v>342</v>
      </c>
      <c r="D322" s="133" t="s">
        <v>110</v>
      </c>
      <c r="E322" s="255">
        <v>0</v>
      </c>
      <c r="F322" s="255">
        <v>0</v>
      </c>
      <c r="G322" s="129">
        <f>0</f>
        <v>0</v>
      </c>
      <c r="H322" s="255">
        <f>IF(Paint26230268[[#This Row],[Actual Buyout]]+Paint26230268[[#This Row],[Change Orders]]=0,Paint26230268[[#This Row],[Original Contract]],Paint26230268[[#This Row],[Actual Buyout]]+Paint26230268[[#This Row],[Change Orders]])</f>
        <v>0</v>
      </c>
      <c r="I322" s="129">
        <v>0</v>
      </c>
      <c r="J322" s="129">
        <f>Paint26230268[[#This Row],[Original Contract]]-Paint26230268[[#This Row],[Revised Contract]]</f>
        <v>0</v>
      </c>
      <c r="K322" s="347"/>
      <c r="L322" s="341"/>
      <c r="M322" s="343"/>
      <c r="T322" s="97"/>
      <c r="U322" s="97"/>
      <c r="Y322" s="198"/>
      <c r="Z322" s="198"/>
    </row>
    <row r="323" spans="1:26" x14ac:dyDescent="0.35">
      <c r="A323" s="128">
        <v>9</v>
      </c>
      <c r="B323" s="132" t="s">
        <v>343</v>
      </c>
      <c r="C323" s="132" t="s">
        <v>342</v>
      </c>
      <c r="D323" s="133" t="s">
        <v>111</v>
      </c>
      <c r="E323" s="255">
        <v>0</v>
      </c>
      <c r="F323" s="255">
        <v>0</v>
      </c>
      <c r="G323" s="129">
        <f>0</f>
        <v>0</v>
      </c>
      <c r="H323" s="255">
        <f>IF(Paint26230268[[#This Row],[Actual Buyout]]+Paint26230268[[#This Row],[Change Orders]]=0,Paint26230268[[#This Row],[Original Contract]],Paint26230268[[#This Row],[Actual Buyout]]+Paint26230268[[#This Row],[Change Orders]])</f>
        <v>0</v>
      </c>
      <c r="I323" s="129">
        <v>0</v>
      </c>
      <c r="J323" s="129">
        <f>Paint26230268[[#This Row],[Original Contract]]-Paint26230268[[#This Row],[Revised Contract]]</f>
        <v>0</v>
      </c>
      <c r="K323" s="347"/>
      <c r="L323" s="341"/>
      <c r="M323" s="343"/>
      <c r="T323" s="97"/>
      <c r="U323" s="97"/>
      <c r="Y323" s="198"/>
      <c r="Z323" s="198"/>
    </row>
    <row r="324" spans="1:26" x14ac:dyDescent="0.35">
      <c r="A324" s="128">
        <v>9</v>
      </c>
      <c r="B324" s="132" t="s">
        <v>344</v>
      </c>
      <c r="C324" s="132" t="s">
        <v>345</v>
      </c>
      <c r="D324" s="133" t="s">
        <v>112</v>
      </c>
      <c r="E324" s="255">
        <v>0</v>
      </c>
      <c r="F324" s="255">
        <v>0</v>
      </c>
      <c r="G324" s="129">
        <f>0</f>
        <v>0</v>
      </c>
      <c r="H324" s="255">
        <f>IF(Paint26230268[[#This Row],[Actual Buyout]]+Paint26230268[[#This Row],[Change Orders]]=0,Paint26230268[[#This Row],[Original Contract]],Paint26230268[[#This Row],[Actual Buyout]]+Paint26230268[[#This Row],[Change Orders]])</f>
        <v>0</v>
      </c>
      <c r="I324" s="129">
        <v>0</v>
      </c>
      <c r="J324" s="129">
        <f>Paint26230268[[#This Row],[Original Contract]]-Paint26230268[[#This Row],[Revised Contract]]</f>
        <v>0</v>
      </c>
      <c r="K324" s="347"/>
      <c r="L324" s="341"/>
      <c r="M324" s="343"/>
      <c r="T324" s="97"/>
      <c r="U324" s="97"/>
      <c r="Y324" s="198"/>
      <c r="Z324" s="198"/>
    </row>
    <row r="325" spans="1:26" x14ac:dyDescent="0.35">
      <c r="A325" s="128">
        <v>9</v>
      </c>
      <c r="B325" s="132"/>
      <c r="C325" s="132"/>
      <c r="D325" s="133" t="s">
        <v>37</v>
      </c>
      <c r="E325" s="255">
        <v>0</v>
      </c>
      <c r="F325" s="255">
        <v>0</v>
      </c>
      <c r="G325" s="129">
        <f>0</f>
        <v>0</v>
      </c>
      <c r="H325" s="255">
        <f>IF(Paint26230268[[#This Row],[Actual Buyout]]+Paint26230268[[#This Row],[Change Orders]]=0,Paint26230268[[#This Row],[Original Contract]],Paint26230268[[#This Row],[Actual Buyout]]+Paint26230268[[#This Row],[Change Orders]])</f>
        <v>0</v>
      </c>
      <c r="I325" s="129">
        <v>0</v>
      </c>
      <c r="J325" s="129">
        <f>Paint26230268[[#This Row],[Original Contract]]-Paint26230268[[#This Row],[Revised Contract]]</f>
        <v>0</v>
      </c>
      <c r="K325" s="347"/>
      <c r="L325" s="341"/>
      <c r="M325" s="343"/>
      <c r="T325" s="97"/>
      <c r="U325" s="97"/>
      <c r="Y325" s="198"/>
      <c r="Z325" s="198"/>
    </row>
    <row r="326" spans="1:26" x14ac:dyDescent="0.35">
      <c r="A326" s="128">
        <v>9</v>
      </c>
      <c r="B326" s="132"/>
      <c r="C326" s="132"/>
      <c r="D326" s="133" t="s">
        <v>37</v>
      </c>
      <c r="E326" s="255">
        <v>0</v>
      </c>
      <c r="F326" s="255">
        <v>0</v>
      </c>
      <c r="G326" s="129">
        <f>0</f>
        <v>0</v>
      </c>
      <c r="H326" s="255">
        <f>IF(Paint26230268[[#This Row],[Actual Buyout]]+Paint26230268[[#This Row],[Change Orders]]=0,Paint26230268[[#This Row],[Original Contract]],Paint26230268[[#This Row],[Actual Buyout]]+Paint26230268[[#This Row],[Change Orders]])</f>
        <v>0</v>
      </c>
      <c r="I326" s="129">
        <v>0</v>
      </c>
      <c r="J326" s="129">
        <f>Paint26230268[[#This Row],[Original Contract]]-Paint26230268[[#This Row],[Revised Contract]]</f>
        <v>0</v>
      </c>
      <c r="K326" s="347"/>
      <c r="L326" s="341"/>
      <c r="M326" s="343"/>
      <c r="T326" s="97"/>
      <c r="U326" s="97"/>
      <c r="Y326" s="198"/>
      <c r="Z326" s="198"/>
    </row>
    <row r="327" spans="1:26" x14ac:dyDescent="0.35">
      <c r="A327" s="128">
        <v>9</v>
      </c>
      <c r="B327" s="132"/>
      <c r="C327" s="132"/>
      <c r="D327" s="133" t="s">
        <v>37</v>
      </c>
      <c r="E327" s="255">
        <v>0</v>
      </c>
      <c r="F327" s="255">
        <v>0</v>
      </c>
      <c r="G327" s="129">
        <f>0</f>
        <v>0</v>
      </c>
      <c r="H327" s="255">
        <f>IF(Paint26230268[[#This Row],[Actual Buyout]]+Paint26230268[[#This Row],[Change Orders]]=0,Paint26230268[[#This Row],[Original Contract]],Paint26230268[[#This Row],[Actual Buyout]]+Paint26230268[[#This Row],[Change Orders]])</f>
        <v>0</v>
      </c>
      <c r="I327" s="129">
        <v>0</v>
      </c>
      <c r="J327" s="129">
        <f>Paint26230268[[#This Row],[Original Contract]]-Paint26230268[[#This Row],[Revised Contract]]</f>
        <v>0</v>
      </c>
      <c r="K327" s="347"/>
      <c r="L327" s="341"/>
      <c r="M327" s="343"/>
      <c r="T327" s="97"/>
      <c r="U327" s="97"/>
      <c r="Y327" s="198"/>
      <c r="Z327" s="198"/>
    </row>
    <row r="328" spans="1:26" x14ac:dyDescent="0.35">
      <c r="A328" s="128">
        <v>9</v>
      </c>
      <c r="B328" s="132"/>
      <c r="C328" s="132"/>
      <c r="D328" s="133" t="s">
        <v>37</v>
      </c>
      <c r="E328" s="255">
        <v>0</v>
      </c>
      <c r="F328" s="255">
        <v>0</v>
      </c>
      <c r="G328" s="129">
        <f>0</f>
        <v>0</v>
      </c>
      <c r="H328" s="255">
        <f>IF(Paint26230268[[#This Row],[Actual Buyout]]+Paint26230268[[#This Row],[Change Orders]]=0,Paint26230268[[#This Row],[Original Contract]],Paint26230268[[#This Row],[Actual Buyout]]+Paint26230268[[#This Row],[Change Orders]])</f>
        <v>0</v>
      </c>
      <c r="I328" s="129">
        <v>0</v>
      </c>
      <c r="J328" s="129">
        <f>Paint26230268[[#This Row],[Original Contract]]-Paint26230268[[#This Row],[Revised Contract]]</f>
        <v>0</v>
      </c>
      <c r="K328" s="347"/>
      <c r="L328" s="341"/>
      <c r="M328" s="343"/>
      <c r="T328" s="97"/>
      <c r="U328" s="97"/>
      <c r="Y328" s="198"/>
      <c r="Z328" s="198"/>
    </row>
    <row r="329" spans="1:26" x14ac:dyDescent="0.35">
      <c r="A329" s="128">
        <v>9</v>
      </c>
      <c r="B329" s="132"/>
      <c r="C329" s="132"/>
      <c r="D329" s="133" t="s">
        <v>37</v>
      </c>
      <c r="E329" s="255">
        <v>0</v>
      </c>
      <c r="F329" s="255">
        <v>0</v>
      </c>
      <c r="G329" s="129">
        <f>0</f>
        <v>0</v>
      </c>
      <c r="H329" s="255">
        <f>IF(Paint26230268[[#This Row],[Actual Buyout]]+Paint26230268[[#This Row],[Change Orders]]=0,Paint26230268[[#This Row],[Original Contract]],Paint26230268[[#This Row],[Actual Buyout]]+Paint26230268[[#This Row],[Change Orders]])</f>
        <v>0</v>
      </c>
      <c r="I329" s="129">
        <v>0</v>
      </c>
      <c r="J329" s="129">
        <f>Paint26230268[[#This Row],[Original Contract]]-Paint26230268[[#This Row],[Revised Contract]]</f>
        <v>0</v>
      </c>
      <c r="K329" s="347"/>
      <c r="L329" s="341"/>
      <c r="M329" s="343"/>
      <c r="T329" s="97"/>
      <c r="U329" s="97"/>
      <c r="Y329" s="198"/>
      <c r="Z329" s="198"/>
    </row>
    <row r="330" spans="1:26" x14ac:dyDescent="0.35">
      <c r="A330" s="257"/>
      <c r="B330" s="258"/>
      <c r="C330" s="258"/>
      <c r="D330" s="256" t="s">
        <v>38</v>
      </c>
      <c r="E330" s="151">
        <f>SUM(Paint26230268[Original Contract])</f>
        <v>0</v>
      </c>
      <c r="F330" s="151">
        <f>SUM(Paint26230268[Actual Buyout])</f>
        <v>0</v>
      </c>
      <c r="G330" s="151">
        <f>SUM(Paint26230268[Change Orders])</f>
        <v>0</v>
      </c>
      <c r="H330" s="151">
        <f>SUM(Paint26230268[Revised Contract])</f>
        <v>0</v>
      </c>
      <c r="I330" s="151">
        <f>SUM(Paint26230268[Total completed and Stored])</f>
        <v>0</v>
      </c>
      <c r="J330" s="151">
        <f>SUM(Paint26230268[Delta])</f>
        <v>0</v>
      </c>
      <c r="K330" s="348"/>
      <c r="L330" s="343"/>
      <c r="M330" s="343"/>
    </row>
    <row r="331" spans="1:26" x14ac:dyDescent="0.35">
      <c r="A331" s="100" t="s">
        <v>660</v>
      </c>
      <c r="B331" s="100" t="s">
        <v>113</v>
      </c>
      <c r="C331" s="100" t="s">
        <v>167</v>
      </c>
      <c r="D331" s="100" t="s">
        <v>26</v>
      </c>
      <c r="E331" s="100" t="s">
        <v>781</v>
      </c>
      <c r="F331" s="332" t="s">
        <v>1078</v>
      </c>
      <c r="G331" s="332" t="s">
        <v>782</v>
      </c>
      <c r="H331" s="332" t="s">
        <v>783</v>
      </c>
      <c r="I331" s="334" t="s">
        <v>785</v>
      </c>
      <c r="J331" s="340" t="s">
        <v>1079</v>
      </c>
      <c r="K331" s="347"/>
      <c r="L331" s="335"/>
      <c r="M331" s="343"/>
      <c r="T331" s="97"/>
      <c r="U331" s="97"/>
      <c r="Y331" s="198"/>
      <c r="Z331" s="198"/>
    </row>
    <row r="332" spans="1:26" x14ac:dyDescent="0.35">
      <c r="A332" s="128">
        <v>10</v>
      </c>
      <c r="B332" s="132" t="s">
        <v>352</v>
      </c>
      <c r="C332" s="132" t="s">
        <v>351</v>
      </c>
      <c r="D332" s="133" t="s">
        <v>114</v>
      </c>
      <c r="E332" s="255">
        <v>0</v>
      </c>
      <c r="F332" s="255">
        <v>0</v>
      </c>
      <c r="G332" s="129">
        <f>0</f>
        <v>0</v>
      </c>
      <c r="H332" s="255">
        <f>IF(Specialties27231269[[#This Row],[Actual Buyout]]+Specialties27231269[[#This Row],[Change Orders]]=0,Specialties27231269[[#This Row],[Original Contract]],Specialties27231269[[#This Row],[Actual Buyout]]+Specialties27231269[[#This Row],[Change Orders]])</f>
        <v>0</v>
      </c>
      <c r="I332" s="129">
        <v>0</v>
      </c>
      <c r="J332" s="129">
        <f>Specialties27231269[[#This Row],[Original Contract]]-Specialties27231269[[#This Row],[Revised Contract]]</f>
        <v>0</v>
      </c>
      <c r="K332" s="347"/>
      <c r="L332" s="341"/>
      <c r="M332" s="343"/>
      <c r="T332" s="97"/>
      <c r="U332" s="97"/>
      <c r="Y332" s="198"/>
      <c r="Z332" s="198"/>
    </row>
    <row r="333" spans="1:26" x14ac:dyDescent="0.35">
      <c r="A333" s="128">
        <v>10</v>
      </c>
      <c r="B333" s="132" t="s">
        <v>350</v>
      </c>
      <c r="C333" s="132" t="s">
        <v>349</v>
      </c>
      <c r="D333" s="133" t="s">
        <v>31</v>
      </c>
      <c r="E333" s="255">
        <v>0</v>
      </c>
      <c r="F333" s="255">
        <v>0</v>
      </c>
      <c r="G333" s="129">
        <f>0</f>
        <v>0</v>
      </c>
      <c r="H333" s="255">
        <f>IF(Specialties27231269[[#This Row],[Actual Buyout]]+Specialties27231269[[#This Row],[Change Orders]]=0,Specialties27231269[[#This Row],[Original Contract]],Specialties27231269[[#This Row],[Actual Buyout]]+Specialties27231269[[#This Row],[Change Orders]])</f>
        <v>0</v>
      </c>
      <c r="I333" s="129">
        <v>0</v>
      </c>
      <c r="J333" s="129">
        <f>Specialties27231269[[#This Row],[Original Contract]]-Specialties27231269[[#This Row],[Revised Contract]]</f>
        <v>0</v>
      </c>
      <c r="K333" s="347"/>
      <c r="L333" s="341"/>
      <c r="M333" s="343"/>
      <c r="T333" s="97"/>
      <c r="U333" s="97"/>
      <c r="Y333" s="198"/>
      <c r="Z333" s="198"/>
    </row>
    <row r="334" spans="1:26" x14ac:dyDescent="0.35">
      <c r="A334" s="128">
        <v>10</v>
      </c>
      <c r="B334" s="132" t="s">
        <v>347</v>
      </c>
      <c r="C334" s="132" t="s">
        <v>357</v>
      </c>
      <c r="D334" s="133" t="s">
        <v>115</v>
      </c>
      <c r="E334" s="255">
        <v>0</v>
      </c>
      <c r="F334" s="255">
        <v>0</v>
      </c>
      <c r="G334" s="129">
        <f>0</f>
        <v>0</v>
      </c>
      <c r="H334" s="255">
        <f>IF(Specialties27231269[[#This Row],[Actual Buyout]]+Specialties27231269[[#This Row],[Change Orders]]=0,Specialties27231269[[#This Row],[Original Contract]],Specialties27231269[[#This Row],[Actual Buyout]]+Specialties27231269[[#This Row],[Change Orders]])</f>
        <v>0</v>
      </c>
      <c r="I334" s="129">
        <v>0</v>
      </c>
      <c r="J334" s="129">
        <f>Specialties27231269[[#This Row],[Original Contract]]-Specialties27231269[[#This Row],[Revised Contract]]</f>
        <v>0</v>
      </c>
      <c r="K334" s="347"/>
      <c r="L334" s="341"/>
      <c r="M334" s="343"/>
      <c r="T334" s="97"/>
      <c r="U334" s="97"/>
      <c r="Y334" s="198"/>
      <c r="Z334" s="198"/>
    </row>
    <row r="335" spans="1:26" x14ac:dyDescent="0.35">
      <c r="A335" s="128">
        <v>10</v>
      </c>
      <c r="B335" s="132" t="s">
        <v>347</v>
      </c>
      <c r="C335" s="132" t="s">
        <v>357</v>
      </c>
      <c r="D335" s="133" t="s">
        <v>116</v>
      </c>
      <c r="E335" s="255">
        <v>0</v>
      </c>
      <c r="F335" s="255">
        <v>0</v>
      </c>
      <c r="G335" s="129">
        <f>0</f>
        <v>0</v>
      </c>
      <c r="H335" s="255">
        <f>IF(Specialties27231269[[#This Row],[Actual Buyout]]+Specialties27231269[[#This Row],[Change Orders]]=0,Specialties27231269[[#This Row],[Original Contract]],Specialties27231269[[#This Row],[Actual Buyout]]+Specialties27231269[[#This Row],[Change Orders]])</f>
        <v>0</v>
      </c>
      <c r="I335" s="129">
        <v>0</v>
      </c>
      <c r="J335" s="129">
        <f>Specialties27231269[[#This Row],[Original Contract]]-Specialties27231269[[#This Row],[Revised Contract]]</f>
        <v>0</v>
      </c>
      <c r="K335" s="347"/>
      <c r="L335" s="341"/>
      <c r="M335" s="343"/>
      <c r="T335" s="97"/>
      <c r="U335" s="97"/>
      <c r="Y335" s="198"/>
      <c r="Z335" s="198"/>
    </row>
    <row r="336" spans="1:26" x14ac:dyDescent="0.35">
      <c r="A336" s="128">
        <v>10</v>
      </c>
      <c r="B336" s="132" t="s">
        <v>360</v>
      </c>
      <c r="C336" s="132" t="s">
        <v>361</v>
      </c>
      <c r="D336" s="133" t="s">
        <v>117</v>
      </c>
      <c r="E336" s="255">
        <v>0</v>
      </c>
      <c r="F336" s="255">
        <v>0</v>
      </c>
      <c r="G336" s="129">
        <f>0</f>
        <v>0</v>
      </c>
      <c r="H336" s="255">
        <f>IF(Specialties27231269[[#This Row],[Actual Buyout]]+Specialties27231269[[#This Row],[Change Orders]]=0,Specialties27231269[[#This Row],[Original Contract]],Specialties27231269[[#This Row],[Actual Buyout]]+Specialties27231269[[#This Row],[Change Orders]])</f>
        <v>0</v>
      </c>
      <c r="I336" s="129">
        <v>0</v>
      </c>
      <c r="J336" s="129">
        <f>Specialties27231269[[#This Row],[Original Contract]]-Specialties27231269[[#This Row],[Revised Contract]]</f>
        <v>0</v>
      </c>
      <c r="K336" s="347"/>
      <c r="L336" s="341"/>
      <c r="M336" s="343"/>
      <c r="T336" s="97"/>
      <c r="U336" s="97"/>
      <c r="Y336" s="198"/>
      <c r="Z336" s="198"/>
    </row>
    <row r="337" spans="1:26" x14ac:dyDescent="0.35">
      <c r="A337" s="128">
        <v>10</v>
      </c>
      <c r="B337" s="132" t="s">
        <v>358</v>
      </c>
      <c r="C337" s="132" t="s">
        <v>359</v>
      </c>
      <c r="D337" s="133" t="s">
        <v>118</v>
      </c>
      <c r="E337" s="255">
        <v>0</v>
      </c>
      <c r="F337" s="255">
        <v>0</v>
      </c>
      <c r="G337" s="129">
        <f>0</f>
        <v>0</v>
      </c>
      <c r="H337" s="255">
        <f>IF(Specialties27231269[[#This Row],[Actual Buyout]]+Specialties27231269[[#This Row],[Change Orders]]=0,Specialties27231269[[#This Row],[Original Contract]],Specialties27231269[[#This Row],[Actual Buyout]]+Specialties27231269[[#This Row],[Change Orders]])</f>
        <v>0</v>
      </c>
      <c r="I337" s="129">
        <v>0</v>
      </c>
      <c r="J337" s="129">
        <f>Specialties27231269[[#This Row],[Original Contract]]-Specialties27231269[[#This Row],[Revised Contract]]</f>
        <v>0</v>
      </c>
      <c r="K337" s="347"/>
      <c r="L337" s="341"/>
      <c r="M337" s="343"/>
      <c r="T337" s="97"/>
      <c r="U337" s="97"/>
      <c r="Y337" s="198"/>
      <c r="Z337" s="198"/>
    </row>
    <row r="338" spans="1:26" x14ac:dyDescent="0.35">
      <c r="A338" s="128">
        <v>10</v>
      </c>
      <c r="B338" s="132" t="s">
        <v>356</v>
      </c>
      <c r="C338" s="132" t="s">
        <v>355</v>
      </c>
      <c r="D338" s="133" t="s">
        <v>119</v>
      </c>
      <c r="E338" s="255">
        <v>0</v>
      </c>
      <c r="F338" s="255">
        <v>0</v>
      </c>
      <c r="G338" s="129">
        <f>0</f>
        <v>0</v>
      </c>
      <c r="H338" s="255">
        <f>IF(Specialties27231269[[#This Row],[Actual Buyout]]+Specialties27231269[[#This Row],[Change Orders]]=0,Specialties27231269[[#This Row],[Original Contract]],Specialties27231269[[#This Row],[Actual Buyout]]+Specialties27231269[[#This Row],[Change Orders]])</f>
        <v>0</v>
      </c>
      <c r="I338" s="129">
        <v>0</v>
      </c>
      <c r="J338" s="129">
        <f>Specialties27231269[[#This Row],[Original Contract]]-Specialties27231269[[#This Row],[Revised Contract]]</f>
        <v>0</v>
      </c>
      <c r="K338" s="347"/>
      <c r="L338" s="341"/>
      <c r="M338" s="343"/>
      <c r="T338" s="97"/>
      <c r="U338" s="97"/>
      <c r="Y338" s="198"/>
      <c r="Z338" s="198"/>
    </row>
    <row r="339" spans="1:26" x14ac:dyDescent="0.35">
      <c r="A339" s="128">
        <v>10</v>
      </c>
      <c r="B339" s="132" t="s">
        <v>354</v>
      </c>
      <c r="C339" s="132" t="s">
        <v>353</v>
      </c>
      <c r="D339" s="133" t="s">
        <v>120</v>
      </c>
      <c r="E339" s="255">
        <v>0</v>
      </c>
      <c r="F339" s="255">
        <v>0</v>
      </c>
      <c r="G339" s="129">
        <f>0</f>
        <v>0</v>
      </c>
      <c r="H339" s="255">
        <f>IF(Specialties27231269[[#This Row],[Actual Buyout]]+Specialties27231269[[#This Row],[Change Orders]]=0,Specialties27231269[[#This Row],[Original Contract]],Specialties27231269[[#This Row],[Actual Buyout]]+Specialties27231269[[#This Row],[Change Orders]])</f>
        <v>0</v>
      </c>
      <c r="I339" s="129">
        <v>0</v>
      </c>
      <c r="J339" s="129">
        <f>Specialties27231269[[#This Row],[Original Contract]]-Specialties27231269[[#This Row],[Revised Contract]]</f>
        <v>0</v>
      </c>
      <c r="K339" s="347"/>
      <c r="L339" s="341"/>
      <c r="M339" s="343"/>
      <c r="T339" s="97"/>
      <c r="U339" s="97"/>
      <c r="Y339" s="198"/>
      <c r="Z339" s="198"/>
    </row>
    <row r="340" spans="1:26" x14ac:dyDescent="0.35">
      <c r="A340" s="128">
        <v>10</v>
      </c>
      <c r="B340" s="132" t="s">
        <v>346</v>
      </c>
      <c r="C340" s="132" t="s">
        <v>187</v>
      </c>
      <c r="D340" s="133" t="s">
        <v>121</v>
      </c>
      <c r="E340" s="255">
        <v>0</v>
      </c>
      <c r="F340" s="255">
        <v>0</v>
      </c>
      <c r="G340" s="129">
        <f>0</f>
        <v>0</v>
      </c>
      <c r="H340" s="255">
        <f>IF(Specialties27231269[[#This Row],[Actual Buyout]]+Specialties27231269[[#This Row],[Change Orders]]=0,Specialties27231269[[#This Row],[Original Contract]],Specialties27231269[[#This Row],[Actual Buyout]]+Specialties27231269[[#This Row],[Change Orders]])</f>
        <v>0</v>
      </c>
      <c r="I340" s="129">
        <v>0</v>
      </c>
      <c r="J340" s="129">
        <f>Specialties27231269[[#This Row],[Original Contract]]-Specialties27231269[[#This Row],[Revised Contract]]</f>
        <v>0</v>
      </c>
      <c r="K340" s="347"/>
      <c r="L340" s="341"/>
      <c r="M340" s="343"/>
      <c r="T340" s="97"/>
      <c r="U340" s="97"/>
      <c r="Y340" s="198"/>
      <c r="Z340" s="198"/>
    </row>
    <row r="341" spans="1:26" x14ac:dyDescent="0.35">
      <c r="A341" s="128">
        <v>10</v>
      </c>
      <c r="B341" s="132" t="s">
        <v>346</v>
      </c>
      <c r="C341" s="132" t="s">
        <v>187</v>
      </c>
      <c r="D341" s="133" t="s">
        <v>238</v>
      </c>
      <c r="E341" s="255">
        <v>0</v>
      </c>
      <c r="F341" s="255">
        <v>0</v>
      </c>
      <c r="G341" s="129">
        <f>0</f>
        <v>0</v>
      </c>
      <c r="H341" s="255">
        <f>IF(Specialties27231269[[#This Row],[Actual Buyout]]+Specialties27231269[[#This Row],[Change Orders]]=0,Specialties27231269[[#This Row],[Original Contract]],Specialties27231269[[#This Row],[Actual Buyout]]+Specialties27231269[[#This Row],[Change Orders]])</f>
        <v>0</v>
      </c>
      <c r="I341" s="129">
        <v>0</v>
      </c>
      <c r="J341" s="129">
        <f>Specialties27231269[[#This Row],[Original Contract]]-Specialties27231269[[#This Row],[Revised Contract]]</f>
        <v>0</v>
      </c>
      <c r="K341" s="347"/>
      <c r="L341" s="341"/>
      <c r="M341" s="343"/>
      <c r="T341" s="97"/>
      <c r="U341" s="97"/>
      <c r="Y341" s="198"/>
      <c r="Z341" s="198"/>
    </row>
    <row r="342" spans="1:26" x14ac:dyDescent="0.35">
      <c r="A342" s="128">
        <v>10</v>
      </c>
      <c r="B342" s="132" t="s">
        <v>346</v>
      </c>
      <c r="C342" s="132" t="s">
        <v>187</v>
      </c>
      <c r="D342" s="133" t="s">
        <v>713</v>
      </c>
      <c r="E342" s="255">
        <v>0</v>
      </c>
      <c r="F342" s="255">
        <v>0</v>
      </c>
      <c r="G342" s="129">
        <f>0</f>
        <v>0</v>
      </c>
      <c r="H342" s="255">
        <f>IF(Specialties27231269[[#This Row],[Actual Buyout]]+Specialties27231269[[#This Row],[Change Orders]]=0,Specialties27231269[[#This Row],[Original Contract]],Specialties27231269[[#This Row],[Actual Buyout]]+Specialties27231269[[#This Row],[Change Orders]])</f>
        <v>0</v>
      </c>
      <c r="I342" s="129">
        <v>0</v>
      </c>
      <c r="J342" s="129">
        <f>Specialties27231269[[#This Row],[Original Contract]]-Specialties27231269[[#This Row],[Revised Contract]]</f>
        <v>0</v>
      </c>
      <c r="K342" s="347"/>
      <c r="L342" s="341"/>
      <c r="M342" s="343"/>
      <c r="T342" s="97"/>
      <c r="U342" s="97"/>
      <c r="Y342" s="198"/>
      <c r="Z342" s="198"/>
    </row>
    <row r="343" spans="1:26" x14ac:dyDescent="0.35">
      <c r="A343" s="128">
        <v>10</v>
      </c>
      <c r="B343" s="132" t="s">
        <v>348</v>
      </c>
      <c r="C343" s="132" t="s">
        <v>188</v>
      </c>
      <c r="D343" s="133" t="s">
        <v>714</v>
      </c>
      <c r="E343" s="255">
        <v>0</v>
      </c>
      <c r="F343" s="255">
        <v>0</v>
      </c>
      <c r="G343" s="129">
        <f>0</f>
        <v>0</v>
      </c>
      <c r="H343" s="255">
        <f>IF(Specialties27231269[[#This Row],[Actual Buyout]]+Specialties27231269[[#This Row],[Change Orders]]=0,Specialties27231269[[#This Row],[Original Contract]],Specialties27231269[[#This Row],[Actual Buyout]]+Specialties27231269[[#This Row],[Change Orders]])</f>
        <v>0</v>
      </c>
      <c r="I343" s="129">
        <v>0</v>
      </c>
      <c r="J343" s="129">
        <f>Specialties27231269[[#This Row],[Original Contract]]-Specialties27231269[[#This Row],[Revised Contract]]</f>
        <v>0</v>
      </c>
      <c r="K343" s="347"/>
      <c r="L343" s="341"/>
      <c r="M343" s="343"/>
      <c r="T343" s="97"/>
      <c r="U343" s="97"/>
      <c r="Y343" s="198"/>
      <c r="Z343" s="198"/>
    </row>
    <row r="344" spans="1:26" x14ac:dyDescent="0.35">
      <c r="A344" s="128">
        <v>10</v>
      </c>
      <c r="B344" s="132" t="s">
        <v>715</v>
      </c>
      <c r="C344" s="132" t="s">
        <v>189</v>
      </c>
      <c r="D344" s="133" t="s">
        <v>190</v>
      </c>
      <c r="E344" s="255">
        <v>0</v>
      </c>
      <c r="F344" s="255">
        <v>0</v>
      </c>
      <c r="G344" s="129">
        <f>0</f>
        <v>0</v>
      </c>
      <c r="H344" s="255">
        <f>IF(Specialties27231269[[#This Row],[Actual Buyout]]+Specialties27231269[[#This Row],[Change Orders]]=0,Specialties27231269[[#This Row],[Original Contract]],Specialties27231269[[#This Row],[Actual Buyout]]+Specialties27231269[[#This Row],[Change Orders]])</f>
        <v>0</v>
      </c>
      <c r="I344" s="129">
        <v>0</v>
      </c>
      <c r="J344" s="129">
        <f>Specialties27231269[[#This Row],[Original Contract]]-Specialties27231269[[#This Row],[Revised Contract]]</f>
        <v>0</v>
      </c>
      <c r="K344" s="347"/>
      <c r="L344" s="341"/>
      <c r="M344" s="343"/>
      <c r="T344" s="97"/>
      <c r="U344" s="97"/>
      <c r="Y344" s="198"/>
      <c r="Z344" s="198"/>
    </row>
    <row r="345" spans="1:26" x14ac:dyDescent="0.35">
      <c r="A345" s="128">
        <v>10</v>
      </c>
      <c r="B345" s="132" t="s">
        <v>347</v>
      </c>
      <c r="C345" s="132" t="s">
        <v>357</v>
      </c>
      <c r="D345" s="133" t="s">
        <v>191</v>
      </c>
      <c r="E345" s="255">
        <v>0</v>
      </c>
      <c r="F345" s="255">
        <v>0</v>
      </c>
      <c r="G345" s="129">
        <f>0</f>
        <v>0</v>
      </c>
      <c r="H345" s="255">
        <f>IF(Specialties27231269[[#This Row],[Actual Buyout]]+Specialties27231269[[#This Row],[Change Orders]]=0,Specialties27231269[[#This Row],[Original Contract]],Specialties27231269[[#This Row],[Actual Buyout]]+Specialties27231269[[#This Row],[Change Orders]])</f>
        <v>0</v>
      </c>
      <c r="I345" s="129">
        <v>0</v>
      </c>
      <c r="J345" s="129">
        <f>Specialties27231269[[#This Row],[Original Contract]]-Specialties27231269[[#This Row],[Revised Contract]]</f>
        <v>0</v>
      </c>
      <c r="K345" s="347"/>
      <c r="L345" s="341"/>
      <c r="M345" s="343"/>
      <c r="T345" s="97"/>
      <c r="U345" s="97"/>
      <c r="Y345" s="198"/>
      <c r="Z345" s="198"/>
    </row>
    <row r="346" spans="1:26" x14ac:dyDescent="0.35">
      <c r="A346" s="128">
        <v>10</v>
      </c>
      <c r="B346" s="132" t="s">
        <v>763</v>
      </c>
      <c r="C346" s="132" t="s">
        <v>764</v>
      </c>
      <c r="D346" s="133" t="s">
        <v>765</v>
      </c>
      <c r="E346" s="255">
        <v>0</v>
      </c>
      <c r="F346" s="255">
        <v>0</v>
      </c>
      <c r="G346" s="129">
        <f>0</f>
        <v>0</v>
      </c>
      <c r="H346" s="255">
        <f>IF(Specialties27231269[[#This Row],[Actual Buyout]]+Specialties27231269[[#This Row],[Change Orders]]=0,Specialties27231269[[#This Row],[Original Contract]],Specialties27231269[[#This Row],[Actual Buyout]]+Specialties27231269[[#This Row],[Change Orders]])</f>
        <v>0</v>
      </c>
      <c r="I346" s="129">
        <v>0</v>
      </c>
      <c r="J346" s="129">
        <f>Specialties27231269[[#This Row],[Original Contract]]-Specialties27231269[[#This Row],[Revised Contract]]</f>
        <v>0</v>
      </c>
      <c r="K346" s="347"/>
      <c r="L346" s="341"/>
      <c r="M346" s="343"/>
      <c r="T346" s="97"/>
      <c r="U346" s="97"/>
      <c r="Y346" s="198"/>
      <c r="Z346" s="198"/>
    </row>
    <row r="347" spans="1:26" x14ac:dyDescent="0.35">
      <c r="A347" s="128">
        <v>10</v>
      </c>
      <c r="B347" s="132" t="s">
        <v>766</v>
      </c>
      <c r="C347" s="132" t="s">
        <v>767</v>
      </c>
      <c r="D347" s="133" t="s">
        <v>768</v>
      </c>
      <c r="E347" s="255">
        <v>0</v>
      </c>
      <c r="F347" s="255">
        <v>0</v>
      </c>
      <c r="G347" s="129">
        <f>0</f>
        <v>0</v>
      </c>
      <c r="H347" s="255">
        <f>IF(Specialties27231269[[#This Row],[Actual Buyout]]+Specialties27231269[[#This Row],[Change Orders]]=0,Specialties27231269[[#This Row],[Original Contract]],Specialties27231269[[#This Row],[Actual Buyout]]+Specialties27231269[[#This Row],[Change Orders]])</f>
        <v>0</v>
      </c>
      <c r="I347" s="129">
        <v>0</v>
      </c>
      <c r="J347" s="129">
        <f>Specialties27231269[[#This Row],[Original Contract]]-Specialties27231269[[#This Row],[Revised Contract]]</f>
        <v>0</v>
      </c>
      <c r="K347" s="347"/>
      <c r="L347" s="341"/>
      <c r="M347" s="343"/>
      <c r="T347" s="97"/>
      <c r="U347" s="97"/>
      <c r="Y347" s="198"/>
      <c r="Z347" s="198"/>
    </row>
    <row r="348" spans="1:26" x14ac:dyDescent="0.35">
      <c r="A348" s="128">
        <v>10</v>
      </c>
      <c r="B348" s="132" t="s">
        <v>769</v>
      </c>
      <c r="C348" s="132" t="s">
        <v>770</v>
      </c>
      <c r="D348" s="133" t="s">
        <v>771</v>
      </c>
      <c r="E348" s="255">
        <v>0</v>
      </c>
      <c r="F348" s="255">
        <v>0</v>
      </c>
      <c r="G348" s="129">
        <f>0</f>
        <v>0</v>
      </c>
      <c r="H348" s="255">
        <f>IF(Specialties27231269[[#This Row],[Actual Buyout]]+Specialties27231269[[#This Row],[Change Orders]]=0,Specialties27231269[[#This Row],[Original Contract]],Specialties27231269[[#This Row],[Actual Buyout]]+Specialties27231269[[#This Row],[Change Orders]])</f>
        <v>0</v>
      </c>
      <c r="I348" s="129">
        <v>0</v>
      </c>
      <c r="J348" s="129">
        <f>Specialties27231269[[#This Row],[Original Contract]]-Specialties27231269[[#This Row],[Revised Contract]]</f>
        <v>0</v>
      </c>
      <c r="K348" s="347"/>
      <c r="L348" s="341"/>
      <c r="M348" s="343"/>
      <c r="T348" s="97"/>
      <c r="U348" s="97"/>
      <c r="Y348" s="198"/>
      <c r="Z348" s="198"/>
    </row>
    <row r="349" spans="1:26" x14ac:dyDescent="0.35">
      <c r="A349" s="128">
        <v>10</v>
      </c>
      <c r="B349" s="132"/>
      <c r="C349" s="132"/>
      <c r="D349" s="133" t="s">
        <v>37</v>
      </c>
      <c r="E349" s="255">
        <v>0</v>
      </c>
      <c r="F349" s="255">
        <v>0</v>
      </c>
      <c r="G349" s="129">
        <f>0</f>
        <v>0</v>
      </c>
      <c r="H349" s="255">
        <f>IF(Specialties27231269[[#This Row],[Actual Buyout]]+Specialties27231269[[#This Row],[Change Orders]]=0,Specialties27231269[[#This Row],[Original Contract]],Specialties27231269[[#This Row],[Actual Buyout]]+Specialties27231269[[#This Row],[Change Orders]])</f>
        <v>0</v>
      </c>
      <c r="I349" s="129">
        <v>0</v>
      </c>
      <c r="J349" s="129">
        <f>Specialties27231269[[#This Row],[Original Contract]]-Specialties27231269[[#This Row],[Revised Contract]]</f>
        <v>0</v>
      </c>
      <c r="K349" s="347"/>
      <c r="L349" s="341"/>
      <c r="M349" s="343"/>
      <c r="T349" s="97"/>
      <c r="U349" s="97"/>
      <c r="Y349" s="198"/>
      <c r="Z349" s="198"/>
    </row>
    <row r="350" spans="1:26" x14ac:dyDescent="0.35">
      <c r="A350" s="128">
        <v>10</v>
      </c>
      <c r="B350" s="132"/>
      <c r="C350" s="132"/>
      <c r="D350" s="133" t="s">
        <v>37</v>
      </c>
      <c r="E350" s="255">
        <v>0</v>
      </c>
      <c r="F350" s="255">
        <v>0</v>
      </c>
      <c r="G350" s="129">
        <f>0</f>
        <v>0</v>
      </c>
      <c r="H350" s="255">
        <f>IF(Specialties27231269[[#This Row],[Actual Buyout]]+Specialties27231269[[#This Row],[Change Orders]]=0,Specialties27231269[[#This Row],[Original Contract]],Specialties27231269[[#This Row],[Actual Buyout]]+Specialties27231269[[#This Row],[Change Orders]])</f>
        <v>0</v>
      </c>
      <c r="I350" s="129">
        <v>0</v>
      </c>
      <c r="J350" s="129">
        <f>Specialties27231269[[#This Row],[Original Contract]]-Specialties27231269[[#This Row],[Revised Contract]]</f>
        <v>0</v>
      </c>
      <c r="K350" s="347"/>
      <c r="L350" s="341"/>
      <c r="M350" s="343"/>
      <c r="T350" s="97"/>
      <c r="U350" s="97"/>
      <c r="Y350" s="198"/>
      <c r="Z350" s="198"/>
    </row>
    <row r="351" spans="1:26" x14ac:dyDescent="0.35">
      <c r="A351" s="128">
        <v>10</v>
      </c>
      <c r="B351" s="132"/>
      <c r="C351" s="132"/>
      <c r="D351" s="133" t="s">
        <v>37</v>
      </c>
      <c r="E351" s="255">
        <v>0</v>
      </c>
      <c r="F351" s="255">
        <v>0</v>
      </c>
      <c r="G351" s="129">
        <f>0</f>
        <v>0</v>
      </c>
      <c r="H351" s="255">
        <f>IF(Specialties27231269[[#This Row],[Actual Buyout]]+Specialties27231269[[#This Row],[Change Orders]]=0,Specialties27231269[[#This Row],[Original Contract]],Specialties27231269[[#This Row],[Actual Buyout]]+Specialties27231269[[#This Row],[Change Orders]])</f>
        <v>0</v>
      </c>
      <c r="I351" s="129">
        <v>0</v>
      </c>
      <c r="J351" s="129">
        <f>Specialties27231269[[#This Row],[Original Contract]]-Specialties27231269[[#This Row],[Revised Contract]]</f>
        <v>0</v>
      </c>
      <c r="K351" s="347"/>
      <c r="L351" s="341"/>
      <c r="M351" s="343"/>
      <c r="T351" s="97"/>
      <c r="U351" s="97"/>
      <c r="Y351" s="198"/>
      <c r="Z351" s="198"/>
    </row>
    <row r="352" spans="1:26" x14ac:dyDescent="0.35">
      <c r="A352" s="128">
        <v>10</v>
      </c>
      <c r="B352" s="132"/>
      <c r="C352" s="132"/>
      <c r="D352" s="133" t="s">
        <v>37</v>
      </c>
      <c r="E352" s="255">
        <v>0</v>
      </c>
      <c r="F352" s="255">
        <v>0</v>
      </c>
      <c r="G352" s="129">
        <f>0</f>
        <v>0</v>
      </c>
      <c r="H352" s="255">
        <f>IF(Specialties27231269[[#This Row],[Actual Buyout]]+Specialties27231269[[#This Row],[Change Orders]]=0,Specialties27231269[[#This Row],[Original Contract]],Specialties27231269[[#This Row],[Actual Buyout]]+Specialties27231269[[#This Row],[Change Orders]])</f>
        <v>0</v>
      </c>
      <c r="I352" s="129">
        <v>0</v>
      </c>
      <c r="J352" s="129">
        <f>Specialties27231269[[#This Row],[Original Contract]]-Specialties27231269[[#This Row],[Revised Contract]]</f>
        <v>0</v>
      </c>
      <c r="K352" s="347"/>
      <c r="L352" s="341"/>
      <c r="M352" s="343"/>
      <c r="T352" s="97"/>
      <c r="U352" s="97"/>
      <c r="Y352" s="198"/>
      <c r="Z352" s="198"/>
    </row>
    <row r="353" spans="1:26" x14ac:dyDescent="0.35">
      <c r="A353" s="128">
        <v>10</v>
      </c>
      <c r="B353" s="132"/>
      <c r="C353" s="132"/>
      <c r="D353" s="133" t="s">
        <v>37</v>
      </c>
      <c r="E353" s="255">
        <v>0</v>
      </c>
      <c r="F353" s="255">
        <v>0</v>
      </c>
      <c r="G353" s="129">
        <f>0</f>
        <v>0</v>
      </c>
      <c r="H353" s="255">
        <f>IF(Specialties27231269[[#This Row],[Actual Buyout]]+Specialties27231269[[#This Row],[Change Orders]]=0,Specialties27231269[[#This Row],[Original Contract]],Specialties27231269[[#This Row],[Actual Buyout]]+Specialties27231269[[#This Row],[Change Orders]])</f>
        <v>0</v>
      </c>
      <c r="I353" s="129">
        <v>0</v>
      </c>
      <c r="J353" s="129">
        <f>Specialties27231269[[#This Row],[Original Contract]]-Specialties27231269[[#This Row],[Revised Contract]]</f>
        <v>0</v>
      </c>
      <c r="K353" s="347"/>
      <c r="L353" s="341"/>
      <c r="M353" s="343"/>
      <c r="T353" s="97"/>
      <c r="U353" s="97"/>
      <c r="Y353" s="198"/>
      <c r="Z353" s="198"/>
    </row>
    <row r="354" spans="1:26" x14ac:dyDescent="0.35">
      <c r="A354" s="128">
        <v>10</v>
      </c>
      <c r="B354" s="259"/>
      <c r="C354" s="259"/>
      <c r="D354" s="260" t="s">
        <v>37</v>
      </c>
      <c r="E354" s="255">
        <v>0</v>
      </c>
      <c r="F354" s="255">
        <v>0</v>
      </c>
      <c r="G354" s="129">
        <f>0</f>
        <v>0</v>
      </c>
      <c r="H354" s="255">
        <f>IF(Specialties27231269[[#This Row],[Actual Buyout]]+Specialties27231269[[#This Row],[Change Orders]]=0,Specialties27231269[[#This Row],[Original Contract]],Specialties27231269[[#This Row],[Actual Buyout]]+Specialties27231269[[#This Row],[Change Orders]])</f>
        <v>0</v>
      </c>
      <c r="I354" s="129">
        <v>0</v>
      </c>
      <c r="J354" s="129">
        <f>Specialties27231269[[#This Row],[Original Contract]]-Specialties27231269[[#This Row],[Revised Contract]]</f>
        <v>0</v>
      </c>
      <c r="K354" s="347"/>
      <c r="L354" s="341"/>
      <c r="M354" s="343"/>
      <c r="T354" s="97"/>
      <c r="U354" s="97"/>
      <c r="Y354" s="198"/>
      <c r="Z354" s="198"/>
    </row>
    <row r="355" spans="1:26" x14ac:dyDescent="0.35">
      <c r="A355" s="128">
        <v>10</v>
      </c>
      <c r="B355" s="259"/>
      <c r="C355" s="259"/>
      <c r="D355" s="260" t="s">
        <v>37</v>
      </c>
      <c r="E355" s="255">
        <v>0</v>
      </c>
      <c r="F355" s="255">
        <v>0</v>
      </c>
      <c r="G355" s="129">
        <f>0</f>
        <v>0</v>
      </c>
      <c r="H355" s="255">
        <f>IF(Specialties27231269[[#This Row],[Actual Buyout]]+Specialties27231269[[#This Row],[Change Orders]]=0,Specialties27231269[[#This Row],[Original Contract]],Specialties27231269[[#This Row],[Actual Buyout]]+Specialties27231269[[#This Row],[Change Orders]])</f>
        <v>0</v>
      </c>
      <c r="I355" s="129">
        <v>0</v>
      </c>
      <c r="J355" s="129">
        <f>Specialties27231269[[#This Row],[Original Contract]]-Specialties27231269[[#This Row],[Revised Contract]]</f>
        <v>0</v>
      </c>
      <c r="K355" s="347"/>
      <c r="L355" s="341"/>
      <c r="M355" s="343"/>
      <c r="T355" s="97"/>
      <c r="U355" s="97"/>
      <c r="Y355" s="198"/>
      <c r="Z355" s="198"/>
    </row>
    <row r="356" spans="1:26" x14ac:dyDescent="0.35">
      <c r="A356" s="257"/>
      <c r="B356" s="258"/>
      <c r="C356" s="258"/>
      <c r="D356" s="256" t="s">
        <v>38</v>
      </c>
      <c r="E356" s="151">
        <f>SUM(Specialties27231269[Original Contract])</f>
        <v>0</v>
      </c>
      <c r="F356" s="151">
        <f>SUM(Specialties27231269[Actual Buyout])</f>
        <v>0</v>
      </c>
      <c r="G356" s="151">
        <f>SUM(Specialties27231269[Change Orders])</f>
        <v>0</v>
      </c>
      <c r="H356" s="151">
        <f>SUM(Specialties27231269[Revised Contract])</f>
        <v>0</v>
      </c>
      <c r="I356" s="151">
        <f>SUM(Specialties27231269[Total completed and Stored])</f>
        <v>0</v>
      </c>
      <c r="J356" s="151">
        <f>SUM(Specialties27231269[Delta])</f>
        <v>0</v>
      </c>
      <c r="K356" s="348"/>
      <c r="L356" s="343"/>
      <c r="M356" s="343"/>
    </row>
    <row r="357" spans="1:26" x14ac:dyDescent="0.35">
      <c r="A357" s="100" t="s">
        <v>661</v>
      </c>
      <c r="B357" s="100" t="s">
        <v>122</v>
      </c>
      <c r="C357" s="100" t="s">
        <v>167</v>
      </c>
      <c r="D357" s="100" t="s">
        <v>26</v>
      </c>
      <c r="E357" s="100" t="s">
        <v>781</v>
      </c>
      <c r="F357" s="332" t="s">
        <v>1078</v>
      </c>
      <c r="G357" s="332" t="s">
        <v>782</v>
      </c>
      <c r="H357" s="332" t="s">
        <v>783</v>
      </c>
      <c r="I357" s="334" t="s">
        <v>785</v>
      </c>
      <c r="J357" s="340" t="s">
        <v>1079</v>
      </c>
      <c r="K357" s="347"/>
      <c r="L357" s="335"/>
      <c r="M357" s="343"/>
      <c r="T357" s="97"/>
      <c r="U357" s="97"/>
      <c r="Y357" s="198"/>
      <c r="Z357" s="198"/>
    </row>
    <row r="358" spans="1:26" x14ac:dyDescent="0.35">
      <c r="A358" s="128">
        <v>11</v>
      </c>
      <c r="B358" s="132" t="s">
        <v>362</v>
      </c>
      <c r="C358" s="132" t="s">
        <v>236</v>
      </c>
      <c r="D358" s="133" t="s">
        <v>123</v>
      </c>
      <c r="E358" s="255">
        <v>0</v>
      </c>
      <c r="F358" s="255">
        <v>0</v>
      </c>
      <c r="G358" s="129">
        <f>0</f>
        <v>0</v>
      </c>
      <c r="H358" s="255">
        <f>IF(DockEquip28232270[[#This Row],[Actual Buyout]]+DockEquip28232270[[#This Row],[Change Orders]]=0,DockEquip28232270[[#This Row],[Original Contract]],DockEquip28232270[[#This Row],[Actual Buyout]]+DockEquip28232270[[#This Row],[Change Orders]])</f>
        <v>0</v>
      </c>
      <c r="I358" s="129">
        <v>0</v>
      </c>
      <c r="J358" s="129">
        <f>DockEquip28232270[[#This Row],[Original Contract]]-DockEquip28232270[[#This Row],[Revised Contract]]</f>
        <v>0</v>
      </c>
      <c r="K358" s="347"/>
      <c r="L358" s="341"/>
      <c r="M358" s="343"/>
      <c r="T358" s="97"/>
      <c r="U358" s="97"/>
      <c r="Y358" s="198"/>
      <c r="Z358" s="198"/>
    </row>
    <row r="359" spans="1:26" x14ac:dyDescent="0.35">
      <c r="A359" s="128">
        <v>11</v>
      </c>
      <c r="B359" s="132" t="s">
        <v>362</v>
      </c>
      <c r="C359" s="132" t="s">
        <v>236</v>
      </c>
      <c r="D359" s="133" t="s">
        <v>124</v>
      </c>
      <c r="E359" s="255">
        <v>0</v>
      </c>
      <c r="F359" s="255">
        <v>0</v>
      </c>
      <c r="G359" s="129">
        <f>0</f>
        <v>0</v>
      </c>
      <c r="H359" s="255">
        <f>IF(DockEquip28232270[[#This Row],[Actual Buyout]]+DockEquip28232270[[#This Row],[Change Orders]]=0,DockEquip28232270[[#This Row],[Original Contract]],DockEquip28232270[[#This Row],[Actual Buyout]]+DockEquip28232270[[#This Row],[Change Orders]])</f>
        <v>0</v>
      </c>
      <c r="I359" s="129">
        <v>0</v>
      </c>
      <c r="J359" s="129">
        <f>DockEquip28232270[[#This Row],[Original Contract]]-DockEquip28232270[[#This Row],[Revised Contract]]</f>
        <v>0</v>
      </c>
      <c r="K359" s="347"/>
      <c r="L359" s="341"/>
      <c r="M359" s="343"/>
      <c r="T359" s="97"/>
      <c r="U359" s="97"/>
      <c r="Y359" s="198"/>
      <c r="Z359" s="198"/>
    </row>
    <row r="360" spans="1:26" x14ac:dyDescent="0.35">
      <c r="A360" s="128">
        <v>11</v>
      </c>
      <c r="B360" s="132" t="s">
        <v>362</v>
      </c>
      <c r="C360" s="132" t="s">
        <v>236</v>
      </c>
      <c r="D360" s="133" t="s">
        <v>125</v>
      </c>
      <c r="E360" s="255">
        <v>0</v>
      </c>
      <c r="F360" s="255">
        <v>0</v>
      </c>
      <c r="G360" s="129">
        <f>0</f>
        <v>0</v>
      </c>
      <c r="H360" s="255">
        <f>IF(DockEquip28232270[[#This Row],[Actual Buyout]]+DockEquip28232270[[#This Row],[Change Orders]]=0,DockEquip28232270[[#This Row],[Original Contract]],DockEquip28232270[[#This Row],[Actual Buyout]]+DockEquip28232270[[#This Row],[Change Orders]])</f>
        <v>0</v>
      </c>
      <c r="I360" s="129">
        <v>0</v>
      </c>
      <c r="J360" s="129">
        <f>DockEquip28232270[[#This Row],[Original Contract]]-DockEquip28232270[[#This Row],[Revised Contract]]</f>
        <v>0</v>
      </c>
      <c r="K360" s="347"/>
      <c r="L360" s="341"/>
      <c r="M360" s="343"/>
      <c r="T360" s="97"/>
      <c r="U360" s="97"/>
      <c r="Y360" s="198"/>
      <c r="Z360" s="198"/>
    </row>
    <row r="361" spans="1:26" x14ac:dyDescent="0.35">
      <c r="A361" s="128">
        <v>11</v>
      </c>
      <c r="B361" s="132" t="s">
        <v>362</v>
      </c>
      <c r="C361" s="132" t="s">
        <v>236</v>
      </c>
      <c r="D361" s="133" t="s">
        <v>126</v>
      </c>
      <c r="E361" s="255">
        <v>0</v>
      </c>
      <c r="F361" s="255">
        <v>0</v>
      </c>
      <c r="G361" s="129">
        <f>0</f>
        <v>0</v>
      </c>
      <c r="H361" s="255">
        <f>IF(DockEquip28232270[[#This Row],[Actual Buyout]]+DockEquip28232270[[#This Row],[Change Orders]]=0,DockEquip28232270[[#This Row],[Original Contract]],DockEquip28232270[[#This Row],[Actual Buyout]]+DockEquip28232270[[#This Row],[Change Orders]])</f>
        <v>0</v>
      </c>
      <c r="I361" s="129">
        <v>0</v>
      </c>
      <c r="J361" s="129">
        <f>DockEquip28232270[[#This Row],[Original Contract]]-DockEquip28232270[[#This Row],[Revised Contract]]</f>
        <v>0</v>
      </c>
      <c r="K361" s="347"/>
      <c r="L361" s="341"/>
      <c r="M361" s="343"/>
      <c r="T361" s="97"/>
      <c r="U361" s="97"/>
      <c r="Y361" s="198"/>
      <c r="Z361" s="198"/>
    </row>
    <row r="362" spans="1:26" x14ac:dyDescent="0.35">
      <c r="A362" s="128">
        <v>11</v>
      </c>
      <c r="B362" s="132" t="s">
        <v>362</v>
      </c>
      <c r="C362" s="132" t="s">
        <v>236</v>
      </c>
      <c r="D362" s="133" t="s">
        <v>127</v>
      </c>
      <c r="E362" s="255">
        <v>0</v>
      </c>
      <c r="F362" s="255">
        <v>0</v>
      </c>
      <c r="G362" s="129">
        <f>0</f>
        <v>0</v>
      </c>
      <c r="H362" s="255">
        <f>IF(DockEquip28232270[[#This Row],[Actual Buyout]]+DockEquip28232270[[#This Row],[Change Orders]]=0,DockEquip28232270[[#This Row],[Original Contract]],DockEquip28232270[[#This Row],[Actual Buyout]]+DockEquip28232270[[#This Row],[Change Orders]])</f>
        <v>0</v>
      </c>
      <c r="I362" s="129">
        <v>0</v>
      </c>
      <c r="J362" s="129">
        <f>DockEquip28232270[[#This Row],[Original Contract]]-DockEquip28232270[[#This Row],[Revised Contract]]</f>
        <v>0</v>
      </c>
      <c r="K362" s="347"/>
      <c r="L362" s="341"/>
      <c r="M362" s="343"/>
      <c r="T362" s="97"/>
      <c r="U362" s="97"/>
      <c r="Y362" s="198"/>
      <c r="Z362" s="198"/>
    </row>
    <row r="363" spans="1:26" x14ac:dyDescent="0.35">
      <c r="A363" s="128">
        <v>11</v>
      </c>
      <c r="B363" s="132" t="s">
        <v>362</v>
      </c>
      <c r="C363" s="132" t="s">
        <v>695</v>
      </c>
      <c r="D363" s="133" t="s">
        <v>696</v>
      </c>
      <c r="E363" s="255">
        <v>0</v>
      </c>
      <c r="F363" s="255">
        <v>0</v>
      </c>
      <c r="G363" s="129">
        <f>0</f>
        <v>0</v>
      </c>
      <c r="H363" s="255">
        <f>IF(DockEquip28232270[[#This Row],[Actual Buyout]]+DockEquip28232270[[#This Row],[Change Orders]]=0,DockEquip28232270[[#This Row],[Original Contract]],DockEquip28232270[[#This Row],[Actual Buyout]]+DockEquip28232270[[#This Row],[Change Orders]])</f>
        <v>0</v>
      </c>
      <c r="I363" s="129">
        <v>0</v>
      </c>
      <c r="J363" s="129">
        <f>DockEquip28232270[[#This Row],[Original Contract]]-DockEquip28232270[[#This Row],[Revised Contract]]</f>
        <v>0</v>
      </c>
      <c r="K363" s="347"/>
      <c r="L363" s="341"/>
      <c r="M363" s="343"/>
      <c r="T363" s="97"/>
      <c r="U363" s="97"/>
      <c r="Y363" s="198"/>
      <c r="Z363" s="198"/>
    </row>
    <row r="364" spans="1:26" x14ac:dyDescent="0.35">
      <c r="A364" s="128">
        <v>11</v>
      </c>
      <c r="B364" s="132" t="s">
        <v>362</v>
      </c>
      <c r="C364" s="132" t="s">
        <v>697</v>
      </c>
      <c r="D364" s="133" t="s">
        <v>698</v>
      </c>
      <c r="E364" s="255">
        <v>0</v>
      </c>
      <c r="F364" s="255">
        <v>0</v>
      </c>
      <c r="G364" s="129">
        <f>0</f>
        <v>0</v>
      </c>
      <c r="H364" s="255">
        <f>IF(DockEquip28232270[[#This Row],[Actual Buyout]]+DockEquip28232270[[#This Row],[Change Orders]]=0,DockEquip28232270[[#This Row],[Original Contract]],DockEquip28232270[[#This Row],[Actual Buyout]]+DockEquip28232270[[#This Row],[Change Orders]])</f>
        <v>0</v>
      </c>
      <c r="I364" s="129">
        <v>0</v>
      </c>
      <c r="J364" s="129">
        <f>DockEquip28232270[[#This Row],[Original Contract]]-DockEquip28232270[[#This Row],[Revised Contract]]</f>
        <v>0</v>
      </c>
      <c r="K364" s="347"/>
      <c r="L364" s="341"/>
      <c r="M364" s="343"/>
      <c r="T364" s="97"/>
      <c r="U364" s="97"/>
      <c r="Y364" s="198"/>
      <c r="Z364" s="198"/>
    </row>
    <row r="365" spans="1:26" x14ac:dyDescent="0.35">
      <c r="A365" s="128">
        <v>11</v>
      </c>
      <c r="B365" s="132" t="s">
        <v>362</v>
      </c>
      <c r="C365" s="132" t="s">
        <v>699</v>
      </c>
      <c r="D365" s="133" t="s">
        <v>700</v>
      </c>
      <c r="E365" s="255">
        <v>0</v>
      </c>
      <c r="F365" s="255">
        <v>0</v>
      </c>
      <c r="G365" s="129">
        <f>0</f>
        <v>0</v>
      </c>
      <c r="H365" s="255">
        <f>IF(DockEquip28232270[[#This Row],[Actual Buyout]]+DockEquip28232270[[#This Row],[Change Orders]]=0,DockEquip28232270[[#This Row],[Original Contract]],DockEquip28232270[[#This Row],[Actual Buyout]]+DockEquip28232270[[#This Row],[Change Orders]])</f>
        <v>0</v>
      </c>
      <c r="I365" s="129">
        <v>0</v>
      </c>
      <c r="J365" s="129">
        <f>DockEquip28232270[[#This Row],[Original Contract]]-DockEquip28232270[[#This Row],[Revised Contract]]</f>
        <v>0</v>
      </c>
      <c r="K365" s="347"/>
      <c r="L365" s="341"/>
      <c r="M365" s="343"/>
      <c r="T365" s="97"/>
      <c r="U365" s="97"/>
      <c r="Y365" s="198"/>
      <c r="Z365" s="198"/>
    </row>
    <row r="366" spans="1:26" x14ac:dyDescent="0.35">
      <c r="A366" s="128">
        <v>11</v>
      </c>
      <c r="B366" s="132" t="s">
        <v>362</v>
      </c>
      <c r="C366" s="132" t="s">
        <v>701</v>
      </c>
      <c r="D366" s="133" t="s">
        <v>702</v>
      </c>
      <c r="E366" s="255">
        <v>0</v>
      </c>
      <c r="F366" s="255">
        <v>0</v>
      </c>
      <c r="G366" s="129">
        <f>0</f>
        <v>0</v>
      </c>
      <c r="H366" s="255">
        <f>IF(DockEquip28232270[[#This Row],[Actual Buyout]]+DockEquip28232270[[#This Row],[Change Orders]]=0,DockEquip28232270[[#This Row],[Original Contract]],DockEquip28232270[[#This Row],[Actual Buyout]]+DockEquip28232270[[#This Row],[Change Orders]])</f>
        <v>0</v>
      </c>
      <c r="I366" s="129">
        <v>0</v>
      </c>
      <c r="J366" s="129">
        <f>DockEquip28232270[[#This Row],[Original Contract]]-DockEquip28232270[[#This Row],[Revised Contract]]</f>
        <v>0</v>
      </c>
      <c r="K366" s="347"/>
      <c r="L366" s="341"/>
      <c r="M366" s="343"/>
      <c r="T366" s="97"/>
      <c r="U366" s="97"/>
      <c r="Y366" s="198"/>
      <c r="Z366" s="198"/>
    </row>
    <row r="367" spans="1:26" x14ac:dyDescent="0.35">
      <c r="A367" s="128">
        <v>11</v>
      </c>
      <c r="B367" s="132"/>
      <c r="C367" s="132"/>
      <c r="D367" s="133" t="s">
        <v>37</v>
      </c>
      <c r="E367" s="255">
        <v>0</v>
      </c>
      <c r="F367" s="255">
        <v>0</v>
      </c>
      <c r="G367" s="129">
        <f>0</f>
        <v>0</v>
      </c>
      <c r="H367" s="255">
        <f>IF(DockEquip28232270[[#This Row],[Actual Buyout]]+DockEquip28232270[[#This Row],[Change Orders]]=0,DockEquip28232270[[#This Row],[Original Contract]],DockEquip28232270[[#This Row],[Actual Buyout]]+DockEquip28232270[[#This Row],[Change Orders]])</f>
        <v>0</v>
      </c>
      <c r="I367" s="129">
        <v>0</v>
      </c>
      <c r="J367" s="129">
        <f>DockEquip28232270[[#This Row],[Original Contract]]-DockEquip28232270[[#This Row],[Revised Contract]]</f>
        <v>0</v>
      </c>
      <c r="K367" s="347"/>
      <c r="L367" s="341"/>
      <c r="M367" s="343"/>
      <c r="T367" s="97"/>
      <c r="U367" s="97"/>
      <c r="Y367" s="198"/>
      <c r="Z367" s="198"/>
    </row>
    <row r="368" spans="1:26" x14ac:dyDescent="0.35">
      <c r="A368" s="128">
        <v>11</v>
      </c>
      <c r="B368" s="132"/>
      <c r="C368" s="132"/>
      <c r="D368" s="133" t="s">
        <v>37</v>
      </c>
      <c r="E368" s="255">
        <v>0</v>
      </c>
      <c r="F368" s="255">
        <v>0</v>
      </c>
      <c r="G368" s="129">
        <f>0</f>
        <v>0</v>
      </c>
      <c r="H368" s="255">
        <f>IF(DockEquip28232270[[#This Row],[Actual Buyout]]+DockEquip28232270[[#This Row],[Change Orders]]=0,DockEquip28232270[[#This Row],[Original Contract]],DockEquip28232270[[#This Row],[Actual Buyout]]+DockEquip28232270[[#This Row],[Change Orders]])</f>
        <v>0</v>
      </c>
      <c r="I368" s="129">
        <v>0</v>
      </c>
      <c r="J368" s="129">
        <f>DockEquip28232270[[#This Row],[Original Contract]]-DockEquip28232270[[#This Row],[Revised Contract]]</f>
        <v>0</v>
      </c>
      <c r="K368" s="347"/>
      <c r="L368" s="341"/>
      <c r="M368" s="343"/>
      <c r="T368" s="97"/>
      <c r="U368" s="97"/>
      <c r="Y368" s="198"/>
      <c r="Z368" s="198"/>
    </row>
    <row r="369" spans="1:26" x14ac:dyDescent="0.35">
      <c r="A369" s="128">
        <v>11</v>
      </c>
      <c r="B369" s="132"/>
      <c r="C369" s="132"/>
      <c r="D369" s="133" t="s">
        <v>37</v>
      </c>
      <c r="E369" s="255">
        <v>0</v>
      </c>
      <c r="F369" s="255">
        <v>0</v>
      </c>
      <c r="G369" s="129">
        <f>0</f>
        <v>0</v>
      </c>
      <c r="H369" s="255">
        <f>IF(DockEquip28232270[[#This Row],[Actual Buyout]]+DockEquip28232270[[#This Row],[Change Orders]]=0,DockEquip28232270[[#This Row],[Original Contract]],DockEquip28232270[[#This Row],[Actual Buyout]]+DockEquip28232270[[#This Row],[Change Orders]])</f>
        <v>0</v>
      </c>
      <c r="I369" s="129">
        <v>0</v>
      </c>
      <c r="J369" s="129">
        <f>DockEquip28232270[[#This Row],[Original Contract]]-DockEquip28232270[[#This Row],[Revised Contract]]</f>
        <v>0</v>
      </c>
      <c r="K369" s="347"/>
      <c r="L369" s="341"/>
      <c r="M369" s="343"/>
      <c r="T369" s="97"/>
      <c r="U369" s="97"/>
      <c r="Y369" s="198"/>
      <c r="Z369" s="198"/>
    </row>
    <row r="370" spans="1:26" x14ac:dyDescent="0.35">
      <c r="A370" s="128">
        <v>11</v>
      </c>
      <c r="B370" s="132"/>
      <c r="C370" s="132"/>
      <c r="D370" s="133" t="s">
        <v>37</v>
      </c>
      <c r="E370" s="255">
        <v>0</v>
      </c>
      <c r="F370" s="255">
        <v>0</v>
      </c>
      <c r="G370" s="129">
        <f>0</f>
        <v>0</v>
      </c>
      <c r="H370" s="255">
        <f>IF(DockEquip28232270[[#This Row],[Actual Buyout]]+DockEquip28232270[[#This Row],[Change Orders]]=0,DockEquip28232270[[#This Row],[Original Contract]],DockEquip28232270[[#This Row],[Actual Buyout]]+DockEquip28232270[[#This Row],[Change Orders]])</f>
        <v>0</v>
      </c>
      <c r="I370" s="129">
        <v>0</v>
      </c>
      <c r="J370" s="129">
        <f>DockEquip28232270[[#This Row],[Original Contract]]-DockEquip28232270[[#This Row],[Revised Contract]]</f>
        <v>0</v>
      </c>
      <c r="K370" s="347"/>
      <c r="L370" s="341"/>
      <c r="M370" s="343"/>
      <c r="T370" s="97"/>
      <c r="U370" s="97"/>
      <c r="Y370" s="198"/>
      <c r="Z370" s="198"/>
    </row>
    <row r="371" spans="1:26" x14ac:dyDescent="0.35">
      <c r="A371" s="128">
        <v>11</v>
      </c>
      <c r="B371" s="132"/>
      <c r="C371" s="132"/>
      <c r="D371" s="133" t="s">
        <v>37</v>
      </c>
      <c r="E371" s="255">
        <v>0</v>
      </c>
      <c r="F371" s="255">
        <v>0</v>
      </c>
      <c r="G371" s="129">
        <f>0</f>
        <v>0</v>
      </c>
      <c r="H371" s="255">
        <f>IF(DockEquip28232270[[#This Row],[Actual Buyout]]+DockEquip28232270[[#This Row],[Change Orders]]=0,DockEquip28232270[[#This Row],[Original Contract]],DockEquip28232270[[#This Row],[Actual Buyout]]+DockEquip28232270[[#This Row],[Change Orders]])</f>
        <v>0</v>
      </c>
      <c r="I371" s="129">
        <v>0</v>
      </c>
      <c r="J371" s="129">
        <f>DockEquip28232270[[#This Row],[Original Contract]]-DockEquip28232270[[#This Row],[Revised Contract]]</f>
        <v>0</v>
      </c>
      <c r="K371" s="347"/>
      <c r="L371" s="341"/>
      <c r="M371" s="343"/>
      <c r="T371" s="97"/>
      <c r="U371" s="97"/>
      <c r="Y371" s="198"/>
      <c r="Z371" s="198"/>
    </row>
    <row r="372" spans="1:26" x14ac:dyDescent="0.35">
      <c r="A372" s="257"/>
      <c r="B372" s="258"/>
      <c r="C372" s="258"/>
      <c r="D372" s="256" t="s">
        <v>38</v>
      </c>
      <c r="E372" s="151">
        <f>SUM(DockEquip28232270[Original Contract])</f>
        <v>0</v>
      </c>
      <c r="F372" s="151">
        <f>SUM(DockEquip28232270[Actual Buyout])</f>
        <v>0</v>
      </c>
      <c r="G372" s="151">
        <f>SUM(DockEquip28232270[Change Orders])</f>
        <v>0</v>
      </c>
      <c r="H372" s="151">
        <f>SUM(DockEquip28232270[Revised Contract])</f>
        <v>0</v>
      </c>
      <c r="I372" s="151">
        <f>SUM(DockEquip28232270[Total completed and Stored])</f>
        <v>0</v>
      </c>
      <c r="J372" s="151">
        <f>SUM(DockEquip28232270[Delta])</f>
        <v>0</v>
      </c>
      <c r="K372" s="348"/>
      <c r="L372" s="343"/>
      <c r="M372" s="343"/>
    </row>
    <row r="373" spans="1:26" x14ac:dyDescent="0.35">
      <c r="A373" s="100" t="s">
        <v>662</v>
      </c>
      <c r="B373" s="100" t="s">
        <v>239</v>
      </c>
      <c r="C373" s="100" t="s">
        <v>167</v>
      </c>
      <c r="D373" s="100" t="s">
        <v>26</v>
      </c>
      <c r="E373" s="100" t="s">
        <v>781</v>
      </c>
      <c r="F373" s="332" t="s">
        <v>1078</v>
      </c>
      <c r="G373" s="332" t="s">
        <v>782</v>
      </c>
      <c r="H373" s="332" t="s">
        <v>783</v>
      </c>
      <c r="I373" s="334" t="s">
        <v>785</v>
      </c>
      <c r="J373" s="340" t="s">
        <v>1079</v>
      </c>
      <c r="K373" s="347"/>
      <c r="L373" s="335"/>
      <c r="M373" s="343"/>
      <c r="T373" s="97"/>
      <c r="U373" s="97"/>
      <c r="Y373" s="198"/>
      <c r="Z373" s="198"/>
    </row>
    <row r="374" spans="1:26" x14ac:dyDescent="0.35">
      <c r="A374" s="128">
        <v>12</v>
      </c>
      <c r="B374" s="132" t="s">
        <v>240</v>
      </c>
      <c r="C374" s="132" t="s">
        <v>241</v>
      </c>
      <c r="D374" s="133" t="s">
        <v>240</v>
      </c>
      <c r="E374" s="255">
        <v>0</v>
      </c>
      <c r="F374" s="255">
        <v>0</v>
      </c>
      <c r="G374" s="129">
        <f>0</f>
        <v>0</v>
      </c>
      <c r="H374" s="255">
        <f>IF(Furnishings29233271[[#This Row],[Actual Buyout]]+Furnishings29233271[[#This Row],[Change Orders]]=0,Furnishings29233271[[#This Row],[Original Contract]],Furnishings29233271[[#This Row],[Actual Buyout]]+Furnishings29233271[[#This Row],[Change Orders]])</f>
        <v>0</v>
      </c>
      <c r="I374" s="129">
        <v>0</v>
      </c>
      <c r="J374" s="129">
        <f>Furnishings29233271[[#This Row],[Original Contract]]-Furnishings29233271[[#This Row],[Revised Contract]]</f>
        <v>0</v>
      </c>
      <c r="K374" s="347"/>
      <c r="L374" s="341"/>
      <c r="M374" s="343"/>
      <c r="T374" s="97"/>
      <c r="U374" s="97"/>
      <c r="Y374" s="198"/>
      <c r="Z374" s="198"/>
    </row>
    <row r="375" spans="1:26" x14ac:dyDescent="0.35">
      <c r="A375" s="128">
        <v>12</v>
      </c>
      <c r="B375" s="132"/>
      <c r="C375" s="132"/>
      <c r="D375" s="133" t="s">
        <v>37</v>
      </c>
      <c r="E375" s="255">
        <v>0</v>
      </c>
      <c r="F375" s="255">
        <v>0</v>
      </c>
      <c r="G375" s="129">
        <f>0</f>
        <v>0</v>
      </c>
      <c r="H375" s="255">
        <f>IF(Furnishings29233271[[#This Row],[Actual Buyout]]+Furnishings29233271[[#This Row],[Change Orders]]=0,Furnishings29233271[[#This Row],[Original Contract]],Furnishings29233271[[#This Row],[Actual Buyout]]+Furnishings29233271[[#This Row],[Change Orders]])</f>
        <v>0</v>
      </c>
      <c r="I375" s="129">
        <v>0</v>
      </c>
      <c r="J375" s="129">
        <f>Furnishings29233271[[#This Row],[Original Contract]]-Furnishings29233271[[#This Row],[Revised Contract]]</f>
        <v>0</v>
      </c>
      <c r="K375" s="347"/>
      <c r="L375" s="341"/>
      <c r="M375" s="343"/>
      <c r="T375" s="97"/>
      <c r="U375" s="97"/>
      <c r="Y375" s="198"/>
      <c r="Z375" s="198"/>
    </row>
    <row r="376" spans="1:26" x14ac:dyDescent="0.35">
      <c r="A376" s="128">
        <v>12</v>
      </c>
      <c r="B376" s="132"/>
      <c r="C376" s="132"/>
      <c r="D376" s="133" t="s">
        <v>37</v>
      </c>
      <c r="E376" s="255">
        <v>0</v>
      </c>
      <c r="F376" s="255">
        <v>0</v>
      </c>
      <c r="G376" s="129">
        <f>0</f>
        <v>0</v>
      </c>
      <c r="H376" s="255">
        <f>IF(Furnishings29233271[[#This Row],[Actual Buyout]]+Furnishings29233271[[#This Row],[Change Orders]]=0,Furnishings29233271[[#This Row],[Original Contract]],Furnishings29233271[[#This Row],[Actual Buyout]]+Furnishings29233271[[#This Row],[Change Orders]])</f>
        <v>0</v>
      </c>
      <c r="I376" s="129">
        <v>0</v>
      </c>
      <c r="J376" s="129">
        <f>Furnishings29233271[[#This Row],[Original Contract]]-Furnishings29233271[[#This Row],[Revised Contract]]</f>
        <v>0</v>
      </c>
      <c r="K376" s="347"/>
      <c r="L376" s="341"/>
      <c r="M376" s="343"/>
      <c r="T376" s="97"/>
      <c r="U376" s="97"/>
      <c r="Y376" s="198"/>
      <c r="Z376" s="198"/>
    </row>
    <row r="377" spans="1:26" x14ac:dyDescent="0.35">
      <c r="A377" s="128">
        <v>12</v>
      </c>
      <c r="B377" s="132"/>
      <c r="C377" s="132"/>
      <c r="D377" s="133" t="s">
        <v>37</v>
      </c>
      <c r="E377" s="255">
        <v>0</v>
      </c>
      <c r="F377" s="255">
        <v>0</v>
      </c>
      <c r="G377" s="129">
        <f>0</f>
        <v>0</v>
      </c>
      <c r="H377" s="255">
        <f>IF(Furnishings29233271[[#This Row],[Actual Buyout]]+Furnishings29233271[[#This Row],[Change Orders]]=0,Furnishings29233271[[#This Row],[Original Contract]],Furnishings29233271[[#This Row],[Actual Buyout]]+Furnishings29233271[[#This Row],[Change Orders]])</f>
        <v>0</v>
      </c>
      <c r="I377" s="129">
        <v>0</v>
      </c>
      <c r="J377" s="129">
        <f>Furnishings29233271[[#This Row],[Original Contract]]-Furnishings29233271[[#This Row],[Revised Contract]]</f>
        <v>0</v>
      </c>
      <c r="K377" s="347"/>
      <c r="L377" s="341"/>
      <c r="M377" s="343"/>
      <c r="T377" s="97"/>
      <c r="U377" s="97"/>
      <c r="Y377" s="198"/>
      <c r="Z377" s="198"/>
    </row>
    <row r="378" spans="1:26" x14ac:dyDescent="0.35">
      <c r="A378" s="128">
        <v>12</v>
      </c>
      <c r="B378" s="132"/>
      <c r="C378" s="132"/>
      <c r="D378" s="133" t="s">
        <v>37</v>
      </c>
      <c r="E378" s="255">
        <v>0</v>
      </c>
      <c r="F378" s="255">
        <v>0</v>
      </c>
      <c r="G378" s="129">
        <f>0</f>
        <v>0</v>
      </c>
      <c r="H378" s="255">
        <f>IF(Furnishings29233271[[#This Row],[Actual Buyout]]+Furnishings29233271[[#This Row],[Change Orders]]=0,Furnishings29233271[[#This Row],[Original Contract]],Furnishings29233271[[#This Row],[Actual Buyout]]+Furnishings29233271[[#This Row],[Change Orders]])</f>
        <v>0</v>
      </c>
      <c r="I378" s="129">
        <v>0</v>
      </c>
      <c r="J378" s="129">
        <f>Furnishings29233271[[#This Row],[Original Contract]]-Furnishings29233271[[#This Row],[Revised Contract]]</f>
        <v>0</v>
      </c>
      <c r="K378" s="347"/>
      <c r="L378" s="341"/>
      <c r="M378" s="343"/>
      <c r="T378" s="97"/>
      <c r="U378" s="97"/>
      <c r="Y378" s="198"/>
      <c r="Z378" s="198"/>
    </row>
    <row r="379" spans="1:26" ht="15" customHeight="1" x14ac:dyDescent="0.35">
      <c r="A379" s="128">
        <v>12</v>
      </c>
      <c r="B379" s="132"/>
      <c r="C379" s="132"/>
      <c r="D379" s="133" t="s">
        <v>37</v>
      </c>
      <c r="E379" s="255">
        <v>0</v>
      </c>
      <c r="F379" s="255">
        <v>0</v>
      </c>
      <c r="G379" s="129">
        <f>0</f>
        <v>0</v>
      </c>
      <c r="H379" s="255">
        <f>IF(Furnishings29233271[[#This Row],[Actual Buyout]]+Furnishings29233271[[#This Row],[Change Orders]]=0,Furnishings29233271[[#This Row],[Original Contract]],Furnishings29233271[[#This Row],[Actual Buyout]]+Furnishings29233271[[#This Row],[Change Orders]])</f>
        <v>0</v>
      </c>
      <c r="I379" s="129">
        <v>0</v>
      </c>
      <c r="J379" s="129">
        <f>Furnishings29233271[[#This Row],[Original Contract]]-Furnishings29233271[[#This Row],[Revised Contract]]</f>
        <v>0</v>
      </c>
      <c r="K379" s="347"/>
      <c r="L379" s="341"/>
      <c r="M379" s="343"/>
      <c r="T379" s="97"/>
      <c r="U379" s="97"/>
      <c r="Y379" s="198"/>
      <c r="Z379" s="198"/>
    </row>
    <row r="380" spans="1:26" x14ac:dyDescent="0.35">
      <c r="A380" s="257"/>
      <c r="B380" s="258"/>
      <c r="C380" s="258"/>
      <c r="D380" s="256" t="s">
        <v>38</v>
      </c>
      <c r="E380" s="151">
        <f>SUM(Furnishings29233271[Original Contract])</f>
        <v>0</v>
      </c>
      <c r="F380" s="151">
        <f>SUM(Furnishings29233271[Actual Buyout])</f>
        <v>0</v>
      </c>
      <c r="G380" s="151">
        <f>SUM(Furnishings29233271[Change Orders])</f>
        <v>0</v>
      </c>
      <c r="H380" s="151">
        <f>SUM(Furnishings29233271[Revised Contract])</f>
        <v>0</v>
      </c>
      <c r="I380" s="151">
        <f>SUM(Furnishings29233271[Total completed and Stored])</f>
        <v>0</v>
      </c>
      <c r="J380" s="151">
        <f>SUM(Furnishings29233271[Delta])</f>
        <v>0</v>
      </c>
      <c r="K380" s="348"/>
      <c r="L380" s="343"/>
      <c r="M380" s="343"/>
    </row>
    <row r="381" spans="1:26" x14ac:dyDescent="0.35">
      <c r="A381" s="100" t="s">
        <v>663</v>
      </c>
      <c r="B381" s="100" t="s">
        <v>192</v>
      </c>
      <c r="C381" s="100" t="s">
        <v>167</v>
      </c>
      <c r="D381" s="100" t="s">
        <v>26</v>
      </c>
      <c r="E381" s="100" t="s">
        <v>781</v>
      </c>
      <c r="F381" s="332" t="s">
        <v>1078</v>
      </c>
      <c r="G381" s="332" t="s">
        <v>782</v>
      </c>
      <c r="H381" s="332" t="s">
        <v>783</v>
      </c>
      <c r="I381" s="334" t="s">
        <v>785</v>
      </c>
      <c r="J381" s="340" t="s">
        <v>1079</v>
      </c>
      <c r="K381" s="347"/>
      <c r="L381" s="335"/>
      <c r="M381" s="343"/>
      <c r="T381" s="97"/>
      <c r="U381" s="97"/>
      <c r="Y381" s="198"/>
      <c r="Z381" s="198"/>
    </row>
    <row r="382" spans="1:26" x14ac:dyDescent="0.35">
      <c r="A382" s="128">
        <v>13</v>
      </c>
      <c r="B382" s="132" t="s">
        <v>192</v>
      </c>
      <c r="C382" s="132" t="s">
        <v>193</v>
      </c>
      <c r="D382" s="133" t="s">
        <v>194</v>
      </c>
      <c r="E382" s="255">
        <v>0</v>
      </c>
      <c r="F382" s="255">
        <v>0</v>
      </c>
      <c r="G382" s="129">
        <f>0</f>
        <v>0</v>
      </c>
      <c r="H382" s="255">
        <f>IF(SpecConst30234272[[#This Row],[Actual Buyout]]+SpecConst30234272[[#This Row],[Change Orders]]=0,SpecConst30234272[[#This Row],[Original Contract]],SpecConst30234272[[#This Row],[Actual Buyout]]+SpecConst30234272[[#This Row],[Change Orders]])</f>
        <v>0</v>
      </c>
      <c r="I382" s="129">
        <v>0</v>
      </c>
      <c r="J382" s="129">
        <f>SpecConst30234272[[#This Row],[Original Contract]]-SpecConst30234272[[#This Row],[Revised Contract]]</f>
        <v>0</v>
      </c>
      <c r="K382" s="347"/>
      <c r="L382" s="341"/>
      <c r="M382" s="343"/>
      <c r="T382" s="97"/>
      <c r="U382" s="97"/>
      <c r="Y382" s="198"/>
      <c r="Z382" s="198"/>
    </row>
    <row r="383" spans="1:26" x14ac:dyDescent="0.35">
      <c r="A383" s="128">
        <v>13</v>
      </c>
      <c r="B383" s="132" t="s">
        <v>192</v>
      </c>
      <c r="C383" s="132" t="s">
        <v>193</v>
      </c>
      <c r="D383" s="133" t="s">
        <v>703</v>
      </c>
      <c r="E383" s="255">
        <v>0</v>
      </c>
      <c r="F383" s="255">
        <v>0</v>
      </c>
      <c r="G383" s="129">
        <f>0</f>
        <v>0</v>
      </c>
      <c r="H383" s="255">
        <f>IF(SpecConst30234272[[#This Row],[Actual Buyout]]+SpecConst30234272[[#This Row],[Change Orders]]=0,SpecConst30234272[[#This Row],[Original Contract]],SpecConst30234272[[#This Row],[Actual Buyout]]+SpecConst30234272[[#This Row],[Change Orders]])</f>
        <v>0</v>
      </c>
      <c r="I383" s="129">
        <v>0</v>
      </c>
      <c r="J383" s="129">
        <f>SpecConst30234272[[#This Row],[Original Contract]]-SpecConst30234272[[#This Row],[Revised Contract]]</f>
        <v>0</v>
      </c>
      <c r="K383" s="347"/>
      <c r="L383" s="341"/>
      <c r="M383" s="343"/>
      <c r="T383" s="97"/>
      <c r="U383" s="97"/>
      <c r="Y383" s="198"/>
      <c r="Z383" s="198"/>
    </row>
    <row r="384" spans="1:26" x14ac:dyDescent="0.35">
      <c r="A384" s="128">
        <v>13</v>
      </c>
      <c r="B384" s="132"/>
      <c r="C384" s="132"/>
      <c r="D384" s="133" t="s">
        <v>37</v>
      </c>
      <c r="E384" s="255">
        <v>0</v>
      </c>
      <c r="F384" s="255">
        <v>0</v>
      </c>
      <c r="G384" s="129">
        <f>0</f>
        <v>0</v>
      </c>
      <c r="H384" s="255">
        <f>IF(SpecConst30234272[[#This Row],[Actual Buyout]]+SpecConst30234272[[#This Row],[Change Orders]]=0,SpecConst30234272[[#This Row],[Original Contract]],SpecConst30234272[[#This Row],[Actual Buyout]]+SpecConst30234272[[#This Row],[Change Orders]])</f>
        <v>0</v>
      </c>
      <c r="I384" s="129">
        <v>0</v>
      </c>
      <c r="J384" s="129">
        <f>SpecConst30234272[[#This Row],[Original Contract]]-SpecConst30234272[[#This Row],[Revised Contract]]</f>
        <v>0</v>
      </c>
      <c r="K384" s="347"/>
      <c r="L384" s="341"/>
      <c r="M384" s="343"/>
      <c r="T384" s="97"/>
      <c r="U384" s="97"/>
      <c r="Y384" s="198"/>
      <c r="Z384" s="198"/>
    </row>
    <row r="385" spans="1:26" x14ac:dyDescent="0.35">
      <c r="A385" s="128">
        <v>13</v>
      </c>
      <c r="B385" s="132"/>
      <c r="C385" s="132"/>
      <c r="D385" s="133" t="s">
        <v>37</v>
      </c>
      <c r="E385" s="255">
        <v>0</v>
      </c>
      <c r="F385" s="255">
        <v>0</v>
      </c>
      <c r="G385" s="129">
        <f>0</f>
        <v>0</v>
      </c>
      <c r="H385" s="255">
        <f>IF(SpecConst30234272[[#This Row],[Actual Buyout]]+SpecConst30234272[[#This Row],[Change Orders]]=0,SpecConst30234272[[#This Row],[Original Contract]],SpecConst30234272[[#This Row],[Actual Buyout]]+SpecConst30234272[[#This Row],[Change Orders]])</f>
        <v>0</v>
      </c>
      <c r="I385" s="129">
        <v>0</v>
      </c>
      <c r="J385" s="129">
        <f>SpecConst30234272[[#This Row],[Original Contract]]-SpecConst30234272[[#This Row],[Revised Contract]]</f>
        <v>0</v>
      </c>
      <c r="K385" s="347"/>
      <c r="L385" s="341"/>
      <c r="M385" s="343"/>
      <c r="T385" s="97"/>
      <c r="U385" s="97"/>
      <c r="Y385" s="198"/>
      <c r="Z385" s="198"/>
    </row>
    <row r="386" spans="1:26" x14ac:dyDescent="0.35">
      <c r="A386" s="128">
        <v>13</v>
      </c>
      <c r="B386" s="132"/>
      <c r="C386" s="132"/>
      <c r="D386" s="133" t="s">
        <v>37</v>
      </c>
      <c r="E386" s="255">
        <v>0</v>
      </c>
      <c r="F386" s="255">
        <v>0</v>
      </c>
      <c r="G386" s="129">
        <f>0</f>
        <v>0</v>
      </c>
      <c r="H386" s="255">
        <f>IF(SpecConst30234272[[#This Row],[Actual Buyout]]+SpecConst30234272[[#This Row],[Change Orders]]=0,SpecConst30234272[[#This Row],[Original Contract]],SpecConst30234272[[#This Row],[Actual Buyout]]+SpecConst30234272[[#This Row],[Change Orders]])</f>
        <v>0</v>
      </c>
      <c r="I386" s="129">
        <v>0</v>
      </c>
      <c r="J386" s="129">
        <f>SpecConst30234272[[#This Row],[Original Contract]]-SpecConst30234272[[#This Row],[Revised Contract]]</f>
        <v>0</v>
      </c>
      <c r="K386" s="347"/>
      <c r="L386" s="341"/>
      <c r="M386" s="343"/>
      <c r="T386" s="97"/>
      <c r="U386" s="97"/>
      <c r="Y386" s="198"/>
      <c r="Z386" s="198"/>
    </row>
    <row r="387" spans="1:26" x14ac:dyDescent="0.35">
      <c r="A387" s="128">
        <v>13</v>
      </c>
      <c r="B387" s="132"/>
      <c r="C387" s="132"/>
      <c r="D387" s="133" t="s">
        <v>37</v>
      </c>
      <c r="E387" s="255">
        <v>0</v>
      </c>
      <c r="F387" s="255">
        <v>0</v>
      </c>
      <c r="G387" s="129">
        <f>0</f>
        <v>0</v>
      </c>
      <c r="H387" s="255">
        <f>IF(SpecConst30234272[[#This Row],[Actual Buyout]]+SpecConst30234272[[#This Row],[Change Orders]]=0,SpecConst30234272[[#This Row],[Original Contract]],SpecConst30234272[[#This Row],[Actual Buyout]]+SpecConst30234272[[#This Row],[Change Orders]])</f>
        <v>0</v>
      </c>
      <c r="I387" s="129">
        <v>0</v>
      </c>
      <c r="J387" s="129">
        <f>SpecConst30234272[[#This Row],[Original Contract]]-SpecConst30234272[[#This Row],[Revised Contract]]</f>
        <v>0</v>
      </c>
      <c r="K387" s="347"/>
      <c r="L387" s="341"/>
      <c r="M387" s="343"/>
      <c r="T387" s="97"/>
      <c r="U387" s="97"/>
      <c r="Y387" s="198"/>
      <c r="Z387" s="198"/>
    </row>
    <row r="388" spans="1:26" x14ac:dyDescent="0.35">
      <c r="A388" s="128">
        <v>13</v>
      </c>
      <c r="B388" s="132"/>
      <c r="C388" s="132"/>
      <c r="D388" s="133" t="s">
        <v>37</v>
      </c>
      <c r="E388" s="255">
        <v>0</v>
      </c>
      <c r="F388" s="255">
        <v>0</v>
      </c>
      <c r="G388" s="129">
        <f>0</f>
        <v>0</v>
      </c>
      <c r="H388" s="255">
        <f>IF(SpecConst30234272[[#This Row],[Actual Buyout]]+SpecConst30234272[[#This Row],[Change Orders]]=0,SpecConst30234272[[#This Row],[Original Contract]],SpecConst30234272[[#This Row],[Actual Buyout]]+SpecConst30234272[[#This Row],[Change Orders]])</f>
        <v>0</v>
      </c>
      <c r="I388" s="129">
        <v>0</v>
      </c>
      <c r="J388" s="129">
        <f>SpecConst30234272[[#This Row],[Original Contract]]-SpecConst30234272[[#This Row],[Revised Contract]]</f>
        <v>0</v>
      </c>
      <c r="K388" s="347"/>
      <c r="L388" s="341"/>
      <c r="M388" s="343"/>
      <c r="T388" s="97"/>
      <c r="U388" s="97"/>
      <c r="Y388" s="198"/>
      <c r="Z388" s="198"/>
    </row>
    <row r="389" spans="1:26" x14ac:dyDescent="0.35">
      <c r="A389" s="257"/>
      <c r="B389" s="258"/>
      <c r="C389" s="258"/>
      <c r="D389" s="256" t="s">
        <v>38</v>
      </c>
      <c r="E389" s="151">
        <f>SUM(SpecConst30234272[Original Contract])</f>
        <v>0</v>
      </c>
      <c r="F389" s="151">
        <f>SUM(SpecConst30234272[Actual Buyout])</f>
        <v>0</v>
      </c>
      <c r="G389" s="151">
        <f>SUM(SpecConst30234272[Change Orders])</f>
        <v>0</v>
      </c>
      <c r="H389" s="151">
        <f>SUM(SpecConst30234272[Revised Contract])</f>
        <v>0</v>
      </c>
      <c r="I389" s="151">
        <f>SUM(SpecConst30234272[Total completed and Stored])</f>
        <v>0</v>
      </c>
      <c r="J389" s="151">
        <f>SUM(SpecConst30234272[Delta])</f>
        <v>0</v>
      </c>
      <c r="K389" s="348"/>
      <c r="L389" s="343"/>
      <c r="M389" s="343"/>
    </row>
    <row r="390" spans="1:26" x14ac:dyDescent="0.35">
      <c r="A390" s="100" t="s">
        <v>664</v>
      </c>
      <c r="B390" s="100" t="s">
        <v>128</v>
      </c>
      <c r="C390" s="100" t="s">
        <v>167</v>
      </c>
      <c r="D390" s="100" t="s">
        <v>26</v>
      </c>
      <c r="E390" s="100" t="s">
        <v>781</v>
      </c>
      <c r="F390" s="332" t="s">
        <v>1078</v>
      </c>
      <c r="G390" s="332" t="s">
        <v>782</v>
      </c>
      <c r="H390" s="332" t="s">
        <v>783</v>
      </c>
      <c r="I390" s="334" t="s">
        <v>785</v>
      </c>
      <c r="J390" s="340" t="s">
        <v>1079</v>
      </c>
      <c r="K390" s="347"/>
      <c r="L390" s="335"/>
      <c r="M390" s="343"/>
      <c r="T390" s="97"/>
      <c r="U390" s="97"/>
      <c r="Y390" s="198"/>
      <c r="Z390" s="198"/>
    </row>
    <row r="391" spans="1:26" x14ac:dyDescent="0.35">
      <c r="A391" s="128">
        <v>14</v>
      </c>
      <c r="B391" s="132" t="s">
        <v>128</v>
      </c>
      <c r="C391" s="132" t="s">
        <v>195</v>
      </c>
      <c r="D391" s="133" t="s">
        <v>32</v>
      </c>
      <c r="E391" s="255">
        <v>0</v>
      </c>
      <c r="F391" s="255">
        <v>0</v>
      </c>
      <c r="G391" s="129">
        <f>0</f>
        <v>0</v>
      </c>
      <c r="H391" s="255">
        <f>IF(Elevators31235273[[#This Row],[Actual Buyout]]+Elevators31235273[[#This Row],[Change Orders]]=0,Elevators31235273[[#This Row],[Original Contract]],Elevators31235273[[#This Row],[Actual Buyout]]+Elevators31235273[[#This Row],[Change Orders]])</f>
        <v>0</v>
      </c>
      <c r="I391" s="129">
        <v>0</v>
      </c>
      <c r="J391" s="129">
        <f>Elevators31235273[[#This Row],[Original Contract]]-Elevators31235273[[#This Row],[Revised Contract]]</f>
        <v>0</v>
      </c>
      <c r="K391" s="347"/>
      <c r="L391" s="341"/>
      <c r="M391" s="343"/>
      <c r="T391" s="97"/>
      <c r="U391" s="97"/>
      <c r="Y391" s="198"/>
      <c r="Z391" s="198"/>
    </row>
    <row r="392" spans="1:26" x14ac:dyDescent="0.35">
      <c r="A392" s="128">
        <v>14</v>
      </c>
      <c r="B392" s="132" t="s">
        <v>704</v>
      </c>
      <c r="C392" s="132" t="s">
        <v>705</v>
      </c>
      <c r="D392" s="133" t="s">
        <v>706</v>
      </c>
      <c r="E392" s="255">
        <v>0</v>
      </c>
      <c r="F392" s="255">
        <v>0</v>
      </c>
      <c r="G392" s="129">
        <f>0</f>
        <v>0</v>
      </c>
      <c r="H392" s="255">
        <f>IF(Elevators31235273[[#This Row],[Actual Buyout]]+Elevators31235273[[#This Row],[Change Orders]]=0,Elevators31235273[[#This Row],[Original Contract]],Elevators31235273[[#This Row],[Actual Buyout]]+Elevators31235273[[#This Row],[Change Orders]])</f>
        <v>0</v>
      </c>
      <c r="I392" s="129">
        <v>0</v>
      </c>
      <c r="J392" s="129">
        <f>Elevators31235273[[#This Row],[Original Contract]]-Elevators31235273[[#This Row],[Revised Contract]]</f>
        <v>0</v>
      </c>
      <c r="K392" s="347"/>
      <c r="L392" s="341"/>
      <c r="M392" s="343"/>
      <c r="T392" s="97"/>
      <c r="U392" s="97"/>
      <c r="Y392" s="198"/>
      <c r="Z392" s="198"/>
    </row>
    <row r="393" spans="1:26" x14ac:dyDescent="0.35">
      <c r="A393" s="128">
        <v>14</v>
      </c>
      <c r="B393" s="132"/>
      <c r="C393" s="132"/>
      <c r="D393" s="133" t="s">
        <v>37</v>
      </c>
      <c r="E393" s="255">
        <v>0</v>
      </c>
      <c r="F393" s="255">
        <v>0</v>
      </c>
      <c r="G393" s="129">
        <f>0</f>
        <v>0</v>
      </c>
      <c r="H393" s="255">
        <f>IF(Elevators31235273[[#This Row],[Actual Buyout]]+Elevators31235273[[#This Row],[Change Orders]]=0,Elevators31235273[[#This Row],[Original Contract]],Elevators31235273[[#This Row],[Actual Buyout]]+Elevators31235273[[#This Row],[Change Orders]])</f>
        <v>0</v>
      </c>
      <c r="I393" s="129">
        <v>0</v>
      </c>
      <c r="J393" s="129">
        <f>Elevators31235273[[#This Row],[Original Contract]]-Elevators31235273[[#This Row],[Revised Contract]]</f>
        <v>0</v>
      </c>
      <c r="K393" s="347"/>
      <c r="L393" s="341"/>
      <c r="M393" s="343"/>
      <c r="T393" s="97"/>
      <c r="U393" s="97"/>
      <c r="Y393" s="198"/>
      <c r="Z393" s="198"/>
    </row>
    <row r="394" spans="1:26" x14ac:dyDescent="0.35">
      <c r="A394" s="128">
        <v>14</v>
      </c>
      <c r="B394" s="132"/>
      <c r="C394" s="132"/>
      <c r="D394" s="133" t="s">
        <v>37</v>
      </c>
      <c r="E394" s="255">
        <v>0</v>
      </c>
      <c r="F394" s="255">
        <v>0</v>
      </c>
      <c r="G394" s="129">
        <f>0</f>
        <v>0</v>
      </c>
      <c r="H394" s="255">
        <f>IF(Elevators31235273[[#This Row],[Actual Buyout]]+Elevators31235273[[#This Row],[Change Orders]]=0,Elevators31235273[[#This Row],[Original Contract]],Elevators31235273[[#This Row],[Actual Buyout]]+Elevators31235273[[#This Row],[Change Orders]])</f>
        <v>0</v>
      </c>
      <c r="I394" s="129">
        <v>0</v>
      </c>
      <c r="J394" s="129">
        <f>Elevators31235273[[#This Row],[Original Contract]]-Elevators31235273[[#This Row],[Revised Contract]]</f>
        <v>0</v>
      </c>
      <c r="K394" s="347"/>
      <c r="L394" s="341"/>
      <c r="M394" s="343"/>
      <c r="T394" s="97"/>
      <c r="U394" s="97"/>
      <c r="Y394" s="198"/>
      <c r="Z394" s="198"/>
    </row>
    <row r="395" spans="1:26" x14ac:dyDescent="0.35">
      <c r="A395" s="128">
        <v>14</v>
      </c>
      <c r="B395" s="132"/>
      <c r="C395" s="132"/>
      <c r="D395" s="133" t="s">
        <v>37</v>
      </c>
      <c r="E395" s="255">
        <v>0</v>
      </c>
      <c r="F395" s="255">
        <v>0</v>
      </c>
      <c r="G395" s="129">
        <f>0</f>
        <v>0</v>
      </c>
      <c r="H395" s="255">
        <f>IF(Elevators31235273[[#This Row],[Actual Buyout]]+Elevators31235273[[#This Row],[Change Orders]]=0,Elevators31235273[[#This Row],[Original Contract]],Elevators31235273[[#This Row],[Actual Buyout]]+Elevators31235273[[#This Row],[Change Orders]])</f>
        <v>0</v>
      </c>
      <c r="I395" s="129">
        <v>0</v>
      </c>
      <c r="J395" s="129">
        <f>Elevators31235273[[#This Row],[Original Contract]]-Elevators31235273[[#This Row],[Revised Contract]]</f>
        <v>0</v>
      </c>
      <c r="K395" s="347"/>
      <c r="L395" s="341"/>
      <c r="M395" s="343"/>
      <c r="T395" s="97"/>
      <c r="U395" s="97"/>
      <c r="Y395" s="198"/>
      <c r="Z395" s="198"/>
    </row>
    <row r="396" spans="1:26" x14ac:dyDescent="0.35">
      <c r="A396" s="128">
        <v>14</v>
      </c>
      <c r="B396" s="132"/>
      <c r="C396" s="132"/>
      <c r="D396" s="133" t="s">
        <v>37</v>
      </c>
      <c r="E396" s="255">
        <v>0</v>
      </c>
      <c r="F396" s="255">
        <v>0</v>
      </c>
      <c r="G396" s="129">
        <f>0</f>
        <v>0</v>
      </c>
      <c r="H396" s="255">
        <f>IF(Elevators31235273[[#This Row],[Actual Buyout]]+Elevators31235273[[#This Row],[Change Orders]]=0,Elevators31235273[[#This Row],[Original Contract]],Elevators31235273[[#This Row],[Actual Buyout]]+Elevators31235273[[#This Row],[Change Orders]])</f>
        <v>0</v>
      </c>
      <c r="I396" s="129">
        <v>0</v>
      </c>
      <c r="J396" s="129">
        <f>Elevators31235273[[#This Row],[Original Contract]]-Elevators31235273[[#This Row],[Revised Contract]]</f>
        <v>0</v>
      </c>
      <c r="K396" s="347"/>
      <c r="L396" s="341"/>
      <c r="M396" s="343"/>
      <c r="T396" s="97"/>
      <c r="U396" s="97"/>
      <c r="Y396" s="198"/>
      <c r="Z396" s="198"/>
    </row>
    <row r="397" spans="1:26" x14ac:dyDescent="0.35">
      <c r="A397" s="128">
        <v>14</v>
      </c>
      <c r="B397" s="132"/>
      <c r="C397" s="132"/>
      <c r="D397" s="133" t="s">
        <v>37</v>
      </c>
      <c r="E397" s="255">
        <v>0</v>
      </c>
      <c r="F397" s="255">
        <v>0</v>
      </c>
      <c r="G397" s="129">
        <f>0</f>
        <v>0</v>
      </c>
      <c r="H397" s="255">
        <f>IF(Elevators31235273[[#This Row],[Actual Buyout]]+Elevators31235273[[#This Row],[Change Orders]]=0,Elevators31235273[[#This Row],[Original Contract]],Elevators31235273[[#This Row],[Actual Buyout]]+Elevators31235273[[#This Row],[Change Orders]])</f>
        <v>0</v>
      </c>
      <c r="I397" s="129">
        <v>0</v>
      </c>
      <c r="J397" s="129">
        <f>Elevators31235273[[#This Row],[Original Contract]]-Elevators31235273[[#This Row],[Revised Contract]]</f>
        <v>0</v>
      </c>
      <c r="K397" s="347"/>
      <c r="L397" s="341"/>
      <c r="M397" s="343"/>
      <c r="T397" s="97"/>
      <c r="U397" s="97"/>
      <c r="Y397" s="198"/>
      <c r="Z397" s="198"/>
    </row>
    <row r="398" spans="1:26" x14ac:dyDescent="0.35">
      <c r="A398" s="257"/>
      <c r="B398" s="258"/>
      <c r="C398" s="258"/>
      <c r="D398" s="256" t="s">
        <v>38</v>
      </c>
      <c r="E398" s="151">
        <f>SUM(Elevators31235273[Original Contract])</f>
        <v>0</v>
      </c>
      <c r="F398" s="151">
        <f>SUM(Elevators31235273[Actual Buyout])</f>
        <v>0</v>
      </c>
      <c r="G398" s="151">
        <f>SUM(Elevators31235273[Change Orders])</f>
        <v>0</v>
      </c>
      <c r="H398" s="151">
        <f>SUM(Elevators31235273[Revised Contract])</f>
        <v>0</v>
      </c>
      <c r="I398" s="151">
        <f>SUM(Elevators31235273[Total completed and Stored])</f>
        <v>0</v>
      </c>
      <c r="J398" s="151">
        <f>SUM(Elevators31235273[Delta])</f>
        <v>0</v>
      </c>
      <c r="K398" s="348"/>
      <c r="L398" s="343"/>
      <c r="M398" s="343"/>
    </row>
    <row r="399" spans="1:26" x14ac:dyDescent="0.35">
      <c r="A399" s="100" t="s">
        <v>665</v>
      </c>
      <c r="B399" s="100" t="s">
        <v>129</v>
      </c>
      <c r="C399" s="100" t="s">
        <v>167</v>
      </c>
      <c r="D399" s="100" t="s">
        <v>26</v>
      </c>
      <c r="E399" s="100" t="s">
        <v>781</v>
      </c>
      <c r="F399" s="332" t="s">
        <v>1078</v>
      </c>
      <c r="G399" s="332" t="s">
        <v>782</v>
      </c>
      <c r="H399" s="332" t="s">
        <v>783</v>
      </c>
      <c r="I399" s="334" t="s">
        <v>785</v>
      </c>
      <c r="J399" s="340" t="s">
        <v>1079</v>
      </c>
      <c r="K399" s="347"/>
      <c r="L399" s="335"/>
      <c r="M399" s="343"/>
      <c r="T399" s="97"/>
      <c r="U399" s="97"/>
      <c r="Y399" s="198"/>
      <c r="Z399" s="198"/>
    </row>
    <row r="400" spans="1:26" x14ac:dyDescent="0.35">
      <c r="A400" s="128">
        <v>21</v>
      </c>
      <c r="B400" s="132" t="s">
        <v>716</v>
      </c>
      <c r="C400" s="132" t="s">
        <v>363</v>
      </c>
      <c r="D400" s="133" t="s">
        <v>130</v>
      </c>
      <c r="E400" s="255">
        <v>0</v>
      </c>
      <c r="F400" s="255">
        <v>0</v>
      </c>
      <c r="G400" s="129">
        <f>0</f>
        <v>0</v>
      </c>
      <c r="H400" s="255">
        <f>IF(Fire32236274[[#This Row],[Actual Buyout]]+Fire32236274[[#This Row],[Change Orders]]=0,Fire32236274[[#This Row],[Original Contract]],Fire32236274[[#This Row],[Actual Buyout]]+Fire32236274[[#This Row],[Change Orders]])</f>
        <v>0</v>
      </c>
      <c r="I400" s="129">
        <v>0</v>
      </c>
      <c r="J400" s="129">
        <f>Fire32236274[[#This Row],[Original Contract]]-Fire32236274[[#This Row],[Revised Contract]]</f>
        <v>0</v>
      </c>
      <c r="K400" s="347"/>
      <c r="L400" s="341"/>
      <c r="M400" s="343"/>
      <c r="T400" s="97"/>
      <c r="U400" s="97"/>
      <c r="Y400" s="198"/>
      <c r="Z400" s="198"/>
    </row>
    <row r="401" spans="1:26" x14ac:dyDescent="0.35">
      <c r="A401" s="128">
        <v>21</v>
      </c>
      <c r="B401" s="132" t="s">
        <v>717</v>
      </c>
      <c r="C401" s="132" t="s">
        <v>365</v>
      </c>
      <c r="D401" s="133" t="s">
        <v>131</v>
      </c>
      <c r="E401" s="255">
        <v>0</v>
      </c>
      <c r="F401" s="255">
        <v>0</v>
      </c>
      <c r="G401" s="129">
        <f>0</f>
        <v>0</v>
      </c>
      <c r="H401" s="255">
        <f>IF(Fire32236274[[#This Row],[Actual Buyout]]+Fire32236274[[#This Row],[Change Orders]]=0,Fire32236274[[#This Row],[Original Contract]],Fire32236274[[#This Row],[Actual Buyout]]+Fire32236274[[#This Row],[Change Orders]])</f>
        <v>0</v>
      </c>
      <c r="I401" s="129">
        <v>0</v>
      </c>
      <c r="J401" s="129">
        <f>Fire32236274[[#This Row],[Original Contract]]-Fire32236274[[#This Row],[Revised Contract]]</f>
        <v>0</v>
      </c>
      <c r="K401" s="347"/>
      <c r="L401" s="341"/>
      <c r="M401" s="343"/>
      <c r="T401" s="97"/>
      <c r="U401" s="97"/>
      <c r="Y401" s="198"/>
      <c r="Z401" s="198"/>
    </row>
    <row r="402" spans="1:26" x14ac:dyDescent="0.35">
      <c r="A402" s="128">
        <v>21</v>
      </c>
      <c r="B402" s="132" t="s">
        <v>366</v>
      </c>
      <c r="C402" s="132" t="s">
        <v>196</v>
      </c>
      <c r="D402" s="133" t="s">
        <v>132</v>
      </c>
      <c r="E402" s="255">
        <v>0</v>
      </c>
      <c r="F402" s="255">
        <v>0</v>
      </c>
      <c r="G402" s="129">
        <f>0</f>
        <v>0</v>
      </c>
      <c r="H402" s="255">
        <f>IF(Fire32236274[[#This Row],[Actual Buyout]]+Fire32236274[[#This Row],[Change Orders]]=0,Fire32236274[[#This Row],[Original Contract]],Fire32236274[[#This Row],[Actual Buyout]]+Fire32236274[[#This Row],[Change Orders]])</f>
        <v>0</v>
      </c>
      <c r="I402" s="129">
        <v>0</v>
      </c>
      <c r="J402" s="129">
        <f>Fire32236274[[#This Row],[Original Contract]]-Fire32236274[[#This Row],[Revised Contract]]</f>
        <v>0</v>
      </c>
      <c r="K402" s="347"/>
      <c r="L402" s="341"/>
      <c r="M402" s="343"/>
      <c r="T402" s="97"/>
      <c r="U402" s="97"/>
      <c r="Y402" s="198"/>
      <c r="Z402" s="198"/>
    </row>
    <row r="403" spans="1:26" x14ac:dyDescent="0.35">
      <c r="A403" s="128">
        <v>21</v>
      </c>
      <c r="B403" s="132" t="s">
        <v>367</v>
      </c>
      <c r="C403" s="132" t="s">
        <v>197</v>
      </c>
      <c r="D403" s="133" t="s">
        <v>133</v>
      </c>
      <c r="E403" s="255">
        <v>0</v>
      </c>
      <c r="F403" s="255">
        <v>0</v>
      </c>
      <c r="G403" s="129">
        <f>0</f>
        <v>0</v>
      </c>
      <c r="H403" s="255">
        <f>IF(Fire32236274[[#This Row],[Actual Buyout]]+Fire32236274[[#This Row],[Change Orders]]=0,Fire32236274[[#This Row],[Original Contract]],Fire32236274[[#This Row],[Actual Buyout]]+Fire32236274[[#This Row],[Change Orders]])</f>
        <v>0</v>
      </c>
      <c r="I403" s="129">
        <v>0</v>
      </c>
      <c r="J403" s="129">
        <f>Fire32236274[[#This Row],[Original Contract]]-Fire32236274[[#This Row],[Revised Contract]]</f>
        <v>0</v>
      </c>
      <c r="K403" s="347"/>
      <c r="L403" s="341"/>
      <c r="M403" s="343"/>
      <c r="T403" s="97"/>
      <c r="U403" s="97"/>
      <c r="Y403" s="198"/>
      <c r="Z403" s="198"/>
    </row>
    <row r="404" spans="1:26" x14ac:dyDescent="0.35">
      <c r="A404" s="128">
        <v>21</v>
      </c>
      <c r="B404" s="132" t="s">
        <v>716</v>
      </c>
      <c r="C404" s="132" t="s">
        <v>363</v>
      </c>
      <c r="D404" s="133" t="s">
        <v>772</v>
      </c>
      <c r="E404" s="255">
        <v>0</v>
      </c>
      <c r="F404" s="255">
        <v>0</v>
      </c>
      <c r="G404" s="129">
        <f>0</f>
        <v>0</v>
      </c>
      <c r="H404" s="255">
        <f>IF(Fire32236274[[#This Row],[Actual Buyout]]+Fire32236274[[#This Row],[Change Orders]]=0,Fire32236274[[#This Row],[Original Contract]],Fire32236274[[#This Row],[Actual Buyout]]+Fire32236274[[#This Row],[Change Orders]])</f>
        <v>0</v>
      </c>
      <c r="I404" s="129">
        <v>0</v>
      </c>
      <c r="J404" s="129">
        <f>Fire32236274[[#This Row],[Original Contract]]-Fire32236274[[#This Row],[Revised Contract]]</f>
        <v>0</v>
      </c>
      <c r="K404" s="347"/>
      <c r="L404" s="341"/>
      <c r="M404" s="343"/>
      <c r="T404" s="97"/>
      <c r="U404" s="97"/>
      <c r="Y404" s="198"/>
      <c r="Z404" s="198"/>
    </row>
    <row r="405" spans="1:26" x14ac:dyDescent="0.35">
      <c r="A405" s="128">
        <v>21</v>
      </c>
      <c r="B405" s="132" t="s">
        <v>716</v>
      </c>
      <c r="C405" s="132" t="s">
        <v>363</v>
      </c>
      <c r="D405" s="133" t="s">
        <v>134</v>
      </c>
      <c r="E405" s="255">
        <v>0</v>
      </c>
      <c r="F405" s="255">
        <v>0</v>
      </c>
      <c r="G405" s="129">
        <f>0</f>
        <v>0</v>
      </c>
      <c r="H405" s="255">
        <f>IF(Fire32236274[[#This Row],[Actual Buyout]]+Fire32236274[[#This Row],[Change Orders]]=0,Fire32236274[[#This Row],[Original Contract]],Fire32236274[[#This Row],[Actual Buyout]]+Fire32236274[[#This Row],[Change Orders]])</f>
        <v>0</v>
      </c>
      <c r="I405" s="129">
        <v>0</v>
      </c>
      <c r="J405" s="129">
        <f>Fire32236274[[#This Row],[Original Contract]]-Fire32236274[[#This Row],[Revised Contract]]</f>
        <v>0</v>
      </c>
      <c r="K405" s="347"/>
      <c r="L405" s="341"/>
      <c r="M405" s="343"/>
      <c r="T405" s="97"/>
      <c r="U405" s="97"/>
      <c r="Y405" s="198"/>
      <c r="Z405" s="198"/>
    </row>
    <row r="406" spans="1:26" x14ac:dyDescent="0.35">
      <c r="A406" s="128">
        <v>21</v>
      </c>
      <c r="B406" s="132" t="s">
        <v>716</v>
      </c>
      <c r="C406" s="132" t="s">
        <v>363</v>
      </c>
      <c r="D406" s="133" t="s">
        <v>135</v>
      </c>
      <c r="E406" s="255">
        <v>0</v>
      </c>
      <c r="F406" s="255">
        <v>0</v>
      </c>
      <c r="G406" s="129">
        <f>0</f>
        <v>0</v>
      </c>
      <c r="H406" s="255">
        <f>IF(Fire32236274[[#This Row],[Actual Buyout]]+Fire32236274[[#This Row],[Change Orders]]=0,Fire32236274[[#This Row],[Original Contract]],Fire32236274[[#This Row],[Actual Buyout]]+Fire32236274[[#This Row],[Change Orders]])</f>
        <v>0</v>
      </c>
      <c r="I406" s="129">
        <v>0</v>
      </c>
      <c r="J406" s="129">
        <f>Fire32236274[[#This Row],[Original Contract]]-Fire32236274[[#This Row],[Revised Contract]]</f>
        <v>0</v>
      </c>
      <c r="K406" s="347"/>
      <c r="L406" s="341"/>
      <c r="M406" s="343"/>
      <c r="T406" s="97"/>
      <c r="U406" s="97"/>
      <c r="Y406" s="198"/>
      <c r="Z406" s="198"/>
    </row>
    <row r="407" spans="1:26" x14ac:dyDescent="0.35">
      <c r="A407" s="128">
        <v>21</v>
      </c>
      <c r="B407" s="132" t="s">
        <v>716</v>
      </c>
      <c r="C407" s="132" t="s">
        <v>363</v>
      </c>
      <c r="D407" s="133" t="s">
        <v>773</v>
      </c>
      <c r="E407" s="255">
        <v>0</v>
      </c>
      <c r="F407" s="255">
        <v>0</v>
      </c>
      <c r="G407" s="129">
        <f>0</f>
        <v>0</v>
      </c>
      <c r="H407" s="255">
        <f>IF(Fire32236274[[#This Row],[Actual Buyout]]+Fire32236274[[#This Row],[Change Orders]]=0,Fire32236274[[#This Row],[Original Contract]],Fire32236274[[#This Row],[Actual Buyout]]+Fire32236274[[#This Row],[Change Orders]])</f>
        <v>0</v>
      </c>
      <c r="I407" s="129">
        <v>0</v>
      </c>
      <c r="J407" s="129">
        <f>Fire32236274[[#This Row],[Original Contract]]-Fire32236274[[#This Row],[Revised Contract]]</f>
        <v>0</v>
      </c>
      <c r="K407" s="347"/>
      <c r="L407" s="341"/>
      <c r="M407" s="343"/>
      <c r="T407" s="97"/>
      <c r="U407" s="97"/>
      <c r="Y407" s="198"/>
      <c r="Z407" s="198"/>
    </row>
    <row r="408" spans="1:26" x14ac:dyDescent="0.35">
      <c r="A408" s="128">
        <v>21</v>
      </c>
      <c r="B408" s="132" t="s">
        <v>716</v>
      </c>
      <c r="C408" s="132" t="s">
        <v>363</v>
      </c>
      <c r="D408" s="133" t="s">
        <v>774</v>
      </c>
      <c r="E408" s="255">
        <v>0</v>
      </c>
      <c r="F408" s="255">
        <v>0</v>
      </c>
      <c r="G408" s="129">
        <f>0</f>
        <v>0</v>
      </c>
      <c r="H408" s="255">
        <f>IF(Fire32236274[[#This Row],[Actual Buyout]]+Fire32236274[[#This Row],[Change Orders]]=0,Fire32236274[[#This Row],[Original Contract]],Fire32236274[[#This Row],[Actual Buyout]]+Fire32236274[[#This Row],[Change Orders]])</f>
        <v>0</v>
      </c>
      <c r="I408" s="129">
        <v>0</v>
      </c>
      <c r="J408" s="129">
        <f>Fire32236274[[#This Row],[Original Contract]]-Fire32236274[[#This Row],[Revised Contract]]</f>
        <v>0</v>
      </c>
      <c r="K408" s="347"/>
      <c r="L408" s="341"/>
      <c r="M408" s="343"/>
      <c r="T408" s="97"/>
      <c r="U408" s="97"/>
      <c r="Y408" s="198"/>
      <c r="Z408" s="198"/>
    </row>
    <row r="409" spans="1:26" x14ac:dyDescent="0.35">
      <c r="A409" s="128">
        <v>21</v>
      </c>
      <c r="B409" s="132"/>
      <c r="C409" s="132"/>
      <c r="D409" s="133" t="s">
        <v>37</v>
      </c>
      <c r="E409" s="255">
        <v>0</v>
      </c>
      <c r="F409" s="255">
        <v>0</v>
      </c>
      <c r="G409" s="129">
        <f>0</f>
        <v>0</v>
      </c>
      <c r="H409" s="255">
        <f>IF(Fire32236274[[#This Row],[Actual Buyout]]+Fire32236274[[#This Row],[Change Orders]]=0,Fire32236274[[#This Row],[Original Contract]],Fire32236274[[#This Row],[Actual Buyout]]+Fire32236274[[#This Row],[Change Orders]])</f>
        <v>0</v>
      </c>
      <c r="I409" s="129">
        <v>0</v>
      </c>
      <c r="J409" s="129">
        <f>Fire32236274[[#This Row],[Original Contract]]-Fire32236274[[#This Row],[Revised Contract]]</f>
        <v>0</v>
      </c>
      <c r="K409" s="347"/>
      <c r="L409" s="341"/>
      <c r="M409" s="343"/>
      <c r="T409" s="97"/>
      <c r="U409" s="97"/>
      <c r="Y409" s="198"/>
      <c r="Z409" s="198"/>
    </row>
    <row r="410" spans="1:26" x14ac:dyDescent="0.35">
      <c r="A410" s="128">
        <v>21</v>
      </c>
      <c r="B410" s="132"/>
      <c r="C410" s="132"/>
      <c r="D410" s="133" t="s">
        <v>37</v>
      </c>
      <c r="E410" s="255">
        <v>0</v>
      </c>
      <c r="F410" s="255">
        <v>0</v>
      </c>
      <c r="G410" s="129">
        <f>0</f>
        <v>0</v>
      </c>
      <c r="H410" s="255">
        <f>IF(Fire32236274[[#This Row],[Actual Buyout]]+Fire32236274[[#This Row],[Change Orders]]=0,Fire32236274[[#This Row],[Original Contract]],Fire32236274[[#This Row],[Actual Buyout]]+Fire32236274[[#This Row],[Change Orders]])</f>
        <v>0</v>
      </c>
      <c r="I410" s="129">
        <v>0</v>
      </c>
      <c r="J410" s="129">
        <f>Fire32236274[[#This Row],[Original Contract]]-Fire32236274[[#This Row],[Revised Contract]]</f>
        <v>0</v>
      </c>
      <c r="K410" s="347"/>
      <c r="L410" s="341"/>
      <c r="M410" s="343"/>
      <c r="T410" s="97"/>
      <c r="U410" s="97"/>
      <c r="Y410" s="198"/>
      <c r="Z410" s="198"/>
    </row>
    <row r="411" spans="1:26" x14ac:dyDescent="0.35">
      <c r="A411" s="128">
        <v>21</v>
      </c>
      <c r="B411" s="132"/>
      <c r="C411" s="132"/>
      <c r="D411" s="133" t="s">
        <v>37</v>
      </c>
      <c r="E411" s="255">
        <v>0</v>
      </c>
      <c r="F411" s="255">
        <v>0</v>
      </c>
      <c r="G411" s="129">
        <f>0</f>
        <v>0</v>
      </c>
      <c r="H411" s="255">
        <f>IF(Fire32236274[[#This Row],[Actual Buyout]]+Fire32236274[[#This Row],[Change Orders]]=0,Fire32236274[[#This Row],[Original Contract]],Fire32236274[[#This Row],[Actual Buyout]]+Fire32236274[[#This Row],[Change Orders]])</f>
        <v>0</v>
      </c>
      <c r="I411" s="129">
        <v>0</v>
      </c>
      <c r="J411" s="129">
        <f>Fire32236274[[#This Row],[Original Contract]]-Fire32236274[[#This Row],[Revised Contract]]</f>
        <v>0</v>
      </c>
      <c r="K411" s="347"/>
      <c r="L411" s="341"/>
      <c r="M411" s="343"/>
      <c r="T411" s="97"/>
      <c r="U411" s="97"/>
      <c r="Y411" s="198"/>
      <c r="Z411" s="198"/>
    </row>
    <row r="412" spans="1:26" x14ac:dyDescent="0.35">
      <c r="A412" s="128">
        <v>21</v>
      </c>
      <c r="B412" s="132"/>
      <c r="C412" s="132"/>
      <c r="D412" s="133" t="s">
        <v>37</v>
      </c>
      <c r="E412" s="255">
        <v>0</v>
      </c>
      <c r="F412" s="255">
        <v>0</v>
      </c>
      <c r="G412" s="129">
        <f>0</f>
        <v>0</v>
      </c>
      <c r="H412" s="255">
        <f>IF(Fire32236274[[#This Row],[Actual Buyout]]+Fire32236274[[#This Row],[Change Orders]]=0,Fire32236274[[#This Row],[Original Contract]],Fire32236274[[#This Row],[Actual Buyout]]+Fire32236274[[#This Row],[Change Orders]])</f>
        <v>0</v>
      </c>
      <c r="I412" s="129">
        <v>0</v>
      </c>
      <c r="J412" s="129">
        <f>Fire32236274[[#This Row],[Original Contract]]-Fire32236274[[#This Row],[Revised Contract]]</f>
        <v>0</v>
      </c>
      <c r="K412" s="347"/>
      <c r="L412" s="341"/>
      <c r="M412" s="343"/>
      <c r="T412" s="97"/>
      <c r="U412" s="97"/>
      <c r="Y412" s="198"/>
      <c r="Z412" s="198"/>
    </row>
    <row r="413" spans="1:26" x14ac:dyDescent="0.35">
      <c r="A413" s="128">
        <v>21</v>
      </c>
      <c r="B413" s="132"/>
      <c r="C413" s="132"/>
      <c r="D413" s="133" t="s">
        <v>37</v>
      </c>
      <c r="E413" s="255">
        <v>0</v>
      </c>
      <c r="F413" s="255">
        <v>0</v>
      </c>
      <c r="G413" s="129">
        <f>0</f>
        <v>0</v>
      </c>
      <c r="H413" s="255">
        <f>IF(Fire32236274[[#This Row],[Actual Buyout]]+Fire32236274[[#This Row],[Change Orders]]=0,Fire32236274[[#This Row],[Original Contract]],Fire32236274[[#This Row],[Actual Buyout]]+Fire32236274[[#This Row],[Change Orders]])</f>
        <v>0</v>
      </c>
      <c r="I413" s="129">
        <v>0</v>
      </c>
      <c r="J413" s="129">
        <f>Fire32236274[[#This Row],[Original Contract]]-Fire32236274[[#This Row],[Revised Contract]]</f>
        <v>0</v>
      </c>
      <c r="K413" s="347"/>
      <c r="L413" s="341"/>
      <c r="M413" s="343"/>
      <c r="T413" s="97"/>
      <c r="U413" s="97"/>
      <c r="Y413" s="198"/>
      <c r="Z413" s="198"/>
    </row>
    <row r="414" spans="1:26" x14ac:dyDescent="0.35">
      <c r="A414" s="128">
        <v>21</v>
      </c>
      <c r="B414" s="259"/>
      <c r="C414" s="259"/>
      <c r="D414" s="260" t="s">
        <v>37</v>
      </c>
      <c r="E414" s="255">
        <v>0</v>
      </c>
      <c r="F414" s="255">
        <v>0</v>
      </c>
      <c r="G414" s="129">
        <f>0</f>
        <v>0</v>
      </c>
      <c r="H414" s="255">
        <f>IF(Fire32236274[[#This Row],[Actual Buyout]]+Fire32236274[[#This Row],[Change Orders]]=0,Fire32236274[[#This Row],[Original Contract]],Fire32236274[[#This Row],[Actual Buyout]]+Fire32236274[[#This Row],[Change Orders]])</f>
        <v>0</v>
      </c>
      <c r="I414" s="129">
        <v>0</v>
      </c>
      <c r="J414" s="129">
        <f>Fire32236274[[#This Row],[Original Contract]]-Fire32236274[[#This Row],[Revised Contract]]</f>
        <v>0</v>
      </c>
      <c r="K414" s="347"/>
      <c r="L414" s="341"/>
      <c r="M414" s="343"/>
      <c r="T414" s="97"/>
      <c r="U414" s="97"/>
      <c r="Y414" s="198"/>
      <c r="Z414" s="198"/>
    </row>
    <row r="415" spans="1:26" x14ac:dyDescent="0.35">
      <c r="A415" s="257"/>
      <c r="B415" s="258"/>
      <c r="C415" s="258"/>
      <c r="D415" s="256" t="s">
        <v>38</v>
      </c>
      <c r="E415" s="151">
        <f>SUM(Fire32236274[Original Contract])</f>
        <v>0</v>
      </c>
      <c r="F415" s="151">
        <f>SUM(Fire32236274[Actual Buyout])</f>
        <v>0</v>
      </c>
      <c r="G415" s="151">
        <f>SUM(Fire32236274[Change Orders])</f>
        <v>0</v>
      </c>
      <c r="H415" s="151">
        <f>SUM(Fire32236274[Revised Contract])</f>
        <v>0</v>
      </c>
      <c r="I415" s="151">
        <f>SUM(Fire32236274[Total completed and Stored])</f>
        <v>0</v>
      </c>
      <c r="J415" s="151">
        <f>SUM(Fire32236274[Delta])</f>
        <v>0</v>
      </c>
      <c r="K415" s="348"/>
      <c r="L415" s="343"/>
      <c r="M415" s="343"/>
    </row>
    <row r="416" spans="1:26" x14ac:dyDescent="0.35">
      <c r="A416" s="100" t="s">
        <v>666</v>
      </c>
      <c r="B416" s="100" t="s">
        <v>5</v>
      </c>
      <c r="C416" s="100" t="s">
        <v>167</v>
      </c>
      <c r="D416" s="100" t="s">
        <v>26</v>
      </c>
      <c r="E416" s="100" t="s">
        <v>781</v>
      </c>
      <c r="F416" s="332" t="s">
        <v>1078</v>
      </c>
      <c r="G416" s="332" t="s">
        <v>782</v>
      </c>
      <c r="H416" s="332" t="s">
        <v>783</v>
      </c>
      <c r="I416" s="334" t="s">
        <v>785</v>
      </c>
      <c r="J416" s="340" t="s">
        <v>1079</v>
      </c>
      <c r="K416" s="347"/>
      <c r="L416" s="335"/>
      <c r="M416" s="343"/>
      <c r="T416" s="97"/>
      <c r="U416" s="97"/>
      <c r="Y416" s="198"/>
      <c r="Z416" s="198"/>
    </row>
    <row r="417" spans="1:26" x14ac:dyDescent="0.35">
      <c r="A417" s="128">
        <v>22</v>
      </c>
      <c r="B417" s="132" t="s">
        <v>368</v>
      </c>
      <c r="C417" s="132" t="s">
        <v>364</v>
      </c>
      <c r="D417" s="133" t="s">
        <v>136</v>
      </c>
      <c r="E417" s="255">
        <v>0</v>
      </c>
      <c r="F417" s="255">
        <v>0</v>
      </c>
      <c r="G417" s="129">
        <f>0</f>
        <v>0</v>
      </c>
      <c r="H417" s="255">
        <f>IF(Plumbing33237275[[#This Row],[Actual Buyout]]+Plumbing33237275[[#This Row],[Change Orders]]=0,Plumbing33237275[[#This Row],[Original Contract]],Plumbing33237275[[#This Row],[Actual Buyout]]+Plumbing33237275[[#This Row],[Change Orders]])</f>
        <v>0</v>
      </c>
      <c r="I417" s="129">
        <v>0</v>
      </c>
      <c r="J417" s="129">
        <f>Plumbing33237275[[#This Row],[Original Contract]]-Plumbing33237275[[#This Row],[Revised Contract]]</f>
        <v>0</v>
      </c>
      <c r="K417" s="347"/>
      <c r="L417" s="341"/>
      <c r="M417" s="343"/>
      <c r="T417" s="97"/>
      <c r="U417" s="97"/>
      <c r="Y417" s="198"/>
      <c r="Z417" s="198"/>
    </row>
    <row r="418" spans="1:26" x14ac:dyDescent="0.35">
      <c r="A418" s="128">
        <v>22</v>
      </c>
      <c r="B418" s="132" t="s">
        <v>368</v>
      </c>
      <c r="C418" s="132" t="s">
        <v>364</v>
      </c>
      <c r="D418" s="133" t="s">
        <v>137</v>
      </c>
      <c r="E418" s="255">
        <v>0</v>
      </c>
      <c r="F418" s="255">
        <v>0</v>
      </c>
      <c r="G418" s="129">
        <f>0</f>
        <v>0</v>
      </c>
      <c r="H418" s="255">
        <f>IF(Plumbing33237275[[#This Row],[Actual Buyout]]+Plumbing33237275[[#This Row],[Change Orders]]=0,Plumbing33237275[[#This Row],[Original Contract]],Plumbing33237275[[#This Row],[Actual Buyout]]+Plumbing33237275[[#This Row],[Change Orders]])</f>
        <v>0</v>
      </c>
      <c r="I418" s="129">
        <v>0</v>
      </c>
      <c r="J418" s="129">
        <f>Plumbing33237275[[#This Row],[Original Contract]]-Plumbing33237275[[#This Row],[Revised Contract]]</f>
        <v>0</v>
      </c>
      <c r="K418" s="347"/>
      <c r="L418" s="341"/>
      <c r="M418" s="343"/>
      <c r="T418" s="97"/>
      <c r="U418" s="97"/>
      <c r="Y418" s="198"/>
      <c r="Z418" s="198"/>
    </row>
    <row r="419" spans="1:26" x14ac:dyDescent="0.35">
      <c r="A419" s="128">
        <v>22</v>
      </c>
      <c r="B419" s="132" t="s">
        <v>368</v>
      </c>
      <c r="C419" s="132" t="s">
        <v>364</v>
      </c>
      <c r="D419" s="133" t="s">
        <v>138</v>
      </c>
      <c r="E419" s="255">
        <v>0</v>
      </c>
      <c r="F419" s="255">
        <v>0</v>
      </c>
      <c r="G419" s="129">
        <f>0</f>
        <v>0</v>
      </c>
      <c r="H419" s="255">
        <f>IF(Plumbing33237275[[#This Row],[Actual Buyout]]+Plumbing33237275[[#This Row],[Change Orders]]=0,Plumbing33237275[[#This Row],[Original Contract]],Plumbing33237275[[#This Row],[Actual Buyout]]+Plumbing33237275[[#This Row],[Change Orders]])</f>
        <v>0</v>
      </c>
      <c r="I419" s="129">
        <v>0</v>
      </c>
      <c r="J419" s="129">
        <f>Plumbing33237275[[#This Row],[Original Contract]]-Plumbing33237275[[#This Row],[Revised Contract]]</f>
        <v>0</v>
      </c>
      <c r="K419" s="347"/>
      <c r="L419" s="341"/>
      <c r="M419" s="343"/>
      <c r="T419" s="97"/>
      <c r="U419" s="97"/>
      <c r="Y419" s="198"/>
      <c r="Z419" s="198"/>
    </row>
    <row r="420" spans="1:26" x14ac:dyDescent="0.35">
      <c r="A420" s="128">
        <v>22</v>
      </c>
      <c r="B420" s="132" t="s">
        <v>368</v>
      </c>
      <c r="C420" s="132" t="s">
        <v>364</v>
      </c>
      <c r="D420" s="133" t="s">
        <v>161</v>
      </c>
      <c r="E420" s="255">
        <v>0</v>
      </c>
      <c r="F420" s="255">
        <v>0</v>
      </c>
      <c r="G420" s="129">
        <f>0</f>
        <v>0</v>
      </c>
      <c r="H420" s="255">
        <f>IF(Plumbing33237275[[#This Row],[Actual Buyout]]+Plumbing33237275[[#This Row],[Change Orders]]=0,Plumbing33237275[[#This Row],[Original Contract]],Plumbing33237275[[#This Row],[Actual Buyout]]+Plumbing33237275[[#This Row],[Change Orders]])</f>
        <v>0</v>
      </c>
      <c r="I420" s="129">
        <v>0</v>
      </c>
      <c r="J420" s="129">
        <f>Plumbing33237275[[#This Row],[Original Contract]]-Plumbing33237275[[#This Row],[Revised Contract]]</f>
        <v>0</v>
      </c>
      <c r="K420" s="347"/>
      <c r="L420" s="341"/>
      <c r="M420" s="343"/>
      <c r="T420" s="97"/>
      <c r="U420" s="97"/>
      <c r="Y420" s="198"/>
      <c r="Z420" s="198"/>
    </row>
    <row r="421" spans="1:26" x14ac:dyDescent="0.35">
      <c r="A421" s="128">
        <v>22</v>
      </c>
      <c r="B421" s="132" t="s">
        <v>370</v>
      </c>
      <c r="C421" s="132" t="s">
        <v>369</v>
      </c>
      <c r="D421" s="133" t="s">
        <v>198</v>
      </c>
      <c r="E421" s="255">
        <v>0</v>
      </c>
      <c r="F421" s="255">
        <v>0</v>
      </c>
      <c r="G421" s="129">
        <f>0</f>
        <v>0</v>
      </c>
      <c r="H421" s="255">
        <f>IF(Plumbing33237275[[#This Row],[Actual Buyout]]+Plumbing33237275[[#This Row],[Change Orders]]=0,Plumbing33237275[[#This Row],[Original Contract]],Plumbing33237275[[#This Row],[Actual Buyout]]+Plumbing33237275[[#This Row],[Change Orders]])</f>
        <v>0</v>
      </c>
      <c r="I421" s="129">
        <v>0</v>
      </c>
      <c r="J421" s="129">
        <f>Plumbing33237275[[#This Row],[Original Contract]]-Plumbing33237275[[#This Row],[Revised Contract]]</f>
        <v>0</v>
      </c>
      <c r="K421" s="347"/>
      <c r="L421" s="341"/>
      <c r="M421" s="343"/>
      <c r="T421" s="97"/>
      <c r="U421" s="97"/>
      <c r="Y421" s="198"/>
      <c r="Z421" s="198"/>
    </row>
    <row r="422" spans="1:26" x14ac:dyDescent="0.35">
      <c r="A422" s="128">
        <v>22</v>
      </c>
      <c r="B422" s="132" t="s">
        <v>368</v>
      </c>
      <c r="C422" s="132" t="s">
        <v>364</v>
      </c>
      <c r="D422" s="133" t="s">
        <v>199</v>
      </c>
      <c r="E422" s="255">
        <v>0</v>
      </c>
      <c r="F422" s="255">
        <v>0</v>
      </c>
      <c r="G422" s="129">
        <f>0</f>
        <v>0</v>
      </c>
      <c r="H422" s="255">
        <f>IF(Plumbing33237275[[#This Row],[Actual Buyout]]+Plumbing33237275[[#This Row],[Change Orders]]=0,Plumbing33237275[[#This Row],[Original Contract]],Plumbing33237275[[#This Row],[Actual Buyout]]+Plumbing33237275[[#This Row],[Change Orders]])</f>
        <v>0</v>
      </c>
      <c r="I422" s="129">
        <v>0</v>
      </c>
      <c r="J422" s="129">
        <f>Plumbing33237275[[#This Row],[Original Contract]]-Plumbing33237275[[#This Row],[Revised Contract]]</f>
        <v>0</v>
      </c>
      <c r="K422" s="347"/>
      <c r="L422" s="341"/>
      <c r="M422" s="343"/>
      <c r="T422" s="97"/>
      <c r="U422" s="97"/>
      <c r="Y422" s="198"/>
      <c r="Z422" s="198"/>
    </row>
    <row r="423" spans="1:26" x14ac:dyDescent="0.35">
      <c r="A423" s="128">
        <v>22</v>
      </c>
      <c r="B423" s="132" t="s">
        <v>368</v>
      </c>
      <c r="C423" s="132" t="s">
        <v>364</v>
      </c>
      <c r="D423" s="133" t="s">
        <v>200</v>
      </c>
      <c r="E423" s="255">
        <v>0</v>
      </c>
      <c r="F423" s="255">
        <v>0</v>
      </c>
      <c r="G423" s="129">
        <f>0</f>
        <v>0</v>
      </c>
      <c r="H423" s="255">
        <f>IF(Plumbing33237275[[#This Row],[Actual Buyout]]+Plumbing33237275[[#This Row],[Change Orders]]=0,Plumbing33237275[[#This Row],[Original Contract]],Plumbing33237275[[#This Row],[Actual Buyout]]+Plumbing33237275[[#This Row],[Change Orders]])</f>
        <v>0</v>
      </c>
      <c r="I423" s="129">
        <v>0</v>
      </c>
      <c r="J423" s="129">
        <f>Plumbing33237275[[#This Row],[Original Contract]]-Plumbing33237275[[#This Row],[Revised Contract]]</f>
        <v>0</v>
      </c>
      <c r="K423" s="347"/>
      <c r="L423" s="341"/>
      <c r="M423" s="343"/>
      <c r="T423" s="97"/>
      <c r="U423" s="97"/>
      <c r="Y423" s="198"/>
      <c r="Z423" s="198"/>
    </row>
    <row r="424" spans="1:26" x14ac:dyDescent="0.35">
      <c r="A424" s="128">
        <v>22</v>
      </c>
      <c r="B424" s="132"/>
      <c r="C424" s="132"/>
      <c r="D424" s="133" t="s">
        <v>808</v>
      </c>
      <c r="E424" s="255">
        <v>0</v>
      </c>
      <c r="F424" s="255">
        <v>0</v>
      </c>
      <c r="G424" s="129">
        <f>0</f>
        <v>0</v>
      </c>
      <c r="H424" s="255">
        <f>IF(Plumbing33237275[[#This Row],[Actual Buyout]]+Plumbing33237275[[#This Row],[Change Orders]]=0,Plumbing33237275[[#This Row],[Original Contract]],Plumbing33237275[[#This Row],[Actual Buyout]]+Plumbing33237275[[#This Row],[Change Orders]])</f>
        <v>0</v>
      </c>
      <c r="I424" s="129">
        <v>0</v>
      </c>
      <c r="J424" s="129">
        <f>Plumbing33237275[[#This Row],[Original Contract]]-Plumbing33237275[[#This Row],[Revised Contract]]</f>
        <v>0</v>
      </c>
      <c r="K424" s="347"/>
      <c r="L424" s="341"/>
      <c r="M424" s="343"/>
      <c r="T424" s="97"/>
      <c r="U424" s="97"/>
      <c r="Y424" s="198"/>
      <c r="Z424" s="198"/>
    </row>
    <row r="425" spans="1:26" x14ac:dyDescent="0.35">
      <c r="A425" s="128">
        <v>22</v>
      </c>
      <c r="B425" s="132"/>
      <c r="C425" s="132"/>
      <c r="D425" s="133" t="s">
        <v>37</v>
      </c>
      <c r="E425" s="255">
        <v>0</v>
      </c>
      <c r="F425" s="255">
        <v>0</v>
      </c>
      <c r="G425" s="129">
        <f>0</f>
        <v>0</v>
      </c>
      <c r="H425" s="255">
        <f>IF(Plumbing33237275[[#This Row],[Actual Buyout]]+Plumbing33237275[[#This Row],[Change Orders]]=0,Plumbing33237275[[#This Row],[Original Contract]],Plumbing33237275[[#This Row],[Actual Buyout]]+Plumbing33237275[[#This Row],[Change Orders]])</f>
        <v>0</v>
      </c>
      <c r="I425" s="129">
        <v>0</v>
      </c>
      <c r="J425" s="129">
        <f>Plumbing33237275[[#This Row],[Original Contract]]-Plumbing33237275[[#This Row],[Revised Contract]]</f>
        <v>0</v>
      </c>
      <c r="K425" s="347"/>
      <c r="L425" s="341"/>
      <c r="M425" s="343"/>
      <c r="T425" s="97"/>
      <c r="U425" s="97"/>
      <c r="Y425" s="198"/>
      <c r="Z425" s="198"/>
    </row>
    <row r="426" spans="1:26" x14ac:dyDescent="0.35">
      <c r="A426" s="128">
        <v>22</v>
      </c>
      <c r="B426" s="132"/>
      <c r="C426" s="132"/>
      <c r="D426" s="133" t="s">
        <v>37</v>
      </c>
      <c r="E426" s="255">
        <v>0</v>
      </c>
      <c r="F426" s="255">
        <v>0</v>
      </c>
      <c r="G426" s="129">
        <f>0</f>
        <v>0</v>
      </c>
      <c r="H426" s="255">
        <f>IF(Plumbing33237275[[#This Row],[Actual Buyout]]+Plumbing33237275[[#This Row],[Change Orders]]=0,Plumbing33237275[[#This Row],[Original Contract]],Plumbing33237275[[#This Row],[Actual Buyout]]+Plumbing33237275[[#This Row],[Change Orders]])</f>
        <v>0</v>
      </c>
      <c r="I426" s="129">
        <v>0</v>
      </c>
      <c r="J426" s="129">
        <f>Plumbing33237275[[#This Row],[Original Contract]]-Plumbing33237275[[#This Row],[Revised Contract]]</f>
        <v>0</v>
      </c>
      <c r="K426" s="347"/>
      <c r="L426" s="341"/>
      <c r="M426" s="343"/>
      <c r="T426" s="97"/>
      <c r="U426" s="97"/>
      <c r="Y426" s="198"/>
      <c r="Z426" s="198"/>
    </row>
    <row r="427" spans="1:26" x14ac:dyDescent="0.35">
      <c r="A427" s="128">
        <v>22</v>
      </c>
      <c r="B427" s="132"/>
      <c r="C427" s="132"/>
      <c r="D427" s="133" t="s">
        <v>37</v>
      </c>
      <c r="E427" s="255">
        <v>0</v>
      </c>
      <c r="F427" s="255">
        <v>0</v>
      </c>
      <c r="G427" s="129">
        <f>0</f>
        <v>0</v>
      </c>
      <c r="H427" s="255">
        <f>IF(Plumbing33237275[[#This Row],[Actual Buyout]]+Plumbing33237275[[#This Row],[Change Orders]]=0,Plumbing33237275[[#This Row],[Original Contract]],Plumbing33237275[[#This Row],[Actual Buyout]]+Plumbing33237275[[#This Row],[Change Orders]])</f>
        <v>0</v>
      </c>
      <c r="I427" s="129">
        <v>0</v>
      </c>
      <c r="J427" s="129">
        <f>Plumbing33237275[[#This Row],[Original Contract]]-Plumbing33237275[[#This Row],[Revised Contract]]</f>
        <v>0</v>
      </c>
      <c r="K427" s="347"/>
      <c r="L427" s="341"/>
      <c r="M427" s="343"/>
      <c r="T427" s="97"/>
      <c r="U427" s="97"/>
      <c r="Y427" s="198"/>
      <c r="Z427" s="198"/>
    </row>
    <row r="428" spans="1:26" x14ac:dyDescent="0.35">
      <c r="A428" s="128">
        <v>22</v>
      </c>
      <c r="B428" s="132"/>
      <c r="C428" s="132"/>
      <c r="D428" s="133" t="s">
        <v>37</v>
      </c>
      <c r="E428" s="255">
        <v>0</v>
      </c>
      <c r="F428" s="255">
        <v>0</v>
      </c>
      <c r="G428" s="129">
        <f>0</f>
        <v>0</v>
      </c>
      <c r="H428" s="255">
        <f>IF(Plumbing33237275[[#This Row],[Actual Buyout]]+Plumbing33237275[[#This Row],[Change Orders]]=0,Plumbing33237275[[#This Row],[Original Contract]],Plumbing33237275[[#This Row],[Actual Buyout]]+Plumbing33237275[[#This Row],[Change Orders]])</f>
        <v>0</v>
      </c>
      <c r="I428" s="129">
        <v>0</v>
      </c>
      <c r="J428" s="129">
        <f>Plumbing33237275[[#This Row],[Original Contract]]-Plumbing33237275[[#This Row],[Revised Contract]]</f>
        <v>0</v>
      </c>
      <c r="K428" s="347"/>
      <c r="L428" s="341"/>
      <c r="M428" s="343"/>
      <c r="T428" s="97"/>
      <c r="U428" s="97"/>
      <c r="Y428" s="198"/>
      <c r="Z428" s="198"/>
    </row>
    <row r="429" spans="1:26" x14ac:dyDescent="0.35">
      <c r="A429" s="257"/>
      <c r="B429" s="258"/>
      <c r="C429" s="258"/>
      <c r="D429" s="256" t="s">
        <v>38</v>
      </c>
      <c r="E429" s="151">
        <f>SUM(Plumbing33237275[Original Contract])</f>
        <v>0</v>
      </c>
      <c r="F429" s="151">
        <f>SUM(Plumbing33237275[Actual Buyout])</f>
        <v>0</v>
      </c>
      <c r="G429" s="151">
        <f>SUM(Plumbing33237275[Change Orders])</f>
        <v>0</v>
      </c>
      <c r="H429" s="151">
        <f>SUM(Plumbing33237275[Revised Contract])</f>
        <v>0</v>
      </c>
      <c r="I429" s="151">
        <f>SUM(Plumbing33237275[Total completed and Stored])</f>
        <v>0</v>
      </c>
      <c r="J429" s="151">
        <f>SUM(Plumbing33237275[Delta])</f>
        <v>0</v>
      </c>
      <c r="K429" s="348"/>
      <c r="L429" s="343"/>
      <c r="M429" s="343"/>
    </row>
    <row r="430" spans="1:26" x14ac:dyDescent="0.35">
      <c r="A430" s="100" t="s">
        <v>667</v>
      </c>
      <c r="B430" s="100" t="s">
        <v>6</v>
      </c>
      <c r="C430" s="100" t="s">
        <v>167</v>
      </c>
      <c r="D430" s="100" t="s">
        <v>26</v>
      </c>
      <c r="E430" s="100" t="s">
        <v>781</v>
      </c>
      <c r="F430" s="332" t="s">
        <v>1078</v>
      </c>
      <c r="G430" s="332" t="s">
        <v>782</v>
      </c>
      <c r="H430" s="332" t="s">
        <v>783</v>
      </c>
      <c r="I430" s="334" t="s">
        <v>785</v>
      </c>
      <c r="J430" s="340" t="s">
        <v>1079</v>
      </c>
      <c r="K430" s="347"/>
      <c r="L430" s="335"/>
      <c r="M430" s="343"/>
      <c r="T430" s="97"/>
      <c r="U430" s="97"/>
      <c r="Y430" s="198"/>
      <c r="Z430" s="198"/>
    </row>
    <row r="431" spans="1:26" x14ac:dyDescent="0.35">
      <c r="A431" s="128">
        <v>23</v>
      </c>
      <c r="B431" s="132" t="s">
        <v>371</v>
      </c>
      <c r="C431" s="132" t="s">
        <v>202</v>
      </c>
      <c r="D431" s="133" t="s">
        <v>139</v>
      </c>
      <c r="E431" s="255">
        <v>0</v>
      </c>
      <c r="F431" s="255">
        <v>0</v>
      </c>
      <c r="G431" s="129">
        <f>0</f>
        <v>0</v>
      </c>
      <c r="H431" s="255">
        <f>IF(HVAC34238276[[#This Row],[Actual Buyout]]+HVAC34238276[[#This Row],[Change Orders]]=0,HVAC34238276[[#This Row],[Original Contract]],HVAC34238276[[#This Row],[Actual Buyout]]+HVAC34238276[[#This Row],[Change Orders]])</f>
        <v>0</v>
      </c>
      <c r="I431" s="129">
        <v>0</v>
      </c>
      <c r="J431" s="129">
        <f>HVAC34238276[[#This Row],[Original Contract]]-HVAC34238276[[#This Row],[Revised Contract]]</f>
        <v>0</v>
      </c>
      <c r="K431" s="347"/>
      <c r="L431" s="341"/>
      <c r="M431" s="343"/>
      <c r="T431" s="97"/>
      <c r="U431" s="97"/>
      <c r="Y431" s="198"/>
      <c r="Z431" s="198"/>
    </row>
    <row r="432" spans="1:26" x14ac:dyDescent="0.35">
      <c r="A432" s="128">
        <v>23</v>
      </c>
      <c r="B432" s="132" t="s">
        <v>376</v>
      </c>
      <c r="C432" s="132" t="s">
        <v>375</v>
      </c>
      <c r="D432" s="133" t="s">
        <v>140</v>
      </c>
      <c r="E432" s="255">
        <v>0</v>
      </c>
      <c r="F432" s="255">
        <v>0</v>
      </c>
      <c r="G432" s="129">
        <f>0</f>
        <v>0</v>
      </c>
      <c r="H432" s="255">
        <f>IF(HVAC34238276[[#This Row],[Actual Buyout]]+HVAC34238276[[#This Row],[Change Orders]]=0,HVAC34238276[[#This Row],[Original Contract]],HVAC34238276[[#This Row],[Actual Buyout]]+HVAC34238276[[#This Row],[Change Orders]])</f>
        <v>0</v>
      </c>
      <c r="I432" s="129">
        <v>0</v>
      </c>
      <c r="J432" s="129">
        <f>HVAC34238276[[#This Row],[Original Contract]]-HVAC34238276[[#This Row],[Revised Contract]]</f>
        <v>0</v>
      </c>
      <c r="K432" s="347"/>
      <c r="L432" s="341"/>
      <c r="M432" s="343"/>
      <c r="T432" s="97"/>
      <c r="U432" s="97"/>
      <c r="Y432" s="198"/>
      <c r="Z432" s="198"/>
    </row>
    <row r="433" spans="1:26" x14ac:dyDescent="0.35">
      <c r="A433" s="128">
        <v>23</v>
      </c>
      <c r="B433" s="132" t="s">
        <v>371</v>
      </c>
      <c r="C433" s="132" t="s">
        <v>202</v>
      </c>
      <c r="D433" s="133" t="s">
        <v>141</v>
      </c>
      <c r="E433" s="255">
        <v>0</v>
      </c>
      <c r="F433" s="255">
        <v>0</v>
      </c>
      <c r="G433" s="129">
        <f>0</f>
        <v>0</v>
      </c>
      <c r="H433" s="255">
        <f>IF(HVAC34238276[[#This Row],[Actual Buyout]]+HVAC34238276[[#This Row],[Change Orders]]=0,HVAC34238276[[#This Row],[Original Contract]],HVAC34238276[[#This Row],[Actual Buyout]]+HVAC34238276[[#This Row],[Change Orders]])</f>
        <v>0</v>
      </c>
      <c r="I433" s="129">
        <v>0</v>
      </c>
      <c r="J433" s="129">
        <f>HVAC34238276[[#This Row],[Original Contract]]-HVAC34238276[[#This Row],[Revised Contract]]</f>
        <v>0</v>
      </c>
      <c r="K433" s="347"/>
      <c r="L433" s="341"/>
      <c r="M433" s="343"/>
      <c r="T433" s="97"/>
      <c r="U433" s="97"/>
      <c r="Y433" s="198"/>
      <c r="Z433" s="198"/>
    </row>
    <row r="434" spans="1:26" x14ac:dyDescent="0.35">
      <c r="A434" s="128">
        <v>23</v>
      </c>
      <c r="B434" s="132" t="s">
        <v>372</v>
      </c>
      <c r="C434" s="132" t="s">
        <v>201</v>
      </c>
      <c r="D434" s="133" t="s">
        <v>162</v>
      </c>
      <c r="E434" s="255">
        <v>0</v>
      </c>
      <c r="F434" s="255">
        <v>0</v>
      </c>
      <c r="G434" s="129">
        <f>0</f>
        <v>0</v>
      </c>
      <c r="H434" s="255">
        <f>IF(HVAC34238276[[#This Row],[Actual Buyout]]+HVAC34238276[[#This Row],[Change Orders]]=0,HVAC34238276[[#This Row],[Original Contract]],HVAC34238276[[#This Row],[Actual Buyout]]+HVAC34238276[[#This Row],[Change Orders]])</f>
        <v>0</v>
      </c>
      <c r="I434" s="129">
        <v>0</v>
      </c>
      <c r="J434" s="129">
        <f>HVAC34238276[[#This Row],[Original Contract]]-HVAC34238276[[#This Row],[Revised Contract]]</f>
        <v>0</v>
      </c>
      <c r="K434" s="347"/>
      <c r="L434" s="341"/>
      <c r="M434" s="343"/>
      <c r="T434" s="97"/>
      <c r="U434" s="97"/>
      <c r="Y434" s="198"/>
      <c r="Z434" s="198"/>
    </row>
    <row r="435" spans="1:26" x14ac:dyDescent="0.35">
      <c r="A435" s="128">
        <v>23</v>
      </c>
      <c r="B435" s="132" t="s">
        <v>718</v>
      </c>
      <c r="C435" s="132" t="s">
        <v>373</v>
      </c>
      <c r="D435" s="133" t="s">
        <v>142</v>
      </c>
      <c r="E435" s="255">
        <v>0</v>
      </c>
      <c r="F435" s="255">
        <v>0</v>
      </c>
      <c r="G435" s="129">
        <f>0</f>
        <v>0</v>
      </c>
      <c r="H435" s="255">
        <f>IF(HVAC34238276[[#This Row],[Actual Buyout]]+HVAC34238276[[#This Row],[Change Orders]]=0,HVAC34238276[[#This Row],[Original Contract]],HVAC34238276[[#This Row],[Actual Buyout]]+HVAC34238276[[#This Row],[Change Orders]])</f>
        <v>0</v>
      </c>
      <c r="I435" s="129">
        <v>0</v>
      </c>
      <c r="J435" s="129">
        <f>HVAC34238276[[#This Row],[Original Contract]]-HVAC34238276[[#This Row],[Revised Contract]]</f>
        <v>0</v>
      </c>
      <c r="K435" s="347"/>
      <c r="L435" s="341"/>
      <c r="M435" s="343"/>
      <c r="T435" s="97"/>
      <c r="U435" s="97"/>
      <c r="Y435" s="198"/>
      <c r="Z435" s="198"/>
    </row>
    <row r="436" spans="1:26" x14ac:dyDescent="0.35">
      <c r="A436" s="128">
        <v>23</v>
      </c>
      <c r="B436" s="132" t="s">
        <v>371</v>
      </c>
      <c r="C436" s="132" t="s">
        <v>202</v>
      </c>
      <c r="D436" s="133" t="s">
        <v>707</v>
      </c>
      <c r="E436" s="255">
        <v>0</v>
      </c>
      <c r="F436" s="255">
        <v>0</v>
      </c>
      <c r="G436" s="129">
        <f>0</f>
        <v>0</v>
      </c>
      <c r="H436" s="255">
        <f>IF(HVAC34238276[[#This Row],[Actual Buyout]]+HVAC34238276[[#This Row],[Change Orders]]=0,HVAC34238276[[#This Row],[Original Contract]],HVAC34238276[[#This Row],[Actual Buyout]]+HVAC34238276[[#This Row],[Change Orders]])</f>
        <v>0</v>
      </c>
      <c r="I436" s="129">
        <v>0</v>
      </c>
      <c r="J436" s="129">
        <f>HVAC34238276[[#This Row],[Original Contract]]-HVAC34238276[[#This Row],[Revised Contract]]</f>
        <v>0</v>
      </c>
      <c r="K436" s="347"/>
      <c r="L436" s="341"/>
      <c r="M436" s="343"/>
      <c r="T436" s="97"/>
      <c r="U436" s="97"/>
      <c r="Y436" s="198"/>
      <c r="Z436" s="198"/>
    </row>
    <row r="437" spans="1:26" x14ac:dyDescent="0.35">
      <c r="A437" s="128">
        <v>23</v>
      </c>
      <c r="B437" s="132" t="s">
        <v>374</v>
      </c>
      <c r="C437" s="132" t="s">
        <v>203</v>
      </c>
      <c r="D437" s="133" t="s">
        <v>204</v>
      </c>
      <c r="E437" s="255">
        <v>0</v>
      </c>
      <c r="F437" s="255">
        <v>0</v>
      </c>
      <c r="G437" s="129">
        <f>0</f>
        <v>0</v>
      </c>
      <c r="H437" s="255">
        <f>IF(HVAC34238276[[#This Row],[Actual Buyout]]+HVAC34238276[[#This Row],[Change Orders]]=0,HVAC34238276[[#This Row],[Original Contract]],HVAC34238276[[#This Row],[Actual Buyout]]+HVAC34238276[[#This Row],[Change Orders]])</f>
        <v>0</v>
      </c>
      <c r="I437" s="129">
        <v>0</v>
      </c>
      <c r="J437" s="129">
        <f>HVAC34238276[[#This Row],[Original Contract]]-HVAC34238276[[#This Row],[Revised Contract]]</f>
        <v>0</v>
      </c>
      <c r="K437" s="347"/>
      <c r="L437" s="341"/>
      <c r="M437" s="343"/>
      <c r="T437" s="97"/>
      <c r="U437" s="97"/>
      <c r="Y437" s="198"/>
      <c r="Z437" s="198"/>
    </row>
    <row r="438" spans="1:26" x14ac:dyDescent="0.35">
      <c r="A438" s="128">
        <v>23</v>
      </c>
      <c r="B438" s="132"/>
      <c r="C438" s="132"/>
      <c r="D438" s="133" t="s">
        <v>37</v>
      </c>
      <c r="E438" s="255">
        <v>0</v>
      </c>
      <c r="F438" s="255">
        <v>0</v>
      </c>
      <c r="G438" s="129">
        <f>0</f>
        <v>0</v>
      </c>
      <c r="H438" s="255">
        <f>IF(HVAC34238276[[#This Row],[Actual Buyout]]+HVAC34238276[[#This Row],[Change Orders]]=0,HVAC34238276[[#This Row],[Original Contract]],HVAC34238276[[#This Row],[Actual Buyout]]+HVAC34238276[[#This Row],[Change Orders]])</f>
        <v>0</v>
      </c>
      <c r="I438" s="129">
        <v>0</v>
      </c>
      <c r="J438" s="129">
        <f>HVAC34238276[[#This Row],[Original Contract]]-HVAC34238276[[#This Row],[Revised Contract]]</f>
        <v>0</v>
      </c>
      <c r="K438" s="347"/>
      <c r="L438" s="341"/>
      <c r="M438" s="343"/>
      <c r="T438" s="97"/>
      <c r="U438" s="97"/>
      <c r="Y438" s="198"/>
      <c r="Z438" s="198"/>
    </row>
    <row r="439" spans="1:26" x14ac:dyDescent="0.35">
      <c r="A439" s="128">
        <v>23</v>
      </c>
      <c r="B439" s="132"/>
      <c r="C439" s="132"/>
      <c r="D439" s="133" t="s">
        <v>37</v>
      </c>
      <c r="E439" s="255">
        <v>0</v>
      </c>
      <c r="F439" s="255">
        <v>0</v>
      </c>
      <c r="G439" s="129">
        <f>0</f>
        <v>0</v>
      </c>
      <c r="H439" s="255">
        <f>IF(HVAC34238276[[#This Row],[Actual Buyout]]+HVAC34238276[[#This Row],[Change Orders]]=0,HVAC34238276[[#This Row],[Original Contract]],HVAC34238276[[#This Row],[Actual Buyout]]+HVAC34238276[[#This Row],[Change Orders]])</f>
        <v>0</v>
      </c>
      <c r="I439" s="129">
        <v>0</v>
      </c>
      <c r="J439" s="129">
        <f>HVAC34238276[[#This Row],[Original Contract]]-HVAC34238276[[#This Row],[Revised Contract]]</f>
        <v>0</v>
      </c>
      <c r="K439" s="347"/>
      <c r="L439" s="341"/>
      <c r="M439" s="343"/>
      <c r="T439" s="97"/>
      <c r="U439" s="97"/>
      <c r="Y439" s="198"/>
      <c r="Z439" s="198"/>
    </row>
    <row r="440" spans="1:26" x14ac:dyDescent="0.35">
      <c r="A440" s="128">
        <v>23</v>
      </c>
      <c r="B440" s="132"/>
      <c r="C440" s="132"/>
      <c r="D440" s="133" t="s">
        <v>37</v>
      </c>
      <c r="E440" s="255">
        <v>0</v>
      </c>
      <c r="F440" s="255">
        <v>0</v>
      </c>
      <c r="G440" s="129">
        <f>0</f>
        <v>0</v>
      </c>
      <c r="H440" s="255">
        <f>IF(HVAC34238276[[#This Row],[Actual Buyout]]+HVAC34238276[[#This Row],[Change Orders]]=0,HVAC34238276[[#This Row],[Original Contract]],HVAC34238276[[#This Row],[Actual Buyout]]+HVAC34238276[[#This Row],[Change Orders]])</f>
        <v>0</v>
      </c>
      <c r="I440" s="129">
        <v>0</v>
      </c>
      <c r="J440" s="129">
        <f>HVAC34238276[[#This Row],[Original Contract]]-HVAC34238276[[#This Row],[Revised Contract]]</f>
        <v>0</v>
      </c>
      <c r="K440" s="347"/>
      <c r="L440" s="341"/>
      <c r="M440" s="343"/>
      <c r="T440" s="97"/>
      <c r="U440" s="97"/>
      <c r="Y440" s="198"/>
      <c r="Z440" s="198"/>
    </row>
    <row r="441" spans="1:26" x14ac:dyDescent="0.35">
      <c r="A441" s="128">
        <v>23</v>
      </c>
      <c r="B441" s="132"/>
      <c r="C441" s="132"/>
      <c r="D441" s="133" t="s">
        <v>37</v>
      </c>
      <c r="E441" s="255">
        <v>0</v>
      </c>
      <c r="F441" s="255">
        <v>0</v>
      </c>
      <c r="G441" s="129">
        <f>0</f>
        <v>0</v>
      </c>
      <c r="H441" s="255">
        <f>IF(HVAC34238276[[#This Row],[Actual Buyout]]+HVAC34238276[[#This Row],[Change Orders]]=0,HVAC34238276[[#This Row],[Original Contract]],HVAC34238276[[#This Row],[Actual Buyout]]+HVAC34238276[[#This Row],[Change Orders]])</f>
        <v>0</v>
      </c>
      <c r="I441" s="129">
        <v>0</v>
      </c>
      <c r="J441" s="129">
        <f>HVAC34238276[[#This Row],[Original Contract]]-HVAC34238276[[#This Row],[Revised Contract]]</f>
        <v>0</v>
      </c>
      <c r="K441" s="347"/>
      <c r="L441" s="341"/>
      <c r="M441" s="343"/>
      <c r="T441" s="97"/>
      <c r="U441" s="97"/>
      <c r="Y441" s="198"/>
      <c r="Z441" s="198"/>
    </row>
    <row r="442" spans="1:26" x14ac:dyDescent="0.35">
      <c r="A442" s="128">
        <v>23</v>
      </c>
      <c r="B442" s="132"/>
      <c r="C442" s="132"/>
      <c r="D442" s="133" t="s">
        <v>37</v>
      </c>
      <c r="E442" s="255">
        <v>0</v>
      </c>
      <c r="F442" s="255">
        <v>0</v>
      </c>
      <c r="G442" s="129">
        <f>0</f>
        <v>0</v>
      </c>
      <c r="H442" s="255">
        <f>IF(HVAC34238276[[#This Row],[Actual Buyout]]+HVAC34238276[[#This Row],[Change Orders]]=0,HVAC34238276[[#This Row],[Original Contract]],HVAC34238276[[#This Row],[Actual Buyout]]+HVAC34238276[[#This Row],[Change Orders]])</f>
        <v>0</v>
      </c>
      <c r="I442" s="129">
        <v>0</v>
      </c>
      <c r="J442" s="129">
        <f>HVAC34238276[[#This Row],[Original Contract]]-HVAC34238276[[#This Row],[Revised Contract]]</f>
        <v>0</v>
      </c>
      <c r="K442" s="347"/>
      <c r="L442" s="341"/>
      <c r="M442" s="343"/>
      <c r="T442" s="97"/>
      <c r="U442" s="97"/>
      <c r="Y442" s="198"/>
      <c r="Z442" s="198"/>
    </row>
    <row r="443" spans="1:26" x14ac:dyDescent="0.35">
      <c r="A443" s="257"/>
      <c r="B443" s="258"/>
      <c r="C443" s="258"/>
      <c r="D443" s="256" t="s">
        <v>38</v>
      </c>
      <c r="E443" s="151">
        <f>SUM(HVAC34238276[Original Contract])</f>
        <v>0</v>
      </c>
      <c r="F443" s="151">
        <f>SUM(HVAC34238276[Actual Buyout])</f>
        <v>0</v>
      </c>
      <c r="G443" s="151">
        <f>SUM(HVAC34238276[Change Orders])</f>
        <v>0</v>
      </c>
      <c r="H443" s="151">
        <f>SUM(HVAC34238276[Revised Contract])</f>
        <v>0</v>
      </c>
      <c r="I443" s="151">
        <f>SUM(HVAC34238276[Total completed and Stored])</f>
        <v>0</v>
      </c>
      <c r="J443" s="151">
        <f>SUM(HVAC34238276[Delta])</f>
        <v>0</v>
      </c>
      <c r="K443" s="348"/>
      <c r="L443" s="343"/>
      <c r="M443" s="343"/>
    </row>
    <row r="444" spans="1:26" x14ac:dyDescent="0.35">
      <c r="A444" s="100" t="s">
        <v>668</v>
      </c>
      <c r="B444" s="100" t="s">
        <v>7</v>
      </c>
      <c r="C444" s="100" t="s">
        <v>167</v>
      </c>
      <c r="D444" s="100" t="s">
        <v>26</v>
      </c>
      <c r="E444" s="100" t="s">
        <v>781</v>
      </c>
      <c r="F444" s="332" t="s">
        <v>1078</v>
      </c>
      <c r="G444" s="332" t="s">
        <v>782</v>
      </c>
      <c r="H444" s="332" t="s">
        <v>783</v>
      </c>
      <c r="I444" s="334" t="s">
        <v>785</v>
      </c>
      <c r="J444" s="340" t="s">
        <v>1079</v>
      </c>
      <c r="K444" s="347"/>
      <c r="L444" s="335"/>
      <c r="M444" s="343"/>
      <c r="T444" s="97"/>
      <c r="U444" s="97"/>
      <c r="Y444" s="198"/>
      <c r="Z444" s="198"/>
    </row>
    <row r="445" spans="1:26" x14ac:dyDescent="0.35">
      <c r="A445" s="128">
        <v>26</v>
      </c>
      <c r="B445" s="132" t="s">
        <v>378</v>
      </c>
      <c r="C445" s="132" t="s">
        <v>377</v>
      </c>
      <c r="D445" s="133" t="s">
        <v>143</v>
      </c>
      <c r="E445" s="255">
        <v>0</v>
      </c>
      <c r="F445" s="255">
        <v>0</v>
      </c>
      <c r="G445" s="129">
        <f>0</f>
        <v>0</v>
      </c>
      <c r="H445" s="255">
        <f>IF(Electrical35239277[[#This Row],[Actual Buyout]]+Electrical35239277[[#This Row],[Change Orders]]=0,Electrical35239277[[#This Row],[Original Contract]],Electrical35239277[[#This Row],[Actual Buyout]]+Electrical35239277[[#This Row],[Change Orders]])</f>
        <v>0</v>
      </c>
      <c r="I445" s="129">
        <v>0</v>
      </c>
      <c r="J445" s="129">
        <f>Electrical35239277[[#This Row],[Original Contract]]-Electrical35239277[[#This Row],[Revised Contract]]</f>
        <v>0</v>
      </c>
      <c r="K445" s="347"/>
      <c r="L445" s="341"/>
      <c r="M445" s="343"/>
      <c r="T445" s="97"/>
      <c r="U445" s="97"/>
      <c r="Y445" s="198"/>
      <c r="Z445" s="198"/>
    </row>
    <row r="446" spans="1:26" x14ac:dyDescent="0.35">
      <c r="A446" s="128">
        <v>26</v>
      </c>
      <c r="B446" s="132" t="s">
        <v>719</v>
      </c>
      <c r="C446" s="132" t="s">
        <v>206</v>
      </c>
      <c r="D446" s="133" t="s">
        <v>163</v>
      </c>
      <c r="E446" s="255">
        <v>0</v>
      </c>
      <c r="F446" s="255">
        <v>0</v>
      </c>
      <c r="G446" s="129">
        <f>0</f>
        <v>0</v>
      </c>
      <c r="H446" s="255">
        <f>IF(Electrical35239277[[#This Row],[Actual Buyout]]+Electrical35239277[[#This Row],[Change Orders]]=0,Electrical35239277[[#This Row],[Original Contract]],Electrical35239277[[#This Row],[Actual Buyout]]+Electrical35239277[[#This Row],[Change Orders]])</f>
        <v>0</v>
      </c>
      <c r="I446" s="129">
        <v>0</v>
      </c>
      <c r="J446" s="129">
        <f>Electrical35239277[[#This Row],[Original Contract]]-Electrical35239277[[#This Row],[Revised Contract]]</f>
        <v>0</v>
      </c>
      <c r="K446" s="347"/>
      <c r="L446" s="341"/>
      <c r="M446" s="343"/>
      <c r="T446" s="97"/>
      <c r="U446" s="97"/>
      <c r="Y446" s="198"/>
      <c r="Z446" s="198"/>
    </row>
    <row r="447" spans="1:26" x14ac:dyDescent="0.35">
      <c r="A447" s="128">
        <v>26</v>
      </c>
      <c r="B447" s="132" t="s">
        <v>719</v>
      </c>
      <c r="C447" s="132" t="s">
        <v>206</v>
      </c>
      <c r="D447" s="133" t="s">
        <v>144</v>
      </c>
      <c r="E447" s="255">
        <v>0</v>
      </c>
      <c r="F447" s="255">
        <v>0</v>
      </c>
      <c r="G447" s="129">
        <f>0</f>
        <v>0</v>
      </c>
      <c r="H447" s="255">
        <f>IF(Electrical35239277[[#This Row],[Actual Buyout]]+Electrical35239277[[#This Row],[Change Orders]]=0,Electrical35239277[[#This Row],[Original Contract]],Electrical35239277[[#This Row],[Actual Buyout]]+Electrical35239277[[#This Row],[Change Orders]])</f>
        <v>0</v>
      </c>
      <c r="I447" s="129">
        <v>0</v>
      </c>
      <c r="J447" s="129">
        <f>Electrical35239277[[#This Row],[Original Contract]]-Electrical35239277[[#This Row],[Revised Contract]]</f>
        <v>0</v>
      </c>
      <c r="K447" s="347"/>
      <c r="L447" s="341"/>
      <c r="M447" s="343"/>
      <c r="T447" s="97"/>
      <c r="U447" s="97"/>
      <c r="Y447" s="198"/>
      <c r="Z447" s="198"/>
    </row>
    <row r="448" spans="1:26" x14ac:dyDescent="0.35">
      <c r="A448" s="128">
        <v>26</v>
      </c>
      <c r="B448" s="132" t="s">
        <v>380</v>
      </c>
      <c r="C448" s="132" t="s">
        <v>379</v>
      </c>
      <c r="D448" s="133" t="s">
        <v>164</v>
      </c>
      <c r="E448" s="255">
        <v>0</v>
      </c>
      <c r="F448" s="255">
        <v>0</v>
      </c>
      <c r="G448" s="129">
        <f>0</f>
        <v>0</v>
      </c>
      <c r="H448" s="255">
        <f>IF(Electrical35239277[[#This Row],[Actual Buyout]]+Electrical35239277[[#This Row],[Change Orders]]=0,Electrical35239277[[#This Row],[Original Contract]],Electrical35239277[[#This Row],[Actual Buyout]]+Electrical35239277[[#This Row],[Change Orders]])</f>
        <v>0</v>
      </c>
      <c r="I448" s="129">
        <v>0</v>
      </c>
      <c r="J448" s="129">
        <f>Electrical35239277[[#This Row],[Original Contract]]-Electrical35239277[[#This Row],[Revised Contract]]</f>
        <v>0</v>
      </c>
      <c r="K448" s="347"/>
      <c r="L448" s="341"/>
      <c r="M448" s="343"/>
      <c r="T448" s="97"/>
      <c r="U448" s="97"/>
      <c r="Y448" s="198"/>
      <c r="Z448" s="198"/>
    </row>
    <row r="449" spans="1:26" x14ac:dyDescent="0.35">
      <c r="A449" s="128">
        <v>26</v>
      </c>
      <c r="B449" s="132" t="s">
        <v>380</v>
      </c>
      <c r="C449" s="132" t="s">
        <v>379</v>
      </c>
      <c r="D449" s="133" t="s">
        <v>145</v>
      </c>
      <c r="E449" s="255">
        <v>0</v>
      </c>
      <c r="F449" s="255">
        <v>0</v>
      </c>
      <c r="G449" s="129">
        <f>0</f>
        <v>0</v>
      </c>
      <c r="H449" s="255">
        <f>IF(Electrical35239277[[#This Row],[Actual Buyout]]+Electrical35239277[[#This Row],[Change Orders]]=0,Electrical35239277[[#This Row],[Original Contract]],Electrical35239277[[#This Row],[Actual Buyout]]+Electrical35239277[[#This Row],[Change Orders]])</f>
        <v>0</v>
      </c>
      <c r="I449" s="129">
        <v>0</v>
      </c>
      <c r="J449" s="129">
        <f>Electrical35239277[[#This Row],[Original Contract]]-Electrical35239277[[#This Row],[Revised Contract]]</f>
        <v>0</v>
      </c>
      <c r="K449" s="347"/>
      <c r="L449" s="341"/>
      <c r="M449" s="343"/>
      <c r="T449" s="97"/>
      <c r="U449" s="97"/>
      <c r="Y449" s="198"/>
      <c r="Z449" s="198"/>
    </row>
    <row r="450" spans="1:26" x14ac:dyDescent="0.35">
      <c r="A450" s="128">
        <v>26</v>
      </c>
      <c r="B450" s="132" t="s">
        <v>380</v>
      </c>
      <c r="C450" s="132" t="s">
        <v>379</v>
      </c>
      <c r="D450" s="133" t="s">
        <v>775</v>
      </c>
      <c r="E450" s="255">
        <v>0</v>
      </c>
      <c r="F450" s="255">
        <v>0</v>
      </c>
      <c r="G450" s="129">
        <f>0</f>
        <v>0</v>
      </c>
      <c r="H450" s="255">
        <f>IF(Electrical35239277[[#This Row],[Actual Buyout]]+Electrical35239277[[#This Row],[Change Orders]]=0,Electrical35239277[[#This Row],[Original Contract]],Electrical35239277[[#This Row],[Actual Buyout]]+Electrical35239277[[#This Row],[Change Orders]])</f>
        <v>0</v>
      </c>
      <c r="I450" s="129">
        <v>0</v>
      </c>
      <c r="J450" s="129">
        <f>Electrical35239277[[#This Row],[Original Contract]]-Electrical35239277[[#This Row],[Revised Contract]]</f>
        <v>0</v>
      </c>
      <c r="K450" s="347"/>
      <c r="L450" s="341"/>
      <c r="M450" s="343"/>
      <c r="T450" s="97"/>
      <c r="U450" s="97"/>
      <c r="Y450" s="198"/>
      <c r="Z450" s="198"/>
    </row>
    <row r="451" spans="1:26" x14ac:dyDescent="0.35">
      <c r="A451" s="128">
        <v>26</v>
      </c>
      <c r="B451" s="132" t="s">
        <v>385</v>
      </c>
      <c r="C451" s="132" t="s">
        <v>208</v>
      </c>
      <c r="D451" s="133" t="s">
        <v>8</v>
      </c>
      <c r="E451" s="255">
        <v>0</v>
      </c>
      <c r="F451" s="255">
        <v>0</v>
      </c>
      <c r="G451" s="129">
        <f>0</f>
        <v>0</v>
      </c>
      <c r="H451" s="255">
        <f>IF(Electrical35239277[[#This Row],[Actual Buyout]]+Electrical35239277[[#This Row],[Change Orders]]=0,Electrical35239277[[#This Row],[Original Contract]],Electrical35239277[[#This Row],[Actual Buyout]]+Electrical35239277[[#This Row],[Change Orders]])</f>
        <v>0</v>
      </c>
      <c r="I451" s="129">
        <v>0</v>
      </c>
      <c r="J451" s="129">
        <f>Electrical35239277[[#This Row],[Original Contract]]-Electrical35239277[[#This Row],[Revised Contract]]</f>
        <v>0</v>
      </c>
      <c r="K451" s="347"/>
      <c r="L451" s="341"/>
      <c r="M451" s="343"/>
      <c r="T451" s="97"/>
      <c r="U451" s="97"/>
      <c r="Y451" s="198"/>
      <c r="Z451" s="198"/>
    </row>
    <row r="452" spans="1:26" x14ac:dyDescent="0.35">
      <c r="A452" s="128">
        <v>26</v>
      </c>
      <c r="B452" s="132" t="s">
        <v>378</v>
      </c>
      <c r="C452" s="132" t="s">
        <v>377</v>
      </c>
      <c r="D452" s="133" t="s">
        <v>720</v>
      </c>
      <c r="E452" s="255">
        <v>0</v>
      </c>
      <c r="F452" s="255">
        <v>0</v>
      </c>
      <c r="G452" s="129">
        <f>0</f>
        <v>0</v>
      </c>
      <c r="H452" s="255">
        <f>IF(Electrical35239277[[#This Row],[Actual Buyout]]+Electrical35239277[[#This Row],[Change Orders]]=0,Electrical35239277[[#This Row],[Original Contract]],Electrical35239277[[#This Row],[Actual Buyout]]+Electrical35239277[[#This Row],[Change Orders]])</f>
        <v>0</v>
      </c>
      <c r="I452" s="129">
        <v>0</v>
      </c>
      <c r="J452" s="129">
        <f>Electrical35239277[[#This Row],[Original Contract]]-Electrical35239277[[#This Row],[Revised Contract]]</f>
        <v>0</v>
      </c>
      <c r="K452" s="347"/>
      <c r="L452" s="341"/>
      <c r="M452" s="343"/>
      <c r="T452" s="97"/>
      <c r="U452" s="97"/>
      <c r="Y452" s="198"/>
      <c r="Z452" s="198"/>
    </row>
    <row r="453" spans="1:26" x14ac:dyDescent="0.35">
      <c r="A453" s="128">
        <v>26</v>
      </c>
      <c r="B453" s="132" t="s">
        <v>380</v>
      </c>
      <c r="C453" s="132" t="s">
        <v>379</v>
      </c>
      <c r="D453" s="133" t="s">
        <v>146</v>
      </c>
      <c r="E453" s="255">
        <v>0</v>
      </c>
      <c r="F453" s="255">
        <v>0</v>
      </c>
      <c r="G453" s="129">
        <f>0</f>
        <v>0</v>
      </c>
      <c r="H453" s="255">
        <f>IF(Electrical35239277[[#This Row],[Actual Buyout]]+Electrical35239277[[#This Row],[Change Orders]]=0,Electrical35239277[[#This Row],[Original Contract]],Electrical35239277[[#This Row],[Actual Buyout]]+Electrical35239277[[#This Row],[Change Orders]])</f>
        <v>0</v>
      </c>
      <c r="I453" s="129">
        <v>0</v>
      </c>
      <c r="J453" s="129">
        <f>Electrical35239277[[#This Row],[Original Contract]]-Electrical35239277[[#This Row],[Revised Contract]]</f>
        <v>0</v>
      </c>
      <c r="K453" s="347"/>
      <c r="L453" s="341"/>
      <c r="M453" s="343"/>
      <c r="T453" s="97"/>
      <c r="U453" s="97"/>
      <c r="Y453" s="198"/>
      <c r="Z453" s="198"/>
    </row>
    <row r="454" spans="1:26" x14ac:dyDescent="0.35">
      <c r="A454" s="128">
        <v>26</v>
      </c>
      <c r="B454" s="132" t="s">
        <v>382</v>
      </c>
      <c r="C454" s="132" t="s">
        <v>381</v>
      </c>
      <c r="D454" s="133" t="s">
        <v>147</v>
      </c>
      <c r="E454" s="255">
        <v>0</v>
      </c>
      <c r="F454" s="255">
        <v>0</v>
      </c>
      <c r="G454" s="129">
        <f>0</f>
        <v>0</v>
      </c>
      <c r="H454" s="255">
        <f>IF(Electrical35239277[[#This Row],[Actual Buyout]]+Electrical35239277[[#This Row],[Change Orders]]=0,Electrical35239277[[#This Row],[Original Contract]],Electrical35239277[[#This Row],[Actual Buyout]]+Electrical35239277[[#This Row],[Change Orders]])</f>
        <v>0</v>
      </c>
      <c r="I454" s="129">
        <v>0</v>
      </c>
      <c r="J454" s="129">
        <f>Electrical35239277[[#This Row],[Original Contract]]-Electrical35239277[[#This Row],[Revised Contract]]</f>
        <v>0</v>
      </c>
      <c r="K454" s="347"/>
      <c r="L454" s="341"/>
      <c r="M454" s="343"/>
      <c r="T454" s="97"/>
      <c r="U454" s="97"/>
      <c r="Y454" s="198"/>
      <c r="Z454" s="198"/>
    </row>
    <row r="455" spans="1:26" x14ac:dyDescent="0.35">
      <c r="A455" s="128">
        <v>26</v>
      </c>
      <c r="B455" s="132" t="s">
        <v>719</v>
      </c>
      <c r="C455" s="132" t="s">
        <v>206</v>
      </c>
      <c r="D455" s="133" t="s">
        <v>205</v>
      </c>
      <c r="E455" s="255">
        <v>0</v>
      </c>
      <c r="F455" s="255">
        <v>0</v>
      </c>
      <c r="G455" s="129">
        <f>0</f>
        <v>0</v>
      </c>
      <c r="H455" s="255">
        <f>IF(Electrical35239277[[#This Row],[Actual Buyout]]+Electrical35239277[[#This Row],[Change Orders]]=0,Electrical35239277[[#This Row],[Original Contract]],Electrical35239277[[#This Row],[Actual Buyout]]+Electrical35239277[[#This Row],[Change Orders]])</f>
        <v>0</v>
      </c>
      <c r="I455" s="129">
        <v>0</v>
      </c>
      <c r="J455" s="129">
        <f>Electrical35239277[[#This Row],[Original Contract]]-Electrical35239277[[#This Row],[Revised Contract]]</f>
        <v>0</v>
      </c>
      <c r="K455" s="347"/>
      <c r="L455" s="341"/>
      <c r="M455" s="343"/>
      <c r="T455" s="97"/>
      <c r="U455" s="97"/>
      <c r="Y455" s="198"/>
      <c r="Z455" s="198"/>
    </row>
    <row r="456" spans="1:26" x14ac:dyDescent="0.35">
      <c r="A456" s="128">
        <v>26</v>
      </c>
      <c r="B456" s="132" t="s">
        <v>384</v>
      </c>
      <c r="C456" s="132" t="s">
        <v>383</v>
      </c>
      <c r="D456" s="133" t="s">
        <v>207</v>
      </c>
      <c r="E456" s="255">
        <v>0</v>
      </c>
      <c r="F456" s="255">
        <v>0</v>
      </c>
      <c r="G456" s="129">
        <f>0</f>
        <v>0</v>
      </c>
      <c r="H456" s="255">
        <f>IF(Electrical35239277[[#This Row],[Actual Buyout]]+Electrical35239277[[#This Row],[Change Orders]]=0,Electrical35239277[[#This Row],[Original Contract]],Electrical35239277[[#This Row],[Actual Buyout]]+Electrical35239277[[#This Row],[Change Orders]])</f>
        <v>0</v>
      </c>
      <c r="I456" s="129">
        <v>0</v>
      </c>
      <c r="J456" s="129">
        <f>Electrical35239277[[#This Row],[Original Contract]]-Electrical35239277[[#This Row],[Revised Contract]]</f>
        <v>0</v>
      </c>
      <c r="K456" s="347"/>
      <c r="L456" s="341"/>
      <c r="M456" s="343"/>
      <c r="T456" s="97"/>
      <c r="U456" s="97"/>
      <c r="Y456" s="198"/>
      <c r="Z456" s="198"/>
    </row>
    <row r="457" spans="1:26" x14ac:dyDescent="0.35">
      <c r="A457" s="128">
        <v>26</v>
      </c>
      <c r="B457" s="132" t="s">
        <v>719</v>
      </c>
      <c r="C457" s="132" t="s">
        <v>206</v>
      </c>
      <c r="D457" s="133" t="s">
        <v>776</v>
      </c>
      <c r="E457" s="255">
        <v>0</v>
      </c>
      <c r="F457" s="255">
        <v>0</v>
      </c>
      <c r="G457" s="129">
        <f>0</f>
        <v>0</v>
      </c>
      <c r="H457" s="255">
        <f>IF(Electrical35239277[[#This Row],[Actual Buyout]]+Electrical35239277[[#This Row],[Change Orders]]=0,Electrical35239277[[#This Row],[Original Contract]],Electrical35239277[[#This Row],[Actual Buyout]]+Electrical35239277[[#This Row],[Change Orders]])</f>
        <v>0</v>
      </c>
      <c r="I457" s="129">
        <v>0</v>
      </c>
      <c r="J457" s="129">
        <f>Electrical35239277[[#This Row],[Original Contract]]-Electrical35239277[[#This Row],[Revised Contract]]</f>
        <v>0</v>
      </c>
      <c r="K457" s="347"/>
      <c r="L457" s="341"/>
      <c r="M457" s="343"/>
      <c r="T457" s="97"/>
      <c r="U457" s="97"/>
      <c r="Y457" s="198"/>
      <c r="Z457" s="198"/>
    </row>
    <row r="458" spans="1:26" x14ac:dyDescent="0.35">
      <c r="A458" s="128">
        <v>26</v>
      </c>
      <c r="B458" s="132" t="s">
        <v>719</v>
      </c>
      <c r="C458" s="132" t="s">
        <v>377</v>
      </c>
      <c r="D458" s="133" t="s">
        <v>777</v>
      </c>
      <c r="E458" s="255">
        <v>0</v>
      </c>
      <c r="F458" s="255">
        <v>0</v>
      </c>
      <c r="G458" s="129">
        <f>0</f>
        <v>0</v>
      </c>
      <c r="H458" s="255">
        <f>IF(Electrical35239277[[#This Row],[Actual Buyout]]+Electrical35239277[[#This Row],[Change Orders]]=0,Electrical35239277[[#This Row],[Original Contract]],Electrical35239277[[#This Row],[Actual Buyout]]+Electrical35239277[[#This Row],[Change Orders]])</f>
        <v>0</v>
      </c>
      <c r="I458" s="129">
        <v>0</v>
      </c>
      <c r="J458" s="129">
        <f>Electrical35239277[[#This Row],[Original Contract]]-Electrical35239277[[#This Row],[Revised Contract]]</f>
        <v>0</v>
      </c>
      <c r="K458" s="347"/>
      <c r="L458" s="341"/>
      <c r="M458" s="343"/>
      <c r="T458" s="97"/>
      <c r="U458" s="97"/>
      <c r="Y458" s="198"/>
      <c r="Z458" s="198"/>
    </row>
    <row r="459" spans="1:26" x14ac:dyDescent="0.35">
      <c r="A459" s="128">
        <v>26</v>
      </c>
      <c r="B459" s="132"/>
      <c r="C459" s="132"/>
      <c r="D459" s="133" t="s">
        <v>37</v>
      </c>
      <c r="E459" s="255">
        <v>0</v>
      </c>
      <c r="F459" s="255">
        <v>0</v>
      </c>
      <c r="G459" s="129">
        <f>0</f>
        <v>0</v>
      </c>
      <c r="H459" s="255">
        <f>IF(Electrical35239277[[#This Row],[Actual Buyout]]+Electrical35239277[[#This Row],[Change Orders]]=0,Electrical35239277[[#This Row],[Original Contract]],Electrical35239277[[#This Row],[Actual Buyout]]+Electrical35239277[[#This Row],[Change Orders]])</f>
        <v>0</v>
      </c>
      <c r="I459" s="129">
        <v>0</v>
      </c>
      <c r="J459" s="129">
        <f>Electrical35239277[[#This Row],[Original Contract]]-Electrical35239277[[#This Row],[Revised Contract]]</f>
        <v>0</v>
      </c>
      <c r="K459" s="347"/>
      <c r="L459" s="341"/>
      <c r="M459" s="343"/>
      <c r="T459" s="97"/>
      <c r="U459" s="97"/>
      <c r="Y459" s="198"/>
      <c r="Z459" s="198"/>
    </row>
    <row r="460" spans="1:26" x14ac:dyDescent="0.35">
      <c r="A460" s="128">
        <v>26</v>
      </c>
      <c r="B460" s="132"/>
      <c r="C460" s="132"/>
      <c r="D460" s="133" t="s">
        <v>37</v>
      </c>
      <c r="E460" s="255">
        <v>0</v>
      </c>
      <c r="F460" s="255">
        <v>0</v>
      </c>
      <c r="G460" s="129">
        <f>0</f>
        <v>0</v>
      </c>
      <c r="H460" s="255">
        <f>IF(Electrical35239277[[#This Row],[Actual Buyout]]+Electrical35239277[[#This Row],[Change Orders]]=0,Electrical35239277[[#This Row],[Original Contract]],Electrical35239277[[#This Row],[Actual Buyout]]+Electrical35239277[[#This Row],[Change Orders]])</f>
        <v>0</v>
      </c>
      <c r="I460" s="129">
        <v>0</v>
      </c>
      <c r="J460" s="129">
        <f>Electrical35239277[[#This Row],[Original Contract]]-Electrical35239277[[#This Row],[Revised Contract]]</f>
        <v>0</v>
      </c>
      <c r="K460" s="347"/>
      <c r="L460" s="341"/>
      <c r="M460" s="343"/>
      <c r="T460" s="97"/>
      <c r="U460" s="97"/>
      <c r="Y460" s="198"/>
      <c r="Z460" s="198"/>
    </row>
    <row r="461" spans="1:26" x14ac:dyDescent="0.35">
      <c r="A461" s="128">
        <v>26</v>
      </c>
      <c r="B461" s="132"/>
      <c r="C461" s="132"/>
      <c r="D461" s="133" t="s">
        <v>37</v>
      </c>
      <c r="E461" s="255">
        <v>0</v>
      </c>
      <c r="F461" s="255">
        <v>0</v>
      </c>
      <c r="G461" s="129">
        <f>0</f>
        <v>0</v>
      </c>
      <c r="H461" s="255">
        <f>IF(Electrical35239277[[#This Row],[Actual Buyout]]+Electrical35239277[[#This Row],[Change Orders]]=0,Electrical35239277[[#This Row],[Original Contract]],Electrical35239277[[#This Row],[Actual Buyout]]+Electrical35239277[[#This Row],[Change Orders]])</f>
        <v>0</v>
      </c>
      <c r="I461" s="129">
        <v>0</v>
      </c>
      <c r="J461" s="129">
        <f>Electrical35239277[[#This Row],[Original Contract]]-Electrical35239277[[#This Row],[Revised Contract]]</f>
        <v>0</v>
      </c>
      <c r="K461" s="347"/>
      <c r="L461" s="341"/>
      <c r="M461" s="343"/>
      <c r="T461" s="97"/>
      <c r="U461" s="97"/>
      <c r="Y461" s="198"/>
      <c r="Z461" s="198"/>
    </row>
    <row r="462" spans="1:26" x14ac:dyDescent="0.35">
      <c r="A462" s="128">
        <v>26</v>
      </c>
      <c r="B462" s="132"/>
      <c r="C462" s="132"/>
      <c r="D462" s="133" t="s">
        <v>37</v>
      </c>
      <c r="E462" s="255">
        <v>0</v>
      </c>
      <c r="F462" s="255">
        <v>0</v>
      </c>
      <c r="G462" s="129">
        <f>0</f>
        <v>0</v>
      </c>
      <c r="H462" s="255">
        <f>IF(Electrical35239277[[#This Row],[Actual Buyout]]+Electrical35239277[[#This Row],[Change Orders]]=0,Electrical35239277[[#This Row],[Original Contract]],Electrical35239277[[#This Row],[Actual Buyout]]+Electrical35239277[[#This Row],[Change Orders]])</f>
        <v>0</v>
      </c>
      <c r="I462" s="129">
        <v>0</v>
      </c>
      <c r="J462" s="129">
        <f>Electrical35239277[[#This Row],[Original Contract]]-Electrical35239277[[#This Row],[Revised Contract]]</f>
        <v>0</v>
      </c>
      <c r="K462" s="347"/>
      <c r="L462" s="341"/>
      <c r="M462" s="343"/>
      <c r="T462" s="97"/>
      <c r="U462" s="97"/>
      <c r="Y462" s="198"/>
      <c r="Z462" s="198"/>
    </row>
    <row r="463" spans="1:26" x14ac:dyDescent="0.35">
      <c r="A463" s="128">
        <v>26</v>
      </c>
      <c r="B463" s="132"/>
      <c r="C463" s="132"/>
      <c r="D463" s="133" t="s">
        <v>37</v>
      </c>
      <c r="E463" s="255">
        <v>0</v>
      </c>
      <c r="F463" s="255">
        <v>0</v>
      </c>
      <c r="G463" s="129">
        <f>0</f>
        <v>0</v>
      </c>
      <c r="H463" s="255">
        <f>IF(Electrical35239277[[#This Row],[Actual Buyout]]+Electrical35239277[[#This Row],[Change Orders]]=0,Electrical35239277[[#This Row],[Original Contract]],Electrical35239277[[#This Row],[Actual Buyout]]+Electrical35239277[[#This Row],[Change Orders]])</f>
        <v>0</v>
      </c>
      <c r="I463" s="129">
        <v>0</v>
      </c>
      <c r="J463" s="129">
        <f>Electrical35239277[[#This Row],[Original Contract]]-Electrical35239277[[#This Row],[Revised Contract]]</f>
        <v>0</v>
      </c>
      <c r="K463" s="347"/>
      <c r="L463" s="341"/>
      <c r="M463" s="343"/>
      <c r="T463" s="97"/>
      <c r="U463" s="97"/>
      <c r="Y463" s="198"/>
      <c r="Z463" s="198"/>
    </row>
    <row r="464" spans="1:26" x14ac:dyDescent="0.35">
      <c r="A464" s="128">
        <v>26</v>
      </c>
      <c r="B464" s="132"/>
      <c r="C464" s="132"/>
      <c r="D464" s="133" t="s">
        <v>37</v>
      </c>
      <c r="E464" s="255">
        <v>0</v>
      </c>
      <c r="F464" s="255">
        <v>0</v>
      </c>
      <c r="G464" s="129">
        <f>0</f>
        <v>0</v>
      </c>
      <c r="H464" s="255">
        <f>IF(Electrical35239277[[#This Row],[Actual Buyout]]+Electrical35239277[[#This Row],[Change Orders]]=0,Electrical35239277[[#This Row],[Original Contract]],Electrical35239277[[#This Row],[Actual Buyout]]+Electrical35239277[[#This Row],[Change Orders]])</f>
        <v>0</v>
      </c>
      <c r="I464" s="129">
        <v>0</v>
      </c>
      <c r="J464" s="129">
        <f>Electrical35239277[[#This Row],[Original Contract]]-Electrical35239277[[#This Row],[Revised Contract]]</f>
        <v>0</v>
      </c>
      <c r="K464" s="347"/>
      <c r="L464" s="341"/>
      <c r="M464" s="343"/>
      <c r="T464" s="97"/>
      <c r="U464" s="97"/>
      <c r="Y464" s="198"/>
      <c r="Z464" s="198"/>
    </row>
    <row r="465" spans="1:26" x14ac:dyDescent="0.35">
      <c r="A465" s="128">
        <v>26</v>
      </c>
      <c r="B465" s="132"/>
      <c r="C465" s="132"/>
      <c r="D465" s="133" t="s">
        <v>37</v>
      </c>
      <c r="E465" s="255">
        <v>0</v>
      </c>
      <c r="F465" s="255">
        <v>0</v>
      </c>
      <c r="G465" s="129">
        <f>0</f>
        <v>0</v>
      </c>
      <c r="H465" s="255">
        <f>IF(Electrical35239277[[#This Row],[Actual Buyout]]+Electrical35239277[[#This Row],[Change Orders]]=0,Electrical35239277[[#This Row],[Original Contract]],Electrical35239277[[#This Row],[Actual Buyout]]+Electrical35239277[[#This Row],[Change Orders]])</f>
        <v>0</v>
      </c>
      <c r="I465" s="129">
        <v>0</v>
      </c>
      <c r="J465" s="129">
        <f>Electrical35239277[[#This Row],[Original Contract]]-Electrical35239277[[#This Row],[Revised Contract]]</f>
        <v>0</v>
      </c>
      <c r="K465" s="347"/>
      <c r="L465" s="341"/>
      <c r="M465" s="343"/>
      <c r="T465" s="97"/>
      <c r="U465" s="97"/>
      <c r="Y465" s="198"/>
      <c r="Z465" s="198"/>
    </row>
    <row r="466" spans="1:26" x14ac:dyDescent="0.35">
      <c r="A466" s="128">
        <v>26</v>
      </c>
      <c r="B466" s="132"/>
      <c r="C466" s="132"/>
      <c r="D466" s="133" t="s">
        <v>37</v>
      </c>
      <c r="E466" s="255">
        <v>0</v>
      </c>
      <c r="F466" s="255">
        <v>0</v>
      </c>
      <c r="G466" s="129">
        <f>0</f>
        <v>0</v>
      </c>
      <c r="H466" s="255">
        <f>IF(Electrical35239277[[#This Row],[Actual Buyout]]+Electrical35239277[[#This Row],[Change Orders]]=0,Electrical35239277[[#This Row],[Original Contract]],Electrical35239277[[#This Row],[Actual Buyout]]+Electrical35239277[[#This Row],[Change Orders]])</f>
        <v>0</v>
      </c>
      <c r="I466" s="129">
        <v>0</v>
      </c>
      <c r="J466" s="129">
        <f>Electrical35239277[[#This Row],[Original Contract]]-Electrical35239277[[#This Row],[Revised Contract]]</f>
        <v>0</v>
      </c>
      <c r="K466" s="347"/>
      <c r="L466" s="341"/>
      <c r="M466" s="343"/>
      <c r="T466" s="97"/>
      <c r="U466" s="97"/>
      <c r="Y466" s="198"/>
      <c r="Z466" s="198"/>
    </row>
    <row r="467" spans="1:26" x14ac:dyDescent="0.35">
      <c r="A467" s="257"/>
      <c r="B467" s="258"/>
      <c r="C467" s="258"/>
      <c r="D467" s="256" t="s">
        <v>38</v>
      </c>
      <c r="E467" s="151">
        <f>SUM(Electrical35239277[Original Contract])</f>
        <v>0</v>
      </c>
      <c r="F467" s="151">
        <f>SUM(Electrical35239277[Actual Buyout])</f>
        <v>0</v>
      </c>
      <c r="G467" s="151">
        <f>SUM(Electrical35239277[Change Orders])</f>
        <v>0</v>
      </c>
      <c r="H467" s="151">
        <f>SUM(Electrical35239277[Revised Contract])</f>
        <v>0</v>
      </c>
      <c r="I467" s="151">
        <f>SUM(Electrical35239277[Total completed and Stored])</f>
        <v>0</v>
      </c>
      <c r="J467" s="151">
        <f>SUM(Electrical35239277[Delta])</f>
        <v>0</v>
      </c>
      <c r="K467" s="348"/>
      <c r="L467" s="343"/>
      <c r="M467" s="343"/>
    </row>
    <row r="468" spans="1:26" x14ac:dyDescent="0.35">
      <c r="A468" s="100" t="s">
        <v>669</v>
      </c>
      <c r="B468" s="100" t="s">
        <v>209</v>
      </c>
      <c r="C468" s="100" t="s">
        <v>167</v>
      </c>
      <c r="D468" s="100" t="s">
        <v>26</v>
      </c>
      <c r="E468" s="100" t="s">
        <v>781</v>
      </c>
      <c r="F468" s="332" t="s">
        <v>1078</v>
      </c>
      <c r="G468" s="332" t="s">
        <v>782</v>
      </c>
      <c r="H468" s="332" t="s">
        <v>783</v>
      </c>
      <c r="I468" s="334" t="s">
        <v>785</v>
      </c>
      <c r="J468" s="340" t="s">
        <v>1079</v>
      </c>
      <c r="K468" s="347"/>
      <c r="L468" s="335"/>
      <c r="M468" s="343"/>
      <c r="T468" s="97"/>
      <c r="U468" s="97"/>
      <c r="Y468" s="198"/>
      <c r="Z468" s="198"/>
    </row>
    <row r="469" spans="1:26" x14ac:dyDescent="0.35">
      <c r="A469" s="128">
        <v>28</v>
      </c>
      <c r="B469" s="132" t="s">
        <v>386</v>
      </c>
      <c r="C469" s="132" t="s">
        <v>211</v>
      </c>
      <c r="D469" s="133" t="s">
        <v>148</v>
      </c>
      <c r="E469" s="255">
        <v>0</v>
      </c>
      <c r="F469" s="255">
        <v>0</v>
      </c>
      <c r="G469" s="129">
        <f>0</f>
        <v>0</v>
      </c>
      <c r="H469" s="255">
        <f>IF(ElectricSafety36240278[[#This Row],[Actual Buyout]]+ElectricSafety36240278[[#This Row],[Change Orders]]=0,ElectricSafety36240278[[#This Row],[Original Contract]],ElectricSafety36240278[[#This Row],[Actual Buyout]]+ElectricSafety36240278[[#This Row],[Change Orders]])</f>
        <v>0</v>
      </c>
      <c r="I469" s="129">
        <v>0</v>
      </c>
      <c r="J469" s="129">
        <f>ElectricSafety36240278[[#This Row],[Original Contract]]-ElectricSafety36240278[[#This Row],[Revised Contract]]</f>
        <v>0</v>
      </c>
      <c r="K469" s="347"/>
      <c r="L469" s="341"/>
      <c r="M469" s="343"/>
      <c r="T469" s="97"/>
      <c r="U469" s="97"/>
      <c r="Y469" s="198"/>
      <c r="Z469" s="198"/>
    </row>
    <row r="470" spans="1:26" x14ac:dyDescent="0.35">
      <c r="A470" s="128">
        <v>28</v>
      </c>
      <c r="B470" s="132" t="s">
        <v>386</v>
      </c>
      <c r="C470" s="132" t="s">
        <v>211</v>
      </c>
      <c r="D470" s="133" t="s">
        <v>149</v>
      </c>
      <c r="E470" s="255">
        <v>0</v>
      </c>
      <c r="F470" s="255">
        <v>0</v>
      </c>
      <c r="G470" s="129">
        <f>0</f>
        <v>0</v>
      </c>
      <c r="H470" s="255">
        <f>IF(ElectricSafety36240278[[#This Row],[Actual Buyout]]+ElectricSafety36240278[[#This Row],[Change Orders]]=0,ElectricSafety36240278[[#This Row],[Original Contract]],ElectricSafety36240278[[#This Row],[Actual Buyout]]+ElectricSafety36240278[[#This Row],[Change Orders]])</f>
        <v>0</v>
      </c>
      <c r="I470" s="129">
        <v>0</v>
      </c>
      <c r="J470" s="129">
        <f>ElectricSafety36240278[[#This Row],[Original Contract]]-ElectricSafety36240278[[#This Row],[Revised Contract]]</f>
        <v>0</v>
      </c>
      <c r="K470" s="347"/>
      <c r="L470" s="341"/>
      <c r="M470" s="343"/>
      <c r="T470" s="97"/>
      <c r="U470" s="97"/>
      <c r="Y470" s="198"/>
      <c r="Z470" s="198"/>
    </row>
    <row r="471" spans="1:26" x14ac:dyDescent="0.35">
      <c r="A471" s="128">
        <v>28</v>
      </c>
      <c r="B471" s="132" t="s">
        <v>386</v>
      </c>
      <c r="C471" s="132" t="s">
        <v>211</v>
      </c>
      <c r="D471" s="133" t="s">
        <v>150</v>
      </c>
      <c r="E471" s="255">
        <v>0</v>
      </c>
      <c r="F471" s="255">
        <v>0</v>
      </c>
      <c r="G471" s="129">
        <f>0</f>
        <v>0</v>
      </c>
      <c r="H471" s="255">
        <f>IF(ElectricSafety36240278[[#This Row],[Actual Buyout]]+ElectricSafety36240278[[#This Row],[Change Orders]]=0,ElectricSafety36240278[[#This Row],[Original Contract]],ElectricSafety36240278[[#This Row],[Actual Buyout]]+ElectricSafety36240278[[#This Row],[Change Orders]])</f>
        <v>0</v>
      </c>
      <c r="I471" s="129">
        <v>0</v>
      </c>
      <c r="J471" s="129">
        <f>ElectricSafety36240278[[#This Row],[Original Contract]]-ElectricSafety36240278[[#This Row],[Revised Contract]]</f>
        <v>0</v>
      </c>
      <c r="K471" s="347"/>
      <c r="L471" s="341"/>
      <c r="M471" s="343"/>
      <c r="T471" s="97"/>
      <c r="U471" s="97"/>
      <c r="Y471" s="198"/>
      <c r="Z471" s="198"/>
    </row>
    <row r="472" spans="1:26" x14ac:dyDescent="0.35">
      <c r="A472" s="128">
        <v>28</v>
      </c>
      <c r="B472" s="132" t="s">
        <v>386</v>
      </c>
      <c r="C472" s="132" t="s">
        <v>211</v>
      </c>
      <c r="D472" s="133" t="s">
        <v>151</v>
      </c>
      <c r="E472" s="255">
        <v>0</v>
      </c>
      <c r="F472" s="255">
        <v>0</v>
      </c>
      <c r="G472" s="129">
        <f>0</f>
        <v>0</v>
      </c>
      <c r="H472" s="255">
        <f>IF(ElectricSafety36240278[[#This Row],[Actual Buyout]]+ElectricSafety36240278[[#This Row],[Change Orders]]=0,ElectricSafety36240278[[#This Row],[Original Contract]],ElectricSafety36240278[[#This Row],[Actual Buyout]]+ElectricSafety36240278[[#This Row],[Change Orders]])</f>
        <v>0</v>
      </c>
      <c r="I472" s="129">
        <v>0</v>
      </c>
      <c r="J472" s="129">
        <f>ElectricSafety36240278[[#This Row],[Original Contract]]-ElectricSafety36240278[[#This Row],[Revised Contract]]</f>
        <v>0</v>
      </c>
      <c r="K472" s="347"/>
      <c r="L472" s="341"/>
      <c r="M472" s="343"/>
      <c r="T472" s="97"/>
      <c r="U472" s="97"/>
      <c r="Y472" s="198"/>
      <c r="Z472" s="198"/>
    </row>
    <row r="473" spans="1:26" x14ac:dyDescent="0.35">
      <c r="A473" s="128">
        <v>28</v>
      </c>
      <c r="B473" s="132" t="s">
        <v>778</v>
      </c>
      <c r="C473" s="132" t="s">
        <v>210</v>
      </c>
      <c r="D473" s="133" t="s">
        <v>778</v>
      </c>
      <c r="E473" s="255">
        <v>0</v>
      </c>
      <c r="F473" s="255">
        <v>0</v>
      </c>
      <c r="G473" s="129">
        <f>0</f>
        <v>0</v>
      </c>
      <c r="H473" s="255">
        <f>IF(ElectricSafety36240278[[#This Row],[Actual Buyout]]+ElectricSafety36240278[[#This Row],[Change Orders]]=0,ElectricSafety36240278[[#This Row],[Original Contract]],ElectricSafety36240278[[#This Row],[Actual Buyout]]+ElectricSafety36240278[[#This Row],[Change Orders]])</f>
        <v>0</v>
      </c>
      <c r="I473" s="129">
        <v>0</v>
      </c>
      <c r="J473" s="129">
        <f>ElectricSafety36240278[[#This Row],[Original Contract]]-ElectricSafety36240278[[#This Row],[Revised Contract]]</f>
        <v>0</v>
      </c>
      <c r="K473" s="347"/>
      <c r="L473" s="341"/>
      <c r="M473" s="343"/>
      <c r="T473" s="97"/>
      <c r="U473" s="97"/>
      <c r="Y473" s="198"/>
      <c r="Z473" s="198"/>
    </row>
    <row r="474" spans="1:26" x14ac:dyDescent="0.35">
      <c r="A474" s="128">
        <v>28</v>
      </c>
      <c r="B474" s="132" t="s">
        <v>387</v>
      </c>
      <c r="C474" s="132" t="s">
        <v>242</v>
      </c>
      <c r="D474" s="133" t="s">
        <v>779</v>
      </c>
      <c r="E474" s="255">
        <v>0</v>
      </c>
      <c r="F474" s="255">
        <v>0</v>
      </c>
      <c r="G474" s="129">
        <f>0</f>
        <v>0</v>
      </c>
      <c r="H474" s="255">
        <f>IF(ElectricSafety36240278[[#This Row],[Actual Buyout]]+ElectricSafety36240278[[#This Row],[Change Orders]]=0,ElectricSafety36240278[[#This Row],[Original Contract]],ElectricSafety36240278[[#This Row],[Actual Buyout]]+ElectricSafety36240278[[#This Row],[Change Orders]])</f>
        <v>0</v>
      </c>
      <c r="I474" s="129">
        <v>0</v>
      </c>
      <c r="J474" s="129">
        <f>ElectricSafety36240278[[#This Row],[Original Contract]]-ElectricSafety36240278[[#This Row],[Revised Contract]]</f>
        <v>0</v>
      </c>
      <c r="K474" s="347"/>
      <c r="L474" s="341"/>
      <c r="M474" s="343"/>
      <c r="T474" s="97"/>
      <c r="U474" s="97"/>
      <c r="Y474" s="198"/>
      <c r="Z474" s="198"/>
    </row>
    <row r="475" spans="1:26" x14ac:dyDescent="0.35">
      <c r="A475" s="128">
        <v>28</v>
      </c>
      <c r="B475" s="132"/>
      <c r="C475" s="132"/>
      <c r="D475" s="133" t="s">
        <v>809</v>
      </c>
      <c r="E475" s="255">
        <v>0</v>
      </c>
      <c r="F475" s="255">
        <v>0</v>
      </c>
      <c r="G475" s="129">
        <f>0</f>
        <v>0</v>
      </c>
      <c r="H475" s="255">
        <f>IF(ElectricSafety36240278[[#This Row],[Actual Buyout]]+ElectricSafety36240278[[#This Row],[Change Orders]]=0,ElectricSafety36240278[[#This Row],[Original Contract]],ElectricSafety36240278[[#This Row],[Actual Buyout]]+ElectricSafety36240278[[#This Row],[Change Orders]])</f>
        <v>0</v>
      </c>
      <c r="I475" s="129">
        <v>0</v>
      </c>
      <c r="J475" s="129">
        <f>ElectricSafety36240278[[#This Row],[Original Contract]]-ElectricSafety36240278[[#This Row],[Revised Contract]]</f>
        <v>0</v>
      </c>
      <c r="K475" s="347"/>
      <c r="L475" s="341"/>
      <c r="M475" s="343"/>
      <c r="T475" s="97"/>
      <c r="U475" s="97"/>
      <c r="Y475" s="198"/>
      <c r="Z475" s="198"/>
    </row>
    <row r="476" spans="1:26" x14ac:dyDescent="0.35">
      <c r="A476" s="128">
        <v>28</v>
      </c>
      <c r="B476" s="132"/>
      <c r="C476" s="132"/>
      <c r="D476" s="133" t="s">
        <v>810</v>
      </c>
      <c r="E476" s="255">
        <v>0</v>
      </c>
      <c r="F476" s="255">
        <v>0</v>
      </c>
      <c r="G476" s="129">
        <f>0</f>
        <v>0</v>
      </c>
      <c r="H476" s="255">
        <f>IF(ElectricSafety36240278[[#This Row],[Actual Buyout]]+ElectricSafety36240278[[#This Row],[Change Orders]]=0,ElectricSafety36240278[[#This Row],[Original Contract]],ElectricSafety36240278[[#This Row],[Actual Buyout]]+ElectricSafety36240278[[#This Row],[Change Orders]])</f>
        <v>0</v>
      </c>
      <c r="I476" s="129">
        <v>0</v>
      </c>
      <c r="J476" s="129">
        <f>ElectricSafety36240278[[#This Row],[Original Contract]]-ElectricSafety36240278[[#This Row],[Revised Contract]]</f>
        <v>0</v>
      </c>
      <c r="K476" s="347"/>
      <c r="L476" s="341"/>
      <c r="M476" s="343"/>
      <c r="T476" s="97"/>
      <c r="U476" s="97"/>
      <c r="Y476" s="198"/>
      <c r="Z476" s="198"/>
    </row>
    <row r="477" spans="1:26" x14ac:dyDescent="0.35">
      <c r="A477" s="128">
        <v>28</v>
      </c>
      <c r="B477" s="132"/>
      <c r="C477" s="132"/>
      <c r="D477" s="133" t="s">
        <v>811</v>
      </c>
      <c r="E477" s="255">
        <v>0</v>
      </c>
      <c r="F477" s="255">
        <v>0</v>
      </c>
      <c r="G477" s="129">
        <f>0</f>
        <v>0</v>
      </c>
      <c r="H477" s="255">
        <f>IF(ElectricSafety36240278[[#This Row],[Actual Buyout]]+ElectricSafety36240278[[#This Row],[Change Orders]]=0,ElectricSafety36240278[[#This Row],[Original Contract]],ElectricSafety36240278[[#This Row],[Actual Buyout]]+ElectricSafety36240278[[#This Row],[Change Orders]])</f>
        <v>0</v>
      </c>
      <c r="I477" s="129">
        <v>0</v>
      </c>
      <c r="J477" s="129">
        <f>ElectricSafety36240278[[#This Row],[Original Contract]]-ElectricSafety36240278[[#This Row],[Revised Contract]]</f>
        <v>0</v>
      </c>
      <c r="K477" s="347"/>
      <c r="L477" s="341"/>
      <c r="M477" s="343"/>
      <c r="T477" s="97"/>
      <c r="U477" s="97"/>
      <c r="Y477" s="198"/>
      <c r="Z477" s="198"/>
    </row>
    <row r="478" spans="1:26" x14ac:dyDescent="0.35">
      <c r="A478" s="128">
        <v>28</v>
      </c>
      <c r="B478" s="132"/>
      <c r="C478" s="132"/>
      <c r="D478" s="133" t="s">
        <v>37</v>
      </c>
      <c r="E478" s="255">
        <v>0</v>
      </c>
      <c r="F478" s="255">
        <v>0</v>
      </c>
      <c r="G478" s="129">
        <f>0</f>
        <v>0</v>
      </c>
      <c r="H478" s="255">
        <f>IF(ElectricSafety36240278[[#This Row],[Actual Buyout]]+ElectricSafety36240278[[#This Row],[Change Orders]]=0,ElectricSafety36240278[[#This Row],[Original Contract]],ElectricSafety36240278[[#This Row],[Actual Buyout]]+ElectricSafety36240278[[#This Row],[Change Orders]])</f>
        <v>0</v>
      </c>
      <c r="I478" s="129">
        <v>0</v>
      </c>
      <c r="J478" s="129">
        <f>ElectricSafety36240278[[#This Row],[Original Contract]]-ElectricSafety36240278[[#This Row],[Revised Contract]]</f>
        <v>0</v>
      </c>
      <c r="K478" s="347"/>
      <c r="L478" s="341"/>
      <c r="M478" s="343"/>
      <c r="T478" s="97"/>
      <c r="U478" s="97"/>
      <c r="Y478" s="198"/>
      <c r="Z478" s="198"/>
    </row>
    <row r="479" spans="1:26" x14ac:dyDescent="0.35">
      <c r="A479" s="128">
        <v>28</v>
      </c>
      <c r="B479" s="132"/>
      <c r="C479" s="132"/>
      <c r="D479" s="133" t="s">
        <v>37</v>
      </c>
      <c r="E479" s="255">
        <v>0</v>
      </c>
      <c r="F479" s="255">
        <v>0</v>
      </c>
      <c r="G479" s="129">
        <f>0</f>
        <v>0</v>
      </c>
      <c r="H479" s="255">
        <f>IF(ElectricSafety36240278[[#This Row],[Actual Buyout]]+ElectricSafety36240278[[#This Row],[Change Orders]]=0,ElectricSafety36240278[[#This Row],[Original Contract]],ElectricSafety36240278[[#This Row],[Actual Buyout]]+ElectricSafety36240278[[#This Row],[Change Orders]])</f>
        <v>0</v>
      </c>
      <c r="I479" s="129">
        <v>0</v>
      </c>
      <c r="J479" s="129">
        <f>ElectricSafety36240278[[#This Row],[Original Contract]]-ElectricSafety36240278[[#This Row],[Revised Contract]]</f>
        <v>0</v>
      </c>
      <c r="K479" s="347"/>
      <c r="L479" s="341"/>
      <c r="M479" s="343"/>
      <c r="T479" s="97"/>
      <c r="U479" s="97"/>
      <c r="Y479" s="198"/>
      <c r="Z479" s="198"/>
    </row>
    <row r="480" spans="1:26" x14ac:dyDescent="0.35">
      <c r="A480" s="128">
        <v>28</v>
      </c>
      <c r="B480" s="132"/>
      <c r="C480" s="132"/>
      <c r="D480" s="133" t="s">
        <v>37</v>
      </c>
      <c r="E480" s="255">
        <v>0</v>
      </c>
      <c r="F480" s="255">
        <v>0</v>
      </c>
      <c r="G480" s="129">
        <f>0</f>
        <v>0</v>
      </c>
      <c r="H480" s="255">
        <f>IF(ElectricSafety36240278[[#This Row],[Actual Buyout]]+ElectricSafety36240278[[#This Row],[Change Orders]]=0,ElectricSafety36240278[[#This Row],[Original Contract]],ElectricSafety36240278[[#This Row],[Actual Buyout]]+ElectricSafety36240278[[#This Row],[Change Orders]])</f>
        <v>0</v>
      </c>
      <c r="I480" s="129">
        <v>0</v>
      </c>
      <c r="J480" s="129">
        <f>ElectricSafety36240278[[#This Row],[Original Contract]]-ElectricSafety36240278[[#This Row],[Revised Contract]]</f>
        <v>0</v>
      </c>
      <c r="K480" s="347"/>
      <c r="L480" s="341"/>
      <c r="M480" s="343"/>
      <c r="T480" s="97"/>
      <c r="U480" s="97"/>
      <c r="Y480" s="198"/>
      <c r="Z480" s="198"/>
    </row>
    <row r="481" spans="1:26" x14ac:dyDescent="0.35">
      <c r="A481" s="257"/>
      <c r="B481" s="258"/>
      <c r="C481" s="258"/>
      <c r="D481" s="256" t="s">
        <v>38</v>
      </c>
      <c r="E481" s="151">
        <f>SUM(ElectricSafety36240278[Original Contract])</f>
        <v>0</v>
      </c>
      <c r="F481" s="151">
        <f>SUM(ElectricSafety36240278[Actual Buyout])</f>
        <v>0</v>
      </c>
      <c r="G481" s="151">
        <f>SUM(ElectricSafety36240278[Change Orders])</f>
        <v>0</v>
      </c>
      <c r="H481" s="151">
        <f>SUM(ElectricSafety36240278[Revised Contract])</f>
        <v>0</v>
      </c>
      <c r="I481" s="151">
        <f>SUM(ElectricSafety36240278[Total completed and Stored])</f>
        <v>0</v>
      </c>
      <c r="J481" s="151">
        <f>SUM(ElectricSafety36240278[Delta])</f>
        <v>0</v>
      </c>
      <c r="K481" s="348"/>
      <c r="L481" s="343"/>
      <c r="M481" s="343"/>
    </row>
    <row r="482" spans="1:26" x14ac:dyDescent="0.35">
      <c r="A482" s="100" t="s">
        <v>670</v>
      </c>
      <c r="B482" s="100" t="s">
        <v>165</v>
      </c>
      <c r="C482" s="100" t="s">
        <v>167</v>
      </c>
      <c r="D482" s="100" t="s">
        <v>26</v>
      </c>
      <c r="E482" s="100" t="s">
        <v>781</v>
      </c>
      <c r="F482" s="332" t="s">
        <v>1078</v>
      </c>
      <c r="G482" s="332" t="s">
        <v>782</v>
      </c>
      <c r="H482" s="332" t="s">
        <v>783</v>
      </c>
      <c r="I482" s="334" t="s">
        <v>785</v>
      </c>
      <c r="J482" s="340" t="s">
        <v>1079</v>
      </c>
      <c r="K482" s="347"/>
      <c r="L482" s="335"/>
      <c r="M482" s="343"/>
      <c r="T482" s="97"/>
      <c r="U482" s="97"/>
      <c r="Y482" s="198"/>
      <c r="Z482" s="198"/>
    </row>
    <row r="483" spans="1:26" x14ac:dyDescent="0.35">
      <c r="A483" s="128"/>
      <c r="B483" s="132"/>
      <c r="C483" s="132"/>
      <c r="D483" s="133" t="s">
        <v>812</v>
      </c>
      <c r="E483" s="255">
        <v>0</v>
      </c>
      <c r="F483" s="255">
        <v>0</v>
      </c>
      <c r="G483" s="129">
        <f>0</f>
        <v>0</v>
      </c>
      <c r="H483" s="255">
        <f>IF(Misc37241279[[#This Row],[Actual Buyout]]+Misc37241279[[#This Row],[Change Orders]]=0,Misc37241279[[#This Row],[Original Contract]],Misc37241279[[#This Row],[Actual Buyout]]+Misc37241279[[#This Row],[Change Orders]])</f>
        <v>0</v>
      </c>
      <c r="I483" s="129">
        <v>0</v>
      </c>
      <c r="J483" s="129">
        <f>Misc37241279[[#This Row],[Original Contract]]-Misc37241279[[#This Row],[Revised Contract]]</f>
        <v>0</v>
      </c>
      <c r="K483" s="347"/>
      <c r="L483" s="341"/>
      <c r="M483" s="343"/>
      <c r="T483" s="97"/>
      <c r="U483" s="97"/>
      <c r="Y483" s="198"/>
      <c r="Z483" s="198"/>
    </row>
    <row r="484" spans="1:26" x14ac:dyDescent="0.35">
      <c r="A484" s="128"/>
      <c r="B484" s="132"/>
      <c r="C484" s="132"/>
      <c r="D484" s="133" t="s">
        <v>813</v>
      </c>
      <c r="E484" s="255">
        <v>0</v>
      </c>
      <c r="F484" s="255">
        <v>0</v>
      </c>
      <c r="G484" s="129">
        <f>0</f>
        <v>0</v>
      </c>
      <c r="H484" s="255">
        <f>IF(Misc37241279[[#This Row],[Actual Buyout]]+Misc37241279[[#This Row],[Change Orders]]=0,Misc37241279[[#This Row],[Original Contract]],Misc37241279[[#This Row],[Actual Buyout]]+Misc37241279[[#This Row],[Change Orders]])</f>
        <v>0</v>
      </c>
      <c r="I484" s="129">
        <v>0</v>
      </c>
      <c r="J484" s="129">
        <f>Misc37241279[[#This Row],[Original Contract]]-Misc37241279[[#This Row],[Revised Contract]]</f>
        <v>0</v>
      </c>
      <c r="K484" s="347"/>
      <c r="L484" s="341"/>
      <c r="M484" s="343"/>
      <c r="T484" s="97"/>
      <c r="U484" s="97"/>
      <c r="Y484" s="198"/>
      <c r="Z484" s="198"/>
    </row>
    <row r="485" spans="1:26" x14ac:dyDescent="0.35">
      <c r="A485" s="128"/>
      <c r="B485" s="132"/>
      <c r="C485" s="132"/>
      <c r="D485" s="133" t="s">
        <v>814</v>
      </c>
      <c r="E485" s="255">
        <v>0</v>
      </c>
      <c r="F485" s="255">
        <v>0</v>
      </c>
      <c r="G485" s="129">
        <f>0</f>
        <v>0</v>
      </c>
      <c r="H485" s="255">
        <f>IF(Misc37241279[[#This Row],[Actual Buyout]]+Misc37241279[[#This Row],[Change Orders]]=0,Misc37241279[[#This Row],[Original Contract]],Misc37241279[[#This Row],[Actual Buyout]]+Misc37241279[[#This Row],[Change Orders]])</f>
        <v>0</v>
      </c>
      <c r="I485" s="129">
        <v>0</v>
      </c>
      <c r="J485" s="129">
        <f>Misc37241279[[#This Row],[Original Contract]]-Misc37241279[[#This Row],[Revised Contract]]</f>
        <v>0</v>
      </c>
      <c r="K485" s="347"/>
      <c r="L485" s="341"/>
      <c r="M485" s="343"/>
      <c r="T485" s="97"/>
      <c r="U485" s="97"/>
      <c r="Y485" s="198"/>
      <c r="Z485" s="198"/>
    </row>
    <row r="486" spans="1:26" x14ac:dyDescent="0.35">
      <c r="A486" s="128"/>
      <c r="B486" s="132"/>
      <c r="C486" s="132"/>
      <c r="D486" s="133" t="s">
        <v>815</v>
      </c>
      <c r="E486" s="255">
        <v>0</v>
      </c>
      <c r="F486" s="255">
        <v>0</v>
      </c>
      <c r="G486" s="129">
        <f>0</f>
        <v>0</v>
      </c>
      <c r="H486" s="255">
        <f>IF(Misc37241279[[#This Row],[Actual Buyout]]+Misc37241279[[#This Row],[Change Orders]]=0,Misc37241279[[#This Row],[Original Contract]],Misc37241279[[#This Row],[Actual Buyout]]+Misc37241279[[#This Row],[Change Orders]])</f>
        <v>0</v>
      </c>
      <c r="I486" s="129">
        <v>0</v>
      </c>
      <c r="J486" s="129">
        <f>Misc37241279[[#This Row],[Original Contract]]-Misc37241279[[#This Row],[Revised Contract]]</f>
        <v>0</v>
      </c>
      <c r="K486" s="347"/>
      <c r="L486" s="341"/>
      <c r="M486" s="343"/>
      <c r="T486" s="97"/>
      <c r="U486" s="97"/>
      <c r="Y486" s="198"/>
      <c r="Z486" s="198"/>
    </row>
    <row r="487" spans="1:26" x14ac:dyDescent="0.35">
      <c r="A487" s="128"/>
      <c r="B487" s="132"/>
      <c r="C487" s="132"/>
      <c r="D487" s="133" t="s">
        <v>37</v>
      </c>
      <c r="E487" s="255">
        <v>0</v>
      </c>
      <c r="F487" s="255">
        <v>0</v>
      </c>
      <c r="G487" s="129">
        <f>0</f>
        <v>0</v>
      </c>
      <c r="H487" s="255">
        <f>IF(Misc37241279[[#This Row],[Actual Buyout]]+Misc37241279[[#This Row],[Change Orders]]=0,Misc37241279[[#This Row],[Original Contract]],Misc37241279[[#This Row],[Actual Buyout]]+Misc37241279[[#This Row],[Change Orders]])</f>
        <v>0</v>
      </c>
      <c r="I487" s="129">
        <v>0</v>
      </c>
      <c r="J487" s="129">
        <f>Misc37241279[[#This Row],[Original Contract]]-Misc37241279[[#This Row],[Revised Contract]]</f>
        <v>0</v>
      </c>
      <c r="K487" s="347"/>
      <c r="L487" s="341"/>
      <c r="M487" s="343"/>
      <c r="T487" s="97"/>
      <c r="U487" s="97"/>
      <c r="Y487" s="198"/>
      <c r="Z487" s="198"/>
    </row>
    <row r="488" spans="1:26" x14ac:dyDescent="0.35">
      <c r="A488" s="257"/>
      <c r="B488" s="258"/>
      <c r="C488" s="258"/>
      <c r="D488" s="256" t="s">
        <v>38</v>
      </c>
      <c r="E488" s="151">
        <f>SUM(Misc37241279[Original Contract])</f>
        <v>0</v>
      </c>
      <c r="F488" s="151">
        <f>SUM(Misc37241279[Actual Buyout])</f>
        <v>0</v>
      </c>
      <c r="G488" s="151">
        <f>SUM(Misc37241279[Change Orders])</f>
        <v>0</v>
      </c>
      <c r="H488" s="151">
        <f>SUM(Misc37241279[Revised Contract])</f>
        <v>0</v>
      </c>
      <c r="I488" s="151">
        <f>SUM(Misc37241279[Total completed and Stored])</f>
        <v>0</v>
      </c>
      <c r="J488" s="151">
        <f>SUM(Misc37241279[Delta])</f>
        <v>0</v>
      </c>
      <c r="K488" s="348"/>
      <c r="L488" s="343"/>
      <c r="M488" s="343"/>
    </row>
    <row r="489" spans="1:26" x14ac:dyDescent="0.35">
      <c r="A489" s="100" t="s">
        <v>670</v>
      </c>
      <c r="B489" s="100" t="s">
        <v>409</v>
      </c>
      <c r="C489" s="100" t="s">
        <v>167</v>
      </c>
      <c r="D489" s="100" t="s">
        <v>26</v>
      </c>
      <c r="E489" s="100" t="s">
        <v>781</v>
      </c>
      <c r="F489" s="332" t="s">
        <v>1078</v>
      </c>
      <c r="G489" s="332" t="s">
        <v>782</v>
      </c>
      <c r="H489" s="332" t="s">
        <v>783</v>
      </c>
      <c r="I489" s="334" t="s">
        <v>785</v>
      </c>
      <c r="J489" s="340" t="s">
        <v>1079</v>
      </c>
      <c r="K489" s="347"/>
      <c r="L489" s="335"/>
      <c r="M489" s="343"/>
      <c r="T489" s="97"/>
      <c r="U489" s="97"/>
      <c r="Y489" s="198"/>
      <c r="Z489" s="198"/>
    </row>
    <row r="490" spans="1:26" x14ac:dyDescent="0.35">
      <c r="A490" s="128"/>
      <c r="B490" s="263"/>
      <c r="C490" s="132"/>
      <c r="D490" s="264" t="s">
        <v>152</v>
      </c>
      <c r="E490" s="255">
        <v>0</v>
      </c>
      <c r="F490" s="255">
        <v>0</v>
      </c>
      <c r="G490" s="129">
        <f>0</f>
        <v>0</v>
      </c>
      <c r="H490" s="255">
        <f>IF(TenantAllow38242280[[#This Row],[Actual Buyout]]+TenantAllow38242280[[#This Row],[Change Orders]]=0,TenantAllow38242280[[#This Row],[Original Contract]],TenantAllow38242280[[#This Row],[Actual Buyout]]+TenantAllow38242280[[#This Row],[Change Orders]])</f>
        <v>0</v>
      </c>
      <c r="I490" s="129">
        <v>0</v>
      </c>
      <c r="J490" s="129">
        <f>TenantAllow38242280[[#This Row],[Original Contract]]-TenantAllow38242280[[#This Row],[Revised Contract]]</f>
        <v>0</v>
      </c>
      <c r="K490" s="347"/>
      <c r="L490" s="341"/>
      <c r="M490" s="343"/>
      <c r="T490" s="97"/>
      <c r="U490" s="97"/>
      <c r="Y490" s="198"/>
      <c r="Z490" s="198"/>
    </row>
    <row r="491" spans="1:26" x14ac:dyDescent="0.35">
      <c r="A491" s="128"/>
      <c r="B491" s="263"/>
      <c r="C491" s="132"/>
      <c r="D491" s="264" t="s">
        <v>153</v>
      </c>
      <c r="E491" s="255">
        <v>0</v>
      </c>
      <c r="F491" s="255">
        <v>0</v>
      </c>
      <c r="G491" s="129">
        <f>0</f>
        <v>0</v>
      </c>
      <c r="H491" s="255">
        <f>IF(TenantAllow38242280[[#This Row],[Actual Buyout]]+TenantAllow38242280[[#This Row],[Change Orders]]=0,TenantAllow38242280[[#This Row],[Original Contract]],TenantAllow38242280[[#This Row],[Actual Buyout]]+TenantAllow38242280[[#This Row],[Change Orders]])</f>
        <v>0</v>
      </c>
      <c r="I491" s="129">
        <v>0</v>
      </c>
      <c r="J491" s="129">
        <f>TenantAllow38242280[[#This Row],[Original Contract]]-TenantAllow38242280[[#This Row],[Revised Contract]]</f>
        <v>0</v>
      </c>
      <c r="K491" s="347"/>
      <c r="L491" s="341"/>
      <c r="M491" s="343"/>
      <c r="T491" s="97"/>
      <c r="U491" s="97"/>
      <c r="Y491" s="198"/>
      <c r="Z491" s="198"/>
    </row>
    <row r="492" spans="1:26" x14ac:dyDescent="0.35">
      <c r="A492" s="128"/>
      <c r="B492" s="263"/>
      <c r="C492" s="132"/>
      <c r="D492" s="264" t="s">
        <v>708</v>
      </c>
      <c r="E492" s="255">
        <v>0</v>
      </c>
      <c r="F492" s="255">
        <v>0</v>
      </c>
      <c r="G492" s="129">
        <f>0</f>
        <v>0</v>
      </c>
      <c r="H492" s="255">
        <f>IF(TenantAllow38242280[[#This Row],[Actual Buyout]]+TenantAllow38242280[[#This Row],[Change Orders]]=0,TenantAllow38242280[[#This Row],[Original Contract]],TenantAllow38242280[[#This Row],[Actual Buyout]]+TenantAllow38242280[[#This Row],[Change Orders]])</f>
        <v>0</v>
      </c>
      <c r="I492" s="129">
        <v>0</v>
      </c>
      <c r="J492" s="129">
        <f>TenantAllow38242280[[#This Row],[Original Contract]]-TenantAllow38242280[[#This Row],[Revised Contract]]</f>
        <v>0</v>
      </c>
      <c r="K492" s="347"/>
      <c r="L492" s="341"/>
      <c r="M492" s="343"/>
      <c r="T492" s="97"/>
      <c r="U492" s="97"/>
      <c r="Y492" s="198"/>
      <c r="Z492" s="198"/>
    </row>
    <row r="493" spans="1:26" x14ac:dyDescent="0.35">
      <c r="A493" s="128"/>
      <c r="B493" s="263"/>
      <c r="C493" s="132"/>
      <c r="D493" s="264" t="s">
        <v>154</v>
      </c>
      <c r="E493" s="255">
        <v>0</v>
      </c>
      <c r="F493" s="255">
        <v>0</v>
      </c>
      <c r="G493" s="129">
        <f>0</f>
        <v>0</v>
      </c>
      <c r="H493" s="255">
        <f>IF(TenantAllow38242280[[#This Row],[Actual Buyout]]+TenantAllow38242280[[#This Row],[Change Orders]]=0,TenantAllow38242280[[#This Row],[Original Contract]],TenantAllow38242280[[#This Row],[Actual Buyout]]+TenantAllow38242280[[#This Row],[Change Orders]])</f>
        <v>0</v>
      </c>
      <c r="I493" s="129">
        <v>0</v>
      </c>
      <c r="J493" s="129">
        <f>TenantAllow38242280[[#This Row],[Original Contract]]-TenantAllow38242280[[#This Row],[Revised Contract]]</f>
        <v>0</v>
      </c>
      <c r="K493" s="347"/>
      <c r="L493" s="341"/>
      <c r="M493" s="343"/>
      <c r="T493" s="97"/>
      <c r="U493" s="97"/>
      <c r="Y493" s="198"/>
      <c r="Z493" s="198"/>
    </row>
    <row r="494" spans="1:26" x14ac:dyDescent="0.35">
      <c r="A494" s="128"/>
      <c r="B494" s="132"/>
      <c r="C494" s="132"/>
      <c r="D494" s="133" t="s">
        <v>816</v>
      </c>
      <c r="E494" s="255">
        <v>0</v>
      </c>
      <c r="F494" s="255">
        <v>0</v>
      </c>
      <c r="G494" s="129">
        <f>0</f>
        <v>0</v>
      </c>
      <c r="H494" s="255">
        <f>IF(TenantAllow38242280[[#This Row],[Actual Buyout]]+TenantAllow38242280[[#This Row],[Change Orders]]=0,TenantAllow38242280[[#This Row],[Original Contract]],TenantAllow38242280[[#This Row],[Actual Buyout]]+TenantAllow38242280[[#This Row],[Change Orders]])</f>
        <v>0</v>
      </c>
      <c r="I494" s="129">
        <v>0</v>
      </c>
      <c r="J494" s="129">
        <f>TenantAllow38242280[[#This Row],[Original Contract]]-TenantAllow38242280[[#This Row],[Revised Contract]]</f>
        <v>0</v>
      </c>
      <c r="K494" s="347"/>
      <c r="L494" s="341"/>
      <c r="M494" s="343"/>
      <c r="T494" s="97"/>
      <c r="U494" s="97"/>
      <c r="Y494" s="198"/>
      <c r="Z494" s="198"/>
    </row>
    <row r="495" spans="1:26" x14ac:dyDescent="0.35">
      <c r="A495" s="128"/>
      <c r="B495" s="132"/>
      <c r="C495" s="132"/>
      <c r="D495" s="133" t="s">
        <v>817</v>
      </c>
      <c r="E495" s="255">
        <v>0</v>
      </c>
      <c r="F495" s="255">
        <v>0</v>
      </c>
      <c r="G495" s="129">
        <f>0</f>
        <v>0</v>
      </c>
      <c r="H495" s="255">
        <f>IF(TenantAllow38242280[[#This Row],[Actual Buyout]]+TenantAllow38242280[[#This Row],[Change Orders]]=0,TenantAllow38242280[[#This Row],[Original Contract]],TenantAllow38242280[[#This Row],[Actual Buyout]]+TenantAllow38242280[[#This Row],[Change Orders]])</f>
        <v>0</v>
      </c>
      <c r="I495" s="129">
        <v>0</v>
      </c>
      <c r="J495" s="129">
        <f>TenantAllow38242280[[#This Row],[Original Contract]]-TenantAllow38242280[[#This Row],[Revised Contract]]</f>
        <v>0</v>
      </c>
      <c r="K495" s="347"/>
      <c r="L495" s="341"/>
      <c r="M495" s="343"/>
      <c r="T495" s="97"/>
      <c r="U495" s="97"/>
      <c r="Y495" s="198"/>
      <c r="Z495" s="198"/>
    </row>
    <row r="496" spans="1:26" x14ac:dyDescent="0.35">
      <c r="A496" s="128"/>
      <c r="B496" s="132"/>
      <c r="C496" s="132"/>
      <c r="D496" s="133" t="s">
        <v>818</v>
      </c>
      <c r="E496" s="255">
        <v>0</v>
      </c>
      <c r="F496" s="255">
        <v>0</v>
      </c>
      <c r="G496" s="129">
        <f>0</f>
        <v>0</v>
      </c>
      <c r="H496" s="255">
        <f>IF(TenantAllow38242280[[#This Row],[Actual Buyout]]+TenantAllow38242280[[#This Row],[Change Orders]]=0,TenantAllow38242280[[#This Row],[Original Contract]],TenantAllow38242280[[#This Row],[Actual Buyout]]+TenantAllow38242280[[#This Row],[Change Orders]])</f>
        <v>0</v>
      </c>
      <c r="I496" s="129">
        <v>0</v>
      </c>
      <c r="J496" s="129">
        <f>TenantAllow38242280[[#This Row],[Original Contract]]-TenantAllow38242280[[#This Row],[Revised Contract]]</f>
        <v>0</v>
      </c>
      <c r="K496" s="347"/>
      <c r="L496" s="341"/>
      <c r="M496" s="343"/>
      <c r="T496" s="97"/>
      <c r="U496" s="97"/>
      <c r="Y496" s="198"/>
      <c r="Z496" s="198"/>
    </row>
    <row r="497" spans="1:26" x14ac:dyDescent="0.35">
      <c r="A497" s="128"/>
      <c r="B497" s="132"/>
      <c r="C497" s="132"/>
      <c r="D497" s="133" t="s">
        <v>819</v>
      </c>
      <c r="E497" s="255">
        <v>0</v>
      </c>
      <c r="F497" s="255">
        <v>0</v>
      </c>
      <c r="G497" s="129">
        <f>0</f>
        <v>0</v>
      </c>
      <c r="H497" s="255">
        <f>IF(TenantAllow38242280[[#This Row],[Actual Buyout]]+TenantAllow38242280[[#This Row],[Change Orders]]=0,TenantAllow38242280[[#This Row],[Original Contract]],TenantAllow38242280[[#This Row],[Actual Buyout]]+TenantAllow38242280[[#This Row],[Change Orders]])</f>
        <v>0</v>
      </c>
      <c r="I497" s="129">
        <v>0</v>
      </c>
      <c r="J497" s="129">
        <f>TenantAllow38242280[[#This Row],[Original Contract]]-TenantAllow38242280[[#This Row],[Revised Contract]]</f>
        <v>0</v>
      </c>
      <c r="K497" s="347"/>
      <c r="L497" s="341"/>
      <c r="M497" s="343"/>
      <c r="T497" s="97"/>
      <c r="U497" s="97"/>
      <c r="Y497" s="198"/>
      <c r="Z497" s="198"/>
    </row>
    <row r="498" spans="1:26" x14ac:dyDescent="0.35">
      <c r="A498" s="128"/>
      <c r="B498" s="132"/>
      <c r="C498" s="132"/>
      <c r="D498" s="133" t="s">
        <v>37</v>
      </c>
      <c r="E498" s="255">
        <v>0</v>
      </c>
      <c r="F498" s="255">
        <v>0</v>
      </c>
      <c r="G498" s="129">
        <f>0</f>
        <v>0</v>
      </c>
      <c r="H498" s="255">
        <f>IF(TenantAllow38242280[[#This Row],[Actual Buyout]]+TenantAllow38242280[[#This Row],[Change Orders]]=0,TenantAllow38242280[[#This Row],[Original Contract]],TenantAllow38242280[[#This Row],[Actual Buyout]]+TenantAllow38242280[[#This Row],[Change Orders]])</f>
        <v>0</v>
      </c>
      <c r="I498" s="129">
        <v>0</v>
      </c>
      <c r="J498" s="129">
        <f>TenantAllow38242280[[#This Row],[Original Contract]]-TenantAllow38242280[[#This Row],[Revised Contract]]</f>
        <v>0</v>
      </c>
      <c r="K498" s="347"/>
      <c r="L498" s="341"/>
      <c r="M498" s="343"/>
      <c r="T498" s="97"/>
      <c r="U498" s="97"/>
      <c r="Y498" s="198"/>
      <c r="Z498" s="198"/>
    </row>
    <row r="499" spans="1:26" x14ac:dyDescent="0.35">
      <c r="A499" s="257"/>
      <c r="B499" s="258"/>
      <c r="C499" s="258"/>
      <c r="D499" s="256" t="s">
        <v>38</v>
      </c>
      <c r="E499" s="151">
        <f>SUM(TenantAllow38242280[Original Contract])</f>
        <v>0</v>
      </c>
      <c r="F499" s="151">
        <f>SUM(TenantAllow38242280[Actual Buyout])</f>
        <v>0</v>
      </c>
      <c r="G499" s="151">
        <f>SUM(TenantAllow38242280[Change Orders])</f>
        <v>0</v>
      </c>
      <c r="H499" s="151">
        <f>SUM(TenantAllow38242280[Revised Contract])</f>
        <v>0</v>
      </c>
      <c r="I499" s="151">
        <f>SUM(TenantAllow38242280[Total completed and Stored])</f>
        <v>0</v>
      </c>
      <c r="J499" s="151">
        <f>SUM(TenantAllow38242280[Delta])</f>
        <v>0</v>
      </c>
      <c r="K499" s="348"/>
      <c r="L499" s="343"/>
      <c r="M499" s="343"/>
    </row>
    <row r="500" spans="1:26" x14ac:dyDescent="0.35">
      <c r="A500" s="100" t="s">
        <v>670</v>
      </c>
      <c r="B500" s="100" t="s">
        <v>155</v>
      </c>
      <c r="C500" s="100" t="s">
        <v>167</v>
      </c>
      <c r="D500" s="100" t="s">
        <v>26</v>
      </c>
      <c r="E500" s="100" t="s">
        <v>781</v>
      </c>
      <c r="F500" s="332" t="s">
        <v>1078</v>
      </c>
      <c r="G500" s="332" t="s">
        <v>782</v>
      </c>
      <c r="H500" s="332" t="s">
        <v>783</v>
      </c>
      <c r="I500" s="334" t="s">
        <v>785</v>
      </c>
      <c r="J500" s="340" t="s">
        <v>1079</v>
      </c>
      <c r="K500" s="347"/>
      <c r="L500" s="335"/>
      <c r="M500" s="343"/>
      <c r="T500" s="97"/>
      <c r="U500" s="97"/>
      <c r="Y500" s="198"/>
      <c r="Z500" s="198"/>
    </row>
    <row r="501" spans="1:26" x14ac:dyDescent="0.35">
      <c r="A501" s="128"/>
      <c r="B501" s="265"/>
      <c r="C501" s="132"/>
      <c r="D501" s="266" t="s">
        <v>721</v>
      </c>
      <c r="E501" s="255">
        <v>0</v>
      </c>
      <c r="F501" s="255">
        <v>0</v>
      </c>
      <c r="G501" s="129">
        <f>0</f>
        <v>0</v>
      </c>
      <c r="H501" s="255">
        <f>IF(GCGenCon39243281[[#This Row],[Actual Buyout]]+GCGenCon39243281[[#This Row],[Change Orders]]=0,GCGenCon39243281[[#This Row],[Original Contract]],GCGenCon39243281[[#This Row],[Actual Buyout]]+GCGenCon39243281[[#This Row],[Change Orders]])</f>
        <v>0</v>
      </c>
      <c r="I501" s="129">
        <v>0</v>
      </c>
      <c r="J501" s="129">
        <f>GCGenCon39243281[[#This Row],[Original Contract]]-GCGenCon39243281[[#This Row],[Revised Contract]]</f>
        <v>0</v>
      </c>
      <c r="K501" s="347"/>
      <c r="L501" s="341"/>
      <c r="M501" s="343"/>
      <c r="T501" s="97"/>
      <c r="U501" s="97"/>
      <c r="Y501" s="198"/>
      <c r="Z501" s="198"/>
    </row>
    <row r="502" spans="1:26" x14ac:dyDescent="0.35">
      <c r="A502" s="128"/>
      <c r="B502" s="132"/>
      <c r="C502" s="132"/>
      <c r="D502" s="133" t="s">
        <v>722</v>
      </c>
      <c r="E502" s="255">
        <v>0</v>
      </c>
      <c r="F502" s="255">
        <v>0</v>
      </c>
      <c r="G502" s="129">
        <f>0</f>
        <v>0</v>
      </c>
      <c r="H502" s="255">
        <f>IF(GCGenCon39243281[[#This Row],[Actual Buyout]]+GCGenCon39243281[[#This Row],[Change Orders]]=0,GCGenCon39243281[[#This Row],[Original Contract]],GCGenCon39243281[[#This Row],[Actual Buyout]]+GCGenCon39243281[[#This Row],[Change Orders]])</f>
        <v>0</v>
      </c>
      <c r="I502" s="129">
        <v>0</v>
      </c>
      <c r="J502" s="129">
        <f>GCGenCon39243281[[#This Row],[Original Contract]]-GCGenCon39243281[[#This Row],[Revised Contract]]</f>
        <v>0</v>
      </c>
      <c r="K502" s="347"/>
      <c r="L502" s="341"/>
      <c r="M502" s="343"/>
      <c r="T502" s="97"/>
      <c r="U502" s="97"/>
      <c r="Y502" s="198"/>
      <c r="Z502" s="198"/>
    </row>
    <row r="503" spans="1:26" x14ac:dyDescent="0.35">
      <c r="A503" s="128"/>
      <c r="B503" s="265"/>
      <c r="C503" s="132"/>
      <c r="D503" s="266" t="s">
        <v>723</v>
      </c>
      <c r="E503" s="255">
        <v>0</v>
      </c>
      <c r="F503" s="255">
        <v>0</v>
      </c>
      <c r="G503" s="129">
        <f>0</f>
        <v>0</v>
      </c>
      <c r="H503" s="255">
        <f>IF(GCGenCon39243281[[#This Row],[Actual Buyout]]+GCGenCon39243281[[#This Row],[Change Orders]]=0,GCGenCon39243281[[#This Row],[Original Contract]],GCGenCon39243281[[#This Row],[Actual Buyout]]+GCGenCon39243281[[#This Row],[Change Orders]])</f>
        <v>0</v>
      </c>
      <c r="I503" s="129">
        <v>0</v>
      </c>
      <c r="J503" s="129">
        <f>GCGenCon39243281[[#This Row],[Original Contract]]-GCGenCon39243281[[#This Row],[Revised Contract]]</f>
        <v>0</v>
      </c>
      <c r="K503" s="347"/>
      <c r="L503" s="341"/>
      <c r="M503" s="343"/>
      <c r="T503" s="97"/>
      <c r="U503" s="97"/>
      <c r="Y503" s="198"/>
      <c r="Z503" s="198"/>
    </row>
    <row r="504" spans="1:26" x14ac:dyDescent="0.35">
      <c r="A504" s="128"/>
      <c r="B504" s="132"/>
      <c r="C504" s="132"/>
      <c r="D504" s="133" t="s">
        <v>724</v>
      </c>
      <c r="E504" s="255">
        <v>0</v>
      </c>
      <c r="F504" s="255">
        <v>0</v>
      </c>
      <c r="G504" s="129">
        <f>0</f>
        <v>0</v>
      </c>
      <c r="H504" s="255">
        <f>IF(GCGenCon39243281[[#This Row],[Actual Buyout]]+GCGenCon39243281[[#This Row],[Change Orders]]=0,GCGenCon39243281[[#This Row],[Original Contract]],GCGenCon39243281[[#This Row],[Actual Buyout]]+GCGenCon39243281[[#This Row],[Change Orders]])</f>
        <v>0</v>
      </c>
      <c r="I504" s="129">
        <v>0</v>
      </c>
      <c r="J504" s="129">
        <f>GCGenCon39243281[[#This Row],[Original Contract]]-GCGenCon39243281[[#This Row],[Revised Contract]]</f>
        <v>0</v>
      </c>
      <c r="K504" s="347"/>
      <c r="L504" s="341"/>
      <c r="M504" s="343"/>
      <c r="T504" s="97"/>
      <c r="U504" s="97"/>
      <c r="Y504" s="198"/>
      <c r="Z504" s="198"/>
    </row>
    <row r="505" spans="1:26" x14ac:dyDescent="0.35">
      <c r="A505" s="128"/>
      <c r="B505" s="265"/>
      <c r="C505" s="132"/>
      <c r="D505" s="266" t="s">
        <v>725</v>
      </c>
      <c r="E505" s="255">
        <v>0</v>
      </c>
      <c r="F505" s="255">
        <v>0</v>
      </c>
      <c r="G505" s="129">
        <f>0</f>
        <v>0</v>
      </c>
      <c r="H505" s="255">
        <f>IF(GCGenCon39243281[[#This Row],[Actual Buyout]]+GCGenCon39243281[[#This Row],[Change Orders]]=0,GCGenCon39243281[[#This Row],[Original Contract]],GCGenCon39243281[[#This Row],[Actual Buyout]]+GCGenCon39243281[[#This Row],[Change Orders]])</f>
        <v>0</v>
      </c>
      <c r="I505" s="129">
        <v>0</v>
      </c>
      <c r="J505" s="129">
        <f>GCGenCon39243281[[#This Row],[Original Contract]]-GCGenCon39243281[[#This Row],[Revised Contract]]</f>
        <v>0</v>
      </c>
      <c r="K505" s="347"/>
      <c r="L505" s="341"/>
      <c r="M505" s="343"/>
      <c r="T505" s="97"/>
      <c r="U505" s="97"/>
      <c r="Y505" s="198"/>
      <c r="Z505" s="198"/>
    </row>
    <row r="506" spans="1:26" x14ac:dyDescent="0.35">
      <c r="A506" s="128"/>
      <c r="B506" s="132"/>
      <c r="C506" s="132"/>
      <c r="D506" s="133" t="s">
        <v>726</v>
      </c>
      <c r="E506" s="255">
        <v>0</v>
      </c>
      <c r="F506" s="255">
        <v>0</v>
      </c>
      <c r="G506" s="129">
        <f>0</f>
        <v>0</v>
      </c>
      <c r="H506" s="255">
        <f>IF(GCGenCon39243281[[#This Row],[Actual Buyout]]+GCGenCon39243281[[#This Row],[Change Orders]]=0,GCGenCon39243281[[#This Row],[Original Contract]],GCGenCon39243281[[#This Row],[Actual Buyout]]+GCGenCon39243281[[#This Row],[Change Orders]])</f>
        <v>0</v>
      </c>
      <c r="I506" s="129">
        <v>0</v>
      </c>
      <c r="J506" s="129">
        <f>GCGenCon39243281[[#This Row],[Original Contract]]-GCGenCon39243281[[#This Row],[Revised Contract]]</f>
        <v>0</v>
      </c>
      <c r="K506" s="347"/>
      <c r="L506" s="341"/>
      <c r="M506" s="343"/>
      <c r="T506" s="97"/>
      <c r="U506" s="97"/>
      <c r="Y506" s="198"/>
      <c r="Z506" s="198"/>
    </row>
    <row r="507" spans="1:26" x14ac:dyDescent="0.35">
      <c r="A507" s="128"/>
      <c r="B507" s="132"/>
      <c r="C507" s="132"/>
      <c r="D507" s="133" t="s">
        <v>780</v>
      </c>
      <c r="E507" s="255">
        <v>0</v>
      </c>
      <c r="F507" s="255">
        <v>0</v>
      </c>
      <c r="G507" s="129">
        <f>0</f>
        <v>0</v>
      </c>
      <c r="H507" s="255">
        <f>IF(GCGenCon39243281[[#This Row],[Actual Buyout]]+GCGenCon39243281[[#This Row],[Change Orders]]=0,GCGenCon39243281[[#This Row],[Original Contract]],GCGenCon39243281[[#This Row],[Actual Buyout]]+GCGenCon39243281[[#This Row],[Change Orders]])</f>
        <v>0</v>
      </c>
      <c r="I507" s="129">
        <v>0</v>
      </c>
      <c r="J507" s="129">
        <f>GCGenCon39243281[[#This Row],[Original Contract]]-GCGenCon39243281[[#This Row],[Revised Contract]]</f>
        <v>0</v>
      </c>
      <c r="K507" s="347"/>
      <c r="L507" s="341"/>
      <c r="M507" s="343"/>
      <c r="T507" s="97"/>
      <c r="U507" s="97"/>
      <c r="Y507" s="198"/>
      <c r="Z507" s="198"/>
    </row>
    <row r="508" spans="1:26" x14ac:dyDescent="0.35">
      <c r="A508" s="128"/>
      <c r="B508" s="132"/>
      <c r="C508" s="132"/>
      <c r="D508" s="133" t="s">
        <v>820</v>
      </c>
      <c r="E508" s="255">
        <v>0</v>
      </c>
      <c r="F508" s="255">
        <v>0</v>
      </c>
      <c r="G508" s="129">
        <f>0</f>
        <v>0</v>
      </c>
      <c r="H508" s="255">
        <f>IF(GCGenCon39243281[[#This Row],[Actual Buyout]]+GCGenCon39243281[[#This Row],[Change Orders]]=0,GCGenCon39243281[[#This Row],[Original Contract]],GCGenCon39243281[[#This Row],[Actual Buyout]]+GCGenCon39243281[[#This Row],[Change Orders]])</f>
        <v>0</v>
      </c>
      <c r="I508" s="129">
        <v>0</v>
      </c>
      <c r="J508" s="129">
        <f>GCGenCon39243281[[#This Row],[Original Contract]]-GCGenCon39243281[[#This Row],[Revised Contract]]</f>
        <v>0</v>
      </c>
      <c r="K508" s="347"/>
      <c r="L508" s="341"/>
      <c r="M508" s="343"/>
      <c r="T508" s="97"/>
      <c r="U508" s="97"/>
      <c r="Y508" s="198"/>
      <c r="Z508" s="198"/>
    </row>
    <row r="509" spans="1:26" x14ac:dyDescent="0.35">
      <c r="A509" s="128"/>
      <c r="B509" s="132"/>
      <c r="C509" s="132"/>
      <c r="D509" s="133" t="s">
        <v>821</v>
      </c>
      <c r="E509" s="255">
        <v>0</v>
      </c>
      <c r="F509" s="255">
        <v>0</v>
      </c>
      <c r="G509" s="129">
        <f>0</f>
        <v>0</v>
      </c>
      <c r="H509" s="255">
        <f>IF(GCGenCon39243281[[#This Row],[Actual Buyout]]+GCGenCon39243281[[#This Row],[Change Orders]]=0,GCGenCon39243281[[#This Row],[Original Contract]],GCGenCon39243281[[#This Row],[Actual Buyout]]+GCGenCon39243281[[#This Row],[Change Orders]])</f>
        <v>0</v>
      </c>
      <c r="I509" s="129">
        <v>0</v>
      </c>
      <c r="J509" s="129">
        <f>GCGenCon39243281[[#This Row],[Original Contract]]-GCGenCon39243281[[#This Row],[Revised Contract]]</f>
        <v>0</v>
      </c>
      <c r="K509" s="347"/>
      <c r="L509" s="341"/>
      <c r="M509" s="343"/>
      <c r="T509" s="97"/>
      <c r="U509" s="97"/>
      <c r="Y509" s="198"/>
      <c r="Z509" s="198"/>
    </row>
    <row r="510" spans="1:26" x14ac:dyDescent="0.35">
      <c r="A510" s="128"/>
      <c r="B510" s="132"/>
      <c r="C510" s="132"/>
      <c r="D510" s="133" t="s">
        <v>37</v>
      </c>
      <c r="E510" s="255">
        <v>0</v>
      </c>
      <c r="F510" s="255">
        <v>0</v>
      </c>
      <c r="G510" s="129">
        <f>0</f>
        <v>0</v>
      </c>
      <c r="H510" s="255">
        <f>IF(GCGenCon39243281[[#This Row],[Actual Buyout]]+GCGenCon39243281[[#This Row],[Change Orders]]=0,GCGenCon39243281[[#This Row],[Original Contract]],GCGenCon39243281[[#This Row],[Actual Buyout]]+GCGenCon39243281[[#This Row],[Change Orders]])</f>
        <v>0</v>
      </c>
      <c r="I510" s="129">
        <v>0</v>
      </c>
      <c r="J510" s="129">
        <f>GCGenCon39243281[[#This Row],[Original Contract]]-GCGenCon39243281[[#This Row],[Revised Contract]]</f>
        <v>0</v>
      </c>
      <c r="K510" s="347"/>
      <c r="L510" s="341"/>
      <c r="M510" s="343"/>
      <c r="T510" s="97"/>
      <c r="U510" s="97"/>
      <c r="Y510" s="198"/>
      <c r="Z510" s="198"/>
    </row>
    <row r="511" spans="1:26" x14ac:dyDescent="0.35">
      <c r="A511" s="128"/>
      <c r="B511" s="132"/>
      <c r="C511" s="132"/>
      <c r="D511" s="133" t="s">
        <v>37</v>
      </c>
      <c r="E511" s="255">
        <v>0</v>
      </c>
      <c r="F511" s="255">
        <v>0</v>
      </c>
      <c r="G511" s="129">
        <f>0</f>
        <v>0</v>
      </c>
      <c r="H511" s="255">
        <f>IF(GCGenCon39243281[[#This Row],[Actual Buyout]]+GCGenCon39243281[[#This Row],[Change Orders]]=0,GCGenCon39243281[[#This Row],[Original Contract]],GCGenCon39243281[[#This Row],[Actual Buyout]]+GCGenCon39243281[[#This Row],[Change Orders]])</f>
        <v>0</v>
      </c>
      <c r="I511" s="129">
        <v>0</v>
      </c>
      <c r="J511" s="129">
        <f>GCGenCon39243281[[#This Row],[Original Contract]]-GCGenCon39243281[[#This Row],[Revised Contract]]</f>
        <v>0</v>
      </c>
      <c r="K511" s="347"/>
      <c r="L511" s="341"/>
      <c r="M511" s="343"/>
      <c r="T511" s="97"/>
      <c r="U511" s="97"/>
      <c r="Y511" s="198"/>
      <c r="Z511" s="198"/>
    </row>
    <row r="512" spans="1:26" x14ac:dyDescent="0.35">
      <c r="A512" s="128"/>
      <c r="B512" s="132"/>
      <c r="C512" s="132"/>
      <c r="D512" s="133" t="s">
        <v>37</v>
      </c>
      <c r="E512" s="255">
        <v>0</v>
      </c>
      <c r="F512" s="255">
        <v>0</v>
      </c>
      <c r="G512" s="129">
        <f>0</f>
        <v>0</v>
      </c>
      <c r="H512" s="255">
        <f>IF(GCGenCon39243281[[#This Row],[Actual Buyout]]+GCGenCon39243281[[#This Row],[Change Orders]]=0,GCGenCon39243281[[#This Row],[Original Contract]],GCGenCon39243281[[#This Row],[Actual Buyout]]+GCGenCon39243281[[#This Row],[Change Orders]])</f>
        <v>0</v>
      </c>
      <c r="I512" s="129">
        <v>0</v>
      </c>
      <c r="J512" s="129">
        <f>GCGenCon39243281[[#This Row],[Original Contract]]-GCGenCon39243281[[#This Row],[Revised Contract]]</f>
        <v>0</v>
      </c>
      <c r="K512" s="347"/>
      <c r="L512" s="341"/>
      <c r="M512" s="343"/>
      <c r="T512" s="97"/>
      <c r="U512" s="97"/>
      <c r="Y512" s="198"/>
      <c r="Z512" s="198"/>
    </row>
    <row r="513" spans="1:13" ht="15" thickBot="1" x14ac:dyDescent="0.4">
      <c r="A513" s="130"/>
      <c r="B513" s="131"/>
      <c r="C513" s="131"/>
      <c r="D513" s="256" t="s">
        <v>38</v>
      </c>
      <c r="E513" s="151">
        <f>SUM(GCGenCon39243281[Original Contract])</f>
        <v>0</v>
      </c>
      <c r="F513" s="151">
        <f>SUM(GCGenCon39243281[Actual Buyout])</f>
        <v>0</v>
      </c>
      <c r="G513" s="151">
        <f>SUM(GCGenCon39243281[Change Orders])</f>
        <v>0</v>
      </c>
      <c r="H513" s="151">
        <f>SUM(GCGenCon39243281[Revised Contract])</f>
        <v>0</v>
      </c>
      <c r="I513" s="344">
        <f>SUM(GCGenCon39243281[Total completed and Stored])</f>
        <v>0</v>
      </c>
      <c r="J513" s="151">
        <f>SUM(GCGenCon39243281[Delta])</f>
        <v>0</v>
      </c>
      <c r="K513" s="348"/>
      <c r="L513" s="343"/>
      <c r="M513" s="343"/>
    </row>
    <row r="514" spans="1:13" ht="15" thickTop="1" x14ac:dyDescent="0.35">
      <c r="A514" s="134"/>
      <c r="B514" s="135"/>
      <c r="C514" s="135"/>
      <c r="D514" s="136"/>
      <c r="E514" s="137"/>
      <c r="F514" s="137"/>
      <c r="G514" s="137"/>
      <c r="H514" s="137"/>
      <c r="I514" s="343"/>
      <c r="J514" s="138"/>
      <c r="K514" s="348"/>
      <c r="L514" s="343"/>
    </row>
    <row r="515" spans="1:13" ht="15" thickBot="1" x14ac:dyDescent="0.4">
      <c r="A515" s="139"/>
      <c r="B515" s="140"/>
      <c r="C515" s="141"/>
      <c r="D515" s="142"/>
      <c r="E515" s="143"/>
      <c r="F515" s="143"/>
      <c r="G515" s="143"/>
      <c r="H515" s="143"/>
      <c r="I515" s="143"/>
      <c r="J515" s="144"/>
      <c r="K515" s="348"/>
      <c r="L515" s="343"/>
    </row>
    <row r="516" spans="1:13"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3" ht="15" thickTop="1" x14ac:dyDescent="0.35"/>
    <row r="520" spans="1:13" x14ac:dyDescent="0.35">
      <c r="I520" s="200" t="s">
        <v>824</v>
      </c>
    </row>
  </sheetData>
  <mergeCells count="4">
    <mergeCell ref="E5:F5"/>
    <mergeCell ref="G5:H5"/>
    <mergeCell ref="G6:H6"/>
    <mergeCell ref="G7:H7"/>
  </mergeCells>
  <pageMargins left="0.7" right="0.7" top="0.75" bottom="0.75" header="0.3" footer="0.3"/>
  <pageSetup orientation="portrait" r:id="rId1"/>
  <ignoredErrors>
    <ignoredError sqref="H511:H512"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941-3AAD-46ED-92BC-663BB3A1BECB}">
  <sheetPr codeName="Sheet14">
    <tabColor theme="5" tint="0.39997558519241921"/>
  </sheetPr>
  <dimension ref="A1:V70"/>
  <sheetViews>
    <sheetView topLeftCell="A35" zoomScale="70" zoomScaleNormal="70" workbookViewId="0">
      <selection activeCell="H76" sqref="H76"/>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1108</v>
      </c>
      <c r="C13" s="621" t="s">
        <v>1109</v>
      </c>
      <c r="D13" s="434" t="s">
        <v>1143</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1094</v>
      </c>
      <c r="C24" s="229" t="s">
        <v>789</v>
      </c>
      <c r="D24" s="229" t="s">
        <v>424</v>
      </c>
      <c r="E24" s="230" t="s">
        <v>425</v>
      </c>
      <c r="F24" s="229" t="s">
        <v>790</v>
      </c>
      <c r="G24" s="229" t="s">
        <v>791</v>
      </c>
      <c r="H24" s="231" t="s">
        <v>792</v>
      </c>
      <c r="I24" s="232" t="s">
        <v>976</v>
      </c>
      <c r="J24" s="233" t="s">
        <v>983</v>
      </c>
      <c r="K24" s="234" t="s">
        <v>995</v>
      </c>
      <c r="L24" s="235" t="s">
        <v>1141</v>
      </c>
      <c r="M24" s="235" t="s">
        <v>793</v>
      </c>
      <c r="N24" s="235" t="s">
        <v>794</v>
      </c>
      <c r="O24" s="236" t="s">
        <v>795</v>
      </c>
      <c r="P24" s="236" t="s">
        <v>971</v>
      </c>
      <c r="Q24" s="237" t="s">
        <v>996</v>
      </c>
      <c r="R24" s="238" t="s">
        <v>1142</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mergeCells count="14">
    <mergeCell ref="F12:I12"/>
    <mergeCell ref="B13:C13"/>
    <mergeCell ref="O23:T23"/>
    <mergeCell ref="B14:C14"/>
    <mergeCell ref="B15:C15"/>
    <mergeCell ref="J15:K18"/>
    <mergeCell ref="B16:C16"/>
    <mergeCell ref="B17:C17"/>
    <mergeCell ref="B18:C18"/>
    <mergeCell ref="B19:C19"/>
    <mergeCell ref="B20:C20"/>
    <mergeCell ref="B21:C21"/>
    <mergeCell ref="C23:H23"/>
    <mergeCell ref="I23:N23"/>
  </mergeCells>
  <conditionalFormatting sqref="B25:B51">
    <cfRule type="expression" dxfId="517" priority="4">
      <formula>AND(SUM($C25:$T25)&lt;&gt;0,ISBLANK($B25))</formula>
    </cfRule>
  </conditionalFormatting>
  <conditionalFormatting sqref="B52:B67">
    <cfRule type="expression" dxfId="516" priority="9">
      <formula>AND(SUM($C52:$T52)&lt;&gt;0,ISBLANK($B52))</formula>
    </cfRule>
  </conditionalFormatting>
  <conditionalFormatting sqref="I25:I67">
    <cfRule type="expression" dxfId="515" priority="1">
      <formula>OR($B25&gt;=EOMONTH(TODAY(),-1)+1,ISBLANK($B25))</formula>
    </cfRule>
  </conditionalFormatting>
  <dataValidations count="5">
    <dataValidation type="date" operator="greaterThan" allowBlank="1" showInputMessage="1" showErrorMessage="1" errorTitle="Expected format" error="mmm-yy example: APR-21" promptTitle="Expected format " sqref="B68" xr:uid="{6AC2C0A3-7099-4908-91B2-A9F70AC3A175}">
      <formula1>43466</formula1>
    </dataValidation>
    <dataValidation type="date" operator="greaterThan" allowBlank="1" showInputMessage="1" showErrorMessage="1" errorTitle="Expected format example" error="01/20/22" promptTitle="Please note this is not FA" sqref="G15:H17 H20" xr:uid="{42D3DCE5-8FE2-4F11-A7A6-E471898FEEF6}">
      <formula1>43466</formula1>
    </dataValidation>
    <dataValidation type="list" allowBlank="1" showInputMessage="1" showErrorMessage="1" sqref="G20" xr:uid="{2D5A30F3-4BD7-42AA-A7E8-1A15998ED0E7}">
      <formula1>"Amazon, Developer, N/A"</formula1>
    </dataValidation>
    <dataValidation type="date" operator="greaterThan" allowBlank="1" showInputMessage="1" showErrorMessage="1" errorTitle="Expected format example" error="01/20/22" sqref="G14:H14" xr:uid="{31ECAF5C-6E36-4A54-81D3-EB5668AECD77}">
      <formula1>43466</formula1>
    </dataValidation>
    <dataValidation type="list" allowBlank="1" showInputMessage="1" showErrorMessage="1" sqref="D13" xr:uid="{CBC7A453-061C-4FD1-8B9F-6851F4A81D3A}">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1" id="{BAACE4C6-5337-47A7-9171-4F0D95A2140A}">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26BF6-CD69-42FB-98A2-A5F1AEBB702E}">
  <sheetPr codeName="Sheet15">
    <tabColor rgb="FFFFC000"/>
  </sheetPr>
  <dimension ref="B1:F248"/>
  <sheetViews>
    <sheetView topLeftCell="A107" zoomScaleNormal="100" workbookViewId="0">
      <selection activeCell="E202" sqref="E202"/>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1097</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1098</v>
      </c>
      <c r="F16" s="361" t="s">
        <v>399</v>
      </c>
    </row>
    <row r="17" spans="2:6" x14ac:dyDescent="0.35">
      <c r="B17" s="515"/>
      <c r="C17" s="516"/>
      <c r="D17" s="517"/>
      <c r="E17" s="517"/>
      <c r="F17" s="518"/>
    </row>
    <row r="18" spans="2:6" x14ac:dyDescent="0.35">
      <c r="B18" s="519"/>
      <c r="C18" s="520"/>
      <c r="D18" s="521"/>
      <c r="E18" s="521"/>
      <c r="F18" s="522"/>
    </row>
    <row r="19" spans="2:6" x14ac:dyDescent="0.35">
      <c r="B19" s="519"/>
      <c r="C19" s="520"/>
      <c r="D19" s="521"/>
      <c r="E19" s="521"/>
      <c r="F19" s="522"/>
    </row>
    <row r="20" spans="2:6" x14ac:dyDescent="0.35">
      <c r="B20" s="519"/>
      <c r="C20" s="520"/>
      <c r="D20" s="521"/>
      <c r="E20" s="521"/>
      <c r="F20" s="522"/>
    </row>
    <row r="21" spans="2:6" x14ac:dyDescent="0.35">
      <c r="B21" s="519"/>
      <c r="C21" s="520"/>
      <c r="D21" s="521"/>
      <c r="E21" s="521"/>
      <c r="F21" s="522"/>
    </row>
    <row r="22" spans="2:6" x14ac:dyDescent="0.35">
      <c r="B22" s="519"/>
      <c r="C22" s="520"/>
      <c r="D22" s="521"/>
      <c r="E22" s="521"/>
      <c r="F22" s="522"/>
    </row>
    <row r="23" spans="2:6" x14ac:dyDescent="0.35">
      <c r="B23" s="519"/>
      <c r="C23" s="520"/>
      <c r="D23" s="521"/>
      <c r="E23" s="521"/>
      <c r="F23" s="522"/>
    </row>
    <row r="24" spans="2:6"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x14ac:dyDescent="0.35">
      <c r="B28" s="519"/>
      <c r="C28" s="520"/>
      <c r="D28" s="521"/>
      <c r="E28" s="521"/>
      <c r="F28" s="522"/>
    </row>
    <row r="29" spans="2:6" x14ac:dyDescent="0.35">
      <c r="B29" s="519"/>
      <c r="C29" s="520"/>
      <c r="D29" s="521"/>
      <c r="E29" s="521"/>
      <c r="F29" s="522"/>
    </row>
    <row r="30" spans="2:6" x14ac:dyDescent="0.35">
      <c r="B30" s="519"/>
      <c r="C30" s="520"/>
      <c r="D30" s="521"/>
      <c r="E30" s="521"/>
      <c r="F30" s="522"/>
    </row>
    <row r="31" spans="2:6" x14ac:dyDescent="0.35">
      <c r="B31" s="519"/>
      <c r="C31" s="520"/>
      <c r="D31" s="521"/>
      <c r="E31" s="521"/>
      <c r="F31" s="522"/>
    </row>
    <row r="32" spans="2:6" x14ac:dyDescent="0.35">
      <c r="B32" s="519"/>
      <c r="C32" s="520"/>
      <c r="D32" s="521"/>
      <c r="E32" s="521"/>
      <c r="F32" s="522"/>
    </row>
    <row r="33" spans="2:6" x14ac:dyDescent="0.35">
      <c r="B33" s="519"/>
      <c r="C33" s="520"/>
      <c r="D33" s="521"/>
      <c r="E33" s="521"/>
      <c r="F33" s="522"/>
    </row>
    <row r="34" spans="2:6"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x14ac:dyDescent="0.35">
      <c r="B41" s="519"/>
      <c r="C41" s="520"/>
      <c r="D41" s="521"/>
      <c r="E41" s="521"/>
      <c r="F41" s="522"/>
    </row>
    <row r="42" spans="2:6" x14ac:dyDescent="0.35">
      <c r="B42" s="519"/>
      <c r="C42" s="520"/>
      <c r="D42" s="521"/>
      <c r="E42" s="521"/>
      <c r="F42" s="522"/>
    </row>
    <row r="43" spans="2:6" x14ac:dyDescent="0.35">
      <c r="B43" s="519"/>
      <c r="C43" s="520"/>
      <c r="D43" s="521"/>
      <c r="E43" s="521"/>
      <c r="F43" s="522"/>
    </row>
    <row r="44" spans="2:6" x14ac:dyDescent="0.35">
      <c r="B44" s="519"/>
      <c r="C44" s="520"/>
      <c r="D44" s="521"/>
      <c r="E44" s="521"/>
      <c r="F44" s="522"/>
    </row>
    <row r="45" spans="2:6" x14ac:dyDescent="0.35">
      <c r="B45" s="519"/>
      <c r="C45" s="520"/>
      <c r="D45" s="521"/>
      <c r="E45" s="521"/>
      <c r="F45" s="522"/>
    </row>
    <row r="46" spans="2:6" ht="15" thickBot="1" x14ac:dyDescent="0.4">
      <c r="B46" s="523"/>
      <c r="C46" s="524"/>
      <c r="D46" s="525"/>
      <c r="E46" s="525"/>
      <c r="F46" s="526"/>
    </row>
    <row r="47" spans="2:6" ht="15" thickBot="1" x14ac:dyDescent="0.4">
      <c r="B47" s="274" t="s">
        <v>398</v>
      </c>
      <c r="C47" s="362"/>
      <c r="D47" s="363">
        <f>SUMIF(E16:E46,"",D16:D46)</f>
        <v>0</v>
      </c>
      <c r="E47" s="363">
        <f>SUMIF(F16:F46,"",E16:E46)</f>
        <v>0</v>
      </c>
      <c r="F47" s="277"/>
    </row>
    <row r="48" spans="2:6" ht="15.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1098</v>
      </c>
      <c r="F50" s="361" t="s">
        <v>399</v>
      </c>
    </row>
    <row r="51" spans="2:6" x14ac:dyDescent="0.35">
      <c r="B51" s="515"/>
      <c r="C51" s="516"/>
      <c r="D51" s="517"/>
      <c r="E51" s="517"/>
      <c r="F51" s="518"/>
    </row>
    <row r="52" spans="2:6" x14ac:dyDescent="0.35">
      <c r="B52" s="523"/>
      <c r="C52" s="524"/>
      <c r="D52" s="525"/>
      <c r="E52" s="525"/>
      <c r="F52" s="526"/>
    </row>
    <row r="53" spans="2:6" x14ac:dyDescent="0.35">
      <c r="B53" s="523"/>
      <c r="C53" s="524"/>
      <c r="D53" s="525"/>
      <c r="E53" s="525"/>
      <c r="F53" s="526"/>
    </row>
    <row r="54" spans="2:6" x14ac:dyDescent="0.35">
      <c r="B54" s="519"/>
      <c r="C54" s="520"/>
      <c r="D54" s="521"/>
      <c r="E54" s="521"/>
      <c r="F54" s="522"/>
    </row>
    <row r="55" spans="2:6" x14ac:dyDescent="0.35">
      <c r="B55" s="519"/>
      <c r="C55" s="520"/>
      <c r="D55" s="521"/>
      <c r="E55" s="521"/>
      <c r="F55" s="522"/>
    </row>
    <row r="56" spans="2:6" x14ac:dyDescent="0.35">
      <c r="B56" s="519"/>
      <c r="C56" s="520"/>
      <c r="D56" s="521"/>
      <c r="E56" s="521"/>
      <c r="F56" s="522"/>
    </row>
    <row r="57" spans="2:6" x14ac:dyDescent="0.35">
      <c r="B57" s="519"/>
      <c r="C57" s="520"/>
      <c r="D57" s="521"/>
      <c r="E57" s="521"/>
      <c r="F57" s="522"/>
    </row>
    <row r="58" spans="2:6" x14ac:dyDescent="0.35">
      <c r="B58" s="519"/>
      <c r="C58" s="520"/>
      <c r="D58" s="521"/>
      <c r="E58" s="521"/>
      <c r="F58" s="522"/>
    </row>
    <row r="59" spans="2:6" x14ac:dyDescent="0.35">
      <c r="B59" s="519"/>
      <c r="C59" s="520"/>
      <c r="D59" s="521"/>
      <c r="E59" s="521"/>
      <c r="F59" s="522"/>
    </row>
    <row r="60" spans="2:6" x14ac:dyDescent="0.35">
      <c r="B60" s="519"/>
      <c r="C60" s="520"/>
      <c r="D60" s="521"/>
      <c r="E60" s="521"/>
      <c r="F60" s="522"/>
    </row>
    <row r="61" spans="2:6"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x14ac:dyDescent="0.35">
      <c r="B65" s="519"/>
      <c r="C65" s="520"/>
      <c r="D65" s="521"/>
      <c r="E65" s="521"/>
      <c r="F65" s="522"/>
    </row>
    <row r="66" spans="2:6" x14ac:dyDescent="0.35">
      <c r="B66" s="519"/>
      <c r="C66" s="520"/>
      <c r="D66" s="521"/>
      <c r="E66" s="521"/>
      <c r="F66" s="522"/>
    </row>
    <row r="67" spans="2:6" x14ac:dyDescent="0.35">
      <c r="B67" s="519"/>
      <c r="C67" s="520"/>
      <c r="D67" s="521"/>
      <c r="E67" s="521"/>
      <c r="F67" s="522"/>
    </row>
    <row r="68" spans="2:6" x14ac:dyDescent="0.35">
      <c r="B68" s="519"/>
      <c r="C68" s="520"/>
      <c r="D68" s="521"/>
      <c r="E68" s="521"/>
      <c r="F68" s="522"/>
    </row>
    <row r="69" spans="2:6" x14ac:dyDescent="0.35">
      <c r="B69" s="519"/>
      <c r="C69" s="520"/>
      <c r="D69" s="521"/>
      <c r="E69" s="521"/>
      <c r="F69" s="522"/>
    </row>
    <row r="70" spans="2:6" x14ac:dyDescent="0.35">
      <c r="B70" s="519"/>
      <c r="C70" s="520"/>
      <c r="D70" s="521"/>
      <c r="E70" s="521"/>
      <c r="F70" s="522"/>
    </row>
    <row r="71" spans="2:6" x14ac:dyDescent="0.35">
      <c r="B71" s="519"/>
      <c r="C71" s="520"/>
      <c r="D71" s="521"/>
      <c r="E71" s="521"/>
      <c r="F71" s="522"/>
    </row>
    <row r="72" spans="2:6" x14ac:dyDescent="0.35">
      <c r="B72" s="519"/>
      <c r="C72" s="520"/>
      <c r="D72" s="521"/>
      <c r="E72" s="521"/>
      <c r="F72" s="522"/>
    </row>
    <row r="73" spans="2:6" x14ac:dyDescent="0.35">
      <c r="B73" s="519"/>
      <c r="C73" s="520"/>
      <c r="D73" s="521"/>
      <c r="E73" s="521"/>
      <c r="F73" s="522"/>
    </row>
    <row r="74" spans="2:6" x14ac:dyDescent="0.35">
      <c r="B74" s="519"/>
      <c r="C74" s="520"/>
      <c r="D74" s="521"/>
      <c r="E74" s="521"/>
      <c r="F74" s="522"/>
    </row>
    <row r="75" spans="2:6" x14ac:dyDescent="0.35">
      <c r="B75" s="519"/>
      <c r="C75" s="520"/>
      <c r="D75" s="521"/>
      <c r="E75" s="521"/>
      <c r="F75" s="522"/>
    </row>
    <row r="76" spans="2:6" x14ac:dyDescent="0.35">
      <c r="B76" s="519"/>
      <c r="C76" s="520"/>
      <c r="D76" s="521"/>
      <c r="E76" s="521"/>
      <c r="F76" s="522"/>
    </row>
    <row r="77" spans="2:6" x14ac:dyDescent="0.35">
      <c r="B77" s="523"/>
      <c r="C77" s="524"/>
      <c r="D77" s="525"/>
      <c r="E77" s="525"/>
      <c r="F77" s="526"/>
    </row>
    <row r="78" spans="2:6" x14ac:dyDescent="0.35">
      <c r="B78" s="523"/>
      <c r="C78" s="524"/>
      <c r="D78" s="525"/>
      <c r="E78" s="525"/>
      <c r="F78" s="526"/>
    </row>
    <row r="79" spans="2:6" x14ac:dyDescent="0.35">
      <c r="B79" s="523"/>
      <c r="C79" s="524"/>
      <c r="D79" s="525"/>
      <c r="E79" s="525"/>
      <c r="F79" s="526"/>
    </row>
    <row r="80" spans="2:6" ht="15" thickBot="1" x14ac:dyDescent="0.4">
      <c r="B80" s="523"/>
      <c r="C80" s="524"/>
      <c r="D80" s="527"/>
      <c r="E80" s="527"/>
      <c r="F80" s="528"/>
    </row>
    <row r="81" spans="2:6" ht="15" thickBot="1" x14ac:dyDescent="0.4">
      <c r="B81" s="274" t="s">
        <v>398</v>
      </c>
      <c r="C81" s="529"/>
      <c r="D81" s="506">
        <f>SUMIF(E50:E80,"",D50:D80)</f>
        <v>0</v>
      </c>
      <c r="E81" s="506">
        <f>SUBTOTAL(9,E50:E80)</f>
        <v>0</v>
      </c>
      <c r="F81" s="506"/>
    </row>
    <row r="82" spans="2:6" ht="15" thickBot="1" x14ac:dyDescent="0.4">
      <c r="B82" s="505" t="s">
        <v>1147</v>
      </c>
      <c r="C82" s="502">
        <v>0</v>
      </c>
      <c r="D82" s="343"/>
      <c r="E82" s="343"/>
      <c r="F82" s="343"/>
    </row>
    <row r="83" spans="2:6" ht="8" customHeight="1" thickBot="1" x14ac:dyDescent="0.4">
      <c r="B83" s="278"/>
      <c r="C83" s="282"/>
      <c r="D83" s="503"/>
      <c r="E83" s="503"/>
      <c r="F83" s="503"/>
    </row>
    <row r="84" spans="2:6" ht="15" thickBot="1" x14ac:dyDescent="0.4">
      <c r="B84" s="359" t="s">
        <v>402</v>
      </c>
      <c r="C84" s="360" t="s">
        <v>415</v>
      </c>
      <c r="D84" s="360" t="s">
        <v>10</v>
      </c>
      <c r="E84" s="360" t="s">
        <v>1098</v>
      </c>
      <c r="F84" s="361" t="s">
        <v>399</v>
      </c>
    </row>
    <row r="85" spans="2:6" x14ac:dyDescent="0.35">
      <c r="B85" s="515"/>
      <c r="C85" s="516"/>
      <c r="D85" s="517"/>
      <c r="E85" s="517"/>
      <c r="F85" s="518"/>
    </row>
    <row r="86" spans="2:6" x14ac:dyDescent="0.35">
      <c r="B86" s="523"/>
      <c r="C86" s="524"/>
      <c r="D86" s="525"/>
      <c r="E86" s="525"/>
      <c r="F86" s="526"/>
    </row>
    <row r="87" spans="2:6" x14ac:dyDescent="0.35">
      <c r="B87" s="519"/>
      <c r="C87" s="520"/>
      <c r="D87" s="521"/>
      <c r="E87" s="521"/>
      <c r="F87" s="522"/>
    </row>
    <row r="88" spans="2:6" x14ac:dyDescent="0.35">
      <c r="B88" s="519"/>
      <c r="C88" s="520"/>
      <c r="D88" s="521"/>
      <c r="E88" s="521"/>
      <c r="F88" s="522"/>
    </row>
    <row r="89" spans="2:6" x14ac:dyDescent="0.35">
      <c r="B89" s="519"/>
      <c r="C89" s="520"/>
      <c r="D89" s="521"/>
      <c r="E89" s="521"/>
      <c r="F89" s="522"/>
    </row>
    <row r="90" spans="2:6" x14ac:dyDescent="0.35">
      <c r="B90" s="519"/>
      <c r="C90" s="520"/>
      <c r="D90" s="521"/>
      <c r="E90" s="521"/>
      <c r="F90" s="522"/>
    </row>
    <row r="91" spans="2:6" x14ac:dyDescent="0.35">
      <c r="B91" s="519"/>
      <c r="C91" s="520"/>
      <c r="D91" s="521"/>
      <c r="E91" s="521"/>
      <c r="F91" s="522"/>
    </row>
    <row r="92" spans="2:6" x14ac:dyDescent="0.35">
      <c r="B92" s="519"/>
      <c r="C92" s="520"/>
      <c r="D92" s="521"/>
      <c r="E92" s="521"/>
      <c r="F92" s="522"/>
    </row>
    <row r="93" spans="2:6" x14ac:dyDescent="0.35">
      <c r="B93" s="519"/>
      <c r="C93" s="520"/>
      <c r="D93" s="521"/>
      <c r="E93" s="521"/>
      <c r="F93" s="522"/>
    </row>
    <row r="94" spans="2:6" x14ac:dyDescent="0.35">
      <c r="B94" s="519"/>
      <c r="C94" s="520"/>
      <c r="D94" s="521"/>
      <c r="E94" s="521"/>
      <c r="F94" s="522"/>
    </row>
    <row r="95" spans="2:6" x14ac:dyDescent="0.35">
      <c r="B95" s="519"/>
      <c r="C95" s="520"/>
      <c r="D95" s="521"/>
      <c r="E95" s="521"/>
      <c r="F95" s="522"/>
    </row>
    <row r="96" spans="2:6"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x14ac:dyDescent="0.35">
      <c r="B100" s="519"/>
      <c r="C100" s="520"/>
      <c r="D100" s="521"/>
      <c r="E100" s="521"/>
      <c r="F100" s="522"/>
    </row>
    <row r="101" spans="2:6" x14ac:dyDescent="0.35">
      <c r="B101" s="519"/>
      <c r="C101" s="520"/>
      <c r="D101" s="521"/>
      <c r="E101" s="521"/>
      <c r="F101" s="522"/>
    </row>
    <row r="102" spans="2:6" ht="13.5" customHeight="1" x14ac:dyDescent="0.35">
      <c r="B102" s="519"/>
      <c r="C102" s="520"/>
      <c r="D102" s="521"/>
      <c r="E102" s="521"/>
      <c r="F102" s="522"/>
    </row>
    <row r="103" spans="2:6" x14ac:dyDescent="0.35">
      <c r="B103" s="519"/>
      <c r="C103" s="520"/>
      <c r="D103" s="521"/>
      <c r="E103" s="521"/>
      <c r="F103" s="522"/>
    </row>
    <row r="104" spans="2:6" x14ac:dyDescent="0.35">
      <c r="B104" s="519"/>
      <c r="C104" s="520"/>
      <c r="D104" s="521"/>
      <c r="E104" s="521"/>
      <c r="F104" s="522"/>
    </row>
    <row r="105" spans="2:6" x14ac:dyDescent="0.35">
      <c r="B105" s="519"/>
      <c r="C105" s="520"/>
      <c r="D105" s="521"/>
      <c r="E105" s="521"/>
      <c r="F105" s="522"/>
    </row>
    <row r="106" spans="2:6" x14ac:dyDescent="0.35">
      <c r="B106" s="519"/>
      <c r="C106" s="520"/>
      <c r="D106" s="521"/>
      <c r="E106" s="521"/>
      <c r="F106" s="522"/>
    </row>
    <row r="107" spans="2:6" x14ac:dyDescent="0.35">
      <c r="B107" s="519"/>
      <c r="C107" s="520"/>
      <c r="D107" s="521"/>
      <c r="E107" s="521"/>
      <c r="F107" s="522"/>
    </row>
    <row r="108" spans="2:6" x14ac:dyDescent="0.35">
      <c r="B108" s="519"/>
      <c r="C108" s="520"/>
      <c r="D108" s="521"/>
      <c r="E108" s="521"/>
      <c r="F108" s="522"/>
    </row>
    <row r="109" spans="2:6" x14ac:dyDescent="0.35">
      <c r="B109" s="523"/>
      <c r="C109" s="524"/>
      <c r="D109" s="525"/>
      <c r="E109" s="525"/>
      <c r="F109" s="526"/>
    </row>
    <row r="110" spans="2:6" x14ac:dyDescent="0.35">
      <c r="B110" s="523"/>
      <c r="C110" s="524"/>
      <c r="D110" s="525"/>
      <c r="E110" s="525"/>
      <c r="F110" s="526"/>
    </row>
    <row r="111" spans="2:6" x14ac:dyDescent="0.35">
      <c r="B111" s="523"/>
      <c r="C111" s="524"/>
      <c r="D111" s="525"/>
      <c r="E111" s="525"/>
      <c r="F111" s="526"/>
    </row>
    <row r="112" spans="2:6" x14ac:dyDescent="0.35">
      <c r="B112" s="523"/>
      <c r="C112" s="524"/>
      <c r="D112" s="525"/>
      <c r="E112" s="525"/>
      <c r="F112" s="526"/>
    </row>
    <row r="113" spans="2:6" x14ac:dyDescent="0.35">
      <c r="B113" s="523"/>
      <c r="C113" s="524"/>
      <c r="D113" s="525"/>
      <c r="E113" s="525"/>
      <c r="F113" s="526"/>
    </row>
    <row r="114" spans="2:6" ht="15.75" customHeight="1" thickBot="1" x14ac:dyDescent="0.4">
      <c r="B114" s="523"/>
      <c r="C114" s="524"/>
      <c r="D114" s="525"/>
      <c r="E114" s="525"/>
      <c r="F114" s="526"/>
    </row>
    <row r="115" spans="2:6" ht="15" thickBot="1" x14ac:dyDescent="0.4">
      <c r="B115" s="274" t="s">
        <v>398</v>
      </c>
      <c r="C115" s="362"/>
      <c r="D115" s="501">
        <f>SUMIF(E84:E114,"",D84:D114)</f>
        <v>0</v>
      </c>
      <c r="E115" s="276">
        <f>SUBTOTAL(9,E84:E114)</f>
        <v>0</v>
      </c>
      <c r="F115" s="277"/>
    </row>
    <row r="116" spans="2:6" ht="15" thickBot="1" x14ac:dyDescent="0.4">
      <c r="B116" s="505" t="s">
        <v>402</v>
      </c>
      <c r="C116" s="502">
        <v>0</v>
      </c>
      <c r="D116" s="343"/>
      <c r="E116" s="343"/>
      <c r="F116" s="343"/>
    </row>
    <row r="117" spans="2:6" ht="8" customHeight="1" thickBot="1" x14ac:dyDescent="0.4">
      <c r="B117" s="278"/>
      <c r="C117" s="282"/>
      <c r="D117" s="503"/>
      <c r="E117" s="503"/>
      <c r="F117" s="503"/>
    </row>
    <row r="118" spans="2:6" ht="15" thickBot="1" x14ac:dyDescent="0.4">
      <c r="B118" s="359" t="s">
        <v>475</v>
      </c>
      <c r="C118" s="360" t="s">
        <v>415</v>
      </c>
      <c r="D118" s="360" t="s">
        <v>10</v>
      </c>
      <c r="E118" s="360" t="s">
        <v>1098</v>
      </c>
      <c r="F118" s="361" t="s">
        <v>399</v>
      </c>
    </row>
    <row r="119" spans="2:6" x14ac:dyDescent="0.35">
      <c r="B119" s="515"/>
      <c r="C119" s="516"/>
      <c r="D119" s="517"/>
      <c r="E119" s="517"/>
      <c r="F119" s="518"/>
    </row>
    <row r="120" spans="2:6" x14ac:dyDescent="0.35">
      <c r="B120" s="523"/>
      <c r="C120" s="524"/>
      <c r="D120" s="525"/>
      <c r="E120" s="525"/>
      <c r="F120" s="526"/>
    </row>
    <row r="121" spans="2:6" x14ac:dyDescent="0.35">
      <c r="B121" s="523"/>
      <c r="C121" s="524"/>
      <c r="D121" s="525"/>
      <c r="E121" s="525"/>
      <c r="F121" s="526"/>
    </row>
    <row r="122" spans="2:6" x14ac:dyDescent="0.35">
      <c r="B122" s="519"/>
      <c r="C122" s="520"/>
      <c r="D122" s="521"/>
      <c r="E122" s="521"/>
      <c r="F122" s="522"/>
    </row>
    <row r="123" spans="2:6" x14ac:dyDescent="0.35">
      <c r="B123" s="519"/>
      <c r="C123" s="520"/>
      <c r="D123" s="521"/>
      <c r="E123" s="521"/>
      <c r="F123" s="522"/>
    </row>
    <row r="124" spans="2:6" x14ac:dyDescent="0.35">
      <c r="B124" s="519"/>
      <c r="C124" s="520"/>
      <c r="D124" s="521"/>
      <c r="E124" s="521"/>
      <c r="F124" s="522"/>
    </row>
    <row r="125" spans="2:6" x14ac:dyDescent="0.35">
      <c r="B125" s="519"/>
      <c r="C125" s="520"/>
      <c r="D125" s="521"/>
      <c r="E125" s="521"/>
      <c r="F125" s="522"/>
    </row>
    <row r="126" spans="2:6" x14ac:dyDescent="0.35">
      <c r="B126" s="519"/>
      <c r="C126" s="520"/>
      <c r="D126" s="521"/>
      <c r="E126" s="521"/>
      <c r="F126" s="522"/>
    </row>
    <row r="127" spans="2:6" x14ac:dyDescent="0.35">
      <c r="B127" s="519"/>
      <c r="C127" s="520"/>
      <c r="D127" s="521"/>
      <c r="E127" s="521"/>
      <c r="F127" s="522"/>
    </row>
    <row r="128" spans="2:6" x14ac:dyDescent="0.35">
      <c r="B128" s="519"/>
      <c r="C128" s="520"/>
      <c r="D128" s="521"/>
      <c r="E128" s="521"/>
      <c r="F128" s="522"/>
    </row>
    <row r="129" spans="2:6" x14ac:dyDescent="0.35">
      <c r="B129" s="519"/>
      <c r="C129" s="520"/>
      <c r="D129" s="521"/>
      <c r="E129" s="521"/>
      <c r="F129" s="522"/>
    </row>
    <row r="130" spans="2:6" x14ac:dyDescent="0.35">
      <c r="B130" s="519"/>
      <c r="C130" s="520"/>
      <c r="D130" s="521"/>
      <c r="E130" s="521"/>
      <c r="F130" s="522"/>
    </row>
    <row r="131" spans="2:6" x14ac:dyDescent="0.35">
      <c r="B131" s="519"/>
      <c r="C131" s="520"/>
      <c r="D131" s="521"/>
      <c r="E131" s="521"/>
      <c r="F131" s="522"/>
    </row>
    <row r="132" spans="2:6" ht="14.5" customHeight="1" x14ac:dyDescent="0.35">
      <c r="B132" s="519"/>
      <c r="C132" s="520"/>
      <c r="D132" s="521"/>
      <c r="E132" s="521"/>
      <c r="F132" s="522"/>
    </row>
    <row r="133" spans="2:6" ht="14.5" customHeight="1" x14ac:dyDescent="0.35">
      <c r="B133" s="519"/>
      <c r="C133" s="520"/>
      <c r="D133" s="521"/>
      <c r="E133" s="521"/>
      <c r="F133" s="522"/>
    </row>
    <row r="134" spans="2:6" ht="14.5" customHeight="1" x14ac:dyDescent="0.35">
      <c r="B134" s="519"/>
      <c r="C134" s="520"/>
      <c r="D134" s="521"/>
      <c r="E134" s="521"/>
      <c r="F134" s="522"/>
    </row>
    <row r="135" spans="2:6" x14ac:dyDescent="0.35">
      <c r="B135" s="519"/>
      <c r="C135" s="520"/>
      <c r="D135" s="521"/>
      <c r="E135" s="521"/>
      <c r="F135" s="522"/>
    </row>
    <row r="136" spans="2:6" x14ac:dyDescent="0.35">
      <c r="B136" s="519"/>
      <c r="C136" s="520"/>
      <c r="D136" s="521"/>
      <c r="E136" s="521"/>
      <c r="F136" s="522"/>
    </row>
    <row r="137" spans="2:6" x14ac:dyDescent="0.35">
      <c r="B137" s="519"/>
      <c r="C137" s="520"/>
      <c r="D137" s="521"/>
      <c r="E137" s="521"/>
      <c r="F137" s="522"/>
    </row>
    <row r="138" spans="2:6" x14ac:dyDescent="0.35">
      <c r="B138" s="519"/>
      <c r="C138" s="520"/>
      <c r="D138" s="521"/>
      <c r="E138" s="521"/>
      <c r="F138" s="522"/>
    </row>
    <row r="139" spans="2:6" x14ac:dyDescent="0.35">
      <c r="B139" s="519"/>
      <c r="C139" s="520"/>
      <c r="D139" s="521"/>
      <c r="E139" s="521"/>
      <c r="F139" s="522"/>
    </row>
    <row r="140" spans="2:6" x14ac:dyDescent="0.35">
      <c r="B140" s="519"/>
      <c r="C140" s="520"/>
      <c r="D140" s="521"/>
      <c r="E140" s="521"/>
      <c r="F140" s="522"/>
    </row>
    <row r="141" spans="2:6" x14ac:dyDescent="0.35">
      <c r="B141" s="523"/>
      <c r="C141" s="524"/>
      <c r="D141" s="525"/>
      <c r="E141" s="525"/>
      <c r="F141" s="526"/>
    </row>
    <row r="142" spans="2:6" x14ac:dyDescent="0.35">
      <c r="B142" s="523"/>
      <c r="C142" s="524"/>
      <c r="D142" s="525"/>
      <c r="E142" s="525"/>
      <c r="F142" s="526"/>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s="198" customFormat="1" x14ac:dyDescent="0.35">
      <c r="B147" s="523"/>
      <c r="C147" s="524"/>
      <c r="D147" s="525"/>
      <c r="E147" s="525"/>
      <c r="F147" s="526"/>
    </row>
    <row r="148" spans="2:6" s="198" customFormat="1" ht="15" thickBot="1" x14ac:dyDescent="0.4">
      <c r="B148" s="523"/>
      <c r="C148" s="524"/>
      <c r="D148" s="525"/>
      <c r="E148" s="525"/>
      <c r="F148" s="526"/>
    </row>
    <row r="149" spans="2:6" s="198" customFormat="1" ht="15" thickBot="1" x14ac:dyDescent="0.4">
      <c r="B149" s="274" t="s">
        <v>398</v>
      </c>
      <c r="C149" s="362"/>
      <c r="D149" s="501">
        <f>SUMIF(E118:E148,"",D118:D148)</f>
        <v>0</v>
      </c>
      <c r="E149" s="276">
        <f>SUBTOTAL(9,E118:E148)</f>
        <v>0</v>
      </c>
      <c r="F149" s="277"/>
    </row>
    <row r="150" spans="2:6" s="198" customFormat="1" ht="15" thickBot="1" x14ac:dyDescent="0.4">
      <c r="B150" s="505" t="s">
        <v>1148</v>
      </c>
      <c r="C150" s="502">
        <v>0</v>
      </c>
      <c r="D150" s="341"/>
      <c r="E150" s="341"/>
      <c r="F150" s="341"/>
    </row>
    <row r="151" spans="2:6" s="198" customFormat="1" ht="8" customHeight="1" thickBot="1" x14ac:dyDescent="0.4">
      <c r="B151" s="278"/>
      <c r="C151" s="282"/>
      <c r="D151" s="503"/>
      <c r="E151" s="503"/>
      <c r="F151" s="503"/>
    </row>
    <row r="152" spans="2:6" s="198" customFormat="1" ht="15" thickBot="1" x14ac:dyDescent="0.4">
      <c r="B152" s="359" t="s">
        <v>439</v>
      </c>
      <c r="C152" s="360" t="s">
        <v>415</v>
      </c>
      <c r="D152" s="360" t="s">
        <v>10</v>
      </c>
      <c r="E152" s="360" t="s">
        <v>1098</v>
      </c>
      <c r="F152" s="361" t="s">
        <v>399</v>
      </c>
    </row>
    <row r="153" spans="2:6" s="198" customFormat="1" x14ac:dyDescent="0.35">
      <c r="B153" s="515"/>
      <c r="C153" s="516"/>
      <c r="D153" s="517"/>
      <c r="E153" s="517"/>
      <c r="F153" s="518"/>
    </row>
    <row r="154" spans="2:6" s="198" customFormat="1" x14ac:dyDescent="0.35">
      <c r="B154" s="523"/>
      <c r="C154" s="524"/>
      <c r="D154" s="525"/>
      <c r="E154" s="525"/>
      <c r="F154" s="526"/>
    </row>
    <row r="155" spans="2:6" s="198" customFormat="1" x14ac:dyDescent="0.35">
      <c r="B155" s="523"/>
      <c r="C155" s="524"/>
      <c r="D155" s="525"/>
      <c r="E155" s="525"/>
      <c r="F155" s="526"/>
    </row>
    <row r="156" spans="2:6" x14ac:dyDescent="0.35">
      <c r="B156" s="519"/>
      <c r="C156" s="520"/>
      <c r="D156" s="521"/>
      <c r="E156" s="521"/>
      <c r="F156" s="522"/>
    </row>
    <row r="157" spans="2:6" x14ac:dyDescent="0.35">
      <c r="B157" s="519"/>
      <c r="C157" s="520"/>
      <c r="D157" s="521"/>
      <c r="E157" s="521"/>
      <c r="F157" s="522"/>
    </row>
    <row r="158" spans="2:6" x14ac:dyDescent="0.35">
      <c r="B158" s="519"/>
      <c r="C158" s="520"/>
      <c r="D158" s="521"/>
      <c r="E158" s="521"/>
      <c r="F158" s="522"/>
    </row>
    <row r="159" spans="2:6" x14ac:dyDescent="0.35">
      <c r="B159" s="519"/>
      <c r="C159" s="520"/>
      <c r="D159" s="521"/>
      <c r="E159" s="521"/>
      <c r="F159" s="522"/>
    </row>
    <row r="160" spans="2:6" x14ac:dyDescent="0.35">
      <c r="B160" s="519"/>
      <c r="C160" s="520"/>
      <c r="D160" s="521"/>
      <c r="E160" s="521"/>
      <c r="F160" s="522"/>
    </row>
    <row r="161" spans="2:6" x14ac:dyDescent="0.35">
      <c r="B161" s="519"/>
      <c r="C161" s="520"/>
      <c r="D161" s="521"/>
      <c r="E161" s="521"/>
      <c r="F161" s="522"/>
    </row>
    <row r="162" spans="2:6" x14ac:dyDescent="0.35">
      <c r="B162" s="519"/>
      <c r="C162" s="520"/>
      <c r="D162" s="521"/>
      <c r="E162" s="521"/>
      <c r="F162" s="522"/>
    </row>
    <row r="163" spans="2:6" x14ac:dyDescent="0.35">
      <c r="B163" s="519"/>
      <c r="C163" s="520"/>
      <c r="D163" s="521"/>
      <c r="E163" s="521"/>
      <c r="F163" s="522"/>
    </row>
    <row r="164" spans="2:6" ht="14.5" customHeight="1" x14ac:dyDescent="0.35">
      <c r="B164" s="519"/>
      <c r="C164" s="520"/>
      <c r="D164" s="521"/>
      <c r="E164" s="521"/>
      <c r="F164" s="522"/>
    </row>
    <row r="165" spans="2:6" ht="14.5" customHeight="1" x14ac:dyDescent="0.35">
      <c r="B165" s="519"/>
      <c r="C165" s="520"/>
      <c r="D165" s="521"/>
      <c r="E165" s="521"/>
      <c r="F165" s="522"/>
    </row>
    <row r="166" spans="2:6" ht="14.5" customHeight="1" x14ac:dyDescent="0.35">
      <c r="B166" s="519"/>
      <c r="C166" s="520"/>
      <c r="D166" s="521"/>
      <c r="E166" s="521"/>
      <c r="F166" s="522"/>
    </row>
    <row r="167" spans="2:6" x14ac:dyDescent="0.35">
      <c r="B167" s="519"/>
      <c r="C167" s="520"/>
      <c r="D167" s="521"/>
      <c r="E167" s="521"/>
      <c r="F167" s="522"/>
    </row>
    <row r="168" spans="2:6" x14ac:dyDescent="0.35">
      <c r="B168" s="519"/>
      <c r="C168" s="520"/>
      <c r="D168" s="521"/>
      <c r="E168" s="521"/>
      <c r="F168" s="522"/>
    </row>
    <row r="169" spans="2:6" x14ac:dyDescent="0.35">
      <c r="B169" s="519"/>
      <c r="C169" s="520"/>
      <c r="D169" s="521"/>
      <c r="E169" s="521"/>
      <c r="F169" s="522"/>
    </row>
    <row r="170" spans="2:6" x14ac:dyDescent="0.35">
      <c r="B170" s="519"/>
      <c r="C170" s="520"/>
      <c r="D170" s="521"/>
      <c r="E170" s="521"/>
      <c r="F170" s="522"/>
    </row>
    <row r="171" spans="2:6" x14ac:dyDescent="0.35">
      <c r="B171" s="519"/>
      <c r="C171" s="520"/>
      <c r="D171" s="521"/>
      <c r="E171" s="521"/>
      <c r="F171" s="522"/>
    </row>
    <row r="172" spans="2:6" x14ac:dyDescent="0.35">
      <c r="B172" s="519"/>
      <c r="C172" s="520"/>
      <c r="D172" s="521"/>
      <c r="E172" s="521"/>
      <c r="F172" s="522"/>
    </row>
    <row r="173" spans="2:6" x14ac:dyDescent="0.35">
      <c r="B173" s="519"/>
      <c r="C173" s="520"/>
      <c r="D173" s="521"/>
      <c r="E173" s="521"/>
      <c r="F173" s="522"/>
    </row>
    <row r="174" spans="2:6" x14ac:dyDescent="0.35">
      <c r="B174" s="519"/>
      <c r="C174" s="520"/>
      <c r="D174" s="521"/>
      <c r="E174" s="521"/>
      <c r="F174" s="522"/>
    </row>
    <row r="175" spans="2:6" x14ac:dyDescent="0.35">
      <c r="B175" s="519"/>
      <c r="C175" s="520"/>
      <c r="D175" s="521"/>
      <c r="E175" s="521"/>
      <c r="F175" s="522"/>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x14ac:dyDescent="0.35">
      <c r="B179" s="523"/>
      <c r="C179" s="524"/>
      <c r="D179" s="525"/>
      <c r="E179" s="525"/>
      <c r="F179" s="526"/>
    </row>
    <row r="180" spans="2:6" x14ac:dyDescent="0.35">
      <c r="B180" s="523"/>
      <c r="C180" s="524"/>
      <c r="D180" s="525"/>
      <c r="E180" s="525"/>
      <c r="F180" s="526"/>
    </row>
    <row r="181" spans="2:6" x14ac:dyDescent="0.35">
      <c r="B181" s="519"/>
      <c r="C181" s="520"/>
      <c r="D181" s="521"/>
      <c r="E181" s="521"/>
      <c r="F181" s="522"/>
    </row>
    <row r="182" spans="2:6" ht="15" thickBot="1" x14ac:dyDescent="0.4">
      <c r="B182" s="519"/>
      <c r="C182" s="520"/>
      <c r="D182" s="521"/>
      <c r="E182" s="521"/>
      <c r="F182" s="522"/>
    </row>
    <row r="183" spans="2:6" s="198" customFormat="1" ht="15" thickBot="1" x14ac:dyDescent="0.4">
      <c r="B183" s="274" t="s">
        <v>398</v>
      </c>
      <c r="C183" s="362"/>
      <c r="D183" s="363">
        <f>SUMIF(E153:E182,"",D153:D182)</f>
        <v>0</v>
      </c>
      <c r="E183" s="276">
        <f>SUBTOTAL(9,E153:E182)</f>
        <v>0</v>
      </c>
      <c r="F183" s="277"/>
    </row>
    <row r="184" spans="2:6" ht="15" thickBot="1" x14ac:dyDescent="0.4">
      <c r="B184" s="505" t="s">
        <v>1149</v>
      </c>
      <c r="C184" s="502">
        <v>0</v>
      </c>
    </row>
    <row r="185" spans="2:6" s="198" customFormat="1" ht="8" customHeight="1" thickBot="1" x14ac:dyDescent="0.4">
      <c r="B185" s="191"/>
      <c r="C185" s="192"/>
      <c r="D185" s="192"/>
      <c r="E185" s="193"/>
      <c r="F185" s="193"/>
    </row>
    <row r="186" spans="2:6" s="198" customFormat="1" ht="15" thickBot="1" x14ac:dyDescent="0.4">
      <c r="B186" s="30" t="s">
        <v>1110</v>
      </c>
      <c r="C186" s="364"/>
      <c r="D186" s="27">
        <f xml:space="preserve"> SUM(D47,D81,D115,D149,D183)</f>
        <v>0</v>
      </c>
      <c r="E186" s="28">
        <f>SUM('GMP-PO Breakdown'!D80:D83)</f>
        <v>0</v>
      </c>
      <c r="F186" s="383"/>
    </row>
    <row r="187" spans="2:6" s="198" customFormat="1" ht="8" customHeight="1" thickBot="1" x14ac:dyDescent="0.4">
      <c r="B187" s="191"/>
      <c r="C187" s="192"/>
      <c r="D187" s="192"/>
      <c r="E187" s="193"/>
      <c r="F187" s="193"/>
    </row>
    <row r="188" spans="2:6" s="198" customFormat="1" ht="15" thickBot="1" x14ac:dyDescent="0.4">
      <c r="B188" s="30" t="s">
        <v>1111</v>
      </c>
      <c r="C188" s="364"/>
      <c r="D188" s="27"/>
      <c r="E188" s="28">
        <f>(E183+E149+E115+E81+E47)+D186</f>
        <v>0</v>
      </c>
      <c r="F188" s="193"/>
    </row>
    <row r="189" spans="2:6" s="198" customFormat="1" ht="8" customHeight="1" thickBot="1" x14ac:dyDescent="0.4">
      <c r="B189" s="191"/>
      <c r="C189" s="192"/>
      <c r="D189" s="192"/>
      <c r="E189" s="193"/>
      <c r="F189" s="193"/>
    </row>
    <row r="190" spans="2:6" s="198" customFormat="1" ht="15" thickBot="1" x14ac:dyDescent="0.4">
      <c r="B190" s="30" t="s">
        <v>1112</v>
      </c>
      <c r="C190" s="364"/>
      <c r="D190" s="27"/>
      <c r="E190" s="28">
        <f>E186-E188</f>
        <v>0</v>
      </c>
      <c r="F190" s="193"/>
    </row>
    <row r="191" spans="2:6" s="198" customFormat="1" ht="8" customHeight="1" thickBot="1" x14ac:dyDescent="0.4">
      <c r="B191" s="191"/>
      <c r="C191" s="192"/>
      <c r="D191" s="192"/>
      <c r="E191" s="193"/>
      <c r="F191" s="193"/>
    </row>
    <row r="192" spans="2:6" s="198" customFormat="1" ht="15" thickBot="1" x14ac:dyDescent="0.4">
      <c r="B192" s="30" t="s">
        <v>416</v>
      </c>
      <c r="C192" s="364"/>
      <c r="D192" s="27"/>
      <c r="E192" s="28"/>
      <c r="F192" s="193"/>
    </row>
    <row r="193" spans="2:6" s="198" customFormat="1" ht="8" customHeight="1" x14ac:dyDescent="0.35">
      <c r="B193" s="191"/>
      <c r="C193" s="192"/>
      <c r="D193" s="192"/>
      <c r="E193" s="193"/>
      <c r="F193" s="193"/>
    </row>
    <row r="194" spans="2:6" s="198" customFormat="1" x14ac:dyDescent="0.35">
      <c r="B194" s="191"/>
      <c r="C194" s="192"/>
      <c r="D194" s="192"/>
      <c r="E194" s="193"/>
      <c r="F194" s="193"/>
    </row>
    <row r="195" spans="2:6" s="198" customFormat="1" ht="8" customHeight="1" x14ac:dyDescent="0.35">
      <c r="B195" s="191"/>
      <c r="C195" s="192"/>
      <c r="D195" s="192"/>
      <c r="E195" s="193"/>
      <c r="F195" s="193"/>
    </row>
    <row r="196" spans="2:6" s="198" customFormat="1" x14ac:dyDescent="0.35">
      <c r="B196" s="191"/>
      <c r="C196" s="192"/>
      <c r="D196" s="192"/>
      <c r="E196" s="193"/>
      <c r="F196" s="193"/>
    </row>
    <row r="197" spans="2:6" s="198" customFormat="1" ht="8" customHeight="1" x14ac:dyDescent="0.35">
      <c r="B197" s="191"/>
      <c r="C197" s="192"/>
      <c r="D197" s="192"/>
      <c r="E197" s="193"/>
      <c r="F197" s="193"/>
    </row>
    <row r="198" spans="2:6" s="198" customFormat="1" x14ac:dyDescent="0.35">
      <c r="B198" s="191"/>
      <c r="C198" s="192"/>
      <c r="D198" s="192"/>
      <c r="E198" s="193"/>
      <c r="F198" s="193"/>
    </row>
    <row r="199" spans="2:6" s="198" customFormat="1" x14ac:dyDescent="0.35">
      <c r="B199" s="191"/>
      <c r="C199" s="192"/>
      <c r="D199" s="192"/>
      <c r="E199" s="193"/>
      <c r="F199" s="193"/>
    </row>
    <row r="200" spans="2:6" s="198" customFormat="1" x14ac:dyDescent="0.35">
      <c r="B200" s="97"/>
      <c r="C200" s="192"/>
      <c r="D200" s="192"/>
      <c r="E200" s="193"/>
      <c r="F200" s="193"/>
    </row>
    <row r="201" spans="2:6" s="198" customFormat="1" x14ac:dyDescent="0.35">
      <c r="B201" s="97"/>
      <c r="C201" s="97"/>
      <c r="D201" s="97"/>
      <c r="E201" s="97"/>
      <c r="F201" s="97"/>
    </row>
    <row r="202" spans="2:6" s="198" customFormat="1" x14ac:dyDescent="0.35">
      <c r="B202" s="97"/>
      <c r="C202" s="97"/>
      <c r="D202" s="97"/>
      <c r="E202" s="97"/>
      <c r="F202" s="97"/>
    </row>
    <row r="203" spans="2:6" s="198" customFormat="1" x14ac:dyDescent="0.35">
      <c r="B203" s="97"/>
      <c r="C203" s="97"/>
      <c r="D203" s="97"/>
      <c r="E203" s="97"/>
      <c r="F203" s="97"/>
    </row>
    <row r="204" spans="2:6" s="198" customFormat="1" x14ac:dyDescent="0.35">
      <c r="B204" s="97"/>
      <c r="C204" s="97"/>
      <c r="D204" s="97"/>
      <c r="E204" s="97"/>
      <c r="F204" s="97"/>
    </row>
    <row r="205" spans="2:6" s="198" customFormat="1" x14ac:dyDescent="0.35">
      <c r="B205" s="97"/>
      <c r="C205" s="97"/>
      <c r="D205" s="97"/>
      <c r="E205" s="97"/>
      <c r="F205" s="97"/>
    </row>
    <row r="206" spans="2:6" s="198" customFormat="1" x14ac:dyDescent="0.35">
      <c r="B206" s="97"/>
      <c r="C206" s="97"/>
      <c r="D206" s="97"/>
      <c r="E206" s="97"/>
      <c r="F206" s="97"/>
    </row>
    <row r="207" spans="2:6" s="198" customFormat="1" x14ac:dyDescent="0.35">
      <c r="B207" s="97"/>
      <c r="C207" s="97"/>
      <c r="D207" s="97"/>
      <c r="E207" s="97"/>
      <c r="F207" s="97"/>
    </row>
    <row r="208" spans="2:6" s="198" customFormat="1" x14ac:dyDescent="0.35">
      <c r="B208" s="97"/>
      <c r="C208" s="97"/>
      <c r="D208" s="97"/>
      <c r="E208" s="97"/>
      <c r="F208" s="97"/>
    </row>
    <row r="209" spans="2:6" s="198" customFormat="1" x14ac:dyDescent="0.35">
      <c r="B209" s="97"/>
      <c r="C209" s="97"/>
      <c r="D209" s="97"/>
      <c r="E209" s="97"/>
      <c r="F209" s="97"/>
    </row>
    <row r="210" spans="2:6" s="198" customFormat="1" x14ac:dyDescent="0.35">
      <c r="B210" s="97"/>
      <c r="C210" s="97"/>
      <c r="D210" s="97"/>
      <c r="E210" s="97"/>
      <c r="F210" s="97"/>
    </row>
    <row r="211" spans="2:6" s="198" customFormat="1" x14ac:dyDescent="0.35">
      <c r="B211" s="97"/>
      <c r="C211" s="97"/>
      <c r="D211" s="97"/>
      <c r="E211" s="97"/>
      <c r="F211" s="97"/>
    </row>
    <row r="212" spans="2:6" s="198" customFormat="1" x14ac:dyDescent="0.35">
      <c r="B212" s="97"/>
      <c r="C212" s="97"/>
      <c r="D212" s="97"/>
      <c r="E212" s="97"/>
      <c r="F212" s="97"/>
    </row>
    <row r="213" spans="2:6" s="198" customFormat="1" x14ac:dyDescent="0.35">
      <c r="B213" s="97"/>
      <c r="C213" s="97"/>
      <c r="D213" s="97"/>
      <c r="E213" s="97"/>
      <c r="F213" s="97"/>
    </row>
    <row r="214" spans="2:6" s="198" customFormat="1" x14ac:dyDescent="0.35">
      <c r="B214" s="97"/>
      <c r="C214" s="97"/>
      <c r="D214" s="97"/>
      <c r="E214" s="97"/>
      <c r="F214" s="97"/>
    </row>
    <row r="215" spans="2:6" s="198" customFormat="1" x14ac:dyDescent="0.35">
      <c r="B215" s="97"/>
      <c r="C215" s="97"/>
      <c r="D215" s="97"/>
      <c r="E215" s="97"/>
      <c r="F215" s="97"/>
    </row>
    <row r="216" spans="2:6" s="198" customFormat="1" x14ac:dyDescent="0.35">
      <c r="B216" s="97"/>
      <c r="C216" s="97"/>
      <c r="D216" s="97"/>
      <c r="E216" s="97"/>
      <c r="F216" s="97"/>
    </row>
    <row r="217" spans="2:6" s="198" customFormat="1" x14ac:dyDescent="0.35">
      <c r="B217" s="97"/>
      <c r="C217" s="97"/>
      <c r="D217" s="97"/>
      <c r="E217" s="97"/>
      <c r="F217" s="97"/>
    </row>
    <row r="218" spans="2:6" s="198" customFormat="1" x14ac:dyDescent="0.35">
      <c r="B218" s="97"/>
      <c r="C218" s="97"/>
      <c r="D218" s="97"/>
      <c r="E218" s="97"/>
      <c r="F218" s="97"/>
    </row>
    <row r="219" spans="2:6" s="198" customFormat="1" x14ac:dyDescent="0.35">
      <c r="B219" s="97"/>
      <c r="C219" s="97"/>
      <c r="D219" s="97"/>
      <c r="E219" s="97"/>
      <c r="F219" s="97"/>
    </row>
    <row r="220" spans="2:6" s="198" customFormat="1" x14ac:dyDescent="0.35">
      <c r="B220" s="97"/>
      <c r="C220" s="97"/>
      <c r="D220" s="97"/>
      <c r="E220" s="97"/>
      <c r="F220" s="97"/>
    </row>
    <row r="221" spans="2:6" s="198" customFormat="1" x14ac:dyDescent="0.35">
      <c r="B221" s="97"/>
      <c r="C221" s="97"/>
      <c r="D221" s="97"/>
      <c r="E221" s="97"/>
      <c r="F221" s="97"/>
    </row>
    <row r="222" spans="2:6" s="198" customFormat="1" x14ac:dyDescent="0.35">
      <c r="B222" s="97"/>
      <c r="C222" s="97"/>
      <c r="D222" s="97"/>
      <c r="E222" s="97"/>
      <c r="F222" s="97"/>
    </row>
    <row r="223" spans="2:6" s="198" customFormat="1" x14ac:dyDescent="0.35">
      <c r="B223" s="97"/>
      <c r="C223" s="97"/>
      <c r="D223" s="97"/>
      <c r="E223" s="97"/>
      <c r="F223" s="97"/>
    </row>
    <row r="224" spans="2:6" s="198" customFormat="1" x14ac:dyDescent="0.35">
      <c r="B224" s="97"/>
      <c r="C224" s="97"/>
      <c r="D224" s="97"/>
      <c r="E224" s="97"/>
      <c r="F224" s="97"/>
    </row>
    <row r="225" spans="2:6" s="198" customFormat="1" x14ac:dyDescent="0.35">
      <c r="B225" s="97"/>
      <c r="C225" s="97"/>
      <c r="D225" s="97"/>
      <c r="E225" s="97"/>
      <c r="F225" s="97"/>
    </row>
    <row r="226" spans="2:6" s="198" customFormat="1" x14ac:dyDescent="0.35">
      <c r="B226" s="97"/>
      <c r="C226" s="97"/>
      <c r="D226" s="97"/>
      <c r="E226" s="97"/>
      <c r="F226" s="97"/>
    </row>
    <row r="227" spans="2:6" s="198" customFormat="1" x14ac:dyDescent="0.35">
      <c r="B227" s="97"/>
      <c r="C227" s="97"/>
      <c r="D227" s="97"/>
      <c r="E227" s="97"/>
      <c r="F227" s="97"/>
    </row>
    <row r="228" spans="2:6" s="198" customFormat="1" x14ac:dyDescent="0.35">
      <c r="B228" s="97"/>
      <c r="C228" s="97"/>
      <c r="D228" s="97"/>
      <c r="E228" s="97"/>
      <c r="F228" s="97"/>
    </row>
    <row r="229" spans="2:6" s="198" customFormat="1" x14ac:dyDescent="0.35">
      <c r="B229" s="97"/>
      <c r="C229" s="97"/>
      <c r="D229" s="97"/>
      <c r="E229" s="97"/>
      <c r="F229" s="97"/>
    </row>
    <row r="230" spans="2:6" s="198" customFormat="1" x14ac:dyDescent="0.35">
      <c r="B230" s="97"/>
      <c r="C230" s="97"/>
      <c r="D230" s="97"/>
      <c r="E230" s="97"/>
      <c r="F230" s="97"/>
    </row>
    <row r="231" spans="2:6" s="198" customFormat="1" x14ac:dyDescent="0.35">
      <c r="B231" s="97"/>
      <c r="C231" s="97"/>
      <c r="D231" s="97"/>
      <c r="E231" s="97"/>
      <c r="F231" s="97"/>
    </row>
    <row r="232" spans="2:6" s="198" customFormat="1" x14ac:dyDescent="0.35">
      <c r="B232" s="97"/>
      <c r="C232" s="97"/>
      <c r="D232" s="97"/>
      <c r="E232" s="97"/>
      <c r="F232" s="97"/>
    </row>
    <row r="233" spans="2:6" s="198" customFormat="1" x14ac:dyDescent="0.35">
      <c r="B233" s="97"/>
      <c r="C233" s="97"/>
      <c r="D233" s="97"/>
      <c r="E233" s="97"/>
      <c r="F233" s="97"/>
    </row>
    <row r="234" spans="2:6" s="198" customFormat="1" x14ac:dyDescent="0.35">
      <c r="B234" s="97"/>
      <c r="C234" s="97"/>
      <c r="D234" s="97"/>
      <c r="E234" s="97"/>
      <c r="F234" s="97"/>
    </row>
    <row r="235" spans="2:6" s="198" customFormat="1" x14ac:dyDescent="0.35">
      <c r="B235" s="97"/>
      <c r="C235" s="97"/>
      <c r="D235" s="97"/>
      <c r="E235" s="97"/>
      <c r="F235" s="97"/>
    </row>
    <row r="236" spans="2:6" s="198" customFormat="1" x14ac:dyDescent="0.35">
      <c r="B236" s="97"/>
      <c r="C236" s="97"/>
      <c r="D236" s="97"/>
      <c r="E236" s="97"/>
      <c r="F236" s="97"/>
    </row>
    <row r="237" spans="2:6" s="198" customFormat="1" x14ac:dyDescent="0.35">
      <c r="B237" s="97"/>
      <c r="C237" s="97"/>
      <c r="D237" s="97"/>
      <c r="E237" s="97"/>
      <c r="F237" s="97"/>
    </row>
    <row r="238" spans="2:6" s="198" customFormat="1" x14ac:dyDescent="0.35">
      <c r="B238" s="97"/>
      <c r="C238" s="97"/>
      <c r="D238" s="97"/>
      <c r="E238" s="97"/>
      <c r="F238" s="97"/>
    </row>
    <row r="239" spans="2:6" s="198" customFormat="1" x14ac:dyDescent="0.35">
      <c r="B239" s="97"/>
      <c r="C239" s="97"/>
      <c r="D239" s="97"/>
      <c r="E239" s="97"/>
      <c r="F239" s="97"/>
    </row>
    <row r="240" spans="2:6" s="198" customFormat="1" x14ac:dyDescent="0.35">
      <c r="B240" s="97"/>
      <c r="C240" s="97"/>
      <c r="D240" s="97"/>
      <c r="E240" s="97"/>
      <c r="F240" s="97"/>
    </row>
    <row r="241" spans="2:6" s="198" customFormat="1" x14ac:dyDescent="0.35">
      <c r="B241" s="97"/>
      <c r="C241" s="97"/>
      <c r="D241" s="97"/>
      <c r="E241" s="97"/>
      <c r="F241" s="97"/>
    </row>
    <row r="242" spans="2:6" s="198" customFormat="1" x14ac:dyDescent="0.35">
      <c r="B242" s="97"/>
      <c r="C242" s="97"/>
      <c r="D242" s="97"/>
      <c r="E242" s="97"/>
      <c r="F242" s="97"/>
    </row>
    <row r="243" spans="2:6" s="198" customFormat="1" x14ac:dyDescent="0.35">
      <c r="B243" s="97"/>
      <c r="C243" s="97"/>
      <c r="D243" s="97"/>
      <c r="E243" s="97"/>
      <c r="F243" s="97"/>
    </row>
    <row r="244" spans="2:6" s="198" customFormat="1" x14ac:dyDescent="0.35">
      <c r="B244" s="97"/>
      <c r="C244" s="97"/>
      <c r="D244" s="97"/>
      <c r="E244" s="97"/>
      <c r="F244" s="97"/>
    </row>
    <row r="245" spans="2:6" s="198" customFormat="1" x14ac:dyDescent="0.35">
      <c r="B245" s="97"/>
      <c r="C245" s="97"/>
      <c r="D245" s="97"/>
      <c r="E245" s="97"/>
      <c r="F245" s="97"/>
    </row>
    <row r="246" spans="2:6" s="198" customFormat="1" x14ac:dyDescent="0.35">
      <c r="B246" s="97"/>
      <c r="C246" s="97"/>
      <c r="D246" s="97"/>
      <c r="E246" s="97"/>
      <c r="F246" s="97"/>
    </row>
    <row r="247" spans="2:6" s="198" customFormat="1" x14ac:dyDescent="0.35">
      <c r="B247" s="97"/>
      <c r="C247" s="97"/>
      <c r="D247" s="97"/>
      <c r="E247" s="97"/>
      <c r="F247" s="97"/>
    </row>
    <row r="248" spans="2:6" s="198" customFormat="1" x14ac:dyDescent="0.35">
      <c r="B248" s="97"/>
      <c r="C248" s="97"/>
      <c r="D248" s="97"/>
      <c r="E248" s="97"/>
      <c r="F248" s="97"/>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B860A-D92C-498C-B677-936FE300ED8D}">
  <sheetPr codeName="Sheet13">
    <tabColor rgb="FFFFC000"/>
  </sheetPr>
  <dimension ref="A1:H97"/>
  <sheetViews>
    <sheetView topLeftCell="A25" workbookViewId="0">
      <selection activeCell="H25" sqref="H25"/>
    </sheetView>
  </sheetViews>
  <sheetFormatPr defaultColWidth="9.1796875" defaultRowHeight="14.5" x14ac:dyDescent="0.35"/>
  <cols>
    <col min="1" max="1" width="3.7265625" style="97" customWidth="1"/>
    <col min="2" max="2" width="40.08984375" style="97" customWidth="1"/>
    <col min="3" max="3" width="36.6328125" style="97" customWidth="1"/>
    <col min="4" max="8" width="16.6328125" style="97" customWidth="1"/>
    <col min="9"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8" x14ac:dyDescent="0.35">
      <c r="B33" s="432"/>
      <c r="C33" s="508"/>
      <c r="D33" s="497"/>
    </row>
    <row r="34" spans="1:8" x14ac:dyDescent="0.35">
      <c r="B34" s="432"/>
      <c r="C34" s="508"/>
      <c r="D34" s="497"/>
      <c r="G34" s="97" t="s">
        <v>1113</v>
      </c>
    </row>
    <row r="35" spans="1:8" x14ac:dyDescent="0.35">
      <c r="B35" s="432"/>
      <c r="C35" s="508"/>
      <c r="D35" s="497"/>
    </row>
    <row r="36" spans="1:8" x14ac:dyDescent="0.35">
      <c r="B36" s="432"/>
      <c r="C36" s="508"/>
      <c r="D36" s="497"/>
    </row>
    <row r="37" spans="1:8" x14ac:dyDescent="0.35">
      <c r="A37" s="343"/>
      <c r="B37" s="433"/>
      <c r="C37" s="509"/>
      <c r="D37" s="498"/>
    </row>
    <row r="38" spans="1:8" ht="16" thickBot="1" x14ac:dyDescent="0.4">
      <c r="A38" s="343"/>
      <c r="B38" s="423"/>
      <c r="C38" s="510"/>
      <c r="D38" s="499"/>
    </row>
    <row r="39" spans="1:8" ht="18" customHeight="1" thickBot="1" x14ac:dyDescent="0.4">
      <c r="A39" s="424"/>
      <c r="B39" s="425" t="s">
        <v>570</v>
      </c>
      <c r="C39" s="426"/>
      <c r="D39" s="427">
        <f>COUNTA(D16:D38)</f>
        <v>0</v>
      </c>
    </row>
    <row r="40" spans="1:8" ht="14.25" customHeight="1" x14ac:dyDescent="0.35"/>
    <row r="41" spans="1:8" ht="14.25" customHeight="1" x14ac:dyDescent="0.35"/>
    <row r="42" spans="1:8" ht="15" customHeight="1" thickBot="1" x14ac:dyDescent="0.4">
      <c r="C42" s="33" t="s">
        <v>404</v>
      </c>
    </row>
    <row r="43" spans="1:8" s="428" customFormat="1" ht="29" customHeight="1" x14ac:dyDescent="0.35">
      <c r="C43" s="429" t="s">
        <v>400</v>
      </c>
      <c r="D43" s="429" t="s">
        <v>412</v>
      </c>
      <c r="E43" s="429" t="s">
        <v>411</v>
      </c>
      <c r="F43" s="429" t="s">
        <v>414</v>
      </c>
      <c r="G43" s="429" t="s">
        <v>1114</v>
      </c>
      <c r="H43" s="429" t="s">
        <v>1115</v>
      </c>
    </row>
    <row r="44" spans="1:8" ht="15.5" x14ac:dyDescent="0.35">
      <c r="C44" s="367"/>
      <c r="D44" s="365"/>
      <c r="E44" s="365"/>
      <c r="F44" s="365">
        <f>D44-E44</f>
        <v>0</v>
      </c>
      <c r="G44" s="365"/>
      <c r="H44" s="365"/>
    </row>
    <row r="45" spans="1:8" ht="15.5" x14ac:dyDescent="0.35">
      <c r="C45" s="367"/>
      <c r="D45" s="365"/>
      <c r="E45" s="365"/>
      <c r="F45" s="365">
        <f>D45-E45</f>
        <v>0</v>
      </c>
      <c r="G45" s="365"/>
      <c r="H45" s="365"/>
    </row>
    <row r="46" spans="1:8" ht="15.5" x14ac:dyDescent="0.35">
      <c r="C46" s="367"/>
      <c r="D46" s="368"/>
      <c r="E46" s="368"/>
      <c r="F46" s="365">
        <f t="shared" ref="F46:F72" si="0">D46-E46</f>
        <v>0</v>
      </c>
      <c r="G46" s="368"/>
      <c r="H46" s="368"/>
    </row>
    <row r="47" spans="1:8" ht="15.5" x14ac:dyDescent="0.35">
      <c r="C47" s="367"/>
      <c r="D47" s="368"/>
      <c r="E47" s="368"/>
      <c r="F47" s="365">
        <f t="shared" si="0"/>
        <v>0</v>
      </c>
      <c r="G47" s="368"/>
      <c r="H47" s="368"/>
    </row>
    <row r="48" spans="1:8"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3:8" ht="15.5" x14ac:dyDescent="0.35">
      <c r="C65" s="369"/>
      <c r="D65" s="368"/>
      <c r="E65" s="368"/>
      <c r="F65" s="365">
        <f t="shared" si="0"/>
        <v>0</v>
      </c>
      <c r="G65" s="365"/>
      <c r="H65" s="365"/>
    </row>
    <row r="66" spans="3:8" ht="15.5" x14ac:dyDescent="0.35">
      <c r="C66" s="369"/>
      <c r="D66" s="368"/>
      <c r="E66" s="368"/>
      <c r="F66" s="365">
        <f t="shared" si="0"/>
        <v>0</v>
      </c>
      <c r="G66" s="365"/>
      <c r="H66" s="365"/>
    </row>
    <row r="67" spans="3:8" ht="15.5" x14ac:dyDescent="0.35">
      <c r="C67" s="369"/>
      <c r="D67" s="368"/>
      <c r="E67" s="368"/>
      <c r="F67" s="365">
        <f t="shared" si="0"/>
        <v>0</v>
      </c>
      <c r="G67" s="365"/>
      <c r="H67" s="365"/>
    </row>
    <row r="68" spans="3:8" ht="15.5" x14ac:dyDescent="0.35">
      <c r="C68" s="369"/>
      <c r="D68" s="368"/>
      <c r="E68" s="368"/>
      <c r="F68" s="365">
        <f t="shared" si="0"/>
        <v>0</v>
      </c>
      <c r="G68" s="365"/>
      <c r="H68" s="365"/>
    </row>
    <row r="69" spans="3:8" ht="15.5" x14ac:dyDescent="0.35">
      <c r="C69" s="369"/>
      <c r="D69" s="368"/>
      <c r="E69" s="368"/>
      <c r="F69" s="365">
        <f t="shared" si="0"/>
        <v>0</v>
      </c>
      <c r="G69" s="365"/>
      <c r="H69" s="365"/>
    </row>
    <row r="70" spans="3:8" ht="15.5" x14ac:dyDescent="0.35">
      <c r="C70" s="369"/>
      <c r="D70" s="368"/>
      <c r="E70" s="368"/>
      <c r="F70" s="365">
        <f t="shared" si="0"/>
        <v>0</v>
      </c>
      <c r="G70" s="365"/>
      <c r="H70" s="365"/>
    </row>
    <row r="71" spans="3:8" ht="15.5" x14ac:dyDescent="0.35">
      <c r="C71" s="369"/>
      <c r="D71" s="368"/>
      <c r="E71" s="368"/>
      <c r="F71" s="365">
        <f t="shared" si="0"/>
        <v>0</v>
      </c>
      <c r="G71" s="365"/>
      <c r="H71" s="365"/>
    </row>
    <row r="72" spans="3:8" ht="16" thickBot="1" x14ac:dyDescent="0.4">
      <c r="C72" s="370"/>
      <c r="D72" s="371"/>
      <c r="E72" s="371"/>
      <c r="F72" s="365">
        <f t="shared" si="0"/>
        <v>0</v>
      </c>
      <c r="G72" s="365"/>
      <c r="H72" s="365"/>
    </row>
    <row r="73" spans="3:8" ht="16" thickBot="1" x14ac:dyDescent="0.4">
      <c r="C73" s="35" t="s">
        <v>398</v>
      </c>
      <c r="D73" s="31">
        <f>SUBTOTAL(9,D44:D72)</f>
        <v>0</v>
      </c>
      <c r="E73" s="31">
        <f>SUBTOTAL(9,E44:E72)</f>
        <v>0</v>
      </c>
      <c r="F73" s="31">
        <f>SUBTOTAL(9,F44:F72)</f>
        <v>0</v>
      </c>
      <c r="G73" s="31">
        <f t="shared" ref="G73:H73" si="1">SUBTOTAL(9,G44:G72)</f>
        <v>0</v>
      </c>
      <c r="H73" s="31">
        <f t="shared" si="1"/>
        <v>0</v>
      </c>
    </row>
    <row r="74" spans="3:8" ht="15" thickBot="1" x14ac:dyDescent="0.4"/>
    <row r="75" spans="3:8" ht="15" thickBot="1" x14ac:dyDescent="0.4">
      <c r="C75" s="34" t="s">
        <v>403</v>
      </c>
      <c r="D75" s="366"/>
      <c r="E75" s="32">
        <f>D73-E73</f>
        <v>0</v>
      </c>
    </row>
    <row r="76" spans="3:8" x14ac:dyDescent="0.35">
      <c r="C76" s="372"/>
      <c r="D76" s="343"/>
      <c r="E76" s="343"/>
    </row>
    <row r="77" spans="3:8" ht="16" thickBot="1" x14ac:dyDescent="0.4">
      <c r="C77" s="33" t="s">
        <v>405</v>
      </c>
    </row>
    <row r="78" spans="3:8" s="430" customFormat="1" ht="29" customHeight="1" x14ac:dyDescent="0.35">
      <c r="C78" s="429" t="s">
        <v>408</v>
      </c>
      <c r="D78" s="429" t="s">
        <v>406</v>
      </c>
      <c r="E78" s="446" t="s">
        <v>407</v>
      </c>
    </row>
    <row r="79" spans="3:8" x14ac:dyDescent="0.35">
      <c r="C79" s="373"/>
      <c r="D79" s="374"/>
      <c r="E79" s="375"/>
    </row>
    <row r="80" spans="3:8"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R55"/>
  <sheetViews>
    <sheetView topLeftCell="H1" zoomScale="115" zoomScaleNormal="115" workbookViewId="0">
      <selection activeCell="R13" sqref="R13"/>
    </sheetView>
  </sheetViews>
  <sheetFormatPr defaultRowHeight="14.5" x14ac:dyDescent="0.3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 min="18" max="18" width="36.90625" customWidth="1"/>
  </cols>
  <sheetData>
    <row r="1" spans="1:18" x14ac:dyDescent="0.35">
      <c r="A1" t="s">
        <v>478</v>
      </c>
      <c r="B1" t="s">
        <v>561</v>
      </c>
      <c r="C1" t="s">
        <v>562</v>
      </c>
      <c r="D1" t="s">
        <v>563</v>
      </c>
      <c r="E1" t="s">
        <v>564</v>
      </c>
      <c r="F1" t="s">
        <v>572</v>
      </c>
      <c r="G1" s="170" t="s">
        <v>858</v>
      </c>
      <c r="H1" t="s">
        <v>966</v>
      </c>
      <c r="I1" t="s">
        <v>967</v>
      </c>
      <c r="J1" t="s">
        <v>968</v>
      </c>
      <c r="K1" t="s">
        <v>969</v>
      </c>
      <c r="L1" t="s">
        <v>970</v>
      </c>
      <c r="N1" t="s">
        <v>832</v>
      </c>
      <c r="P1" t="s">
        <v>981</v>
      </c>
      <c r="R1" s="472" t="s">
        <v>1117</v>
      </c>
    </row>
    <row r="2" spans="1:18" x14ac:dyDescent="0.35">
      <c r="A2" t="s">
        <v>484</v>
      </c>
      <c r="B2" t="s">
        <v>533</v>
      </c>
      <c r="C2" t="s">
        <v>552</v>
      </c>
      <c r="D2" t="s">
        <v>550</v>
      </c>
      <c r="E2" t="s">
        <v>543</v>
      </c>
      <c r="F2" t="s">
        <v>573</v>
      </c>
      <c r="G2" s="168" t="s">
        <v>877</v>
      </c>
      <c r="H2" t="s">
        <v>889</v>
      </c>
      <c r="I2" t="s">
        <v>909</v>
      </c>
      <c r="J2" t="s">
        <v>925</v>
      </c>
      <c r="K2" t="s">
        <v>938</v>
      </c>
      <c r="L2" t="s">
        <v>957</v>
      </c>
      <c r="N2" t="s">
        <v>859</v>
      </c>
      <c r="R2" s="473" t="s">
        <v>1118</v>
      </c>
    </row>
    <row r="3" spans="1:18" x14ac:dyDescent="0.35">
      <c r="A3" t="s">
        <v>485</v>
      </c>
      <c r="B3" t="s">
        <v>534</v>
      </c>
      <c r="C3" t="s">
        <v>553</v>
      </c>
      <c r="D3" t="s">
        <v>551</v>
      </c>
      <c r="E3" t="s">
        <v>544</v>
      </c>
      <c r="F3" t="s">
        <v>574</v>
      </c>
      <c r="G3" s="169" t="s">
        <v>878</v>
      </c>
      <c r="H3" t="s">
        <v>890</v>
      </c>
      <c r="I3" t="s">
        <v>910</v>
      </c>
      <c r="J3" t="s">
        <v>926</v>
      </c>
      <c r="K3" t="s">
        <v>939</v>
      </c>
      <c r="L3" t="s">
        <v>958</v>
      </c>
      <c r="N3" t="s">
        <v>834</v>
      </c>
      <c r="R3" s="473" t="s">
        <v>1119</v>
      </c>
    </row>
    <row r="4" spans="1:18" x14ac:dyDescent="0.35">
      <c r="A4" t="s">
        <v>480</v>
      </c>
      <c r="B4" t="s">
        <v>535</v>
      </c>
      <c r="C4" t="s">
        <v>554</v>
      </c>
      <c r="E4" t="s">
        <v>545</v>
      </c>
      <c r="F4" t="s">
        <v>575</v>
      </c>
      <c r="G4" s="168" t="s">
        <v>879</v>
      </c>
      <c r="H4" t="s">
        <v>891</v>
      </c>
      <c r="I4" t="s">
        <v>911</v>
      </c>
      <c r="J4" t="s">
        <v>927</v>
      </c>
      <c r="K4" t="s">
        <v>940</v>
      </c>
      <c r="L4" t="s">
        <v>959</v>
      </c>
      <c r="N4" t="s">
        <v>835</v>
      </c>
      <c r="R4" s="473" t="s">
        <v>102</v>
      </c>
    </row>
    <row r="5" spans="1:18" x14ac:dyDescent="0.35">
      <c r="A5" t="s">
        <v>486</v>
      </c>
      <c r="B5" t="s">
        <v>536</v>
      </c>
      <c r="C5" t="s">
        <v>555</v>
      </c>
      <c r="E5" t="s">
        <v>546</v>
      </c>
      <c r="F5" t="s">
        <v>576</v>
      </c>
      <c r="G5" s="169" t="s">
        <v>880</v>
      </c>
      <c r="H5" t="s">
        <v>892</v>
      </c>
      <c r="I5" t="s">
        <v>912</v>
      </c>
      <c r="J5" t="s">
        <v>928</v>
      </c>
      <c r="K5" t="s">
        <v>941</v>
      </c>
      <c r="L5" t="s">
        <v>960</v>
      </c>
      <c r="N5" t="s">
        <v>860</v>
      </c>
      <c r="R5" s="473" t="s">
        <v>169</v>
      </c>
    </row>
    <row r="6" spans="1:18" x14ac:dyDescent="0.35">
      <c r="A6" t="s">
        <v>487</v>
      </c>
      <c r="B6" t="s">
        <v>537</v>
      </c>
      <c r="C6" t="s">
        <v>556</v>
      </c>
      <c r="E6" t="s">
        <v>547</v>
      </c>
      <c r="F6" t="s">
        <v>577</v>
      </c>
      <c r="G6" s="168" t="s">
        <v>881</v>
      </c>
      <c r="H6" t="s">
        <v>893</v>
      </c>
      <c r="I6" t="s">
        <v>913</v>
      </c>
      <c r="J6" t="s">
        <v>929</v>
      </c>
      <c r="K6" t="s">
        <v>942</v>
      </c>
      <c r="L6" t="s">
        <v>961</v>
      </c>
      <c r="N6" t="s">
        <v>828</v>
      </c>
      <c r="R6" s="473" t="s">
        <v>1120</v>
      </c>
    </row>
    <row r="7" spans="1:18" x14ac:dyDescent="0.35">
      <c r="A7" t="s">
        <v>488</v>
      </c>
      <c r="B7" t="s">
        <v>538</v>
      </c>
      <c r="C7" t="s">
        <v>557</v>
      </c>
      <c r="E7" t="s">
        <v>548</v>
      </c>
      <c r="G7" s="169" t="s">
        <v>882</v>
      </c>
      <c r="H7" t="s">
        <v>894</v>
      </c>
      <c r="I7" t="s">
        <v>914</v>
      </c>
      <c r="J7" t="s">
        <v>930</v>
      </c>
      <c r="K7" t="s">
        <v>943</v>
      </c>
      <c r="L7" t="s">
        <v>962</v>
      </c>
      <c r="N7" t="s">
        <v>861</v>
      </c>
      <c r="R7" s="473" t="s">
        <v>1121</v>
      </c>
    </row>
    <row r="8" spans="1:18" x14ac:dyDescent="0.35">
      <c r="A8" t="s">
        <v>489</v>
      </c>
      <c r="B8" t="s">
        <v>539</v>
      </c>
      <c r="C8" t="s">
        <v>558</v>
      </c>
      <c r="E8" t="s">
        <v>549</v>
      </c>
      <c r="G8" s="168" t="s">
        <v>883</v>
      </c>
      <c r="H8" t="s">
        <v>895</v>
      </c>
      <c r="I8" t="s">
        <v>915</v>
      </c>
      <c r="J8" t="s">
        <v>931</v>
      </c>
      <c r="K8" t="s">
        <v>944</v>
      </c>
      <c r="L8" t="s">
        <v>963</v>
      </c>
      <c r="N8" t="s">
        <v>862</v>
      </c>
      <c r="R8" s="473" t="s">
        <v>1122</v>
      </c>
    </row>
    <row r="9" spans="1:18" x14ac:dyDescent="0.35">
      <c r="A9" t="s">
        <v>490</v>
      </c>
      <c r="B9" t="s">
        <v>540</v>
      </c>
      <c r="C9" t="s">
        <v>559</v>
      </c>
      <c r="G9" s="169" t="s">
        <v>884</v>
      </c>
      <c r="H9" t="s">
        <v>896</v>
      </c>
      <c r="I9" t="s">
        <v>916</v>
      </c>
      <c r="J9" t="s">
        <v>932</v>
      </c>
      <c r="K9" t="s">
        <v>945</v>
      </c>
      <c r="L9" t="s">
        <v>964</v>
      </c>
      <c r="N9" t="s">
        <v>836</v>
      </c>
      <c r="R9" s="473" t="s">
        <v>1123</v>
      </c>
    </row>
    <row r="10" spans="1:18" x14ac:dyDescent="0.35">
      <c r="A10" t="s">
        <v>491</v>
      </c>
      <c r="B10" t="s">
        <v>541</v>
      </c>
      <c r="C10" t="s">
        <v>560</v>
      </c>
      <c r="G10" s="168" t="s">
        <v>885</v>
      </c>
      <c r="H10" t="s">
        <v>897</v>
      </c>
      <c r="I10" t="s">
        <v>917</v>
      </c>
      <c r="J10" t="s">
        <v>933</v>
      </c>
      <c r="K10" t="s">
        <v>946</v>
      </c>
      <c r="L10" t="s">
        <v>965</v>
      </c>
      <c r="N10" t="s">
        <v>863</v>
      </c>
      <c r="R10" s="473" t="s">
        <v>1124</v>
      </c>
    </row>
    <row r="11" spans="1:18" x14ac:dyDescent="0.35">
      <c r="A11" t="s">
        <v>492</v>
      </c>
      <c r="B11" t="s">
        <v>542</v>
      </c>
      <c r="G11" s="169" t="s">
        <v>886</v>
      </c>
      <c r="H11" t="s">
        <v>898</v>
      </c>
      <c r="I11" t="s">
        <v>918</v>
      </c>
      <c r="J11" t="s">
        <v>934</v>
      </c>
      <c r="K11" t="s">
        <v>947</v>
      </c>
      <c r="N11" t="s">
        <v>825</v>
      </c>
      <c r="R11" s="473" t="s">
        <v>0</v>
      </c>
    </row>
    <row r="12" spans="1:18" x14ac:dyDescent="0.35">
      <c r="A12" t="s">
        <v>493</v>
      </c>
      <c r="G12" s="168" t="s">
        <v>887</v>
      </c>
      <c r="H12" t="s">
        <v>899</v>
      </c>
      <c r="I12" t="s">
        <v>919</v>
      </c>
      <c r="J12" t="s">
        <v>935</v>
      </c>
      <c r="K12" t="s">
        <v>948</v>
      </c>
      <c r="N12" t="s">
        <v>974</v>
      </c>
      <c r="R12" s="473" t="s">
        <v>390</v>
      </c>
    </row>
    <row r="13" spans="1:18" x14ac:dyDescent="0.35">
      <c r="A13" t="s">
        <v>494</v>
      </c>
      <c r="G13" s="171" t="s">
        <v>888</v>
      </c>
      <c r="H13" t="s">
        <v>900</v>
      </c>
      <c r="I13" t="s">
        <v>920</v>
      </c>
      <c r="J13" t="s">
        <v>936</v>
      </c>
      <c r="K13" t="s">
        <v>949</v>
      </c>
      <c r="N13" t="s">
        <v>837</v>
      </c>
      <c r="R13" s="473" t="s">
        <v>1125</v>
      </c>
    </row>
    <row r="14" spans="1:18" x14ac:dyDescent="0.35">
      <c r="A14" t="s">
        <v>495</v>
      </c>
      <c r="H14" t="s">
        <v>901</v>
      </c>
      <c r="I14" t="s">
        <v>921</v>
      </c>
      <c r="J14" t="s">
        <v>937</v>
      </c>
      <c r="K14" t="s">
        <v>950</v>
      </c>
      <c r="N14" t="s">
        <v>829</v>
      </c>
      <c r="R14" s="473" t="s">
        <v>1126</v>
      </c>
    </row>
    <row r="15" spans="1:18" x14ac:dyDescent="0.35">
      <c r="A15" t="s">
        <v>496</v>
      </c>
      <c r="H15" t="s">
        <v>902</v>
      </c>
      <c r="I15" t="s">
        <v>922</v>
      </c>
      <c r="K15" t="s">
        <v>951</v>
      </c>
      <c r="N15" t="s">
        <v>851</v>
      </c>
      <c r="R15" s="473" t="s">
        <v>1127</v>
      </c>
    </row>
    <row r="16" spans="1:18" x14ac:dyDescent="0.35">
      <c r="A16" t="s">
        <v>497</v>
      </c>
      <c r="H16" t="s">
        <v>903</v>
      </c>
      <c r="I16" t="s">
        <v>923</v>
      </c>
      <c r="K16" t="s">
        <v>952</v>
      </c>
      <c r="N16" t="s">
        <v>998</v>
      </c>
      <c r="R16" s="473" t="s">
        <v>1128</v>
      </c>
    </row>
    <row r="17" spans="1:18" x14ac:dyDescent="0.35">
      <c r="A17" t="s">
        <v>498</v>
      </c>
      <c r="H17" t="s">
        <v>904</v>
      </c>
      <c r="I17" t="s">
        <v>924</v>
      </c>
      <c r="K17" t="s">
        <v>953</v>
      </c>
      <c r="N17" t="s">
        <v>838</v>
      </c>
      <c r="R17" s="473" t="s">
        <v>1129</v>
      </c>
    </row>
    <row r="18" spans="1:18" x14ac:dyDescent="0.35">
      <c r="A18" t="s">
        <v>499</v>
      </c>
      <c r="H18" t="s">
        <v>905</v>
      </c>
      <c r="K18" t="s">
        <v>954</v>
      </c>
      <c r="N18" t="s">
        <v>864</v>
      </c>
      <c r="R18" s="473" t="s">
        <v>1130</v>
      </c>
    </row>
    <row r="19" spans="1:18" x14ac:dyDescent="0.35">
      <c r="A19" t="s">
        <v>500</v>
      </c>
      <c r="H19" t="s">
        <v>906</v>
      </c>
      <c r="K19" t="s">
        <v>955</v>
      </c>
      <c r="N19" t="s">
        <v>865</v>
      </c>
    </row>
    <row r="20" spans="1:18" x14ac:dyDescent="0.35">
      <c r="A20" t="s">
        <v>501</v>
      </c>
      <c r="H20" t="s">
        <v>907</v>
      </c>
      <c r="K20" t="s">
        <v>956</v>
      </c>
      <c r="N20" t="s">
        <v>866</v>
      </c>
      <c r="R20" s="472" t="s">
        <v>1131</v>
      </c>
    </row>
    <row r="21" spans="1:18" x14ac:dyDescent="0.35">
      <c r="A21" t="s">
        <v>502</v>
      </c>
      <c r="H21" t="s">
        <v>908</v>
      </c>
      <c r="N21" t="s">
        <v>867</v>
      </c>
      <c r="R21" s="473" t="s">
        <v>1132</v>
      </c>
    </row>
    <row r="22" spans="1:18" x14ac:dyDescent="0.35">
      <c r="A22" t="s">
        <v>503</v>
      </c>
      <c r="N22" t="s">
        <v>839</v>
      </c>
      <c r="R22" s="473" t="s">
        <v>1133</v>
      </c>
    </row>
    <row r="23" spans="1:18" x14ac:dyDescent="0.35">
      <c r="A23" t="s">
        <v>504</v>
      </c>
      <c r="N23" t="s">
        <v>868</v>
      </c>
      <c r="R23" s="473" t="s">
        <v>1134</v>
      </c>
    </row>
    <row r="24" spans="1:18" x14ac:dyDescent="0.35">
      <c r="A24" t="s">
        <v>505</v>
      </c>
      <c r="N24" t="s">
        <v>869</v>
      </c>
      <c r="R24" s="473" t="s">
        <v>1135</v>
      </c>
    </row>
    <row r="25" spans="1:18" x14ac:dyDescent="0.35">
      <c r="A25" t="s">
        <v>506</v>
      </c>
      <c r="N25" t="s">
        <v>826</v>
      </c>
      <c r="R25" s="473" t="s">
        <v>1136</v>
      </c>
    </row>
    <row r="26" spans="1:18" x14ac:dyDescent="0.35">
      <c r="A26" t="s">
        <v>507</v>
      </c>
      <c r="N26" t="s">
        <v>840</v>
      </c>
      <c r="R26" s="473" t="s">
        <v>1137</v>
      </c>
    </row>
    <row r="27" spans="1:18" x14ac:dyDescent="0.35">
      <c r="A27" t="s">
        <v>508</v>
      </c>
      <c r="N27" t="s">
        <v>999</v>
      </c>
      <c r="R27" s="473" t="s">
        <v>1138</v>
      </c>
    </row>
    <row r="28" spans="1:18" x14ac:dyDescent="0.35">
      <c r="A28" t="s">
        <v>509</v>
      </c>
      <c r="N28" t="s">
        <v>1000</v>
      </c>
      <c r="R28" s="473" t="s">
        <v>1139</v>
      </c>
    </row>
    <row r="29" spans="1:18" x14ac:dyDescent="0.35">
      <c r="A29" t="s">
        <v>510</v>
      </c>
      <c r="N29" t="s">
        <v>973</v>
      </c>
      <c r="R29" s="473" t="s">
        <v>1140</v>
      </c>
    </row>
    <row r="30" spans="1:18" x14ac:dyDescent="0.35">
      <c r="A30" t="s">
        <v>511</v>
      </c>
      <c r="N30" t="s">
        <v>870</v>
      </c>
      <c r="R30" s="473" t="s">
        <v>1130</v>
      </c>
    </row>
    <row r="31" spans="1:18" x14ac:dyDescent="0.35">
      <c r="A31" t="s">
        <v>512</v>
      </c>
      <c r="N31" t="s">
        <v>841</v>
      </c>
    </row>
    <row r="32" spans="1:18" x14ac:dyDescent="0.35">
      <c r="A32" t="s">
        <v>513</v>
      </c>
      <c r="N32" t="s">
        <v>1001</v>
      </c>
    </row>
    <row r="33" spans="1:14" x14ac:dyDescent="0.35">
      <c r="A33" t="s">
        <v>514</v>
      </c>
      <c r="N33" t="s">
        <v>842</v>
      </c>
    </row>
    <row r="34" spans="1:14" x14ac:dyDescent="0.35">
      <c r="A34" t="s">
        <v>515</v>
      </c>
      <c r="N34" t="s">
        <v>871</v>
      </c>
    </row>
    <row r="35" spans="1:14" x14ac:dyDescent="0.35">
      <c r="A35" t="s">
        <v>516</v>
      </c>
      <c r="N35" t="s">
        <v>872</v>
      </c>
    </row>
    <row r="36" spans="1:14" x14ac:dyDescent="0.35">
      <c r="A36" t="s">
        <v>517</v>
      </c>
      <c r="N36" t="s">
        <v>1002</v>
      </c>
    </row>
    <row r="37" spans="1:14" x14ac:dyDescent="0.35">
      <c r="A37" t="s">
        <v>518</v>
      </c>
      <c r="N37" t="s">
        <v>852</v>
      </c>
    </row>
    <row r="38" spans="1:14" x14ac:dyDescent="0.35">
      <c r="A38" t="s">
        <v>519</v>
      </c>
      <c r="N38" t="s">
        <v>873</v>
      </c>
    </row>
    <row r="39" spans="1:14" x14ac:dyDescent="0.35">
      <c r="A39" t="s">
        <v>520</v>
      </c>
      <c r="N39" t="s">
        <v>843</v>
      </c>
    </row>
    <row r="40" spans="1:14" x14ac:dyDescent="0.35">
      <c r="A40" t="s">
        <v>521</v>
      </c>
      <c r="N40" t="s">
        <v>844</v>
      </c>
    </row>
    <row r="41" spans="1:14" x14ac:dyDescent="0.35">
      <c r="A41" t="s">
        <v>522</v>
      </c>
      <c r="N41" t="s">
        <v>827</v>
      </c>
    </row>
    <row r="42" spans="1:14" x14ac:dyDescent="0.35">
      <c r="A42" t="s">
        <v>523</v>
      </c>
      <c r="N42" t="s">
        <v>845</v>
      </c>
    </row>
    <row r="43" spans="1:14" x14ac:dyDescent="0.35">
      <c r="A43" t="s">
        <v>524</v>
      </c>
      <c r="N43" t="s">
        <v>831</v>
      </c>
    </row>
    <row r="44" spans="1:14" x14ac:dyDescent="0.35">
      <c r="A44" t="s">
        <v>525</v>
      </c>
      <c r="N44" t="s">
        <v>846</v>
      </c>
    </row>
    <row r="45" spans="1:14" x14ac:dyDescent="0.35">
      <c r="A45" t="s">
        <v>526</v>
      </c>
      <c r="N45" t="s">
        <v>830</v>
      </c>
    </row>
    <row r="46" spans="1:14" x14ac:dyDescent="0.35">
      <c r="A46" t="s">
        <v>527</v>
      </c>
      <c r="N46" t="s">
        <v>853</v>
      </c>
    </row>
    <row r="47" spans="1:14" x14ac:dyDescent="0.35">
      <c r="A47" t="s">
        <v>528</v>
      </c>
      <c r="N47" t="s">
        <v>847</v>
      </c>
    </row>
    <row r="48" spans="1:14" x14ac:dyDescent="0.35">
      <c r="A48" t="s">
        <v>529</v>
      </c>
      <c r="N48" t="s">
        <v>848</v>
      </c>
    </row>
    <row r="49" spans="1:14" x14ac:dyDescent="0.35">
      <c r="A49" t="s">
        <v>530</v>
      </c>
      <c r="N49" t="s">
        <v>874</v>
      </c>
    </row>
    <row r="50" spans="1:14" x14ac:dyDescent="0.35">
      <c r="A50" t="s">
        <v>531</v>
      </c>
      <c r="N50" t="s">
        <v>875</v>
      </c>
    </row>
    <row r="51" spans="1:14" x14ac:dyDescent="0.35">
      <c r="A51" t="s">
        <v>532</v>
      </c>
      <c r="N51" t="s">
        <v>849</v>
      </c>
    </row>
    <row r="52" spans="1:14" x14ac:dyDescent="0.35">
      <c r="N52" t="s">
        <v>850</v>
      </c>
    </row>
    <row r="53" spans="1:14" x14ac:dyDescent="0.35">
      <c r="N53" t="s">
        <v>1003</v>
      </c>
    </row>
    <row r="54" spans="1:14" x14ac:dyDescent="0.35">
      <c r="N54" t="s">
        <v>876</v>
      </c>
    </row>
    <row r="55" spans="1:14" x14ac:dyDescent="0.35">
      <c r="N55" t="str">
        <f>"--Not Listed--"</f>
        <v>--Not Listed--</v>
      </c>
    </row>
  </sheetData>
  <conditionalFormatting sqref="N2:N55">
    <cfRule type="duplicateValues" dxfId="513" priority="2"/>
  </conditionalFormatting>
  <conditionalFormatting sqref="N55">
    <cfRule type="duplicateValues" dxfId="512" priority="1"/>
  </conditionalFormatting>
  <pageMargins left="0.7" right="0.7" top="0.75" bottom="0.75" header="0.3" footer="0.3"/>
  <pageSetup orientation="portrait"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C63519E-D602-4683-8C82-1F30299757B7}">
  <ds:schemaRefs>
    <ds:schemaRef ds:uri="http://schemas.microsoft.com/sharepoint/v3/contenttype/forms"/>
  </ds:schemaRefs>
</ds:datastoreItem>
</file>

<file path=customXml/itemProps3.xml><?xml version="1.0" encoding="utf-8"?>
<ds:datastoreItem xmlns:ds="http://schemas.openxmlformats.org/officeDocument/2006/customXml" ds:itemID="{A271AAAC-29B2-483D-95EE-F7E2F6AAB4B0}">
  <ds:schemaRefs>
    <ds:schemaRef ds:uri="http://schemas.microsoft.com/office/infopath/2007/PartnerControls"/>
    <ds:schemaRef ds:uri="http://purl.org/dc/dcmitype/"/>
    <ds:schemaRef ds:uri="http://purl.org/dc/elements/1.1/"/>
    <ds:schemaRef ds:uri="5b107909-1e42-4520-8d74-3c53f5e40529"/>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23</vt:i4>
      </vt:variant>
    </vt:vector>
  </HeadingPairs>
  <TitlesOfParts>
    <vt:vector size="39" baseType="lpstr">
      <vt:lpstr>Macro Instructions</vt:lpstr>
      <vt:lpstr>GMP-PO Breakdown</vt:lpstr>
      <vt:lpstr>Subcontractor Breakdown</vt:lpstr>
      <vt:lpstr>Cash Flow</vt:lpstr>
      <vt:lpstr>TI Allowance &amp; Contingency</vt:lpstr>
      <vt:lpstr>Developer Contingency</vt:lpstr>
      <vt:lpstr>Monthly Weather Report</vt:lpstr>
      <vt:lpstr>Construction Waste Tracker</vt:lpstr>
      <vt:lpstr>Sustainability (GSF Only)</vt:lpstr>
      <vt:lpstr>TI Allowace &amp; Contingency Reset</vt:lpstr>
      <vt:lpstr>GMP-PO Breakdown Reset</vt:lpstr>
      <vt:lpstr>Subcontractor Template Reset</vt:lpstr>
      <vt:lpstr>Cash Flow Reset</vt:lpstr>
      <vt:lpstr>Developer Contingency Reset</vt:lpstr>
      <vt:lpstr>Monthly Weather Report Reset</vt:lpstr>
      <vt:lpstr>Drop Down Menus</vt:lpstr>
      <vt:lpstr>ActualBill</vt:lpstr>
      <vt:lpstr>ActualDevCont</vt:lpstr>
      <vt:lpstr>ApprovedBillings</vt:lpstr>
      <vt:lpstr>CarData</vt:lpstr>
      <vt:lpstr>carNum</vt:lpstr>
      <vt:lpstr>Comments</vt:lpstr>
      <vt:lpstr>continueSummary</vt:lpstr>
      <vt:lpstr>ECaC</vt:lpstr>
      <vt:lpstr>'Developer Contingency'!Print_Area</vt:lpstr>
      <vt:lpstr>'GMP-PO Breakdown'!Print_Area</vt:lpstr>
      <vt:lpstr>'Monthly Weather Report'!Print_Area</vt:lpstr>
      <vt:lpstr>'TI Allowance &amp; Contingency'!Print_Area</vt:lpstr>
      <vt:lpstr>ProjDevCont</vt:lpstr>
      <vt:lpstr>RevProjBill</vt:lpstr>
      <vt:lpstr>siteCode</vt:lpstr>
      <vt:lpstr>start_cwm_detail</vt:lpstr>
      <vt:lpstr>startCashFlow</vt:lpstr>
      <vt:lpstr>startChangeOrder</vt:lpstr>
      <vt:lpstr>startCOMatrix</vt:lpstr>
      <vt:lpstr>StartCWM</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2022-10-28T22:32:44Z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ies>
</file>