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_fatigue3D_AM_imagebased_exp\fatigue_crack_tracking\"/>
    </mc:Choice>
  </mc:AlternateContent>
  <xr:revisionPtr revIDLastSave="0" documentId="13_ncr:1_{35D15022-8443-4A9E-AA01-E0F5397AB065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Ref_Cao 2018" sheetId="6" r:id="rId1"/>
    <sheet name="AMS2" sheetId="5" r:id="rId2"/>
    <sheet name="Yellow 6" sheetId="1" r:id="rId3"/>
    <sheet name="Yellow 6a" sheetId="2" r:id="rId4"/>
    <sheet name="Green 5" sheetId="3" r:id="rId5"/>
    <sheet name="Green 6a" sheetId="4" r:id="rId6"/>
  </sheets>
  <calcPr calcId="181029"/>
</workbook>
</file>

<file path=xl/calcChain.xml><?xml version="1.0" encoding="utf-8"?>
<calcChain xmlns="http://schemas.openxmlformats.org/spreadsheetml/2006/main">
  <c r="S13" i="4" l="1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9" i="4"/>
  <c r="T9" i="4"/>
  <c r="S10" i="4"/>
  <c r="T10" i="4"/>
  <c r="S11" i="4"/>
  <c r="T11" i="4"/>
  <c r="T12" i="4"/>
  <c r="S12" i="4"/>
  <c r="P11" i="4"/>
  <c r="P12" i="4"/>
  <c r="P13" i="4"/>
  <c r="P14" i="4"/>
  <c r="P15" i="4"/>
  <c r="P16" i="4"/>
  <c r="P17" i="4"/>
  <c r="P18" i="4"/>
  <c r="P19" i="4"/>
  <c r="P9" i="4"/>
  <c r="P10" i="4"/>
  <c r="O9" i="4"/>
  <c r="N13" i="4"/>
  <c r="N14" i="4"/>
  <c r="N15" i="4"/>
  <c r="N16" i="4"/>
  <c r="N17" i="4"/>
  <c r="N18" i="4"/>
  <c r="N19" i="4"/>
  <c r="N9" i="4"/>
  <c r="N10" i="4"/>
  <c r="N11" i="4"/>
  <c r="N12" i="4"/>
  <c r="K10" i="4"/>
  <c r="K11" i="4"/>
  <c r="K12" i="4"/>
  <c r="K13" i="4"/>
  <c r="K14" i="4"/>
  <c r="K15" i="4"/>
  <c r="K16" i="4"/>
  <c r="K17" i="4"/>
  <c r="K18" i="4"/>
  <c r="K19" i="4"/>
  <c r="K9" i="4"/>
  <c r="J10" i="4"/>
  <c r="J11" i="4"/>
  <c r="J12" i="4"/>
  <c r="J13" i="4"/>
  <c r="J14" i="4"/>
  <c r="J15" i="4"/>
  <c r="J16" i="4"/>
  <c r="J17" i="4"/>
  <c r="J18" i="4"/>
  <c r="J19" i="4"/>
  <c r="J9" i="4"/>
  <c r="M10" i="4"/>
  <c r="M11" i="4"/>
  <c r="M12" i="4"/>
  <c r="M13" i="4"/>
  <c r="M14" i="4"/>
  <c r="M15" i="4"/>
  <c r="M16" i="4"/>
  <c r="M17" i="4"/>
  <c r="M18" i="4"/>
  <c r="M19" i="4"/>
  <c r="M9" i="4"/>
  <c r="L11" i="4"/>
  <c r="L12" i="4"/>
  <c r="L13" i="4"/>
  <c r="L14" i="4"/>
  <c r="L15" i="4"/>
  <c r="L16" i="4"/>
  <c r="L17" i="4"/>
  <c r="L18" i="4"/>
  <c r="L19" i="4"/>
  <c r="L9" i="4"/>
  <c r="L10" i="4"/>
  <c r="I11" i="4"/>
  <c r="I12" i="4"/>
  <c r="I13" i="4"/>
  <c r="I14" i="4"/>
  <c r="I15" i="4"/>
  <c r="I16" i="4"/>
  <c r="I17" i="4"/>
  <c r="I18" i="4"/>
  <c r="I19" i="4"/>
  <c r="I9" i="4"/>
  <c r="I10" i="4"/>
  <c r="B3" i="4"/>
  <c r="T136" i="5"/>
  <c r="M132" i="5"/>
  <c r="M133" i="5"/>
  <c r="M134" i="5"/>
  <c r="M135" i="5"/>
  <c r="M136" i="5"/>
  <c r="M137" i="5"/>
  <c r="M131" i="5"/>
  <c r="K132" i="5"/>
  <c r="K133" i="5"/>
  <c r="K134" i="5"/>
  <c r="K135" i="5"/>
  <c r="K136" i="5"/>
  <c r="K137" i="5"/>
  <c r="K131" i="5"/>
  <c r="J131" i="5"/>
  <c r="T131" i="5" s="1"/>
  <c r="J132" i="5"/>
  <c r="S132" i="5" s="1"/>
  <c r="J133" i="5"/>
  <c r="S133" i="5" s="1"/>
  <c r="J134" i="5"/>
  <c r="S134" i="5" s="1"/>
  <c r="J135" i="5"/>
  <c r="S135" i="5" s="1"/>
  <c r="J136" i="5"/>
  <c r="J137" i="5"/>
  <c r="S137" i="5" s="1"/>
  <c r="S122" i="5"/>
  <c r="T122" i="5"/>
  <c r="I121" i="5"/>
  <c r="J121" i="5"/>
  <c r="K121" i="5"/>
  <c r="L121" i="5"/>
  <c r="M121" i="5"/>
  <c r="I122" i="5"/>
  <c r="J122" i="5"/>
  <c r="K122" i="5"/>
  <c r="L122" i="5"/>
  <c r="M122" i="5"/>
  <c r="I123" i="5"/>
  <c r="J123" i="5"/>
  <c r="S123" i="5" s="1"/>
  <c r="K123" i="5"/>
  <c r="L123" i="5"/>
  <c r="M123" i="5"/>
  <c r="I124" i="5"/>
  <c r="J124" i="5"/>
  <c r="K124" i="5"/>
  <c r="L124" i="5"/>
  <c r="M124" i="5"/>
  <c r="I125" i="5"/>
  <c r="J125" i="5"/>
  <c r="K125" i="5"/>
  <c r="L125" i="5"/>
  <c r="M125" i="5"/>
  <c r="M120" i="5"/>
  <c r="K120" i="5"/>
  <c r="J120" i="5"/>
  <c r="T109" i="5"/>
  <c r="S107" i="5"/>
  <c r="M108" i="5"/>
  <c r="M109" i="5"/>
  <c r="M110" i="5"/>
  <c r="M111" i="5"/>
  <c r="M112" i="5"/>
  <c r="M113" i="5"/>
  <c r="N113" i="5" s="1"/>
  <c r="O113" i="5" s="1"/>
  <c r="M107" i="5"/>
  <c r="K108" i="5"/>
  <c r="K109" i="5"/>
  <c r="K110" i="5"/>
  <c r="K111" i="5"/>
  <c r="K112" i="5"/>
  <c r="K113" i="5"/>
  <c r="K107" i="5"/>
  <c r="J108" i="5"/>
  <c r="J109" i="5"/>
  <c r="J110" i="5"/>
  <c r="T110" i="5" s="1"/>
  <c r="J111" i="5"/>
  <c r="S111" i="5" s="1"/>
  <c r="J112" i="5"/>
  <c r="J113" i="5"/>
  <c r="S113" i="5" s="1"/>
  <c r="J107" i="5"/>
  <c r="T107" i="5" s="1"/>
  <c r="T98" i="5"/>
  <c r="S99" i="5"/>
  <c r="T99" i="5"/>
  <c r="S100" i="5"/>
  <c r="T100" i="5"/>
  <c r="S101" i="5"/>
  <c r="N96" i="5"/>
  <c r="O96" i="5" s="1"/>
  <c r="M97" i="5"/>
  <c r="M98" i="5"/>
  <c r="M99" i="5"/>
  <c r="M100" i="5"/>
  <c r="M101" i="5"/>
  <c r="M96" i="5"/>
  <c r="K97" i="5"/>
  <c r="K98" i="5"/>
  <c r="K99" i="5"/>
  <c r="K100" i="5"/>
  <c r="K101" i="5"/>
  <c r="K96" i="5"/>
  <c r="J97" i="5"/>
  <c r="S97" i="5" s="1"/>
  <c r="J98" i="5"/>
  <c r="S98" i="5" s="1"/>
  <c r="J99" i="5"/>
  <c r="J100" i="5"/>
  <c r="J101" i="5"/>
  <c r="T101" i="5" s="1"/>
  <c r="J96" i="5"/>
  <c r="S87" i="5"/>
  <c r="M88" i="5"/>
  <c r="M89" i="5"/>
  <c r="M87" i="5"/>
  <c r="K88" i="5"/>
  <c r="K89" i="5"/>
  <c r="K87" i="5"/>
  <c r="J87" i="5"/>
  <c r="J88" i="5"/>
  <c r="S88" i="5" s="1"/>
  <c r="J89" i="5"/>
  <c r="T71" i="5"/>
  <c r="M72" i="5"/>
  <c r="M73" i="5"/>
  <c r="M74" i="5"/>
  <c r="M75" i="5"/>
  <c r="M76" i="5"/>
  <c r="M77" i="5"/>
  <c r="M71" i="5"/>
  <c r="J72" i="5"/>
  <c r="T72" i="5" s="1"/>
  <c r="K72" i="5"/>
  <c r="J73" i="5"/>
  <c r="S73" i="5" s="1"/>
  <c r="K73" i="5"/>
  <c r="J74" i="5"/>
  <c r="S74" i="5" s="1"/>
  <c r="K74" i="5"/>
  <c r="J75" i="5"/>
  <c r="K75" i="5"/>
  <c r="J76" i="5"/>
  <c r="K76" i="5"/>
  <c r="J77" i="5"/>
  <c r="S77" i="5" s="1"/>
  <c r="K77" i="5"/>
  <c r="K71" i="5"/>
  <c r="J71" i="5"/>
  <c r="S71" i="5" s="1"/>
  <c r="T62" i="5"/>
  <c r="S63" i="5"/>
  <c r="M60" i="5"/>
  <c r="M61" i="5"/>
  <c r="M62" i="5"/>
  <c r="M63" i="5"/>
  <c r="M64" i="5"/>
  <c r="M65" i="5"/>
  <c r="M59" i="5"/>
  <c r="J60" i="5"/>
  <c r="S60" i="5" s="1"/>
  <c r="J61" i="5"/>
  <c r="S61" i="5" s="1"/>
  <c r="J62" i="5"/>
  <c r="S62" i="5" s="1"/>
  <c r="J63" i="5"/>
  <c r="T63" i="5" s="1"/>
  <c r="J64" i="5"/>
  <c r="S64" i="5" s="1"/>
  <c r="J65" i="5"/>
  <c r="S65" i="5" s="1"/>
  <c r="J59" i="5"/>
  <c r="K59" i="5"/>
  <c r="K60" i="5"/>
  <c r="K61" i="5"/>
  <c r="K62" i="5"/>
  <c r="K63" i="5"/>
  <c r="K64" i="5"/>
  <c r="K65" i="5"/>
  <c r="S52" i="5"/>
  <c r="S53" i="5"/>
  <c r="S51" i="5"/>
  <c r="M52" i="5"/>
  <c r="M53" i="5"/>
  <c r="M51" i="5"/>
  <c r="K52" i="5"/>
  <c r="K53" i="5"/>
  <c r="K51" i="5"/>
  <c r="J52" i="5"/>
  <c r="T52" i="5" s="1"/>
  <c r="J53" i="5"/>
  <c r="T53" i="5" s="1"/>
  <c r="J51" i="5"/>
  <c r="T51" i="5" s="1"/>
  <c r="S41" i="5"/>
  <c r="T41" i="5"/>
  <c r="T40" i="5"/>
  <c r="S40" i="5"/>
  <c r="M41" i="5"/>
  <c r="M40" i="5"/>
  <c r="K41" i="5"/>
  <c r="K40" i="5"/>
  <c r="J41" i="5"/>
  <c r="J40" i="5"/>
  <c r="S25" i="5"/>
  <c r="T25" i="5"/>
  <c r="S26" i="5"/>
  <c r="T26" i="5"/>
  <c r="S29" i="5"/>
  <c r="I24" i="5"/>
  <c r="J24" i="5"/>
  <c r="T24" i="5" s="1"/>
  <c r="K24" i="5"/>
  <c r="L24" i="5"/>
  <c r="M24" i="5"/>
  <c r="I25" i="5"/>
  <c r="J25" i="5"/>
  <c r="K25" i="5"/>
  <c r="L25" i="5"/>
  <c r="M25" i="5"/>
  <c r="I26" i="5"/>
  <c r="J26" i="5"/>
  <c r="K26" i="5"/>
  <c r="L26" i="5"/>
  <c r="M26" i="5"/>
  <c r="I27" i="5"/>
  <c r="J27" i="5"/>
  <c r="S27" i="5" s="1"/>
  <c r="K27" i="5"/>
  <c r="L27" i="5"/>
  <c r="M27" i="5"/>
  <c r="I28" i="5"/>
  <c r="J28" i="5"/>
  <c r="N28" i="5" s="1"/>
  <c r="K28" i="5"/>
  <c r="L28" i="5"/>
  <c r="M28" i="5"/>
  <c r="I29" i="5"/>
  <c r="J29" i="5"/>
  <c r="T29" i="5" s="1"/>
  <c r="K29" i="5"/>
  <c r="L29" i="5"/>
  <c r="M29" i="5"/>
  <c r="T23" i="5"/>
  <c r="M23" i="5"/>
  <c r="K23" i="5"/>
  <c r="J23" i="5"/>
  <c r="S23" i="5" s="1"/>
  <c r="J11" i="5"/>
  <c r="T16" i="5"/>
  <c r="T11" i="5"/>
  <c r="M12" i="5"/>
  <c r="M13" i="5"/>
  <c r="M14" i="5"/>
  <c r="M15" i="5"/>
  <c r="M16" i="5"/>
  <c r="M17" i="5"/>
  <c r="M11" i="5"/>
  <c r="K12" i="5"/>
  <c r="K13" i="5"/>
  <c r="K14" i="5"/>
  <c r="K15" i="5"/>
  <c r="K16" i="5"/>
  <c r="K17" i="5"/>
  <c r="K11" i="5"/>
  <c r="J12" i="5"/>
  <c r="T12" i="5" s="1"/>
  <c r="J13" i="5"/>
  <c r="S13" i="5" s="1"/>
  <c r="J14" i="5"/>
  <c r="T14" i="5" s="1"/>
  <c r="J15" i="5"/>
  <c r="S15" i="5" s="1"/>
  <c r="J16" i="5"/>
  <c r="J17" i="5"/>
  <c r="T17" i="5" s="1"/>
  <c r="S16" i="5"/>
  <c r="S11" i="5"/>
  <c r="B3" i="5"/>
  <c r="P71" i="5" s="1"/>
  <c r="I11" i="5"/>
  <c r="P97" i="5"/>
  <c r="P101" i="5"/>
  <c r="I132" i="5"/>
  <c r="I133" i="5"/>
  <c r="I134" i="5"/>
  <c r="I135" i="5"/>
  <c r="I136" i="5"/>
  <c r="I137" i="5"/>
  <c r="I131" i="5"/>
  <c r="I120" i="5"/>
  <c r="I108" i="5"/>
  <c r="I109" i="5"/>
  <c r="I110" i="5"/>
  <c r="I111" i="5"/>
  <c r="I112" i="5"/>
  <c r="I113" i="5"/>
  <c r="I107" i="5"/>
  <c r="I97" i="5"/>
  <c r="I98" i="5"/>
  <c r="I99" i="5"/>
  <c r="I100" i="5"/>
  <c r="I101" i="5"/>
  <c r="I96" i="5"/>
  <c r="I88" i="5"/>
  <c r="I89" i="5"/>
  <c r="I87" i="5"/>
  <c r="I72" i="5"/>
  <c r="I73" i="5"/>
  <c r="I74" i="5"/>
  <c r="I75" i="5"/>
  <c r="I76" i="5"/>
  <c r="I77" i="5"/>
  <c r="I71" i="5"/>
  <c r="I59" i="5"/>
  <c r="I60" i="5"/>
  <c r="I61" i="5"/>
  <c r="I62" i="5"/>
  <c r="I63" i="5"/>
  <c r="I64" i="5"/>
  <c r="I65" i="5"/>
  <c r="I52" i="5"/>
  <c r="I53" i="5"/>
  <c r="I51" i="5"/>
  <c r="I41" i="5"/>
  <c r="I40" i="5"/>
  <c r="I23" i="5"/>
  <c r="I12" i="5"/>
  <c r="I13" i="5"/>
  <c r="I14" i="5"/>
  <c r="I15" i="5"/>
  <c r="I16" i="5"/>
  <c r="I17" i="5"/>
  <c r="L137" i="5"/>
  <c r="L136" i="5"/>
  <c r="L135" i="5"/>
  <c r="L134" i="5"/>
  <c r="L133" i="5"/>
  <c r="L132" i="5"/>
  <c r="L131" i="5"/>
  <c r="L120" i="5"/>
  <c r="L113" i="5"/>
  <c r="L112" i="5"/>
  <c r="L111" i="5"/>
  <c r="L110" i="5"/>
  <c r="L109" i="5"/>
  <c r="L108" i="5"/>
  <c r="L107" i="5"/>
  <c r="L101" i="5"/>
  <c r="L100" i="5"/>
  <c r="L99" i="5"/>
  <c r="L98" i="5"/>
  <c r="L97" i="5"/>
  <c r="L96" i="5"/>
  <c r="L89" i="5"/>
  <c r="L88" i="5"/>
  <c r="L87" i="5"/>
  <c r="L77" i="5"/>
  <c r="L76" i="5"/>
  <c r="L75" i="5"/>
  <c r="L74" i="5"/>
  <c r="L73" i="5"/>
  <c r="L72" i="5"/>
  <c r="L71" i="5"/>
  <c r="L65" i="5"/>
  <c r="L64" i="5"/>
  <c r="L63" i="5"/>
  <c r="L62" i="5"/>
  <c r="L61" i="5"/>
  <c r="L60" i="5"/>
  <c r="L59" i="5"/>
  <c r="L53" i="5"/>
  <c r="L52" i="5"/>
  <c r="L51" i="5"/>
  <c r="L41" i="5"/>
  <c r="L40" i="5"/>
  <c r="L23" i="5"/>
  <c r="L12" i="5"/>
  <c r="L13" i="5"/>
  <c r="L14" i="5"/>
  <c r="L15" i="5"/>
  <c r="L16" i="5"/>
  <c r="L17" i="5"/>
  <c r="L11" i="5"/>
  <c r="O18" i="4" l="1"/>
  <c r="O19" i="4"/>
  <c r="O17" i="4"/>
  <c r="O14" i="4"/>
  <c r="O10" i="4"/>
  <c r="O13" i="4"/>
  <c r="O11" i="4"/>
  <c r="O15" i="4"/>
  <c r="O12" i="4"/>
  <c r="O16" i="4"/>
  <c r="P74" i="5"/>
  <c r="N76" i="5"/>
  <c r="N112" i="5"/>
  <c r="O112" i="5" s="1"/>
  <c r="S112" i="5"/>
  <c r="P75" i="5"/>
  <c r="N101" i="5"/>
  <c r="O101" i="5" s="1"/>
  <c r="N120" i="5"/>
  <c r="O120" i="5" s="1"/>
  <c r="P109" i="5"/>
  <c r="T61" i="5"/>
  <c r="P108" i="5"/>
  <c r="N121" i="5"/>
  <c r="O121" i="5" s="1"/>
  <c r="P29" i="5"/>
  <c r="P25" i="5"/>
  <c r="S24" i="5"/>
  <c r="T77" i="5"/>
  <c r="N131" i="5"/>
  <c r="O131" i="5" s="1"/>
  <c r="P13" i="5"/>
  <c r="S17" i="5"/>
  <c r="N29" i="5"/>
  <c r="O29" i="5" s="1"/>
  <c r="T60" i="5"/>
  <c r="T137" i="5"/>
  <c r="N24" i="5"/>
  <c r="O24" i="5" s="1"/>
  <c r="T76" i="5"/>
  <c r="N109" i="5"/>
  <c r="O109" i="5" s="1"/>
  <c r="S14" i="5"/>
  <c r="T15" i="5"/>
  <c r="S72" i="5"/>
  <c r="N125" i="5"/>
  <c r="N122" i="5"/>
  <c r="N26" i="5"/>
  <c r="O26" i="5" s="1"/>
  <c r="N89" i="5"/>
  <c r="O89" i="5" s="1"/>
  <c r="N136" i="5"/>
  <c r="O136" i="5" s="1"/>
  <c r="S136" i="5"/>
  <c r="P65" i="5"/>
  <c r="N99" i="5"/>
  <c r="O99" i="5" s="1"/>
  <c r="T113" i="5"/>
  <c r="T135" i="5"/>
  <c r="P59" i="5"/>
  <c r="N87" i="5"/>
  <c r="O87" i="5" s="1"/>
  <c r="T112" i="5"/>
  <c r="P110" i="5"/>
  <c r="P26" i="5"/>
  <c r="P24" i="5"/>
  <c r="N88" i="5"/>
  <c r="O88" i="5" s="1"/>
  <c r="N110" i="5"/>
  <c r="O110" i="5" s="1"/>
  <c r="S110" i="5"/>
  <c r="T87" i="5"/>
  <c r="N108" i="5"/>
  <c r="O108" i="5" s="1"/>
  <c r="S109" i="5"/>
  <c r="T121" i="5"/>
  <c r="N137" i="5"/>
  <c r="O137" i="5" s="1"/>
  <c r="T108" i="5"/>
  <c r="S121" i="5"/>
  <c r="P27" i="5"/>
  <c r="N71" i="5"/>
  <c r="S76" i="5"/>
  <c r="S89" i="5"/>
  <c r="S108" i="5"/>
  <c r="S120" i="5"/>
  <c r="P107" i="5"/>
  <c r="S59" i="5"/>
  <c r="N77" i="5"/>
  <c r="T75" i="5"/>
  <c r="T88" i="5"/>
  <c r="N100" i="5"/>
  <c r="O100" i="5" s="1"/>
  <c r="T120" i="5"/>
  <c r="N135" i="5"/>
  <c r="O135" i="5" s="1"/>
  <c r="T13" i="5"/>
  <c r="N27" i="5"/>
  <c r="O27" i="5" s="1"/>
  <c r="T59" i="5"/>
  <c r="S75" i="5"/>
  <c r="N107" i="5"/>
  <c r="O107" i="5" s="1"/>
  <c r="T125" i="5"/>
  <c r="T134" i="5"/>
  <c r="T89" i="5"/>
  <c r="P23" i="5"/>
  <c r="P64" i="5"/>
  <c r="T65" i="5"/>
  <c r="N75" i="5"/>
  <c r="T74" i="5"/>
  <c r="P96" i="5"/>
  <c r="N98" i="5"/>
  <c r="O98" i="5" s="1"/>
  <c r="T97" i="5"/>
  <c r="N124" i="5"/>
  <c r="O124" i="5" s="1"/>
  <c r="S125" i="5"/>
  <c r="N134" i="5"/>
  <c r="O134" i="5" s="1"/>
  <c r="P40" i="5"/>
  <c r="P131" i="5"/>
  <c r="T28" i="5"/>
  <c r="N74" i="5"/>
  <c r="N97" i="5"/>
  <c r="O97" i="5" s="1"/>
  <c r="O122" i="5"/>
  <c r="T124" i="5"/>
  <c r="N133" i="5"/>
  <c r="O133" i="5" s="1"/>
  <c r="T133" i="5"/>
  <c r="P41" i="5"/>
  <c r="P132" i="5"/>
  <c r="S28" i="5"/>
  <c r="T64" i="5"/>
  <c r="N73" i="5"/>
  <c r="T73" i="5"/>
  <c r="S96" i="5"/>
  <c r="T111" i="5"/>
  <c r="O125" i="5"/>
  <c r="S124" i="5"/>
  <c r="N132" i="5"/>
  <c r="O132" i="5" s="1"/>
  <c r="P51" i="5"/>
  <c r="P125" i="5"/>
  <c r="P12" i="5"/>
  <c r="P28" i="5"/>
  <c r="N25" i="5"/>
  <c r="O25" i="5" s="1"/>
  <c r="T27" i="5"/>
  <c r="P77" i="5"/>
  <c r="N72" i="5"/>
  <c r="T96" i="5"/>
  <c r="N111" i="5"/>
  <c r="O111" i="5" s="1"/>
  <c r="N123" i="5"/>
  <c r="O123" i="5" s="1"/>
  <c r="T123" i="5"/>
  <c r="S131" i="5"/>
  <c r="T132" i="5"/>
  <c r="P52" i="5"/>
  <c r="P124" i="5"/>
  <c r="P122" i="5"/>
  <c r="P76" i="5"/>
  <c r="P73" i="5"/>
  <c r="P63" i="5"/>
  <c r="P62" i="5"/>
  <c r="O28" i="5"/>
  <c r="S12" i="5"/>
  <c r="P72" i="5"/>
  <c r="P100" i="5"/>
  <c r="P123" i="5"/>
  <c r="P53" i="5"/>
  <c r="P61" i="5"/>
  <c r="P88" i="5"/>
  <c r="P113" i="5"/>
  <c r="P137" i="5"/>
  <c r="P16" i="5"/>
  <c r="P112" i="5"/>
  <c r="P136" i="5"/>
  <c r="P111" i="5"/>
  <c r="P134" i="5"/>
  <c r="P121" i="5"/>
  <c r="P135" i="5"/>
  <c r="P133" i="5"/>
  <c r="P60" i="5"/>
  <c r="P87" i="5"/>
  <c r="P99" i="5"/>
  <c r="P120" i="5"/>
  <c r="P89" i="5"/>
  <c r="P98" i="5"/>
  <c r="N62" i="5"/>
  <c r="O62" i="5" s="1"/>
  <c r="N11" i="5"/>
  <c r="O11" i="5" s="1"/>
  <c r="P17" i="5"/>
  <c r="P11" i="5"/>
  <c r="O77" i="5"/>
  <c r="P15" i="5"/>
  <c r="P14" i="5"/>
  <c r="N17" i="5"/>
  <c r="O17" i="5" s="1"/>
  <c r="N40" i="5"/>
  <c r="O40" i="5" s="1"/>
  <c r="N15" i="5"/>
  <c r="O15" i="5" s="1"/>
  <c r="N41" i="5"/>
  <c r="O41" i="5" s="1"/>
  <c r="N14" i="5"/>
  <c r="O14" i="5" s="1"/>
  <c r="N60" i="5"/>
  <c r="O60" i="5" s="1"/>
  <c r="N12" i="5"/>
  <c r="O12" i="5" s="1"/>
  <c r="N52" i="5"/>
  <c r="O52" i="5" s="1"/>
  <c r="N63" i="5"/>
  <c r="O63" i="5" s="1"/>
  <c r="N16" i="5"/>
  <c r="O16" i="5" s="1"/>
  <c r="N51" i="5"/>
  <c r="O51" i="5" s="1"/>
  <c r="N53" i="5"/>
  <c r="O53" i="5" s="1"/>
  <c r="O76" i="5"/>
  <c r="N23" i="5"/>
  <c r="O23" i="5" s="1"/>
  <c r="N13" i="5"/>
  <c r="O13" i="5" s="1"/>
  <c r="N61" i="5"/>
  <c r="O61" i="5" s="1"/>
  <c r="O75" i="5"/>
  <c r="O72" i="5"/>
  <c r="O74" i="5"/>
  <c r="N59" i="5"/>
  <c r="O59" i="5" s="1"/>
  <c r="N65" i="5"/>
  <c r="O65" i="5" s="1"/>
  <c r="N64" i="5"/>
  <c r="O64" i="5" s="1"/>
  <c r="O73" i="5"/>
  <c r="O71" i="5"/>
</calcChain>
</file>

<file path=xl/sharedStrings.xml><?xml version="1.0" encoding="utf-8"?>
<sst xmlns="http://schemas.openxmlformats.org/spreadsheetml/2006/main" count="242" uniqueCount="61">
  <si>
    <t># cycle</t>
  </si>
  <si>
    <t>#1_area</t>
    <phoneticPr fontId="3" type="noConversion"/>
  </si>
  <si>
    <t>#1_side</t>
    <phoneticPr fontId="3" type="noConversion"/>
  </si>
  <si>
    <t>#1_depth</t>
    <phoneticPr fontId="3" type="noConversion"/>
  </si>
  <si>
    <t>#5_area</t>
    <phoneticPr fontId="3" type="noConversion"/>
  </si>
  <si>
    <t>#5_side</t>
    <phoneticPr fontId="3" type="noConversion"/>
  </si>
  <si>
    <t>#5_depth</t>
    <phoneticPr fontId="3" type="noConversion"/>
  </si>
  <si>
    <t>#2_area</t>
    <phoneticPr fontId="3" type="noConversion"/>
  </si>
  <si>
    <t>#2_side</t>
    <phoneticPr fontId="3" type="noConversion"/>
  </si>
  <si>
    <t>#2_depth</t>
    <phoneticPr fontId="3" type="noConversion"/>
  </si>
  <si>
    <t>#3_area</t>
    <phoneticPr fontId="3" type="noConversion"/>
  </si>
  <si>
    <t>#3_side</t>
    <phoneticPr fontId="3" type="noConversion"/>
  </si>
  <si>
    <t>#3_depth</t>
    <phoneticPr fontId="3" type="noConversion"/>
  </si>
  <si>
    <t>#4_area</t>
    <phoneticPr fontId="3" type="noConversion"/>
  </si>
  <si>
    <t>#4_side</t>
    <phoneticPr fontId="3" type="noConversion"/>
  </si>
  <si>
    <t>#4_depth</t>
    <phoneticPr fontId="3" type="noConversion"/>
  </si>
  <si>
    <t>#6_area</t>
    <phoneticPr fontId="3" type="noConversion"/>
  </si>
  <si>
    <t>#6_side</t>
    <phoneticPr fontId="3" type="noConversion"/>
  </si>
  <si>
    <t>#6_depth</t>
    <phoneticPr fontId="3" type="noConversion"/>
  </si>
  <si>
    <t>#7_area</t>
    <phoneticPr fontId="3" type="noConversion"/>
  </si>
  <si>
    <t>#7_side</t>
    <phoneticPr fontId="3" type="noConversion"/>
  </si>
  <si>
    <t>#7_depth</t>
    <phoneticPr fontId="3" type="noConversion"/>
  </si>
  <si>
    <t>#8_area</t>
    <phoneticPr fontId="3" type="noConversion"/>
  </si>
  <si>
    <t>#8_side</t>
    <phoneticPr fontId="3" type="noConversion"/>
  </si>
  <si>
    <t>#8_depth</t>
    <phoneticPr fontId="3" type="noConversion"/>
  </si>
  <si>
    <t>#9_area</t>
    <phoneticPr fontId="3" type="noConversion"/>
  </si>
  <si>
    <t>#9_side</t>
    <phoneticPr fontId="3" type="noConversion"/>
  </si>
  <si>
    <t>#9_depth</t>
    <phoneticPr fontId="3" type="noConversion"/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</si>
  <si>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</si>
  <si>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</si>
  <si>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</si>
  <si>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</si>
  <si>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</si>
  <si>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</si>
  <si>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</si>
  <si>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</si>
  <si>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</si>
  <si>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</si>
  <si>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</si>
  <si>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Pixel</t>
  </si>
  <si>
    <t>a</t>
  </si>
  <si>
    <t>2h</t>
  </si>
  <si>
    <t>D</t>
  </si>
  <si>
    <t>a, mm</t>
    <phoneticPr fontId="3" type="noConversion"/>
  </si>
  <si>
    <t>h, mm</t>
    <phoneticPr fontId="3" type="noConversion"/>
  </si>
  <si>
    <t>dS, Mpa</t>
  </si>
  <si>
    <t>FI_x=0</t>
  </si>
  <si>
    <t>FI_x=h</t>
  </si>
  <si>
    <t>dK_x=0</t>
  </si>
  <si>
    <t>a^/D</t>
  </si>
  <si>
    <t>dK_x=h^</t>
  </si>
  <si>
    <t>a^/b</t>
  </si>
  <si>
    <t>Unit: Mpa m^0.5</t>
  </si>
  <si>
    <t>D, m</t>
  </si>
  <si>
    <t>a^, m</t>
  </si>
  <si>
    <t>da/dN, m/cycle</t>
  </si>
  <si>
    <t>h^, m</t>
  </si>
  <si>
    <t>b, m</t>
  </si>
  <si>
    <t xml:space="preserve">Crack growth for SLM </t>
  </si>
  <si>
    <t>dK, Mpa m^0.5</t>
  </si>
  <si>
    <t>Straight line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</si>
</sst>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&quot; &quot;[$€-407];[Red]&quot;-&quot;#,##0.00&quot; &quot;[$€-407]"/>
    <numFmt numFmtId="177" formatCode="0.00000"/>
    <numFmt numFmtId="178" formatCode="0.000000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name val="宋体"/>
      <family val="3"/>
      <charset val="134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7F"/>
        <bgColor rgb="FF00FF7F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177" fontId="0" fillId="0" borderId="3" xfId="0" applyNumberFormat="1" applyBorder="1">
      <alignment vertical="center"/>
    </xf>
    <xf numFmtId="178" fontId="0" fillId="0" borderId="3" xfId="0" applyNumberFormat="1" applyBorder="1">
      <alignment vertical="center"/>
    </xf>
    <xf numFmtId="11" fontId="0" fillId="0" borderId="0" xfId="0" applyNumberForma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4541330605367106E-2"/>
                  <c:y val="1.009075500439829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'Ref_Cao 2018'!$B$12:$B$28</c:f>
              <c:numCache>
                <c:formatCode>General</c:formatCode>
                <c:ptCount val="17"/>
                <c:pt idx="0">
                  <c:v>4.9708261164373901</c:v>
                </c:pt>
                <c:pt idx="1">
                  <c:v>5.68151667583028</c:v>
                </c:pt>
                <c:pt idx="2">
                  <c:v>6.1054022965853303</c:v>
                </c:pt>
                <c:pt idx="3">
                  <c:v>6.4274057103154103</c:v>
                </c:pt>
                <c:pt idx="4">
                  <c:v>7.0504085813783801</c:v>
                </c:pt>
                <c:pt idx="5">
                  <c:v>7.3463468385524404</c:v>
                </c:pt>
                <c:pt idx="6">
                  <c:v>8.0584218776148209</c:v>
                </c:pt>
                <c:pt idx="7">
                  <c:v>8.4834289824407207</c:v>
                </c:pt>
                <c:pt idx="8">
                  <c:v>8.8395177337443602</c:v>
                </c:pt>
                <c:pt idx="9">
                  <c:v>9.4018709487762901</c:v>
                </c:pt>
                <c:pt idx="10">
                  <c:v>10.3131861603009</c:v>
                </c:pt>
                <c:pt idx="11">
                  <c:v>11.5478198468945</c:v>
                </c:pt>
                <c:pt idx="12">
                  <c:v>13.063857322002301</c:v>
                </c:pt>
                <c:pt idx="13">
                  <c:v>14.778925406905101</c:v>
                </c:pt>
                <c:pt idx="14">
                  <c:v>16.2114338519455</c:v>
                </c:pt>
                <c:pt idx="15">
                  <c:v>17.24277427362</c:v>
                </c:pt>
                <c:pt idx="16">
                  <c:v>18.914101456267801</c:v>
                </c:pt>
              </c:numCache>
            </c:numRef>
          </c:xVal>
          <c:yVal>
            <c:numRef>
              <c:f>'Ref_Cao 2018'!$C$12:$C$28</c:f>
              <c:numCache>
                <c:formatCode>0.00E+00</c:formatCode>
                <c:ptCount val="17"/>
                <c:pt idx="0">
                  <c:v>1.8879755982172998E-9</c:v>
                </c:pt>
                <c:pt idx="1">
                  <c:v>3.0855617283107602E-9</c:v>
                </c:pt>
                <c:pt idx="2">
                  <c:v>4.7000388661768204E-9</c:v>
                </c:pt>
                <c:pt idx="3">
                  <c:v>5.8012158081172899E-9</c:v>
                </c:pt>
                <c:pt idx="4">
                  <c:v>6.2252616355228199E-9</c:v>
                </c:pt>
                <c:pt idx="5">
                  <c:v>9.2621531229420905E-9</c:v>
                </c:pt>
                <c:pt idx="6">
                  <c:v>1.1170566058489E-8</c:v>
                </c:pt>
                <c:pt idx="7">
                  <c:v>1.5138138132431501E-8</c:v>
                </c:pt>
                <c:pt idx="8">
                  <c:v>2.05138464987828E-8</c:v>
                </c:pt>
                <c:pt idx="9">
                  <c:v>2.65324389685152E-8</c:v>
                </c:pt>
                <c:pt idx="10">
                  <c:v>3.5963755482158002E-8</c:v>
                </c:pt>
                <c:pt idx="11">
                  <c:v>5.4792715714254297E-8</c:v>
                </c:pt>
                <c:pt idx="12">
                  <c:v>8.7476845978345504E-8</c:v>
                </c:pt>
                <c:pt idx="13">
                  <c:v>1.10564098817298E-7</c:v>
                </c:pt>
                <c:pt idx="14">
                  <c:v>1.3972277746978999E-7</c:v>
                </c:pt>
                <c:pt idx="15">
                  <c:v>1.89359517224642E-7</c:v>
                </c:pt>
                <c:pt idx="16">
                  <c:v>2.4495434361906002E-7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F-4860-9FEA-7ADB0C42855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'Ref_Cao 2018'!$B$4:$B$39</c:f>
              <c:numCache>
                <c:formatCode>General</c:formatCode>
                <c:ptCount val="36"/>
                <c:pt idx="0">
                  <c:v>3.03488931872231</c:v>
                </c:pt>
                <c:pt idx="1">
                  <c:v>3.0662470462727298</c:v>
                </c:pt>
                <c:pt idx="2">
                  <c:v>3.1299378519892298</c:v>
                </c:pt>
                <c:pt idx="3">
                  <c:v>3.2613158199877499</c:v>
                </c:pt>
                <c:pt idx="4">
                  <c:v>3.4333200182819898</c:v>
                </c:pt>
                <c:pt idx="5">
                  <c:v>3.65174127254837</c:v>
                </c:pt>
                <c:pt idx="6">
                  <c:v>3.92418975848453</c:v>
                </c:pt>
                <c:pt idx="7">
                  <c:v>4.26053645543091</c:v>
                </c:pt>
                <c:pt idx="8">
                  <c:v>4.9708261164373901</c:v>
                </c:pt>
                <c:pt idx="9">
                  <c:v>5.68151667583028</c:v>
                </c:pt>
                <c:pt idx="10">
                  <c:v>6.1054022965853303</c:v>
                </c:pt>
                <c:pt idx="11">
                  <c:v>6.4274057103154103</c:v>
                </c:pt>
                <c:pt idx="12">
                  <c:v>7.0504085813783801</c:v>
                </c:pt>
                <c:pt idx="13">
                  <c:v>7.3463468385524404</c:v>
                </c:pt>
                <c:pt idx="14">
                  <c:v>8.0584218776148209</c:v>
                </c:pt>
                <c:pt idx="15">
                  <c:v>8.4834289824407207</c:v>
                </c:pt>
                <c:pt idx="16">
                  <c:v>8.8395177337443602</c:v>
                </c:pt>
                <c:pt idx="17">
                  <c:v>9.4018709487762901</c:v>
                </c:pt>
                <c:pt idx="18">
                  <c:v>10.3131861603009</c:v>
                </c:pt>
                <c:pt idx="19">
                  <c:v>11.5478198468945</c:v>
                </c:pt>
                <c:pt idx="20">
                  <c:v>13.063857322002301</c:v>
                </c:pt>
                <c:pt idx="21">
                  <c:v>14.778925406905101</c:v>
                </c:pt>
                <c:pt idx="22">
                  <c:v>16.2114338519455</c:v>
                </c:pt>
                <c:pt idx="23">
                  <c:v>17.24277427362</c:v>
                </c:pt>
                <c:pt idx="24">
                  <c:v>18.914101456267801</c:v>
                </c:pt>
                <c:pt idx="25">
                  <c:v>20.747428935801199</c:v>
                </c:pt>
                <c:pt idx="26">
                  <c:v>23.713737056616502</c:v>
                </c:pt>
                <c:pt idx="27">
                  <c:v>26.826957952797201</c:v>
                </c:pt>
                <c:pt idx="28">
                  <c:v>29.731326465101301</c:v>
                </c:pt>
                <c:pt idx="29">
                  <c:v>32.950130794918003</c:v>
                </c:pt>
                <c:pt idx="30">
                  <c:v>36.894725687781197</c:v>
                </c:pt>
                <c:pt idx="31">
                  <c:v>40.057013926518202</c:v>
                </c:pt>
                <c:pt idx="32">
                  <c:v>43.939705607607898</c:v>
                </c:pt>
                <c:pt idx="33">
                  <c:v>46.257118042797899</c:v>
                </c:pt>
                <c:pt idx="34">
                  <c:v>48.696752516586301</c:v>
                </c:pt>
                <c:pt idx="35">
                  <c:v>48.696752516586301</c:v>
                </c:pt>
              </c:numCache>
            </c:numRef>
          </c:xVal>
          <c:yVal>
            <c:numRef>
              <c:f>'Ref_Cao 2018'!$C$4:$C$39</c:f>
              <c:numCache>
                <c:formatCode>0.00E+00</c:formatCode>
                <c:ptCount val="36"/>
                <c:pt idx="0">
                  <c:v>5.9355387543338298E-11</c:v>
                </c:pt>
                <c:pt idx="1">
                  <c:v>1.03982690578927E-10</c:v>
                </c:pt>
                <c:pt idx="2">
                  <c:v>1.44223265986385E-10</c:v>
                </c:pt>
                <c:pt idx="3">
                  <c:v>2.00057524839119E-10</c:v>
                </c:pt>
                <c:pt idx="4">
                  <c:v>2.97667818069626E-10</c:v>
                </c:pt>
                <c:pt idx="5">
                  <c:v>4.8630779609571999E-10</c:v>
                </c:pt>
                <c:pt idx="6">
                  <c:v>7.0694981791487397E-10</c:v>
                </c:pt>
                <c:pt idx="7">
                  <c:v>1.2103279978808101E-9</c:v>
                </c:pt>
                <c:pt idx="8">
                  <c:v>1.8879755982172998E-9</c:v>
                </c:pt>
                <c:pt idx="9">
                  <c:v>3.0855617283107602E-9</c:v>
                </c:pt>
                <c:pt idx="10">
                  <c:v>4.7000388661768204E-9</c:v>
                </c:pt>
                <c:pt idx="11">
                  <c:v>5.8012158081172899E-9</c:v>
                </c:pt>
                <c:pt idx="12">
                  <c:v>6.2252616355228199E-9</c:v>
                </c:pt>
                <c:pt idx="13">
                  <c:v>9.2621531229420905E-9</c:v>
                </c:pt>
                <c:pt idx="14">
                  <c:v>1.1170566058489E-8</c:v>
                </c:pt>
                <c:pt idx="15">
                  <c:v>1.5138138132431501E-8</c:v>
                </c:pt>
                <c:pt idx="16">
                  <c:v>2.05138464987828E-8</c:v>
                </c:pt>
                <c:pt idx="17">
                  <c:v>2.65324389685152E-8</c:v>
                </c:pt>
                <c:pt idx="18">
                  <c:v>3.5963755482158002E-8</c:v>
                </c:pt>
                <c:pt idx="19">
                  <c:v>5.4792715714254297E-8</c:v>
                </c:pt>
                <c:pt idx="20">
                  <c:v>8.7476845978345504E-8</c:v>
                </c:pt>
                <c:pt idx="21">
                  <c:v>1.10564098817298E-7</c:v>
                </c:pt>
                <c:pt idx="22">
                  <c:v>1.3972277746978999E-7</c:v>
                </c:pt>
                <c:pt idx="23">
                  <c:v>1.89359517224642E-7</c:v>
                </c:pt>
                <c:pt idx="24">
                  <c:v>2.4495434361906002E-7</c:v>
                </c:pt>
                <c:pt idx="25">
                  <c:v>2.8860472832206001E-7</c:v>
                </c:pt>
                <c:pt idx="26">
                  <c:v>3.3225183737901698E-7</c:v>
                </c:pt>
                <c:pt idx="27">
                  <c:v>4.5042572723190799E-7</c:v>
                </c:pt>
                <c:pt idx="28">
                  <c:v>6.8621203935267004E-7</c:v>
                </c:pt>
                <c:pt idx="29">
                  <c:v>9.5216840843197095E-7</c:v>
                </c:pt>
                <c:pt idx="30" formatCode="General">
                  <c:v>1.52006238786628E-6</c:v>
                </c:pt>
                <c:pt idx="31" formatCode="General">
                  <c:v>2.4836251598394602E-6</c:v>
                </c:pt>
                <c:pt idx="32" formatCode="General">
                  <c:v>3.78354192522973E-6</c:v>
                </c:pt>
                <c:pt idx="33" formatCode="General">
                  <c:v>6.0382393784068498E-6</c:v>
                </c:pt>
                <c:pt idx="34" formatCode="General">
                  <c:v>9.8643171969822904E-6</c:v>
                </c:pt>
                <c:pt idx="35" formatCode="General">
                  <c:v>1.6881085220425599E-5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F-4860-9FEA-7ADB0C42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64015"/>
        <c:axId val="438476079"/>
      </c:scatterChart>
      <c:valAx>
        <c:axId val="4384640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MPa m^0.5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476079"/>
        <c:crosses val="autoZero"/>
        <c:crossBetween val="midCat"/>
      </c:valAx>
      <c:valAx>
        <c:axId val="438476079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4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'AMS2'!$I$31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4076210120164767E-2"/>
                  <c:y val="0.1948885584333282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'AMS2'!$A$16:$A$17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'AMS2'!$I$40:$I$41</c:f>
              <c:numCache>
                <c:formatCode>General</c:formatCode>
                <c:ptCount val="2"/>
                <c:pt idx="0">
                  <c:v>0.12200000000000001</c:v>
                </c:pt>
                <c:pt idx="1">
                  <c:v>0.16470000000000001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1-4F9F-94D6-7422109EAA7E}"/>
            </c:ext>
          </c:extLst>
        </c:ser>
        <c:ser>
          <c:idx val="1"/>
          <c:order val="1"/>
          <c:tx>
            <c:strRef>
              <c:f>'AMS2'!$L$31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4960057832053913E-2"/>
                  <c:y val="-6.9203134084614183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'AMS2'!$A$40:$A$41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'AMS2'!$L$40:$L$41</c:f>
              <c:numCache>
                <c:formatCode>General</c:formatCode>
                <c:ptCount val="2"/>
                <c:pt idx="0">
                  <c:v>0.18300000000000002</c:v>
                </c:pt>
                <c:pt idx="1">
                  <c:v>0.22265000000000001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2-4177-BF9E-F5E36E0E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04368"/>
        <c:axId val="913201456"/>
      </c:scatterChart>
      <c:valAx>
        <c:axId val="913204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201456"/>
        <c:crosses val="autoZero"/>
        <c:crossBetween val="midCat"/>
      </c:valAx>
      <c:valAx>
        <c:axId val="9132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20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'AMS2'!$I$43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3115695994278446E-2"/>
                  <c:y val="0.1940675625085991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'AMS2'!$A$15:$A$17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'AMS2'!$I$51:$I$53</c:f>
              <c:numCache>
                <c:formatCode>General</c:formatCode>
                <c:ptCount val="3"/>
                <c:pt idx="0">
                  <c:v>6.1000000000000006E-2</c:v>
                </c:pt>
                <c:pt idx="1">
                  <c:v>7.9300000000000009E-2</c:v>
                </c:pt>
                <c:pt idx="2">
                  <c:v>0.1037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B8C-BE0B-43EF6FADBF80}"/>
            </c:ext>
          </c:extLst>
        </c:ser>
        <c:ser>
          <c:idx val="1"/>
          <c:order val="1"/>
          <c:tx>
            <c:strRef>
              <c:f>'AMS2'!$L$43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'AMS2'!$A$51:$A$53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'AMS2'!$L$51:$L$53</c:f>
              <c:numCache>
                <c:formatCode>General</c:formatCode>
                <c:ptCount val="3"/>
                <c:pt idx="0">
                  <c:v>0.10675000000000001</c:v>
                </c:pt>
                <c:pt idx="1">
                  <c:v>0.14030000000000001</c:v>
                </c:pt>
                <c:pt idx="2">
                  <c:v>0.15860000000000002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5-469B-9222-6B3E4666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9216"/>
        <c:axId val="621951696"/>
      </c:scatterChart>
      <c:valAx>
        <c:axId val="621939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951696"/>
        <c:crosses val="autoZero"/>
        <c:crossBetween val="midCat"/>
      </c:valAx>
      <c:valAx>
        <c:axId val="6219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93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'AMS2'!$I$79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3645022862995989E-2"/>
                  <c:y val="0.2345258224921673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'AMS2'!$A$87:$A$89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'AMS2'!$I$87:$I$89</c:f>
              <c:numCache>
                <c:formatCode>General</c:formatCode>
                <c:ptCount val="3"/>
                <c:pt idx="0">
                  <c:v>0.13420000000000001</c:v>
                </c:pt>
                <c:pt idx="1">
                  <c:v>0.1769</c:v>
                </c:pt>
                <c:pt idx="2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6-4DB7-A874-915A1AE67CAE}"/>
            </c:ext>
          </c:extLst>
        </c:ser>
        <c:ser>
          <c:idx val="1"/>
          <c:order val="1"/>
          <c:tx>
            <c:strRef>
              <c:f>'AMS2'!$L$79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'AMS2'!$A$87:$A$89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'AMS2'!$L$87:$L$89</c:f>
              <c:numCache>
                <c:formatCode>General</c:formatCode>
                <c:ptCount val="3"/>
                <c:pt idx="0">
                  <c:v>0.19520000000000001</c:v>
                </c:pt>
                <c:pt idx="1">
                  <c:v>0.26230000000000003</c:v>
                </c:pt>
                <c:pt idx="2">
                  <c:v>0.36600000000000005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F-46BD-98C2-D45E0676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58656"/>
        <c:axId val="872659904"/>
      </c:scatterChart>
      <c:valAx>
        <c:axId val="872658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659904"/>
        <c:crosses val="autoZero"/>
        <c:crossBetween val="midCat"/>
      </c:valAx>
      <c:valAx>
        <c:axId val="8726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6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'AMS2'!$S$11:$S$17</c:f>
              <c:numCache>
                <c:formatCode>General</c:formatCode>
                <c:ptCount val="7"/>
                <c:pt idx="0">
                  <c:v>3.2545046874809271</c:v>
                </c:pt>
                <c:pt idx="1">
                  <c:v>3.5060380867270631</c:v>
                </c:pt>
                <c:pt idx="2">
                  <c:v>3.5307105026152557</c:v>
                </c:pt>
                <c:pt idx="3">
                  <c:v>3.555298016536498</c:v>
                </c:pt>
                <c:pt idx="4">
                  <c:v>3.6285837767658884</c:v>
                </c:pt>
                <c:pt idx="5">
                  <c:v>3.7491834867660789</c:v>
                </c:pt>
                <c:pt idx="6">
                  <c:v>3.8679595655135031</c:v>
                </c:pt>
              </c:numCache>
            </c:numRef>
          </c:xVal>
          <c:yVal>
            <c:numRef>
              <c:f>'AMS2'!$K$11:$K$17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29D-AEFA-06580E72687B}"/>
            </c:ext>
          </c:extLst>
        </c:ser>
        <c:ser>
          <c:idx val="1"/>
          <c:order val="1"/>
          <c:tx>
            <c:strRef>
              <c:f>'AMS2'!$B$18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'AMS2'!$S$23:$S$29</c:f>
              <c:numCache>
                <c:formatCode>General</c:formatCode>
                <c:ptCount val="7"/>
                <c:pt idx="0">
                  <c:v>3.447607557928535</c:v>
                </c:pt>
                <c:pt idx="1">
                  <c:v>3.8563693156547374</c:v>
                </c:pt>
                <c:pt idx="2">
                  <c:v>3.8967218892682984</c:v>
                </c:pt>
                <c:pt idx="3">
                  <c:v>3.9369200539020683</c:v>
                </c:pt>
                <c:pt idx="4">
                  <c:v>4.0563634266412034</c:v>
                </c:pt>
                <c:pt idx="5">
                  <c:v>4.2505433572709199</c:v>
                </c:pt>
                <c:pt idx="6">
                  <c:v>4.436585738347226</c:v>
                </c:pt>
              </c:numCache>
            </c:numRef>
          </c:xVal>
          <c:yVal>
            <c:numRef>
              <c:f>'AMS2'!$K$23:$K$29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A-429D-AEFA-06580E72687B}"/>
            </c:ext>
          </c:extLst>
        </c:ser>
        <c:ser>
          <c:idx val="2"/>
          <c:order val="2"/>
          <c:tx>
            <c:strRef>
              <c:f>'AMS2'!$B$30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'AMS2'!$S$40:$S$41</c:f>
              <c:numCache>
                <c:formatCode>General</c:formatCode>
                <c:ptCount val="2"/>
                <c:pt idx="0">
                  <c:v>2.8047148292832196</c:v>
                </c:pt>
                <c:pt idx="1">
                  <c:v>3.2301209561441588</c:v>
                </c:pt>
              </c:numCache>
            </c:numRef>
          </c:xVal>
          <c:yVal>
            <c:numRef>
              <c:f>'AMS2'!$K$40:$K$41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A-429D-AEFA-06580E72687B}"/>
            </c:ext>
          </c:extLst>
        </c:ser>
        <c:ser>
          <c:idx val="3"/>
          <c:order val="3"/>
          <c:tx>
            <c:strRef>
              <c:f>'AMS2'!$B$42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'AMS2'!$S$51:$S$53</c:f>
              <c:numCache>
                <c:formatCode>General</c:formatCode>
                <c:ptCount val="3"/>
                <c:pt idx="0">
                  <c:v>1.9818989754409562</c:v>
                </c:pt>
                <c:pt idx="1">
                  <c:v>2.2668173973517702</c:v>
                </c:pt>
                <c:pt idx="2">
                  <c:v>2.5824816815648073</c:v>
                </c:pt>
              </c:numCache>
            </c:numRef>
          </c:xVal>
          <c:yVal>
            <c:numRef>
              <c:f>'AMS2'!$K$51:$K$53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AA-429D-AEFA-06580E72687B}"/>
            </c:ext>
          </c:extLst>
        </c:ser>
        <c:ser>
          <c:idx val="4"/>
          <c:order val="4"/>
          <c:tx>
            <c:strRef>
              <c:f>'AMS2'!$B$54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881623225376879"/>
                  <c:y val="5.194096937064186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'AMS2'!$S$59:$S$65</c:f>
              <c:numCache>
                <c:formatCode>General</c:formatCode>
                <c:ptCount val="7"/>
                <c:pt idx="0">
                  <c:v>5.6208100575580957</c:v>
                </c:pt>
                <c:pt idx="1">
                  <c:v>7.3825838551552101</c:v>
                </c:pt>
                <c:pt idx="2">
                  <c:v>7.5887907958015015</c:v>
                </c:pt>
                <c:pt idx="3">
                  <c:v>7.8018578597504735</c:v>
                </c:pt>
                <c:pt idx="4">
                  <c:v>8.4886535380762513</c:v>
                </c:pt>
                <c:pt idx="5">
                  <c:v>9.85066592219078</c:v>
                </c:pt>
                <c:pt idx="6">
                  <c:v>11.667446316824215</c:v>
                </c:pt>
              </c:numCache>
            </c:numRef>
          </c:xVal>
          <c:yVal>
            <c:numRef>
              <c:f>'AMS2'!$K$59:$K$65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AA-429D-AEFA-06580E72687B}"/>
            </c:ext>
          </c:extLst>
        </c:ser>
        <c:ser>
          <c:idx val="5"/>
          <c:order val="5"/>
          <c:tx>
            <c:strRef>
              <c:f>'AMS2'!$B$66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'AMS2'!$S$71:$S$77</c:f>
              <c:numCache>
                <c:formatCode>General</c:formatCode>
                <c:ptCount val="7"/>
                <c:pt idx="0">
                  <c:v>2.8906155352183562</c:v>
                </c:pt>
                <c:pt idx="1">
                  <c:v>3.8068575333213475</c:v>
                </c:pt>
                <c:pt idx="2">
                  <c:v>3.908292690788068</c:v>
                </c:pt>
                <c:pt idx="3">
                  <c:v>4.0115812815174943</c:v>
                </c:pt>
                <c:pt idx="4">
                  <c:v>4.3327705995195496</c:v>
                </c:pt>
                <c:pt idx="5">
                  <c:v>4.9077544800561643</c:v>
                </c:pt>
                <c:pt idx="6">
                  <c:v>5.5381568162273256</c:v>
                </c:pt>
              </c:numCache>
            </c:numRef>
          </c:xVal>
          <c:yVal>
            <c:numRef>
              <c:f>'AMS2'!$K$71:$K$77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AA-429D-AEFA-06580E72687B}"/>
            </c:ext>
          </c:extLst>
        </c:ser>
        <c:ser>
          <c:idx val="6"/>
          <c:order val="6"/>
          <c:tx>
            <c:strRef>
              <c:f>'AMS2'!$B$78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'AMS2'!$S$87:$S$89</c:f>
              <c:numCache>
                <c:formatCode>General</c:formatCode>
                <c:ptCount val="3"/>
                <c:pt idx="0">
                  <c:v>2.9268690602115757</c:v>
                </c:pt>
                <c:pt idx="1">
                  <c:v>3.516897755689611</c:v>
                </c:pt>
                <c:pt idx="2">
                  <c:v>4.205701905528243</c:v>
                </c:pt>
              </c:numCache>
            </c:numRef>
          </c:xVal>
          <c:yVal>
            <c:numRef>
              <c:f>'AMS2'!$K$87:$K$89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AA-429D-AEFA-06580E72687B}"/>
            </c:ext>
          </c:extLst>
        </c:ser>
        <c:ser>
          <c:idx val="7"/>
          <c:order val="7"/>
          <c:tx>
            <c:strRef>
              <c:f>'AMS2'!$B$90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'AMS2'!$S$96:$S$101</c:f>
              <c:numCache>
                <c:formatCode>General</c:formatCode>
                <c:ptCount val="6"/>
                <c:pt idx="0">
                  <c:v>2.6866608400884568</c:v>
                </c:pt>
                <c:pt idx="1">
                  <c:v>2.7271775516924346</c:v>
                </c:pt>
                <c:pt idx="2">
                  <c:v>2.767382022429286</c:v>
                </c:pt>
                <c:pt idx="3">
                  <c:v>2.8844689146144238</c:v>
                </c:pt>
                <c:pt idx="4">
                  <c:v>3.0553132612786627</c:v>
                </c:pt>
                <c:pt idx="5">
                  <c:v>3.1642333781208447</c:v>
                </c:pt>
              </c:numCache>
            </c:numRef>
          </c:xVal>
          <c:yVal>
            <c:numRef>
              <c:f>'AMS2'!$K$96:$K$101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AA-429D-AEFA-06580E72687B}"/>
            </c:ext>
          </c:extLst>
        </c:ser>
        <c:ser>
          <c:idx val="8"/>
          <c:order val="8"/>
          <c:tx>
            <c:strRef>
              <c:f>'AMS2'!$B$102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'AMS2'!$S$107:$S$113</c:f>
              <c:numCache>
                <c:formatCode>General</c:formatCode>
                <c:ptCount val="7"/>
                <c:pt idx="0">
                  <c:v>2.7158472761032084</c:v>
                </c:pt>
                <c:pt idx="1">
                  <c:v>3.1401996600999436</c:v>
                </c:pt>
                <c:pt idx="2">
                  <c:v>3.182762937146336</c:v>
                </c:pt>
                <c:pt idx="3">
                  <c:v>3.2253173184863204</c:v>
                </c:pt>
                <c:pt idx="4">
                  <c:v>3.3528707107673639</c:v>
                </c:pt>
                <c:pt idx="5">
                  <c:v>3.5647401653218824</c:v>
                </c:pt>
                <c:pt idx="6">
                  <c:v>3.7752568149157444</c:v>
                </c:pt>
              </c:numCache>
            </c:numRef>
          </c:xVal>
          <c:yVal>
            <c:numRef>
              <c:f>'AMS2'!$K$107:$K$113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AA-429D-AEFA-06580E72687B}"/>
            </c:ext>
          </c:extLst>
        </c:ser>
        <c:ser>
          <c:idx val="9"/>
          <c:order val="9"/>
          <c:tx>
            <c:strRef>
              <c:f>'AMS2'!$B$114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'AMS2'!$S$120:$S$125</c:f>
              <c:numCache>
                <c:formatCode>General</c:formatCode>
                <c:ptCount val="6"/>
                <c:pt idx="0">
                  <c:v>3.1328088652554014</c:v>
                </c:pt>
                <c:pt idx="1">
                  <c:v>3.1736896889602733</c:v>
                </c:pt>
                <c:pt idx="2">
                  <c:v>3.2144400167052734</c:v>
                </c:pt>
                <c:pt idx="3">
                  <c:v>3.3358628538603488</c:v>
                </c:pt>
                <c:pt idx="4">
                  <c:v>3.5348516460644568</c:v>
                </c:pt>
                <c:pt idx="5">
                  <c:v>3.7288140187646075</c:v>
                </c:pt>
              </c:numCache>
            </c:numRef>
          </c:xVal>
          <c:yVal>
            <c:numRef>
              <c:f>'AMS2'!$K$120:$K$125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AA-429D-AEFA-06580E72687B}"/>
            </c:ext>
          </c:extLst>
        </c:ser>
        <c:ser>
          <c:idx val="10"/>
          <c:order val="10"/>
          <c:tx>
            <c:strRef>
              <c:f>'AMS2'!$B$126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'AMS2'!$S$131:$S$137</c:f>
              <c:numCache>
                <c:formatCode>General</c:formatCode>
                <c:ptCount val="7"/>
                <c:pt idx="0">
                  <c:v>3.1793069511473306</c:v>
                </c:pt>
                <c:pt idx="1">
                  <c:v>3.7350876817319962</c:v>
                </c:pt>
                <c:pt idx="2">
                  <c:v>3.7909411559829098</c:v>
                </c:pt>
                <c:pt idx="3">
                  <c:v>3.8468324904744153</c:v>
                </c:pt>
                <c:pt idx="4">
                  <c:v>4.0147595756395216</c:v>
                </c:pt>
                <c:pt idx="5">
                  <c:v>4.2958329682433307</c:v>
                </c:pt>
                <c:pt idx="6">
                  <c:v>4.5796186319522478</c:v>
                </c:pt>
              </c:numCache>
            </c:numRef>
          </c:xVal>
          <c:yVal>
            <c:numRef>
              <c:f>'AMS2'!$K$131:$K$137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AA-429D-AEFA-06580E72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'AMS2'!$T$11:$T$17</c:f>
              <c:numCache>
                <c:formatCode>General</c:formatCode>
                <c:ptCount val="7"/>
                <c:pt idx="0">
                  <c:v>2.4657239891062601</c:v>
                </c:pt>
                <c:pt idx="1">
                  <c:v>2.6863781352555374</c:v>
                </c:pt>
                <c:pt idx="2">
                  <c:v>2.7081900654716731</c:v>
                </c:pt>
                <c:pt idx="3">
                  <c:v>2.7299541401857046</c:v>
                </c:pt>
                <c:pt idx="4">
                  <c:v>2.7950062437645897</c:v>
                </c:pt>
                <c:pt idx="5">
                  <c:v>2.9026270035976887</c:v>
                </c:pt>
                <c:pt idx="6">
                  <c:v>3.0093121888074754</c:v>
                </c:pt>
              </c:numCache>
            </c:numRef>
          </c:xVal>
          <c:yVal>
            <c:numRef>
              <c:f>'AMS2'!$K$11:$K$17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C-42F4-97C9-73BA499B7599}"/>
            </c:ext>
          </c:extLst>
        </c:ser>
        <c:ser>
          <c:idx val="1"/>
          <c:order val="1"/>
          <c:tx>
            <c:strRef>
              <c:f>'AMS2'!$B$18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'AMS2'!$T$23:$T$29</c:f>
              <c:numCache>
                <c:formatCode>General</c:formatCode>
                <c:ptCount val="7"/>
                <c:pt idx="0">
                  <c:v>2.2738431839905862</c:v>
                </c:pt>
                <c:pt idx="1">
                  <c:v>2.7732156829370309</c:v>
                </c:pt>
                <c:pt idx="2">
                  <c:v>2.8245635293742746</c:v>
                </c:pt>
                <c:pt idx="3">
                  <c:v>2.8761071319230873</c:v>
                </c:pt>
                <c:pt idx="4">
                  <c:v>3.0316538236102546</c:v>
                </c:pt>
                <c:pt idx="5">
                  <c:v>3.2929648158035167</c:v>
                </c:pt>
                <c:pt idx="6">
                  <c:v>3.5550022679102113</c:v>
                </c:pt>
              </c:numCache>
            </c:numRef>
          </c:xVal>
          <c:yVal>
            <c:numRef>
              <c:f>'AMS2'!$K$23:$K$29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C-42F4-97C9-73BA499B7599}"/>
            </c:ext>
          </c:extLst>
        </c:ser>
        <c:ser>
          <c:idx val="2"/>
          <c:order val="2"/>
          <c:tx>
            <c:strRef>
              <c:f>'AMS2'!$B$30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'AMS2'!$T$40:$T$41</c:f>
              <c:numCache>
                <c:formatCode>General</c:formatCode>
                <c:ptCount val="2"/>
                <c:pt idx="0">
                  <c:v>2.1567149736624489</c:v>
                </c:pt>
                <c:pt idx="1">
                  <c:v>2.6669976369331874</c:v>
                </c:pt>
              </c:numCache>
            </c:numRef>
          </c:xVal>
          <c:yVal>
            <c:numRef>
              <c:f>'AMS2'!$K$40:$K$41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CC-42F4-97C9-73BA499B7599}"/>
            </c:ext>
          </c:extLst>
        </c:ser>
        <c:ser>
          <c:idx val="3"/>
          <c:order val="3"/>
          <c:tx>
            <c:strRef>
              <c:f>'AMS2'!$B$42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'AMS2'!$T$51:$T$53</c:f>
              <c:numCache>
                <c:formatCode>General</c:formatCode>
                <c:ptCount val="3"/>
                <c:pt idx="0">
                  <c:v>1.3223621499411768</c:v>
                </c:pt>
                <c:pt idx="1">
                  <c:v>1.5996749193159243</c:v>
                </c:pt>
                <c:pt idx="2">
                  <c:v>1.9189635478254445</c:v>
                </c:pt>
              </c:numCache>
            </c:numRef>
          </c:xVal>
          <c:yVal>
            <c:numRef>
              <c:f>'AMS2'!$K$51:$K$53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CC-42F4-97C9-73BA499B7599}"/>
            </c:ext>
          </c:extLst>
        </c:ser>
        <c:ser>
          <c:idx val="4"/>
          <c:order val="4"/>
          <c:tx>
            <c:strRef>
              <c:f>'AMS2'!$B$54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'AMS2'!$T$59:$T$65</c:f>
              <c:numCache>
                <c:formatCode>General</c:formatCode>
                <c:ptCount val="7"/>
                <c:pt idx="0">
                  <c:v>3.1562457749298654</c:v>
                </c:pt>
                <c:pt idx="1">
                  <c:v>5.0107411294494142</c:v>
                </c:pt>
                <c:pt idx="2">
                  <c:v>5.236947881831707</c:v>
                </c:pt>
                <c:pt idx="3">
                  <c:v>5.472113151444419</c:v>
                </c:pt>
                <c:pt idx="4">
                  <c:v>6.2384189779610564</c:v>
                </c:pt>
                <c:pt idx="5">
                  <c:v>7.7804041845016236</c:v>
                </c:pt>
                <c:pt idx="6">
                  <c:v>9.8360645257767434</c:v>
                </c:pt>
              </c:numCache>
            </c:numRef>
          </c:xVal>
          <c:yVal>
            <c:numRef>
              <c:f>'AMS2'!$K$59:$K$65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CC-42F4-97C9-73BA499B7599}"/>
            </c:ext>
          </c:extLst>
        </c:ser>
        <c:ser>
          <c:idx val="5"/>
          <c:order val="5"/>
          <c:tx>
            <c:strRef>
              <c:f>'AMS2'!$B$66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9192540619683798E-3"/>
                  <c:y val="-9.33942111402741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'AMS2'!$T$71:$T$77</c:f>
              <c:numCache>
                <c:formatCode>General</c:formatCode>
                <c:ptCount val="7"/>
                <c:pt idx="0">
                  <c:v>2.2035083087399476</c:v>
                </c:pt>
                <c:pt idx="1">
                  <c:v>2.9467095783203803</c:v>
                </c:pt>
                <c:pt idx="2">
                  <c:v>3.0313128410931189</c:v>
                </c:pt>
                <c:pt idx="3">
                  <c:v>3.1179273242719994</c:v>
                </c:pt>
                <c:pt idx="4">
                  <c:v>3.390177135273166</c:v>
                </c:pt>
                <c:pt idx="5">
                  <c:v>3.8879465632624899</c:v>
                </c:pt>
                <c:pt idx="6">
                  <c:v>4.4472281367591817</c:v>
                </c:pt>
              </c:numCache>
            </c:numRef>
          </c:xVal>
          <c:yVal>
            <c:numRef>
              <c:f>'AMS2'!$K$71:$K$77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CC-42F4-97C9-73BA499B7599}"/>
            </c:ext>
          </c:extLst>
        </c:ser>
        <c:ser>
          <c:idx val="6"/>
          <c:order val="6"/>
          <c:tx>
            <c:strRef>
              <c:f>'AMS2'!$B$78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'AMS2'!$T$87:$T$89</c:f>
              <c:numCache>
                <c:formatCode>General</c:formatCode>
                <c:ptCount val="3"/>
                <c:pt idx="0">
                  <c:v>2.3102856065648045</c:v>
                </c:pt>
                <c:pt idx="1">
                  <c:v>2.7504552573241101</c:v>
                </c:pt>
                <c:pt idx="2">
                  <c:v>3.2848400285157062</c:v>
                </c:pt>
              </c:numCache>
            </c:numRef>
          </c:xVal>
          <c:yVal>
            <c:numRef>
              <c:f>'AMS2'!$K$87:$K$89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CC-42F4-97C9-73BA499B7599}"/>
            </c:ext>
          </c:extLst>
        </c:ser>
        <c:ser>
          <c:idx val="7"/>
          <c:order val="7"/>
          <c:tx>
            <c:strRef>
              <c:f>'AMS2'!$B$90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'AMS2'!$T$96:$T$101</c:f>
              <c:numCache>
                <c:formatCode>General</c:formatCode>
                <c:ptCount val="6"/>
                <c:pt idx="0">
                  <c:v>2.0059266978222561</c:v>
                </c:pt>
                <c:pt idx="1">
                  <c:v>2.0762623691670248</c:v>
                </c:pt>
                <c:pt idx="2">
                  <c:v>2.1476964835930348</c:v>
                </c:pt>
                <c:pt idx="3">
                  <c:v>2.3670197750788846</c:v>
                </c:pt>
                <c:pt idx="4">
                  <c:v>2.7379071671330246</c:v>
                </c:pt>
                <c:pt idx="5">
                  <c:v>3.0882829446350515</c:v>
                </c:pt>
              </c:numCache>
            </c:numRef>
          </c:xVal>
          <c:yVal>
            <c:numRef>
              <c:f>'AMS2'!$K$96:$K$101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CC-42F4-97C9-73BA499B7599}"/>
            </c:ext>
          </c:extLst>
        </c:ser>
        <c:ser>
          <c:idx val="8"/>
          <c:order val="8"/>
          <c:tx>
            <c:strRef>
              <c:f>'AMS2'!$B$102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'AMS2'!$T$107:$T$113</c:f>
              <c:numCache>
                <c:formatCode>General</c:formatCode>
                <c:ptCount val="7"/>
                <c:pt idx="0">
                  <c:v>2.2671002432128233</c:v>
                </c:pt>
                <c:pt idx="1">
                  <c:v>2.7157501285073753</c:v>
                </c:pt>
                <c:pt idx="2">
                  <c:v>2.7616643786869757</c:v>
                </c:pt>
                <c:pt idx="3">
                  <c:v>2.8077493216551379</c:v>
                </c:pt>
                <c:pt idx="4">
                  <c:v>2.9470203813577358</c:v>
                </c:pt>
                <c:pt idx="5">
                  <c:v>3.1824093966890858</c:v>
                </c:pt>
                <c:pt idx="6">
                  <c:v>3.421844114598442</c:v>
                </c:pt>
              </c:numCache>
            </c:numRef>
          </c:xVal>
          <c:yVal>
            <c:numRef>
              <c:f>'AMS2'!$K$107:$K$113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CC-42F4-97C9-73BA499B7599}"/>
            </c:ext>
          </c:extLst>
        </c:ser>
        <c:ser>
          <c:idx val="9"/>
          <c:order val="9"/>
          <c:tx>
            <c:strRef>
              <c:f>'AMS2'!$B$114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'AMS2'!$T$120:$T$125</c:f>
              <c:numCache>
                <c:formatCode>General</c:formatCode>
                <c:ptCount val="6"/>
                <c:pt idx="0">
                  <c:v>2.749188735959152</c:v>
                </c:pt>
                <c:pt idx="1">
                  <c:v>2.7961745842832388</c:v>
                </c:pt>
                <c:pt idx="2">
                  <c:v>2.8432554676872845</c:v>
                </c:pt>
                <c:pt idx="3">
                  <c:v>2.985076108336346</c:v>
                </c:pt>
                <c:pt idx="4">
                  <c:v>3.2230329157979258</c:v>
                </c:pt>
                <c:pt idx="5">
                  <c:v>3.4626783132164296</c:v>
                </c:pt>
              </c:numCache>
            </c:numRef>
          </c:xVal>
          <c:yVal>
            <c:numRef>
              <c:f>'AMS2'!$K$120:$K$125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CC-42F4-97C9-73BA499B7599}"/>
            </c:ext>
          </c:extLst>
        </c:ser>
        <c:ser>
          <c:idx val="10"/>
          <c:order val="10"/>
          <c:tx>
            <c:strRef>
              <c:f>'AMS2'!$B$126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'AMS2'!$T$131:$T$137</c:f>
              <c:numCache>
                <c:formatCode>General</c:formatCode>
                <c:ptCount val="7"/>
                <c:pt idx="0">
                  <c:v>2.8026867826644564</c:v>
                </c:pt>
                <c:pt idx="1">
                  <c:v>3.4123586724492876</c:v>
                </c:pt>
                <c:pt idx="2">
                  <c:v>3.4756090814858887</c:v>
                </c:pt>
                <c:pt idx="3">
                  <c:v>3.5392983475823421</c:v>
                </c:pt>
                <c:pt idx="4">
                  <c:v>3.7331238893426004</c:v>
                </c:pt>
                <c:pt idx="5">
                  <c:v>4.0661240328453552</c:v>
                </c:pt>
                <c:pt idx="6">
                  <c:v>4.413375206012943</c:v>
                </c:pt>
              </c:numCache>
            </c:numRef>
          </c:xVal>
          <c:yVal>
            <c:numRef>
              <c:f>'AMS2'!$K$131:$K$137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CC-42F4-97C9-73BA499B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59855"/>
        <c:axId val="343169423"/>
      </c:scatterChart>
      <c:valAx>
        <c:axId val="343159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x=h^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169423"/>
        <c:crosses val="autoZero"/>
        <c:crossBetween val="midCat"/>
      </c:valAx>
      <c:valAx>
        <c:axId val="343169423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15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5'!$B$2</c:f>
              <c:strCache>
                <c:ptCount val="1"/>
                <c:pt idx="0">
                  <c:v>#1_area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5'!$B$3:$B$17</c:f>
              <c:numCache>
                <c:formatCode>General</c:formatCode>
                <c:ptCount val="15"/>
                <c:pt idx="0">
                  <c:v>6.4931449999999996E-3</c:v>
                </c:pt>
                <c:pt idx="1">
                  <c:v>3.6558825000000003E-2</c:v>
                </c:pt>
                <c:pt idx="2">
                  <c:v>2.7628425000000002E-2</c:v>
                </c:pt>
                <c:pt idx="3">
                  <c:v>1.6930549999999999E-2</c:v>
                </c:pt>
                <c:pt idx="4">
                  <c:v>2.6251654999999999E-2</c:v>
                </c:pt>
                <c:pt idx="5">
                  <c:v>2.2921360000000002E-2</c:v>
                </c:pt>
                <c:pt idx="6">
                  <c:v>2.2549260000000002E-2</c:v>
                </c:pt>
                <c:pt idx="7">
                  <c:v>2.1749245E-2</c:v>
                </c:pt>
                <c:pt idx="8">
                  <c:v>6.5861699999999997E-3</c:v>
                </c:pt>
                <c:pt idx="9">
                  <c:v>2.3367880000000001E-2</c:v>
                </c:pt>
                <c:pt idx="10">
                  <c:v>3.047499E-2</c:v>
                </c:pt>
                <c:pt idx="11">
                  <c:v>7.7247960000000004E-2</c:v>
                </c:pt>
                <c:pt idx="12">
                  <c:v>7.6429339999999998E-2</c:v>
                </c:pt>
                <c:pt idx="13">
                  <c:v>0.16828222500000001</c:v>
                </c:pt>
                <c:pt idx="14">
                  <c:v>0.22087856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3-455B-9F4D-24A2FA73830B}"/>
            </c:ext>
          </c:extLst>
        </c:ser>
        <c:ser>
          <c:idx val="1"/>
          <c:order val="1"/>
          <c:tx>
            <c:strRef>
              <c:f>'Green 5'!$B$21</c:f>
              <c:strCache>
                <c:ptCount val="1"/>
                <c:pt idx="0">
                  <c:v>#2_area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5'!$B$22:$B$36</c:f>
              <c:numCache>
                <c:formatCode>General</c:formatCode>
                <c:ptCount val="15"/>
                <c:pt idx="9">
                  <c:v>9.5257599999999994E-3</c:v>
                </c:pt>
                <c:pt idx="10">
                  <c:v>1.9516644999999999E-2</c:v>
                </c:pt>
                <c:pt idx="11">
                  <c:v>9.9648379999999995E-2</c:v>
                </c:pt>
                <c:pt idx="12">
                  <c:v>0.14712834</c:v>
                </c:pt>
                <c:pt idx="13">
                  <c:v>0.38290950499999998</c:v>
                </c:pt>
                <c:pt idx="14">
                  <c:v>0.63048623999999998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3-455B-9F4D-24A2FA73830B}"/>
            </c:ext>
          </c:extLst>
        </c:ser>
        <c:ser>
          <c:idx val="2"/>
          <c:order val="2"/>
          <c:tx>
            <c:strRef>
              <c:f>'Green 5'!$G$2</c:f>
              <c:strCache>
                <c:ptCount val="1"/>
                <c:pt idx="0">
                  <c:v>#3_area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5'!$G$3:$G$17</c:f>
              <c:numCache>
                <c:formatCode>General</c:formatCode>
                <c:ptCount val="15"/>
                <c:pt idx="9">
                  <c:v>3.7209999999999999E-4</c:v>
                </c:pt>
                <c:pt idx="10">
                  <c:v>1.8977099999999999E-3</c:v>
                </c:pt>
                <c:pt idx="11">
                  <c:v>9.6187849999999995E-3</c:v>
                </c:pt>
                <c:pt idx="12">
                  <c:v>4.7089254999999997E-2</c:v>
                </c:pt>
                <c:pt idx="13">
                  <c:v>7.3359515E-2</c:v>
                </c:pt>
                <c:pt idx="14">
                  <c:v>7.2261820000000004E-2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3-455B-9F4D-24A2FA73830B}"/>
            </c:ext>
          </c:extLst>
        </c:ser>
        <c:ser>
          <c:idx val="3"/>
          <c:order val="3"/>
          <c:tx>
            <c:strRef>
              <c:f>'Green 5'!$G$21</c:f>
              <c:strCache>
                <c:ptCount val="1"/>
                <c:pt idx="0">
                  <c:v>#4_area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5'!$G$22:$G$36</c:f>
              <c:numCache>
                <c:formatCode>General</c:formatCode>
                <c:ptCount val="15"/>
                <c:pt idx="6">
                  <c:v>1.655845E-3</c:v>
                </c:pt>
                <c:pt idx="7">
                  <c:v>6.3257000000000001E-3</c:v>
                </c:pt>
                <c:pt idx="8">
                  <c:v>4.8559049999999998E-3</c:v>
                </c:pt>
                <c:pt idx="9">
                  <c:v>1.652124E-2</c:v>
                </c:pt>
                <c:pt idx="10">
                  <c:v>5.3991709999999998E-2</c:v>
                </c:pt>
                <c:pt idx="11">
                  <c:v>0.25751180499999998</c:v>
                </c:pt>
                <c:pt idx="12">
                  <c:v>0.42609171000000001</c:v>
                </c:pt>
                <c:pt idx="13">
                  <c:v>0.58589005500000002</c:v>
                </c:pt>
                <c:pt idx="14">
                  <c:v>1.2130460000000001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3-455B-9F4D-24A2FA73830B}"/>
            </c:ext>
          </c:extLst>
        </c:ser>
        <c:ser>
          <c:idx val="4"/>
          <c:order val="4"/>
          <c:tx>
            <c:strRef>
              <c:f>'Green 5'!$L$2</c:f>
              <c:strCache>
                <c:ptCount val="1"/>
                <c:pt idx="0">
                  <c:v>#5_area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5'!$L$3:$L$17</c:f>
              <c:numCache>
                <c:formatCode>General</c:formatCode>
                <c:ptCount val="15"/>
                <c:pt idx="11">
                  <c:v>1.00467E-3</c:v>
                </c:pt>
                <c:pt idx="12">
                  <c:v>1.3451415E-2</c:v>
                </c:pt>
                <c:pt idx="13">
                  <c:v>4.6084584999999997E-2</c:v>
                </c:pt>
                <c:pt idx="14">
                  <c:v>4.413106E-2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3-455B-9F4D-24A2FA73830B}"/>
            </c:ext>
          </c:extLst>
        </c:ser>
        <c:ser>
          <c:idx val="5"/>
          <c:order val="5"/>
          <c:tx>
            <c:strRef>
              <c:f>'Green 5'!$L$21</c:f>
              <c:strCache>
                <c:ptCount val="1"/>
                <c:pt idx="0">
                  <c:v>#6_area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5'!$L$22:$L$36</c:f>
              <c:numCache>
                <c:formatCode>General</c:formatCode>
                <c:ptCount val="15"/>
                <c:pt idx="10">
                  <c:v>3.64658E-3</c:v>
                </c:pt>
                <c:pt idx="11">
                  <c:v>3.0233125E-2</c:v>
                </c:pt>
                <c:pt idx="12">
                  <c:v>6.2587219999999999E-2</c:v>
                </c:pt>
                <c:pt idx="13">
                  <c:v>0.106550835</c:v>
                </c:pt>
                <c:pt idx="14">
                  <c:v>0.11959293999999999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3-455B-9F4D-24A2FA73830B}"/>
            </c:ext>
          </c:extLst>
        </c:ser>
        <c:ser>
          <c:idx val="6"/>
          <c:order val="6"/>
          <c:tx>
            <c:strRef>
              <c:f>'Green 5'!$Q$2</c:f>
              <c:strCache>
                <c:ptCount val="1"/>
                <c:pt idx="0">
                  <c:v>#7_area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5'!$Q$3:$Q$17</c:f>
              <c:numCache>
                <c:formatCode>General</c:formatCode>
                <c:ptCount val="15"/>
                <c:pt idx="6">
                  <c:v>3.6279749999999999E-3</c:v>
                </c:pt>
                <c:pt idx="7">
                  <c:v>2.82796E-3</c:v>
                </c:pt>
                <c:pt idx="8">
                  <c:v>1.7302649999999999E-3</c:v>
                </c:pt>
                <c:pt idx="9">
                  <c:v>1.3451415E-2</c:v>
                </c:pt>
                <c:pt idx="10">
                  <c:v>3.3302949999999998E-2</c:v>
                </c:pt>
                <c:pt idx="11">
                  <c:v>5.9703445000000001E-2</c:v>
                </c:pt>
                <c:pt idx="12">
                  <c:v>7.5833979999999995E-2</c:v>
                </c:pt>
                <c:pt idx="13">
                  <c:v>0.33366206999999998</c:v>
                </c:pt>
                <c:pt idx="14">
                  <c:v>0.34130872499999998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3-455B-9F4D-24A2FA73830B}"/>
            </c:ext>
          </c:extLst>
        </c:ser>
        <c:ser>
          <c:idx val="7"/>
          <c:order val="7"/>
          <c:tx>
            <c:strRef>
              <c:f>'Green 5'!$Q$21</c:f>
              <c:strCache>
                <c:ptCount val="1"/>
                <c:pt idx="0">
                  <c:v>#8_area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5'!$Q$22:$Q$36</c:f>
              <c:numCache>
                <c:formatCode>General</c:formatCode>
                <c:ptCount val="15"/>
                <c:pt idx="6">
                  <c:v>9.6559950000000005E-3</c:v>
                </c:pt>
                <c:pt idx="7">
                  <c:v>2.1172489999999999E-2</c:v>
                </c:pt>
                <c:pt idx="8">
                  <c:v>2.9042405E-2</c:v>
                </c:pt>
                <c:pt idx="9">
                  <c:v>7.442E-2</c:v>
                </c:pt>
                <c:pt idx="10">
                  <c:v>0.111499765</c:v>
                </c:pt>
                <c:pt idx="11">
                  <c:v>0.23946495500000001</c:v>
                </c:pt>
                <c:pt idx="12">
                  <c:v>0.474855415</c:v>
                </c:pt>
                <c:pt idx="13">
                  <c:v>0.45647367500000002</c:v>
                </c:pt>
                <c:pt idx="14">
                  <c:v>0.99164649999999999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B3-455B-9F4D-24A2FA73830B}"/>
            </c:ext>
          </c:extLst>
        </c:ser>
        <c:ser>
          <c:idx val="8"/>
          <c:order val="8"/>
          <c:tx>
            <c:strRef>
              <c:f>'Green 5'!$V$2</c:f>
              <c:strCache>
                <c:ptCount val="1"/>
                <c:pt idx="0">
                  <c:v>#9_area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5'!$V$3:$V$17</c:f>
              <c:numCache>
                <c:formatCode>General</c:formatCode>
                <c:ptCount val="15"/>
                <c:pt idx="8">
                  <c:v>1.209325E-3</c:v>
                </c:pt>
                <c:pt idx="9">
                  <c:v>1.320955E-3</c:v>
                </c:pt>
                <c:pt idx="10">
                  <c:v>5.9163899999999997E-3</c:v>
                </c:pt>
                <c:pt idx="11">
                  <c:v>1.246535E-3</c:v>
                </c:pt>
                <c:pt idx="12">
                  <c:v>2.400045E-3</c:v>
                </c:pt>
                <c:pt idx="13">
                  <c:v>4.3349649999999997E-3</c:v>
                </c:pt>
                <c:pt idx="14">
                  <c:v>1.618635E-3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B3-455B-9F4D-24A2FA73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06031"/>
        <c:axId val="1212505199"/>
      </c:scatterChart>
      <c:valAx>
        <c:axId val="1212506031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505199"/>
        <c:crosses val="autoZero"/>
        <c:crossBetween val="midCat"/>
      </c:valAx>
      <c:valAx>
        <c:axId val="12125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50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5'!$C$2</c:f>
              <c:strCache>
                <c:ptCount val="1"/>
                <c:pt idx="0">
                  <c:v>#1_depth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5'!$C$3:$C$17</c:f>
              <c:numCache>
                <c:formatCode>General</c:formatCode>
                <c:ptCount val="15"/>
                <c:pt idx="0">
                  <c:v>5.87949161703381E-2</c:v>
                </c:pt>
                <c:pt idx="1">
                  <c:v>0.179512509541568</c:v>
                </c:pt>
                <c:pt idx="2">
                  <c:v>0.112824028447178</c:v>
                </c:pt>
                <c:pt idx="3">
                  <c:v>0.11025536662226</c:v>
                </c:pt>
                <c:pt idx="4">
                  <c:v>0.11292695895240799</c:v>
                </c:pt>
                <c:pt idx="5">
                  <c:v>0.115427606569919</c:v>
                </c:pt>
                <c:pt idx="6">
                  <c:v>0.110127871161371</c:v>
                </c:pt>
                <c:pt idx="7">
                  <c:v>0.110992775564457</c:v>
                </c:pt>
                <c:pt idx="8">
                  <c:v>6.7382806686205096E-2</c:v>
                </c:pt>
                <c:pt idx="9">
                  <c:v>0.109035783119197</c:v>
                </c:pt>
                <c:pt idx="10">
                  <c:v>0.164532476746826</c:v>
                </c:pt>
                <c:pt idx="11">
                  <c:v>0.24243716059999701</c:v>
                </c:pt>
                <c:pt idx="12">
                  <c:v>0.20500582944134799</c:v>
                </c:pt>
                <c:pt idx="13">
                  <c:v>0.227577120977283</c:v>
                </c:pt>
                <c:pt idx="14">
                  <c:v>0.29032339358050302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D-4936-BC28-210AD4AD5598}"/>
            </c:ext>
          </c:extLst>
        </c:ser>
        <c:ser>
          <c:idx val="1"/>
          <c:order val="1"/>
          <c:tx>
            <c:strRef>
              <c:f>'Green 5'!$C$21</c:f>
              <c:strCache>
                <c:ptCount val="1"/>
                <c:pt idx="0">
                  <c:v>#2_depth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5'!$C$22:$C$36</c:f>
              <c:numCache>
                <c:formatCode>General</c:formatCode>
                <c:ptCount val="15"/>
                <c:pt idx="9">
                  <c:v>8.21016649022491E-2</c:v>
                </c:pt>
                <c:pt idx="10">
                  <c:v>0.10598836967272</c:v>
                </c:pt>
                <c:pt idx="11">
                  <c:v>0.23192914943465301</c:v>
                </c:pt>
                <c:pt idx="12">
                  <c:v>0.250357242471</c:v>
                </c:pt>
                <c:pt idx="13">
                  <c:v>0.37609894993093801</c:v>
                </c:pt>
                <c:pt idx="14">
                  <c:v>0.439165518157907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D-4936-BC28-210AD4AD5598}"/>
            </c:ext>
          </c:extLst>
        </c:ser>
        <c:ser>
          <c:idx val="2"/>
          <c:order val="2"/>
          <c:tx>
            <c:strRef>
              <c:f>'Green 5'!$H$2</c:f>
              <c:strCache>
                <c:ptCount val="1"/>
                <c:pt idx="0">
                  <c:v>#3_depth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5'!$H$3:$H$17</c:f>
              <c:numCache>
                <c:formatCode>General</c:formatCode>
                <c:ptCount val="15"/>
                <c:pt idx="9">
                  <c:v>2.0520929688968102E-2</c:v>
                </c:pt>
                <c:pt idx="10">
                  <c:v>4.8712008267813599E-2</c:v>
                </c:pt>
                <c:pt idx="11">
                  <c:v>9.6720279157100894E-2</c:v>
                </c:pt>
                <c:pt idx="12">
                  <c:v>0.16525965422146799</c:v>
                </c:pt>
                <c:pt idx="13">
                  <c:v>0.18765680877531399</c:v>
                </c:pt>
                <c:pt idx="14">
                  <c:v>0.19693066431467399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AD-4936-BC28-210AD4AD5598}"/>
            </c:ext>
          </c:extLst>
        </c:ser>
        <c:ser>
          <c:idx val="3"/>
          <c:order val="3"/>
          <c:tx>
            <c:strRef>
              <c:f>'Green 5'!$H$21</c:f>
              <c:strCache>
                <c:ptCount val="1"/>
                <c:pt idx="0">
                  <c:v>#4_depth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5'!$H$22:$H$36</c:f>
              <c:numCache>
                <c:formatCode>General</c:formatCode>
                <c:ptCount val="15"/>
                <c:pt idx="6">
                  <c:v>4.8126224388443099E-2</c:v>
                </c:pt>
                <c:pt idx="7">
                  <c:v>5.0014090221737903E-2</c:v>
                </c:pt>
                <c:pt idx="8">
                  <c:v>6.3075670274497203E-2</c:v>
                </c:pt>
                <c:pt idx="9">
                  <c:v>0.14456461373148299</c:v>
                </c:pt>
                <c:pt idx="10">
                  <c:v>0.15067297224245099</c:v>
                </c:pt>
                <c:pt idx="11">
                  <c:v>0.31460215216253801</c:v>
                </c:pt>
                <c:pt idx="12">
                  <c:v>0.37897724963774798</c:v>
                </c:pt>
                <c:pt idx="13">
                  <c:v>0.404288624508718</c:v>
                </c:pt>
                <c:pt idx="14">
                  <c:v>0.62468765795083603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AD-4936-BC28-210AD4AD5598}"/>
            </c:ext>
          </c:extLst>
        </c:ser>
        <c:ser>
          <c:idx val="4"/>
          <c:order val="4"/>
          <c:tx>
            <c:strRef>
              <c:f>'Green 5'!$M$2</c:f>
              <c:strCache>
                <c:ptCount val="1"/>
                <c:pt idx="0">
                  <c:v>#5_depth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5'!$M$3:$M$17</c:f>
              <c:numCache>
                <c:formatCode>General</c:formatCode>
                <c:ptCount val="15"/>
                <c:pt idx="11">
                  <c:v>6.03365250415243E-2</c:v>
                </c:pt>
                <c:pt idx="12">
                  <c:v>8.3773207764026802E-2</c:v>
                </c:pt>
                <c:pt idx="13">
                  <c:v>0.160050852423616</c:v>
                </c:pt>
                <c:pt idx="14">
                  <c:v>0.170228036867799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AD-4936-BC28-210AD4AD5598}"/>
            </c:ext>
          </c:extLst>
        </c:ser>
        <c:ser>
          <c:idx val="5"/>
          <c:order val="5"/>
          <c:tx>
            <c:strRef>
              <c:f>'Green 5'!$M$21</c:f>
              <c:strCache>
                <c:ptCount val="1"/>
                <c:pt idx="0">
                  <c:v>#6_depth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5'!$M$22:$M$36</c:f>
              <c:numCache>
                <c:formatCode>General</c:formatCode>
                <c:ptCount val="15"/>
                <c:pt idx="10">
                  <c:v>4.0480150351227998E-2</c:v>
                </c:pt>
                <c:pt idx="11">
                  <c:v>0.125229532323055</c:v>
                </c:pt>
                <c:pt idx="12">
                  <c:v>0.18608144750774799</c:v>
                </c:pt>
                <c:pt idx="13">
                  <c:v>0.24476079161370001</c:v>
                </c:pt>
                <c:pt idx="14">
                  <c:v>0.25846717692973598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AD-4936-BC28-210AD4AD5598}"/>
            </c:ext>
          </c:extLst>
        </c:ser>
        <c:ser>
          <c:idx val="6"/>
          <c:order val="6"/>
          <c:tx>
            <c:strRef>
              <c:f>'Green 5'!$R$2</c:f>
              <c:strCache>
                <c:ptCount val="1"/>
                <c:pt idx="0">
                  <c:v>#7_depth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5'!$R$3:$R$17</c:f>
              <c:numCache>
                <c:formatCode>General</c:formatCode>
                <c:ptCount val="15"/>
                <c:pt idx="6">
                  <c:v>3.3194262247655003E-2</c:v>
                </c:pt>
                <c:pt idx="7">
                  <c:v>6.9151163224336606E-2</c:v>
                </c:pt>
                <c:pt idx="8">
                  <c:v>3.6748824414860798E-2</c:v>
                </c:pt>
                <c:pt idx="9">
                  <c:v>0.113733819968314</c:v>
                </c:pt>
                <c:pt idx="10">
                  <c:v>0.13387997881671199</c:v>
                </c:pt>
                <c:pt idx="11">
                  <c:v>0.17168523952133699</c:v>
                </c:pt>
                <c:pt idx="12">
                  <c:v>0.217307171309541</c:v>
                </c:pt>
                <c:pt idx="13">
                  <c:v>0.37470694332155102</c:v>
                </c:pt>
                <c:pt idx="14">
                  <c:v>0.36989013492398798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AD-4936-BC28-210AD4AD5598}"/>
            </c:ext>
          </c:extLst>
        </c:ser>
        <c:ser>
          <c:idx val="7"/>
          <c:order val="7"/>
          <c:tx>
            <c:strRef>
              <c:f>'Green 5'!$R$21</c:f>
              <c:strCache>
                <c:ptCount val="1"/>
                <c:pt idx="0">
                  <c:v>#8_depth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5'!$R$22:$R$36</c:f>
              <c:numCache>
                <c:formatCode>General</c:formatCode>
                <c:ptCount val="15"/>
                <c:pt idx="6">
                  <c:v>8.19048333785133E-2</c:v>
                </c:pt>
                <c:pt idx="7">
                  <c:v>0.13364142956625899</c:v>
                </c:pt>
                <c:pt idx="8">
                  <c:v>9.6500973196350898E-2</c:v>
                </c:pt>
                <c:pt idx="9">
                  <c:v>0.20300408158574801</c:v>
                </c:pt>
                <c:pt idx="10">
                  <c:v>0.29040919573006502</c:v>
                </c:pt>
                <c:pt idx="11">
                  <c:v>0.30613804595421301</c:v>
                </c:pt>
                <c:pt idx="12">
                  <c:v>0.504873682529554</c:v>
                </c:pt>
                <c:pt idx="13">
                  <c:v>0.455288854120657</c:v>
                </c:pt>
                <c:pt idx="14">
                  <c:v>0.66458041578098004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AD-4936-BC28-210AD4AD5598}"/>
            </c:ext>
          </c:extLst>
        </c:ser>
        <c:ser>
          <c:idx val="8"/>
          <c:order val="8"/>
          <c:tx>
            <c:strRef>
              <c:f>'Green 5'!$W$2</c:f>
              <c:strCache>
                <c:ptCount val="1"/>
                <c:pt idx="0">
                  <c:v>#9_depth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5'!$W$3:$W$17</c:f>
              <c:numCache>
                <c:formatCode>General</c:formatCode>
                <c:ptCount val="15"/>
                <c:pt idx="8">
                  <c:v>4.5665479435570998E-2</c:v>
                </c:pt>
                <c:pt idx="9">
                  <c:v>3.4210162247356603E-2</c:v>
                </c:pt>
                <c:pt idx="10">
                  <c:v>7.9015829058002196E-2</c:v>
                </c:pt>
                <c:pt idx="11">
                  <c:v>3.05476444340535E-2</c:v>
                </c:pt>
                <c:pt idx="12">
                  <c:v>4.1352688247662701E-2</c:v>
                </c:pt>
                <c:pt idx="13">
                  <c:v>0.13254490159475499</c:v>
                </c:pt>
                <c:pt idx="14">
                  <c:v>7.0640182483685698E-2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AD-4936-BC28-210AD4AD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95695"/>
        <c:axId val="1223300687"/>
      </c:scatterChart>
      <c:valAx>
        <c:axId val="1223295695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300687"/>
        <c:crosses val="autoZero"/>
        <c:crossBetween val="midCat"/>
      </c:valAx>
      <c:valAx>
        <c:axId val="12233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29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5'!$D$2</c:f>
              <c:strCache>
                <c:ptCount val="1"/>
                <c:pt idx="0">
                  <c:v>#1_side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5'!$D$3:$D$17</c:f>
              <c:numCache>
                <c:formatCode>General</c:formatCode>
                <c:ptCount val="15"/>
                <c:pt idx="0">
                  <c:v>0.16042405264937001</c:v>
                </c:pt>
                <c:pt idx="1">
                  <c:v>0.38839825513531001</c:v>
                </c:pt>
                <c:pt idx="2">
                  <c:v>0.31672711784669999</c:v>
                </c:pt>
                <c:pt idx="3">
                  <c:v>0.26834005046673998</c:v>
                </c:pt>
                <c:pt idx="4">
                  <c:v>0.288916026848134</c:v>
                </c:pt>
                <c:pt idx="5">
                  <c:v>0.26565835308795399</c:v>
                </c:pt>
                <c:pt idx="6">
                  <c:v>0.25878776171026802</c:v>
                </c:pt>
                <c:pt idx="7">
                  <c:v>0.26634585815289302</c:v>
                </c:pt>
                <c:pt idx="8">
                  <c:v>0.17930039099103601</c:v>
                </c:pt>
                <c:pt idx="9">
                  <c:v>0.28030165441996302</c:v>
                </c:pt>
                <c:pt idx="10">
                  <c:v>0.31853724805283101</c:v>
                </c:pt>
                <c:pt idx="11">
                  <c:v>0.43308284718400197</c:v>
                </c:pt>
                <c:pt idx="12">
                  <c:v>0.68032875180532604</c:v>
                </c:pt>
                <c:pt idx="13">
                  <c:v>0.99425121161866703</c:v>
                </c:pt>
                <c:pt idx="14">
                  <c:v>0.975171858851133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B-4171-9A85-CF6F431913CC}"/>
            </c:ext>
          </c:extLst>
        </c:ser>
        <c:ser>
          <c:idx val="1"/>
          <c:order val="1"/>
          <c:tx>
            <c:strRef>
              <c:f>'Green 5'!$D$21</c:f>
              <c:strCache>
                <c:ptCount val="1"/>
                <c:pt idx="0">
                  <c:v>#2_side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5'!$D$22:$D$36</c:f>
              <c:numCache>
                <c:formatCode>General</c:formatCode>
                <c:ptCount val="15"/>
                <c:pt idx="9">
                  <c:v>0.213160570815352</c:v>
                </c:pt>
                <c:pt idx="10">
                  <c:v>0.24040536997190501</c:v>
                </c:pt>
                <c:pt idx="11">
                  <c:v>0.63089430620517595</c:v>
                </c:pt>
                <c:pt idx="12">
                  <c:v>1.0201082218892401</c:v>
                </c:pt>
                <c:pt idx="13">
                  <c:v>1.4516921779360199</c:v>
                </c:pt>
                <c:pt idx="14">
                  <c:v>1.9951710691233799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B-4171-9A85-CF6F431913CC}"/>
            </c:ext>
          </c:extLst>
        </c:ser>
        <c:ser>
          <c:idx val="2"/>
          <c:order val="2"/>
          <c:tx>
            <c:strRef>
              <c:f>'Green 5'!$I$2</c:f>
              <c:strCache>
                <c:ptCount val="1"/>
                <c:pt idx="0">
                  <c:v>#3_side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5'!$I$3:$I$17</c:f>
              <c:numCache>
                <c:formatCode>General</c:formatCode>
                <c:ptCount val="15"/>
                <c:pt idx="9">
                  <c:v>3.0675613252181301E-2</c:v>
                </c:pt>
                <c:pt idx="10">
                  <c:v>5.4212335244631697E-2</c:v>
                </c:pt>
                <c:pt idx="11">
                  <c:v>0.183209157214859</c:v>
                </c:pt>
                <c:pt idx="12">
                  <c:v>0.458626435096809</c:v>
                </c:pt>
                <c:pt idx="13">
                  <c:v>0.58294843278846198</c:v>
                </c:pt>
                <c:pt idx="14">
                  <c:v>0.56151833472469104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5B-4171-9A85-CF6F431913CC}"/>
            </c:ext>
          </c:extLst>
        </c:ser>
        <c:ser>
          <c:idx val="3"/>
          <c:order val="3"/>
          <c:tx>
            <c:strRef>
              <c:f>'Green 5'!$I$21</c:f>
              <c:strCache>
                <c:ptCount val="1"/>
                <c:pt idx="0">
                  <c:v>#4_side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5'!$I$22:$I$36</c:f>
              <c:numCache>
                <c:formatCode>General</c:formatCode>
                <c:ptCount val="15"/>
                <c:pt idx="6">
                  <c:v>5.1211448985390699E-2</c:v>
                </c:pt>
                <c:pt idx="7">
                  <c:v>0.17361058365618001</c:v>
                </c:pt>
                <c:pt idx="8">
                  <c:v>0.117857019500073</c:v>
                </c:pt>
                <c:pt idx="9">
                  <c:v>0.257778583511098</c:v>
                </c:pt>
                <c:pt idx="10">
                  <c:v>0.51488912746651505</c:v>
                </c:pt>
                <c:pt idx="11">
                  <c:v>1.19512475394925</c:v>
                </c:pt>
                <c:pt idx="12">
                  <c:v>1.6284324310790701</c:v>
                </c:pt>
                <c:pt idx="13">
                  <c:v>2.0693467716674001</c:v>
                </c:pt>
                <c:pt idx="14">
                  <c:v>2.9118495996191598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5B-4171-9A85-CF6F431913CC}"/>
            </c:ext>
          </c:extLst>
        </c:ser>
        <c:ser>
          <c:idx val="4"/>
          <c:order val="4"/>
          <c:tx>
            <c:strRef>
              <c:f>'Green 5'!$N$2</c:f>
              <c:strCache>
                <c:ptCount val="1"/>
                <c:pt idx="0">
                  <c:v>#5_side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5'!$N$3:$N$17</c:f>
              <c:numCache>
                <c:formatCode>General</c:formatCode>
                <c:ptCount val="15"/>
                <c:pt idx="11">
                  <c:v>4.0027747302443101E-2</c:v>
                </c:pt>
                <c:pt idx="12">
                  <c:v>0.28983622046608398</c:v>
                </c:pt>
                <c:pt idx="13">
                  <c:v>0.38061451766478799</c:v>
                </c:pt>
                <c:pt idx="14">
                  <c:v>0.38957248563069502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5B-4171-9A85-CF6F431913CC}"/>
            </c:ext>
          </c:extLst>
        </c:ser>
        <c:ser>
          <c:idx val="5"/>
          <c:order val="5"/>
          <c:tx>
            <c:strRef>
              <c:f>'Green 5'!$N$21</c:f>
              <c:strCache>
                <c:ptCount val="1"/>
                <c:pt idx="0">
                  <c:v>#6_side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5'!$N$22:$N$36</c:f>
              <c:numCache>
                <c:formatCode>General</c:formatCode>
                <c:ptCount val="15"/>
                <c:pt idx="10">
                  <c:v>0.117895216400434</c:v>
                </c:pt>
                <c:pt idx="11">
                  <c:v>0.33484160753983599</c:v>
                </c:pt>
                <c:pt idx="12">
                  <c:v>0.48982272038924102</c:v>
                </c:pt>
                <c:pt idx="13">
                  <c:v>0.55245021979416298</c:v>
                </c:pt>
                <c:pt idx="14">
                  <c:v>0.58203660470230101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5B-4171-9A85-CF6F431913CC}"/>
            </c:ext>
          </c:extLst>
        </c:ser>
        <c:ser>
          <c:idx val="6"/>
          <c:order val="6"/>
          <c:tx>
            <c:strRef>
              <c:f>'Green 5'!$S$2</c:f>
              <c:strCache>
                <c:ptCount val="1"/>
                <c:pt idx="0">
                  <c:v>#7_side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5'!$S$3:$S$17</c:f>
              <c:numCache>
                <c:formatCode>General</c:formatCode>
                <c:ptCount val="15"/>
                <c:pt idx="6">
                  <c:v>0.151015869682955</c:v>
                </c:pt>
                <c:pt idx="7">
                  <c:v>5.3388576289807699E-2</c:v>
                </c:pt>
                <c:pt idx="8">
                  <c:v>6.5247529686335695E-2</c:v>
                </c:pt>
                <c:pt idx="9">
                  <c:v>0.17836961776847099</c:v>
                </c:pt>
                <c:pt idx="10">
                  <c:v>0.38068265291282899</c:v>
                </c:pt>
                <c:pt idx="11">
                  <c:v>0.47396110952795301</c:v>
                </c:pt>
                <c:pt idx="12">
                  <c:v>0.70506466744104601</c:v>
                </c:pt>
                <c:pt idx="13">
                  <c:v>1.1985004392947001</c:v>
                </c:pt>
                <c:pt idx="14">
                  <c:v>1.2505064505599099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5B-4171-9A85-CF6F431913CC}"/>
            </c:ext>
          </c:extLst>
        </c:ser>
        <c:ser>
          <c:idx val="7"/>
          <c:order val="7"/>
          <c:tx>
            <c:strRef>
              <c:f>'Green 5'!$S$21</c:f>
              <c:strCache>
                <c:ptCount val="1"/>
                <c:pt idx="0">
                  <c:v>#8_side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5'!$S$22:$S$36</c:f>
              <c:numCache>
                <c:formatCode>General</c:formatCode>
                <c:ptCount val="15"/>
                <c:pt idx="6">
                  <c:v>0.28842538296747899</c:v>
                </c:pt>
                <c:pt idx="7">
                  <c:v>0.24612916781514799</c:v>
                </c:pt>
                <c:pt idx="8">
                  <c:v>0.41710503614362299</c:v>
                </c:pt>
                <c:pt idx="9">
                  <c:v>0.48465204324982197</c:v>
                </c:pt>
                <c:pt idx="10">
                  <c:v>0.550969778547587</c:v>
                </c:pt>
                <c:pt idx="11">
                  <c:v>1.0405666476426001</c:v>
                </c:pt>
                <c:pt idx="12">
                  <c:v>1.3650029220936299</c:v>
                </c:pt>
                <c:pt idx="13">
                  <c:v>1.5028270584451799</c:v>
                </c:pt>
                <c:pt idx="14">
                  <c:v>2.26590212351651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B5B-4171-9A85-CF6F431913CC}"/>
            </c:ext>
          </c:extLst>
        </c:ser>
        <c:ser>
          <c:idx val="8"/>
          <c:order val="8"/>
          <c:tx>
            <c:strRef>
              <c:f>'Green 5'!$X$2</c:f>
              <c:strCache>
                <c:ptCount val="1"/>
                <c:pt idx="0">
                  <c:v>#9_side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5'!$X$3:$X$17</c:f>
              <c:numCache>
                <c:formatCode>General</c:formatCode>
                <c:ptCount val="15"/>
                <c:pt idx="8">
                  <c:v>3.92469713729365E-2</c:v>
                </c:pt>
                <c:pt idx="9">
                  <c:v>5.0838484916259502E-2</c:v>
                </c:pt>
                <c:pt idx="10">
                  <c:v>0.12621611691672899</c:v>
                </c:pt>
                <c:pt idx="11">
                  <c:v>5.14299852570844E-2</c:v>
                </c:pt>
                <c:pt idx="12">
                  <c:v>0.11391790821570499</c:v>
                </c:pt>
                <c:pt idx="13">
                  <c:v>6.5728018841552396E-2</c:v>
                </c:pt>
                <c:pt idx="14">
                  <c:v>6.4449969207186694E-2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B5B-4171-9A85-CF6F4319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09839"/>
        <c:axId val="1418507759"/>
      </c:scatterChart>
      <c:valAx>
        <c:axId val="1418509839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507759"/>
        <c:crosses val="autoZero"/>
        <c:crossBetween val="midCat"/>
      </c:valAx>
      <c:valAx>
        <c:axId val="14185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5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6a'!$I$7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577762226742113"/>
                  <c:y val="0.372863916828709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6a'!$I$9:$I$19</c:f>
              <c:numCache>
                <c:formatCode>General</c:formatCode>
                <c:ptCount val="11"/>
                <c:pt idx="0">
                  <c:v>0.13420000000000001</c:v>
                </c:pt>
                <c:pt idx="1">
                  <c:v>0.19520000000000001</c:v>
                </c:pt>
                <c:pt idx="2">
                  <c:v>0.22570000000000001</c:v>
                </c:pt>
                <c:pt idx="3">
                  <c:v>0.24400000000000002</c:v>
                </c:pt>
                <c:pt idx="4">
                  <c:v>0.25620000000000004</c:v>
                </c:pt>
                <c:pt idx="5">
                  <c:v>0.37820000000000004</c:v>
                </c:pt>
                <c:pt idx="6">
                  <c:v>0.40260000000000001</c:v>
                </c:pt>
                <c:pt idx="7">
                  <c:v>0.48800000000000004</c:v>
                </c:pt>
                <c:pt idx="8">
                  <c:v>0.5978</c:v>
                </c:pt>
                <c:pt idx="9">
                  <c:v>0.7320000000000001</c:v>
                </c:pt>
                <c:pt idx="10">
                  <c:v>1.0126000000000002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0-4B81-9FCA-AE9038385CAE}"/>
            </c:ext>
          </c:extLst>
        </c:ser>
        <c:ser>
          <c:idx val="1"/>
          <c:order val="1"/>
          <c:tx>
            <c:strRef>
              <c:f>'Green 6a'!$L$7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0848116091448995E-2"/>
                  <c:y val="4.81329441559865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6a'!$L$9:$L$19</c:f>
              <c:numCache>
                <c:formatCode>General</c:formatCode>
                <c:ptCount val="11"/>
                <c:pt idx="0">
                  <c:v>0.11895000000000001</c:v>
                </c:pt>
                <c:pt idx="1">
                  <c:v>0.1769</c:v>
                </c:pt>
                <c:pt idx="2">
                  <c:v>0.24705000000000002</c:v>
                </c:pt>
                <c:pt idx="3">
                  <c:v>0.27450000000000002</c:v>
                </c:pt>
                <c:pt idx="4">
                  <c:v>0.37820000000000004</c:v>
                </c:pt>
                <c:pt idx="5">
                  <c:v>0.46360000000000001</c:v>
                </c:pt>
                <c:pt idx="6">
                  <c:v>0.55510000000000004</c:v>
                </c:pt>
                <c:pt idx="7">
                  <c:v>0.60389999999999999</c:v>
                </c:pt>
                <c:pt idx="8">
                  <c:v>0.64050000000000007</c:v>
                </c:pt>
                <c:pt idx="9">
                  <c:v>0.93330000000000002</c:v>
                </c:pt>
                <c:pt idx="10">
                  <c:v>1.43045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50-4B81-9FCA-AE903838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0254931785124634E-2"/>
                  <c:y val="2.203650568672866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'Green 6a'!$S$9:$S$19</c:f>
              <c:numCache>
                <c:formatCode>General</c:formatCode>
                <c:ptCount val="11"/>
                <c:pt idx="0">
                  <c:v>2.5261100448728233</c:v>
                </c:pt>
                <c:pt idx="1">
                  <c:v>2.8967860205565574</c:v>
                </c:pt>
                <c:pt idx="2">
                  <c:v>3.3702101508263089</c:v>
                </c:pt>
                <c:pt idx="3">
                  <c:v>3.6521558266679648</c:v>
                </c:pt>
                <c:pt idx="4">
                  <c:v>4.3214887243874447</c:v>
                </c:pt>
                <c:pt idx="5">
                  <c:v>5.1575552575794541</c:v>
                </c:pt>
                <c:pt idx="6">
                  <c:v>5.6533038668250164</c:v>
                </c:pt>
                <c:pt idx="7">
                  <c:v>6.2154010404401232</c:v>
                </c:pt>
                <c:pt idx="8">
                  <c:v>6.8632039549101469</c:v>
                </c:pt>
                <c:pt idx="9">
                  <c:v>8.5677161532526629</c:v>
                </c:pt>
                <c:pt idx="10">
                  <c:v>11.476924707325033</c:v>
                </c:pt>
              </c:numCache>
            </c:numRef>
          </c:xVal>
          <c:yVal>
            <c:numRef>
              <c:f>'Green 6a'!$K$9:$K$19</c:f>
              <c:numCache>
                <c:formatCode>General</c:formatCode>
                <c:ptCount val="11"/>
                <c:pt idx="0">
                  <c:v>3.2137064556869178E-9</c:v>
                </c:pt>
                <c:pt idx="1">
                  <c:v>4.0861979050251606E-9</c:v>
                </c:pt>
                <c:pt idx="2">
                  <c:v>5.1955626779431821E-9</c:v>
                </c:pt>
                <c:pt idx="3">
                  <c:v>5.8585370961525681E-9</c:v>
                </c:pt>
                <c:pt idx="4">
                  <c:v>7.4490754955072317E-9</c:v>
                </c:pt>
                <c:pt idx="5">
                  <c:v>9.471430295151154E-9</c:v>
                </c:pt>
                <c:pt idx="6">
                  <c:v>1.0680022391671579E-8</c:v>
                </c:pt>
                <c:pt idx="7">
                  <c:v>1.2042835636450828E-8</c:v>
                </c:pt>
                <c:pt idx="8">
                  <c:v>1.3579549260090149E-8</c:v>
                </c:pt>
                <c:pt idx="9">
                  <c:v>1.7266270738441107E-8</c:v>
                </c:pt>
                <c:pt idx="10">
                  <c:v>2.1953902850761389E-8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9-44FC-80EB-DF27BD85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'AMS2'!$I$55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371584449901355"/>
                  <c:y val="0.278874976330365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'AMS2'!$I$59:$I$65</c:f>
              <c:numCache>
                <c:formatCode>General</c:formatCode>
                <c:ptCount val="7"/>
                <c:pt idx="0">
                  <c:v>0.28060000000000002</c:v>
                </c:pt>
                <c:pt idx="1">
                  <c:v>0.39650000000000002</c:v>
                </c:pt>
                <c:pt idx="2">
                  <c:v>0.42700000000000005</c:v>
                </c:pt>
                <c:pt idx="3">
                  <c:v>0.43920000000000003</c:v>
                </c:pt>
                <c:pt idx="4">
                  <c:v>0.53680000000000005</c:v>
                </c:pt>
                <c:pt idx="5">
                  <c:v>0.7320000000000001</c:v>
                </c:pt>
                <c:pt idx="6">
                  <c:v>0.89060000000000006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15E-9CD8-5A741DA986C1}"/>
            </c:ext>
          </c:extLst>
        </c:ser>
        <c:ser>
          <c:idx val="1"/>
          <c:order val="1"/>
          <c:tx>
            <c:strRef>
              <c:f>'AMS2'!$L$55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027506121580406"/>
                  <c:y val="1.339740881454557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'AMS2'!$L$59:$L$65</c:f>
              <c:numCache>
                <c:formatCode>General</c:formatCode>
                <c:ptCount val="7"/>
                <c:pt idx="0">
                  <c:v>0.87230000000000008</c:v>
                </c:pt>
                <c:pt idx="1">
                  <c:v>1.0217500000000002</c:v>
                </c:pt>
                <c:pt idx="2">
                  <c:v>1.0278500000000002</c:v>
                </c:pt>
                <c:pt idx="3">
                  <c:v>1.0553000000000001</c:v>
                </c:pt>
                <c:pt idx="4">
                  <c:v>1.1224000000000001</c:v>
                </c:pt>
                <c:pt idx="5">
                  <c:v>1.2993000000000001</c:v>
                </c:pt>
                <c:pt idx="6">
                  <c:v>1.403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D-44A4-98EC-FE6D20C9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6048"/>
        <c:axId val="630899168"/>
      </c:scatterChart>
      <c:valAx>
        <c:axId val="6233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99168"/>
        <c:crosses val="autoZero"/>
        <c:crossBetween val="midCat"/>
      </c:valAx>
      <c:valAx>
        <c:axId val="6308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30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'AMS2'!$I$67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175962790307668"/>
                  <c:y val="0.1917010786358827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'AMS2'!$I$71:$I$77</c:f>
              <c:numCache>
                <c:formatCode>General</c:formatCode>
                <c:ptCount val="7"/>
                <c:pt idx="0">
                  <c:v>0.1464</c:v>
                </c:pt>
                <c:pt idx="1">
                  <c:v>0.18300000000000002</c:v>
                </c:pt>
                <c:pt idx="2">
                  <c:v>0.18300000000000002</c:v>
                </c:pt>
                <c:pt idx="3">
                  <c:v>0.20130000000000001</c:v>
                </c:pt>
                <c:pt idx="4">
                  <c:v>0.23180000000000001</c:v>
                </c:pt>
                <c:pt idx="5">
                  <c:v>0.31110000000000004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9-48E9-BB06-AC2DCB46EE72}"/>
            </c:ext>
          </c:extLst>
        </c:ser>
        <c:ser>
          <c:idx val="1"/>
          <c:order val="1"/>
          <c:tx>
            <c:strRef>
              <c:f>'AMS2'!$L$67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'AMS2'!$A$71:$A$77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'AMS2'!$L$71:$L$77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0.31720000000000004</c:v>
                </c:pt>
                <c:pt idx="2">
                  <c:v>0.32330000000000003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0.49410000000000004</c:v>
                </c:pt>
                <c:pt idx="6">
                  <c:v>0.58560000000000001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9-48FF-8391-BB1E7EC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85376"/>
        <c:axId val="721987040"/>
      </c:scatterChart>
      <c:valAx>
        <c:axId val="7219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987040"/>
        <c:crosses val="autoZero"/>
        <c:crossBetween val="midCat"/>
      </c:valAx>
      <c:valAx>
        <c:axId val="721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98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7694639431877335E-2"/>
                  <c:y val="0.1462058412885295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'AMS2'!$I$11:$I$17</c:f>
              <c:numCache>
                <c:formatCode>General</c:formatCode>
                <c:ptCount val="7"/>
                <c:pt idx="0">
                  <c:v>0.1464</c:v>
                </c:pt>
                <c:pt idx="1">
                  <c:v>0.1769</c:v>
                </c:pt>
                <c:pt idx="2">
                  <c:v>0.1769</c:v>
                </c:pt>
                <c:pt idx="3">
                  <c:v>0.18300000000000002</c:v>
                </c:pt>
                <c:pt idx="4">
                  <c:v>0.18300000000000002</c:v>
                </c:pt>
                <c:pt idx="5">
                  <c:v>0.19520000000000001</c:v>
                </c:pt>
                <c:pt idx="6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2-4A40-8A85-CE7FDA8CCCCA}"/>
            </c:ext>
          </c:extLst>
        </c:ser>
        <c:ser>
          <c:idx val="1"/>
          <c:order val="1"/>
          <c:tx>
            <c:strRef>
              <c:f>'AMS2'!$L$7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'AMS2'!$L$11:$L$17</c:f>
              <c:numCache>
                <c:formatCode>General</c:formatCode>
                <c:ptCount val="7"/>
                <c:pt idx="0">
                  <c:v>0.23790000000000003</c:v>
                </c:pt>
                <c:pt idx="1">
                  <c:v>0.26840000000000003</c:v>
                </c:pt>
                <c:pt idx="2">
                  <c:v>0.27450000000000002</c:v>
                </c:pt>
                <c:pt idx="3">
                  <c:v>0.28060000000000002</c:v>
                </c:pt>
                <c:pt idx="4">
                  <c:v>0.28060000000000002</c:v>
                </c:pt>
                <c:pt idx="5">
                  <c:v>0.30499999999999999</c:v>
                </c:pt>
                <c:pt idx="6">
                  <c:v>0.31110000000000004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F-452D-B4DC-F16E370D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'AMS2'!$I$19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3458393287801716E-2"/>
                  <c:y val="0.2371426370219021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'AMS2'!$I$23:$I$29</c:f>
              <c:numCache>
                <c:formatCode>General</c:formatCode>
                <c:ptCount val="7"/>
                <c:pt idx="0">
                  <c:v>0.14030000000000001</c:v>
                </c:pt>
                <c:pt idx="1">
                  <c:v>0.15860000000000002</c:v>
                </c:pt>
                <c:pt idx="2">
                  <c:v>0.2074</c:v>
                </c:pt>
                <c:pt idx="3">
                  <c:v>0.21960000000000002</c:v>
                </c:pt>
                <c:pt idx="4">
                  <c:v>0.22570000000000001</c:v>
                </c:pt>
                <c:pt idx="5">
                  <c:v>0.22570000000000001</c:v>
                </c:pt>
                <c:pt idx="6">
                  <c:v>0.24400000000000002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A-4A0B-B783-FF5AC9932162}"/>
            </c:ext>
          </c:extLst>
        </c:ser>
        <c:ser>
          <c:idx val="1"/>
          <c:order val="1"/>
          <c:tx>
            <c:strRef>
              <c:f>'AMS2'!$L$19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444483006708146E-2"/>
                  <c:y val="-2.245309124450809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'AMS2'!$A$23:$A$29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'AMS2'!$L$23:$L$29</c:f>
              <c:numCache>
                <c:formatCode>General</c:formatCode>
                <c:ptCount val="7"/>
                <c:pt idx="0">
                  <c:v>0.30499999999999999</c:v>
                </c:pt>
                <c:pt idx="1">
                  <c:v>0.31720000000000004</c:v>
                </c:pt>
                <c:pt idx="2">
                  <c:v>0.34160000000000001</c:v>
                </c:pt>
                <c:pt idx="3">
                  <c:v>0.3538</c:v>
                </c:pt>
                <c:pt idx="4">
                  <c:v>0.36600000000000005</c:v>
                </c:pt>
                <c:pt idx="5">
                  <c:v>0.36600000000000005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9-42F4-B058-8E960A54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75152"/>
        <c:axId val="881369744"/>
      </c:scatterChart>
      <c:valAx>
        <c:axId val="8813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369744"/>
        <c:crosses val="autoZero"/>
        <c:crossBetween val="midCat"/>
      </c:valAx>
      <c:valAx>
        <c:axId val="8813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37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'AMS2'!$I$91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6602437839327648E-2"/>
                  <c:y val="0.267503857349768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'AMS2'!$A$60:$A$65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'AMS2'!$I$96:$I$101</c:f>
              <c:numCache>
                <c:formatCode>General</c:formatCode>
                <c:ptCount val="6"/>
                <c:pt idx="0">
                  <c:v>0.10980000000000001</c:v>
                </c:pt>
                <c:pt idx="1">
                  <c:v>0.10980000000000001</c:v>
                </c:pt>
                <c:pt idx="2">
                  <c:v>0.1159</c:v>
                </c:pt>
                <c:pt idx="3">
                  <c:v>0.15860000000000002</c:v>
                </c:pt>
                <c:pt idx="4">
                  <c:v>0.15860000000000002</c:v>
                </c:pt>
                <c:pt idx="5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9-494A-A66B-9895338AB2CB}"/>
            </c:ext>
          </c:extLst>
        </c:ser>
        <c:ser>
          <c:idx val="1"/>
          <c:order val="1"/>
          <c:tx>
            <c:strRef>
              <c:f>'AMS2'!$L$91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'AMS2'!$A$96:$A$101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'AMS2'!$L$96:$L$101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0.1769</c:v>
                </c:pt>
                <c:pt idx="2">
                  <c:v>0.17995</c:v>
                </c:pt>
                <c:pt idx="3">
                  <c:v>0.18605000000000002</c:v>
                </c:pt>
                <c:pt idx="4">
                  <c:v>0.18910000000000002</c:v>
                </c:pt>
                <c:pt idx="5">
                  <c:v>0.2074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2-4F0E-9453-8D238348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6544"/>
        <c:axId val="881607376"/>
      </c:scatterChart>
      <c:valAx>
        <c:axId val="881606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607376"/>
        <c:crosses val="autoZero"/>
        <c:crossBetween val="midCat"/>
      </c:valAx>
      <c:valAx>
        <c:axId val="8816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60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'AMS2'!$I$103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4526435393216744E-2"/>
                  <c:y val="0.304102942443004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'AMS2'!$I$107:$I$113</c:f>
              <c:numCache>
                <c:formatCode>General</c:formatCode>
                <c:ptCount val="7"/>
                <c:pt idx="0">
                  <c:v>0.12810000000000002</c:v>
                </c:pt>
                <c:pt idx="1">
                  <c:v>0.15860000000000002</c:v>
                </c:pt>
                <c:pt idx="2">
                  <c:v>0.15860000000000002</c:v>
                </c:pt>
                <c:pt idx="3">
                  <c:v>0.17080000000000001</c:v>
                </c:pt>
                <c:pt idx="4">
                  <c:v>0.21350000000000002</c:v>
                </c:pt>
                <c:pt idx="5">
                  <c:v>0.21960000000000002</c:v>
                </c:pt>
                <c:pt idx="6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FE3-AEDD-57F7E88BB6EA}"/>
            </c:ext>
          </c:extLst>
        </c:ser>
        <c:ser>
          <c:idx val="1"/>
          <c:order val="1"/>
          <c:tx>
            <c:strRef>
              <c:f>'AMS2'!$L$103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898421993277293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'AMS2'!$L$107:$L$113</c:f>
              <c:numCache>
                <c:formatCode>General</c:formatCode>
                <c:ptCount val="7"/>
                <c:pt idx="0">
                  <c:v>0.15860000000000002</c:v>
                </c:pt>
                <c:pt idx="1">
                  <c:v>0.21350000000000002</c:v>
                </c:pt>
                <c:pt idx="2">
                  <c:v>0.21350000000000002</c:v>
                </c:pt>
                <c:pt idx="3">
                  <c:v>0.21655000000000002</c:v>
                </c:pt>
                <c:pt idx="4">
                  <c:v>0.23790000000000003</c:v>
                </c:pt>
                <c:pt idx="5">
                  <c:v>0.25009999999999999</c:v>
                </c:pt>
                <c:pt idx="6">
                  <c:v>0.27450000000000002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A-4BB8-8EAF-E9F892B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34576"/>
        <c:axId val="874130000"/>
      </c:scatterChart>
      <c:valAx>
        <c:axId val="8741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130000"/>
        <c:crosses val="autoZero"/>
        <c:crossBetween val="midCat"/>
      </c:valAx>
      <c:valAx>
        <c:axId val="874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13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'AMS2'!$I$115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52993981703323"/>
                  <c:y val="0.2759042721981445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'AMS2'!$A$108:$A$113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'AMS2'!$I$120:$I$125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0.17080000000000001</c:v>
                </c:pt>
                <c:pt idx="2">
                  <c:v>0.17080000000000001</c:v>
                </c:pt>
                <c:pt idx="3">
                  <c:v>0.19520000000000001</c:v>
                </c:pt>
                <c:pt idx="4">
                  <c:v>0.22570000000000001</c:v>
                </c:pt>
                <c:pt idx="5">
                  <c:v>0.23790000000000003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7-4476-A1E6-F2B6DDFAE81D}"/>
            </c:ext>
          </c:extLst>
        </c:ser>
        <c:ser>
          <c:idx val="1"/>
          <c:order val="1"/>
          <c:tx>
            <c:strRef>
              <c:f>'AMS2'!$L$115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8154330404047956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'AMS2'!$A$120:$A$125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'AMS2'!$L$120:$L$125</c:f>
              <c:numCache>
                <c:formatCode>General</c:formatCode>
                <c:ptCount val="6"/>
                <c:pt idx="0">
                  <c:v>0.19520000000000001</c:v>
                </c:pt>
                <c:pt idx="1">
                  <c:v>0.19520000000000001</c:v>
                </c:pt>
                <c:pt idx="2">
                  <c:v>0.23180000000000001</c:v>
                </c:pt>
                <c:pt idx="3">
                  <c:v>0.23790000000000003</c:v>
                </c:pt>
                <c:pt idx="4">
                  <c:v>0.25925000000000004</c:v>
                </c:pt>
                <c:pt idx="5">
                  <c:v>0.26230000000000003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3-4432-AC6C-627B199C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39552"/>
        <c:axId val="901136224"/>
      </c:scatterChart>
      <c:valAx>
        <c:axId val="901139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136224"/>
        <c:crosses val="autoZero"/>
        <c:crossBetween val="midCat"/>
      </c:valAx>
      <c:valAx>
        <c:axId val="9011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1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'AMS2'!$I$127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262876688515538"/>
                  <c:y val="0.291514620315543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'AMS2'!$I$131:$I$137</c:f>
              <c:numCache>
                <c:formatCode>General</c:formatCode>
                <c:ptCount val="7"/>
                <c:pt idx="0">
                  <c:v>0.17080000000000001</c:v>
                </c:pt>
                <c:pt idx="1">
                  <c:v>0.22570000000000001</c:v>
                </c:pt>
                <c:pt idx="2">
                  <c:v>0.23180000000000001</c:v>
                </c:pt>
                <c:pt idx="3">
                  <c:v>0.28060000000000002</c:v>
                </c:pt>
                <c:pt idx="4">
                  <c:v>0.30499999999999999</c:v>
                </c:pt>
                <c:pt idx="5">
                  <c:v>0.30499999999999999</c:v>
                </c:pt>
                <c:pt idx="6">
                  <c:v>0.3538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4-41DF-81C5-29A48CC1C49F}"/>
            </c:ext>
          </c:extLst>
        </c:ser>
        <c:ser>
          <c:idx val="1"/>
          <c:order val="1"/>
          <c:tx>
            <c:strRef>
              <c:f>'AMS2'!$L$127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'AMS2'!$A$131:$A$137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'AMS2'!$L$131:$L$137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0.24095000000000003</c:v>
                </c:pt>
                <c:pt idx="2">
                  <c:v>0.30195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0.3599</c:v>
                </c:pt>
                <c:pt idx="6">
                  <c:v>0.3599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A-4142-B299-1221A365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24944"/>
        <c:axId val="904732848"/>
      </c:scatterChart>
      <c:valAx>
        <c:axId val="9047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732848"/>
        <c:crosses val="autoZero"/>
        <c:crossBetween val="midCat"/>
      </c:valAx>
      <c:valAx>
        <c:axId val="9047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72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52385</xdr:colOff>
      <xdr:row>4</xdr:row>
      <xdr:rowOff>95249</xdr:rowOff>
    </xdr:from>
    <xdr:to>
      <xdr:col>12</xdr:col>
      <xdr:colOff>676274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56EB3-AD13-4B99-9F30-E94865AE8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40088</xdr:colOff>
      <xdr:row>54</xdr:row>
      <xdr:rowOff>5798</xdr:rowOff>
    </xdr:from>
    <xdr:to>
      <xdr:col>7</xdr:col>
      <xdr:colOff>516338</xdr:colOff>
      <xdr:row>65</xdr:row>
      <xdr:rowOff>6626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B686D-B271-4CF7-96BA-3CC424331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46755</xdr:colOff>
      <xdr:row>65</xdr:row>
      <xdr:rowOff>166646</xdr:rowOff>
    </xdr:from>
    <xdr:to>
      <xdr:col>7</xdr:col>
      <xdr:colOff>518243</xdr:colOff>
      <xdr:row>77</xdr:row>
      <xdr:rowOff>1988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BD57E-8FFE-408F-AEF2-4918DFDF2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105811</xdr:colOff>
      <xdr:row>6</xdr:row>
      <xdr:rowOff>21867</xdr:rowOff>
    </xdr:from>
    <xdr:to>
      <xdr:col>7</xdr:col>
      <xdr:colOff>600159</xdr:colOff>
      <xdr:row>16</xdr:row>
      <xdr:rowOff>113307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1843AF-6823-46D7-9577-49423392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75330</xdr:colOff>
      <xdr:row>18</xdr:row>
      <xdr:rowOff>37105</xdr:rowOff>
    </xdr:from>
    <xdr:to>
      <xdr:col>7</xdr:col>
      <xdr:colOff>556343</xdr:colOff>
      <xdr:row>29</xdr:row>
      <xdr:rowOff>37106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FB6AF-21E8-4799-A33C-B94AC9927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29610</xdr:colOff>
      <xdr:row>89</xdr:row>
      <xdr:rowOff>170457</xdr:rowOff>
    </xdr:from>
    <xdr:to>
      <xdr:col>7</xdr:col>
      <xdr:colOff>520148</xdr:colOff>
      <xdr:row>101</xdr:row>
      <xdr:rowOff>6627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ECF4FD-65DB-45D6-ADEB-66E8F3E2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29611</xdr:colOff>
      <xdr:row>101</xdr:row>
      <xdr:rowOff>119021</xdr:rowOff>
    </xdr:from>
    <xdr:to>
      <xdr:col>7</xdr:col>
      <xdr:colOff>520149</xdr:colOff>
      <xdr:row>112</xdr:row>
      <xdr:rowOff>151406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AD9923-9E0D-4716-AF6D-7BC5B9458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42945</xdr:colOff>
      <xdr:row>113</xdr:row>
      <xdr:rowOff>138071</xdr:rowOff>
    </xdr:from>
    <xdr:to>
      <xdr:col>7</xdr:col>
      <xdr:colOff>550628</xdr:colOff>
      <xdr:row>124</xdr:row>
      <xdr:rowOff>159026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1F4124-1B26-4DE8-B043-172EF6C7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41992</xdr:colOff>
      <xdr:row>125</xdr:row>
      <xdr:rowOff>162836</xdr:rowOff>
    </xdr:from>
    <xdr:to>
      <xdr:col>7</xdr:col>
      <xdr:colOff>494429</xdr:colOff>
      <xdr:row>137</xdr:row>
      <xdr:rowOff>1988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08D6-6858-4F34-B8B0-7A5C2D3A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54375</xdr:colOff>
      <xdr:row>30</xdr:row>
      <xdr:rowOff>54251</xdr:rowOff>
    </xdr:from>
    <xdr:to>
      <xdr:col>7</xdr:col>
      <xdr:colOff>525863</xdr:colOff>
      <xdr:row>40</xdr:row>
      <xdr:rowOff>166646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29FB03-738D-45B0-BF78-1726B75E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56280</xdr:colOff>
      <xdr:row>42</xdr:row>
      <xdr:rowOff>14246</xdr:rowOff>
    </xdr:from>
    <xdr:to>
      <xdr:col>7</xdr:col>
      <xdr:colOff>544913</xdr:colOff>
      <xdr:row>52</xdr:row>
      <xdr:rowOff>166646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A92EB-3C30-4DD8-941D-E74D3D9A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48660</xdr:colOff>
      <xdr:row>77</xdr:row>
      <xdr:rowOff>143787</xdr:rowOff>
    </xdr:from>
    <xdr:to>
      <xdr:col>7</xdr:col>
      <xdr:colOff>556343</xdr:colOff>
      <xdr:row>88</xdr:row>
      <xdr:rowOff>166647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E431D3-2CA0-4E33-8A48-8B7532FD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364435</xdr:colOff>
      <xdr:row>1</xdr:row>
      <xdr:rowOff>24848</xdr:rowOff>
    </xdr:from>
    <xdr:to>
      <xdr:col>27</xdr:col>
      <xdr:colOff>521805</xdr:colOff>
      <xdr:row>15</xdr:row>
      <xdr:rowOff>99390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B07BB-E2BF-4053-856A-0CEEB790F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372717</xdr:colOff>
      <xdr:row>15</xdr:row>
      <xdr:rowOff>181388</xdr:rowOff>
    </xdr:from>
    <xdr:to>
      <xdr:col>27</xdr:col>
      <xdr:colOff>517663</xdr:colOff>
      <xdr:row>31</xdr:row>
      <xdr:rowOff>9110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E4EE4A-C436-4E00-9FF9-8BD7B87E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36</xdr:row>
      <xdr:rowOff>152400</xdr:rowOff>
    </xdr:from>
    <xdr:to>
      <xdr:col>6</xdr:col>
      <xdr:colOff>655320</xdr:colOff>
      <xdr:row>57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0EAA-AF5F-4D22-8022-961BB348C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803910</xdr:colOff>
      <xdr:row>36</xdr:row>
      <xdr:rowOff>160020</xdr:rowOff>
    </xdr:from>
    <xdr:to>
      <xdr:col>13</xdr:col>
      <xdr:colOff>236220</xdr:colOff>
      <xdr:row>57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17D2F-2610-434E-94D3-C512978B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36</xdr:row>
      <xdr:rowOff>167640</xdr:rowOff>
    </xdr:from>
    <xdr:to>
      <xdr:col>20</xdr:col>
      <xdr:colOff>22860</xdr:colOff>
      <xdr:row>57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1A26A-EAF4-450C-BE55-F5750E119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165446</xdr:colOff>
      <xdr:row>6</xdr:row>
      <xdr:rowOff>72886</xdr:rowOff>
    </xdr:from>
    <xdr:to>
      <xdr:col>7</xdr:col>
      <xdr:colOff>669234</xdr:colOff>
      <xdr:row>19</xdr:row>
      <xdr:rowOff>13252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9B7C1-E7C7-43C4-9CDC-56F6EDE1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238540</xdr:colOff>
      <xdr:row>6</xdr:row>
      <xdr:rowOff>24847</xdr:rowOff>
    </xdr:from>
    <xdr:to>
      <xdr:col>26</xdr:col>
      <xdr:colOff>695740</xdr:colOff>
      <xdr:row>19</xdr:row>
      <xdr:rowOff>99390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88BB16-E0A0-45DA-B918-712A745D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426E-687C-4E0B-8132-6FA78000E5B9}">
  <dimension ref="A1:C39"/>
  <sheetViews>
    <sheetView topLeftCell="A10" workbookViewId="0">
      <selection activeCell="C14" sqref="C14"/>
    </sheetView>
  </sheetViews>
  <sheetFormatPr defaultRowHeight="13.8" x14ac:dyDescent="0.25"/>
  <cols>
    <col min="2" max="2" width="17.69921875" customWidth="1"/>
    <col min="3" max="3" width="14.69921875" customWidth="1"/>
  </cols>
  <sheetData>
    <row r="1" spans="1:3" x14ac:dyDescent="0.25">
      <c r="B1" t="s">
        <v>58</v>
      </c>
    </row>
    <row r="3" spans="1:3" x14ac:dyDescent="0.25">
      <c r="B3" t="s">
        <v>59</v>
      </c>
      <c r="C3" t="s">
        <v>55</v>
      </c>
    </row>
    <row r="4" spans="1:3" x14ac:dyDescent="0.25">
      <c r="B4">
        <v>3.03488931872231</v>
      </c>
      <c r="C4" s="12">
        <v>5.9355387543338298E-11</v>
      </c>
    </row>
    <row r="5" spans="1:3" x14ac:dyDescent="0.25">
      <c r="B5">
        <v>3.0662470462727298</v>
      </c>
      <c r="C5" s="12">
        <v>1.03982690578927E-10</v>
      </c>
    </row>
    <row r="6" spans="1:3" x14ac:dyDescent="0.25">
      <c r="B6">
        <v>3.1299378519892298</v>
      </c>
      <c r="C6" s="12">
        <v>1.44223265986385E-10</v>
      </c>
    </row>
    <row r="7" spans="1:3" x14ac:dyDescent="0.25">
      <c r="B7">
        <v>3.2613158199877499</v>
      </c>
      <c r="C7" s="12">
        <v>2.00057524839119E-10</v>
      </c>
    </row>
    <row r="8" spans="1:3" x14ac:dyDescent="0.25">
      <c r="B8">
        <v>3.4333200182819898</v>
      </c>
      <c r="C8" s="12">
        <v>2.97667818069626E-10</v>
      </c>
    </row>
    <row r="9" spans="1:3" x14ac:dyDescent="0.25">
      <c r="B9">
        <v>3.65174127254837</v>
      </c>
      <c r="C9" s="12">
        <v>4.8630779609571999E-10</v>
      </c>
    </row>
    <row r="10" spans="1:3" x14ac:dyDescent="0.25">
      <c r="B10">
        <v>3.92418975848453</v>
      </c>
      <c r="C10" s="12">
        <v>7.0694981791487397E-10</v>
      </c>
    </row>
    <row r="11" spans="1:3" x14ac:dyDescent="0.25">
      <c r="B11">
        <v>4.26053645543091</v>
      </c>
      <c r="C11" s="12">
        <v>1.2103279978808101E-9</v>
      </c>
    </row>
    <row r="12" spans="1:3" x14ac:dyDescent="0.25">
      <c r="A12" s="15" t="s">
        <v>60</v>
      </c>
      <c r="B12" s="13">
        <v>4.9708261164373901</v>
      </c>
      <c r="C12" s="14">
        <v>1.8879755982172998E-9</v>
      </c>
    </row>
    <row r="13" spans="1:3" x14ac:dyDescent="0.25">
      <c r="A13" s="15"/>
      <c r="B13" s="13">
        <v>5.68151667583028</v>
      </c>
      <c r="C13" s="14">
        <v>3.0855617283107602E-9</v>
      </c>
    </row>
    <row r="14" spans="1:3" x14ac:dyDescent="0.25">
      <c r="A14" s="15"/>
      <c r="B14" s="13">
        <v>6.1054022965853303</v>
      </c>
      <c r="C14" s="14">
        <v>4.7000388661768204E-9</v>
      </c>
    </row>
    <row r="15" spans="1:3" x14ac:dyDescent="0.25">
      <c r="A15" s="15"/>
      <c r="B15" s="13">
        <v>6.4274057103154103</v>
      </c>
      <c r="C15" s="14">
        <v>5.8012158081172899E-9</v>
      </c>
    </row>
    <row r="16" spans="1:3" x14ac:dyDescent="0.25">
      <c r="A16" s="15"/>
      <c r="B16" s="13">
        <v>7.0504085813783801</v>
      </c>
      <c r="C16" s="14">
        <v>6.2252616355228199E-9</v>
      </c>
    </row>
    <row r="17" spans="1:3" x14ac:dyDescent="0.25">
      <c r="A17" s="15"/>
      <c r="B17" s="13">
        <v>7.3463468385524404</v>
      </c>
      <c r="C17" s="14">
        <v>9.2621531229420905E-9</v>
      </c>
    </row>
    <row r="18" spans="1:3" x14ac:dyDescent="0.25">
      <c r="A18" s="15"/>
      <c r="B18" s="13">
        <v>8.0584218776148209</v>
      </c>
      <c r="C18" s="14">
        <v>1.1170566058489E-8</v>
      </c>
    </row>
    <row r="19" spans="1:3" x14ac:dyDescent="0.25">
      <c r="A19" s="15"/>
      <c r="B19" s="13">
        <v>8.4834289824407207</v>
      </c>
      <c r="C19" s="14">
        <v>1.5138138132431501E-8</v>
      </c>
    </row>
    <row r="20" spans="1:3" x14ac:dyDescent="0.25">
      <c r="A20" s="15"/>
      <c r="B20" s="13">
        <v>8.8395177337443602</v>
      </c>
      <c r="C20" s="14">
        <v>2.05138464987828E-8</v>
      </c>
    </row>
    <row r="21" spans="1:3" x14ac:dyDescent="0.25">
      <c r="A21" s="15"/>
      <c r="B21" s="13">
        <v>9.4018709487762901</v>
      </c>
      <c r="C21" s="14">
        <v>2.65324389685152E-8</v>
      </c>
    </row>
    <row r="22" spans="1:3" x14ac:dyDescent="0.25">
      <c r="A22" s="15"/>
      <c r="B22" s="13">
        <v>10.3131861603009</v>
      </c>
      <c r="C22" s="14">
        <v>3.5963755482158002E-8</v>
      </c>
    </row>
    <row r="23" spans="1:3" x14ac:dyDescent="0.25">
      <c r="A23" s="15"/>
      <c r="B23" s="13">
        <v>11.5478198468945</v>
      </c>
      <c r="C23" s="14">
        <v>5.4792715714254297E-8</v>
      </c>
    </row>
    <row r="24" spans="1:3" x14ac:dyDescent="0.25">
      <c r="A24" s="15"/>
      <c r="B24" s="13">
        <v>13.063857322002301</v>
      </c>
      <c r="C24" s="14">
        <v>8.7476845978345504E-8</v>
      </c>
    </row>
    <row r="25" spans="1:3" x14ac:dyDescent="0.25">
      <c r="A25" s="15"/>
      <c r="B25" s="13">
        <v>14.778925406905101</v>
      </c>
      <c r="C25" s="14">
        <v>1.10564098817298E-7</v>
      </c>
    </row>
    <row r="26" spans="1:3" x14ac:dyDescent="0.25">
      <c r="A26" s="15"/>
      <c r="B26" s="13">
        <v>16.2114338519455</v>
      </c>
      <c r="C26" s="14">
        <v>1.3972277746978999E-7</v>
      </c>
    </row>
    <row r="27" spans="1:3" x14ac:dyDescent="0.25">
      <c r="A27" s="15"/>
      <c r="B27" s="13">
        <v>17.24277427362</v>
      </c>
      <c r="C27" s="14">
        <v>1.89359517224642E-7</v>
      </c>
    </row>
    <row r="28" spans="1:3" x14ac:dyDescent="0.25">
      <c r="A28" s="15"/>
      <c r="B28" s="13">
        <v>18.914101456267801</v>
      </c>
      <c r="C28" s="14">
        <v>2.4495434361906002E-7</v>
      </c>
    </row>
    <row r="29" spans="1:3" x14ac:dyDescent="0.25">
      <c r="B29">
        <v>20.747428935801199</v>
      </c>
      <c r="C29" s="12">
        <v>2.8860472832206001E-7</v>
      </c>
    </row>
    <row r="30" spans="1:3" x14ac:dyDescent="0.25">
      <c r="B30">
        <v>23.713737056616502</v>
      </c>
      <c r="C30" s="12">
        <v>3.3225183737901698E-7</v>
      </c>
    </row>
    <row r="31" spans="1:3" x14ac:dyDescent="0.25">
      <c r="B31">
        <v>26.826957952797201</v>
      </c>
      <c r="C31" s="12">
        <v>4.5042572723190799E-7</v>
      </c>
    </row>
    <row r="32" spans="1:3" x14ac:dyDescent="0.25">
      <c r="B32">
        <v>29.731326465101301</v>
      </c>
      <c r="C32" s="12">
        <v>6.8621203935267004E-7</v>
      </c>
    </row>
    <row r="33" spans="2:3" x14ac:dyDescent="0.25">
      <c r="B33">
        <v>32.950130794918003</v>
      </c>
      <c r="C33" s="12">
        <v>9.5216840843197095E-7</v>
      </c>
    </row>
    <row r="34" spans="2:3" x14ac:dyDescent="0.25">
      <c r="B34">
        <v>36.894725687781197</v>
      </c>
      <c r="C34">
        <v>1.52006238786628E-6</v>
      </c>
    </row>
    <row r="35" spans="2:3" x14ac:dyDescent="0.25">
      <c r="B35">
        <v>40.057013926518202</v>
      </c>
      <c r="C35">
        <v>2.4836251598394602E-6</v>
      </c>
    </row>
    <row r="36" spans="2:3" x14ac:dyDescent="0.25">
      <c r="B36">
        <v>43.939705607607898</v>
      </c>
      <c r="C36">
        <v>3.78354192522973E-6</v>
      </c>
    </row>
    <row r="37" spans="2:3" x14ac:dyDescent="0.25">
      <c r="B37">
        <v>46.257118042797899</v>
      </c>
      <c r="C37">
        <v>6.0382393784068498E-6</v>
      </c>
    </row>
    <row r="38" spans="2:3" x14ac:dyDescent="0.25">
      <c r="B38">
        <v>48.696752516586301</v>
      </c>
      <c r="C38">
        <v>9.8643171969822904E-6</v>
      </c>
    </row>
    <row r="39" spans="2:3" x14ac:dyDescent="0.25">
      <c r="B39">
        <v>48.696752516586301</v>
      </c>
      <c r="C39">
        <v>1.6881085220425599E-5</v>
      </c>
    </row>
  </sheetData>
  <mergeCells count="1">
    <mergeCell ref="A12:A28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A79-C5C3-4B01-9107-64EA0BCBB23E}">
  <dimension ref="A1:T137"/>
  <sheetViews>
    <sheetView topLeftCell="A7" zoomScale="115" zoomScaleNormal="115" workbookViewId="0">
      <pane xSplit="1" topLeftCell="N1" activePane="topRight" state="frozen"/>
      <selection pane="topRight" activeCell="AD31" sqref="AD31"/>
    </sheetView>
  </sheetViews>
  <sheetFormatPr defaultRowHeight="13.8" x14ac:dyDescent="0.25"/>
  <cols>
    <col min="2" max="2" width="9.19921875" customWidth="1"/>
    <col min="3" max="3" width="9.69921875" customWidth="1"/>
    <col min="10" max="10" width="12.19921875" bestFit="1" customWidth="1"/>
    <col min="11" max="11" width="13.8984375" customWidth="1"/>
    <col min="13" max="13" width="9.69921875" customWidth="1"/>
    <col min="16" max="16" width="9.69921875" customWidth="1"/>
  </cols>
  <sheetData>
    <row r="1" spans="1:20" x14ac:dyDescent="0.25">
      <c r="A1" s="9" t="s">
        <v>39</v>
      </c>
      <c r="B1" s="9">
        <v>6.1000000000000004E-3</v>
      </c>
    </row>
    <row r="2" spans="1:20" x14ac:dyDescent="0.25">
      <c r="A2" s="9" t="s">
        <v>42</v>
      </c>
      <c r="B2" s="9">
        <v>552</v>
      </c>
    </row>
    <row r="3" spans="1:20" x14ac:dyDescent="0.25">
      <c r="A3" s="9" t="s">
        <v>53</v>
      </c>
      <c r="B3" s="9">
        <f>B1*B2*0.001</f>
        <v>3.3672000000000003E-3</v>
      </c>
    </row>
    <row r="4" spans="1:20" x14ac:dyDescent="0.25">
      <c r="A4" s="9" t="s">
        <v>45</v>
      </c>
      <c r="B4" s="9">
        <v>200</v>
      </c>
    </row>
    <row r="5" spans="1:20" x14ac:dyDescent="0.25">
      <c r="A5" s="3"/>
      <c r="B5" s="3"/>
    </row>
    <row r="6" spans="1:20" x14ac:dyDescent="0.25">
      <c r="B6" t="s">
        <v>28</v>
      </c>
      <c r="S6" t="s">
        <v>52</v>
      </c>
    </row>
    <row r="7" spans="1:20" x14ac:dyDescent="0.25">
      <c r="A7" s="1" t="s">
        <v>0</v>
      </c>
      <c r="B7" s="2" t="s">
        <v>40</v>
      </c>
      <c r="C7" s="2" t="s">
        <v>41</v>
      </c>
      <c r="I7" s="2" t="s">
        <v>43</v>
      </c>
      <c r="J7" s="2" t="s">
        <v>54</v>
      </c>
      <c r="K7" s="2" t="s">
        <v>55</v>
      </c>
      <c r="L7" s="2" t="s">
        <v>44</v>
      </c>
      <c r="M7" s="2" t="s">
        <v>56</v>
      </c>
      <c r="N7" s="2" t="s">
        <v>57</v>
      </c>
      <c r="O7" s="2" t="s">
        <v>51</v>
      </c>
      <c r="P7" s="2" t="s">
        <v>49</v>
      </c>
      <c r="Q7" s="2" t="s">
        <v>46</v>
      </c>
      <c r="R7" s="2" t="s">
        <v>47</v>
      </c>
      <c r="S7" s="2" t="s">
        <v>48</v>
      </c>
      <c r="T7" s="2" t="s">
        <v>50</v>
      </c>
    </row>
    <row r="8" spans="1:20" x14ac:dyDescent="0.25">
      <c r="A8" s="4">
        <v>0</v>
      </c>
      <c r="B8" s="5"/>
      <c r="C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5">
      <c r="A9" s="4">
        <v>20000</v>
      </c>
      <c r="B9" s="5"/>
      <c r="C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5">
      <c r="A10" s="4">
        <v>50000</v>
      </c>
      <c r="B10" s="5"/>
      <c r="C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5">
      <c r="A11" s="4">
        <v>80000</v>
      </c>
      <c r="B11" s="5">
        <v>24</v>
      </c>
      <c r="C11" s="5">
        <v>78</v>
      </c>
      <c r="I11" s="5">
        <f>B11*$B$1</f>
        <v>0.1464</v>
      </c>
      <c r="J11" s="5">
        <f>0.0000008571*A11^1.0706*0.001</f>
        <v>1.5215269009020714E-4</v>
      </c>
      <c r="K11" s="5">
        <f>0.0000008571*1.0706*A11^(1.0706-1)*0.001</f>
        <v>2.0361833751321997E-9</v>
      </c>
      <c r="L11" s="5">
        <f t="shared" ref="L11:L17" si="0">C11*$B$1/2</f>
        <v>0.23790000000000003</v>
      </c>
      <c r="M11" s="10">
        <f>0.0000025876*A11^1.0129*0.001</f>
        <v>2.3946221220372778E-4</v>
      </c>
      <c r="N11" s="5">
        <f t="shared" ref="N11:N17" si="1">2*J11*M11/SQRT(-2*$B$3*$B$3+2*$B$3*SQRT($B$3*$B$3-4*M11*M11)+4*J11*J11+4*M11*M11)</f>
        <v>2.409919982801831E-4</v>
      </c>
      <c r="O11" s="11">
        <f>J11/N11</f>
        <v>0.63135992554122378</v>
      </c>
      <c r="P11" s="11">
        <f>J11/$B$3</f>
        <v>4.5186710052924427E-2</v>
      </c>
      <c r="Q11" s="5">
        <v>0.74428651721108896</v>
      </c>
      <c r="R11" s="5">
        <v>0.563896904900828</v>
      </c>
      <c r="S11" s="5">
        <f>Q11*$B$4*SQRT(PI()*$J11)</f>
        <v>3.2545046874809271</v>
      </c>
      <c r="T11" s="5">
        <f>R11*$B$4*SQRT(PI()*$J11)</f>
        <v>2.4657239891062601</v>
      </c>
    </row>
    <row r="12" spans="1:20" x14ac:dyDescent="0.25">
      <c r="A12" s="4">
        <v>90000</v>
      </c>
      <c r="B12" s="5">
        <v>29</v>
      </c>
      <c r="C12" s="5">
        <v>88</v>
      </c>
      <c r="I12" s="5">
        <f t="shared" ref="I12:I17" si="2">B12*$B$1</f>
        <v>0.1769</v>
      </c>
      <c r="J12" s="5">
        <f t="shared" ref="J12:J17" si="3">0.0000008571*A12^1.0706*0.001</f>
        <v>1.7260108669735192E-4</v>
      </c>
      <c r="K12" s="5">
        <f t="shared" ref="K12:K17" si="4">0.0000008571*1.0706*A12^(1.0706-1)*0.001</f>
        <v>2.0531858157576111E-9</v>
      </c>
      <c r="L12" s="5">
        <f t="shared" si="0"/>
        <v>0.26840000000000003</v>
      </c>
      <c r="M12" s="10">
        <f t="shared" ref="M12:M17" si="5">0.0000025876*A12^1.0129*0.001</f>
        <v>2.6980461890503525E-4</v>
      </c>
      <c r="N12" s="5">
        <f t="shared" si="1"/>
        <v>2.7197451000955268E-4</v>
      </c>
      <c r="O12" s="11">
        <f t="shared" ref="O12:O17" si="6">J12/N12</f>
        <v>0.63462229122607694</v>
      </c>
      <c r="P12" s="11">
        <f t="shared" ref="P12:P17" si="7">J12/$B$3</f>
        <v>5.1259529192608663E-2</v>
      </c>
      <c r="Q12" s="5">
        <v>0.75281789624287299</v>
      </c>
      <c r="R12" s="5">
        <v>0.57682018457016304</v>
      </c>
      <c r="S12" s="5">
        <f t="shared" ref="S12:S17" si="8">Q12*$B$4*SQRT(PI()*$J12)</f>
        <v>3.5060380867270631</v>
      </c>
      <c r="T12" s="5">
        <f t="shared" ref="T12:T17" si="9">R12*$B$4*SQRT(PI()*$J12)</f>
        <v>2.6863781352555374</v>
      </c>
    </row>
    <row r="13" spans="1:20" x14ac:dyDescent="0.25">
      <c r="A13" s="4">
        <v>91000</v>
      </c>
      <c r="B13" s="5">
        <v>29</v>
      </c>
      <c r="C13" s="5">
        <v>90</v>
      </c>
      <c r="I13" s="5">
        <f t="shared" si="2"/>
        <v>0.1769</v>
      </c>
      <c r="J13" s="5">
        <f t="shared" si="3"/>
        <v>1.7465507506093437E-4</v>
      </c>
      <c r="K13" s="5">
        <f t="shared" si="4"/>
        <v>2.0547881687938057E-9</v>
      </c>
      <c r="L13" s="5">
        <f t="shared" si="0"/>
        <v>0.27450000000000002</v>
      </c>
      <c r="M13" s="10">
        <f t="shared" si="5"/>
        <v>2.7284133682404274E-4</v>
      </c>
      <c r="N13" s="5">
        <f t="shared" si="1"/>
        <v>2.75083715469765E-4</v>
      </c>
      <c r="O13" s="11">
        <f t="shared" si="6"/>
        <v>0.63491608277383127</v>
      </c>
      <c r="P13" s="11">
        <f t="shared" si="7"/>
        <v>5.1869528112655723E-2</v>
      </c>
      <c r="Q13" s="5">
        <v>0.75364456681166803</v>
      </c>
      <c r="R13" s="5">
        <v>0.57807422251817298</v>
      </c>
      <c r="S13" s="5">
        <f t="shared" si="8"/>
        <v>3.5307105026152557</v>
      </c>
      <c r="T13" s="5">
        <f t="shared" si="9"/>
        <v>2.7081900654716731</v>
      </c>
    </row>
    <row r="14" spans="1:20" x14ac:dyDescent="0.25">
      <c r="A14" s="4">
        <v>92000</v>
      </c>
      <c r="B14" s="5">
        <v>30</v>
      </c>
      <c r="C14" s="5">
        <v>92</v>
      </c>
      <c r="I14" s="5">
        <f t="shared" si="2"/>
        <v>0.18300000000000002</v>
      </c>
      <c r="J14" s="5">
        <f t="shared" si="3"/>
        <v>1.7671065760762225E-4</v>
      </c>
      <c r="K14" s="5">
        <f t="shared" si="4"/>
        <v>2.0563742395078315E-9</v>
      </c>
      <c r="L14" s="5">
        <f t="shared" si="0"/>
        <v>0.28060000000000002</v>
      </c>
      <c r="M14" s="10">
        <f t="shared" si="5"/>
        <v>2.7587848526196691E-4</v>
      </c>
      <c r="N14" s="5">
        <f t="shared" si="1"/>
        <v>2.7819496980482699E-4</v>
      </c>
      <c r="O14" s="11">
        <f t="shared" si="6"/>
        <v>0.63520435948786924</v>
      </c>
      <c r="P14" s="11">
        <f t="shared" si="7"/>
        <v>5.2480000477435923E-2</v>
      </c>
      <c r="Q14" s="5">
        <v>0.75446605895536401</v>
      </c>
      <c r="R14" s="5">
        <v>0.57932070158249804</v>
      </c>
      <c r="S14" s="5">
        <f t="shared" si="8"/>
        <v>3.555298016536498</v>
      </c>
      <c r="T14" s="5">
        <f t="shared" si="9"/>
        <v>2.7299541401857046</v>
      </c>
    </row>
    <row r="15" spans="1:20" x14ac:dyDescent="0.25">
      <c r="A15" s="4">
        <v>95000</v>
      </c>
      <c r="B15" s="5">
        <v>30</v>
      </c>
      <c r="C15" s="5">
        <v>92</v>
      </c>
      <c r="I15" s="5">
        <f t="shared" si="2"/>
        <v>0.18300000000000002</v>
      </c>
      <c r="J15" s="5">
        <f t="shared" si="3"/>
        <v>1.8288681089255517E-4</v>
      </c>
      <c r="K15" s="5">
        <f t="shared" si="4"/>
        <v>2.0610381025428367E-9</v>
      </c>
      <c r="L15" s="5">
        <f t="shared" si="0"/>
        <v>0.28060000000000002</v>
      </c>
      <c r="M15" s="10">
        <f t="shared" si="5"/>
        <v>2.8499246798275885E-4</v>
      </c>
      <c r="N15" s="5">
        <f t="shared" si="1"/>
        <v>2.8754117633022352E-4</v>
      </c>
      <c r="O15" s="11">
        <f t="shared" si="6"/>
        <v>0.63603694339248584</v>
      </c>
      <c r="P15" s="11">
        <f t="shared" si="7"/>
        <v>5.4314210885173186E-2</v>
      </c>
      <c r="Q15" s="5">
        <v>0.75690439858751501</v>
      </c>
      <c r="R15" s="5">
        <v>0.58302430097688196</v>
      </c>
      <c r="S15" s="5">
        <f t="shared" si="8"/>
        <v>3.6285837767658884</v>
      </c>
      <c r="T15" s="5">
        <f t="shared" si="9"/>
        <v>2.7950062437645897</v>
      </c>
    </row>
    <row r="16" spans="1:20" x14ac:dyDescent="0.25">
      <c r="A16" s="4">
        <v>100000</v>
      </c>
      <c r="B16" s="5">
        <v>32</v>
      </c>
      <c r="C16" s="5">
        <v>100</v>
      </c>
      <c r="I16" s="5">
        <f t="shared" si="2"/>
        <v>0.19520000000000001</v>
      </c>
      <c r="J16" s="5">
        <f t="shared" si="3"/>
        <v>1.9321084287358487E-4</v>
      </c>
      <c r="K16" s="5">
        <f t="shared" si="4"/>
        <v>2.0685152838045981E-9</v>
      </c>
      <c r="L16" s="5">
        <f t="shared" si="0"/>
        <v>0.30499999999999999</v>
      </c>
      <c r="M16" s="10">
        <f t="shared" si="5"/>
        <v>3.0019063705047014E-4</v>
      </c>
      <c r="N16" s="5">
        <f t="shared" si="1"/>
        <v>3.0316059543404437E-4</v>
      </c>
      <c r="O16" s="11">
        <f t="shared" si="6"/>
        <v>0.63732175547735337</v>
      </c>
      <c r="P16" s="11">
        <f t="shared" si="7"/>
        <v>5.7380269325726076E-2</v>
      </c>
      <c r="Q16" s="5">
        <v>0.76087973244450102</v>
      </c>
      <c r="R16" s="5">
        <v>0.58907494543261596</v>
      </c>
      <c r="S16" s="5">
        <f t="shared" si="8"/>
        <v>3.7491834867660789</v>
      </c>
      <c r="T16" s="5">
        <f t="shared" si="9"/>
        <v>2.9026270035976887</v>
      </c>
    </row>
    <row r="17" spans="1:20" x14ac:dyDescent="0.25">
      <c r="A17" s="4">
        <v>105000</v>
      </c>
      <c r="B17" s="5">
        <v>32</v>
      </c>
      <c r="C17" s="5">
        <v>102</v>
      </c>
      <c r="I17" s="5">
        <f t="shared" si="2"/>
        <v>0.19520000000000001</v>
      </c>
      <c r="J17" s="5">
        <f t="shared" si="3"/>
        <v>2.0357139780161898E-4</v>
      </c>
      <c r="K17" s="5">
        <f t="shared" si="4"/>
        <v>2.0756527474896483E-9</v>
      </c>
      <c r="L17" s="5">
        <f t="shared" si="0"/>
        <v>0.31110000000000004</v>
      </c>
      <c r="M17" s="10">
        <f t="shared" si="5"/>
        <v>3.1539861616414525E-4</v>
      </c>
      <c r="N17" s="5">
        <f t="shared" si="1"/>
        <v>3.1883477370564766E-4</v>
      </c>
      <c r="O17" s="11">
        <f t="shared" si="6"/>
        <v>0.63848555612556457</v>
      </c>
      <c r="P17" s="11">
        <f t="shared" si="7"/>
        <v>6.0457174448093065E-2</v>
      </c>
      <c r="Q17" s="5">
        <v>0.76474846526919205</v>
      </c>
      <c r="R17" s="5">
        <v>0.594982144701108</v>
      </c>
      <c r="S17" s="5">
        <f t="shared" si="8"/>
        <v>3.8679595655135031</v>
      </c>
      <c r="T17" s="5">
        <f t="shared" si="9"/>
        <v>3.0093121888074754</v>
      </c>
    </row>
    <row r="18" spans="1:20" x14ac:dyDescent="0.25">
      <c r="B18" t="s">
        <v>29</v>
      </c>
    </row>
    <row r="19" spans="1:20" x14ac:dyDescent="0.25">
      <c r="A19" s="1" t="s">
        <v>0</v>
      </c>
      <c r="B19" s="2" t="s">
        <v>40</v>
      </c>
      <c r="C19" s="2" t="s">
        <v>41</v>
      </c>
      <c r="I19" s="2" t="s">
        <v>43</v>
      </c>
      <c r="J19" s="2" t="s">
        <v>54</v>
      </c>
      <c r="K19" s="2" t="s">
        <v>55</v>
      </c>
      <c r="L19" s="2" t="s">
        <v>44</v>
      </c>
      <c r="M19" s="2" t="s">
        <v>56</v>
      </c>
      <c r="N19" s="2" t="s">
        <v>57</v>
      </c>
      <c r="O19" s="2" t="s">
        <v>51</v>
      </c>
      <c r="P19" s="2" t="s">
        <v>49</v>
      </c>
      <c r="Q19" s="2" t="s">
        <v>46</v>
      </c>
      <c r="R19" s="2" t="s">
        <v>47</v>
      </c>
      <c r="S19" s="2" t="s">
        <v>48</v>
      </c>
      <c r="T19" s="2" t="s">
        <v>50</v>
      </c>
    </row>
    <row r="20" spans="1:20" x14ac:dyDescent="0.25">
      <c r="A20" s="4">
        <v>0</v>
      </c>
      <c r="B20" s="5"/>
      <c r="C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5">
      <c r="A21" s="4">
        <v>20000</v>
      </c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4">
        <v>50000</v>
      </c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s="4">
        <v>80000</v>
      </c>
      <c r="B23" s="5">
        <v>23</v>
      </c>
      <c r="C23" s="5">
        <v>100</v>
      </c>
      <c r="I23" s="5">
        <f t="shared" ref="I23" si="10">B23*$B$1</f>
        <v>0.14030000000000001</v>
      </c>
      <c r="J23" s="5">
        <f>0.0000000000062792*A23^2.1138*0.001</f>
        <v>1.4522986397044705E-4</v>
      </c>
      <c r="K23" s="5">
        <f>0.0000000000062792*2.1138*A23^(2.1138-1)*0.001</f>
        <v>3.8373360807591399E-9</v>
      </c>
      <c r="L23" s="5">
        <f>C23*$B$1/2</f>
        <v>0.30499999999999999</v>
      </c>
      <c r="M23" s="10">
        <f>0.0000079943*A23^0.93352*0.001</f>
        <v>3.0193468549379894E-4</v>
      </c>
      <c r="N23" s="5">
        <f t="shared" ref="N23" si="11">2*J23*M23/SQRT(-2*$B$3*$B$3+2*$B$3*SQRT($B$3*$B$3-4*M23*M23)+4*J23*J23+4*M23*M23)</f>
        <v>3.0741305719679356E-4</v>
      </c>
      <c r="O23" s="11">
        <f t="shared" ref="O23" si="12">J23/N23</f>
        <v>0.47242581461813671</v>
      </c>
      <c r="P23" s="11">
        <f t="shared" ref="P23" si="13">J23/$B$3</f>
        <v>4.3130750763378189E-2</v>
      </c>
      <c r="Q23" s="5">
        <v>0.80702116889975894</v>
      </c>
      <c r="R23" s="5">
        <v>0.53226463668080604</v>
      </c>
      <c r="S23" s="5">
        <f>Q23*$B$4*SQRT(PI()*$J23)</f>
        <v>3.447607557928535</v>
      </c>
      <c r="T23" s="5">
        <f>R23*$B$4*SQRT(PI()*$J23)</f>
        <v>2.2738431839905862</v>
      </c>
    </row>
    <row r="24" spans="1:20" x14ac:dyDescent="0.25">
      <c r="A24" s="4">
        <v>90000</v>
      </c>
      <c r="B24" s="5">
        <v>26</v>
      </c>
      <c r="C24" s="5">
        <v>104</v>
      </c>
      <c r="I24" s="5">
        <f t="shared" ref="I24:I29" si="14">B24*$B$1</f>
        <v>0.15860000000000002</v>
      </c>
      <c r="J24" s="5">
        <f t="shared" ref="J24:J29" si="15">0.0000000000062792*A24^2.1138*0.001</f>
        <v>1.8628682144262746E-4</v>
      </c>
      <c r="K24" s="5">
        <f t="shared" ref="K24:K29" si="16">0.0000000000062792*2.1138*A24^(2.1138-1)*0.001</f>
        <v>4.3752564796158363E-9</v>
      </c>
      <c r="L24" s="5">
        <f t="shared" ref="L24:L29" si="17">C24*$B$1/2</f>
        <v>0.31720000000000004</v>
      </c>
      <c r="M24" s="10">
        <f t="shared" ref="M24:M29" si="18">0.0000079943*A24^0.93352*0.001</f>
        <v>3.3702716662405402E-4</v>
      </c>
      <c r="N24" s="5">
        <f t="shared" ref="N24:N29" si="19">2*J24*M24/SQRT(-2*$B$3*$B$3+2*$B$3*SQRT($B$3*$B$3-4*M24*M24)+4*J24*J24+4*M24*M24)</f>
        <v>3.4281210988237177E-4</v>
      </c>
      <c r="O24" s="11">
        <f t="shared" ref="O24:O29" si="20">J24/N24</f>
        <v>0.54340793709576818</v>
      </c>
      <c r="P24" s="11">
        <f t="shared" ref="P24:P29" si="21">J24/$B$3</f>
        <v>5.5323955049485458E-2</v>
      </c>
      <c r="Q24" s="5">
        <v>0.79704459369591696</v>
      </c>
      <c r="R24" s="5">
        <v>0.57317554059585996</v>
      </c>
      <c r="S24" s="5">
        <f t="shared" ref="S24:S29" si="22">Q24*$B$4*SQRT(PI()*$J24)</f>
        <v>3.8563693156547374</v>
      </c>
      <c r="T24" s="5">
        <f t="shared" ref="T24:T29" si="23">R24*$B$4*SQRT(PI()*$J24)</f>
        <v>2.7732156829370309</v>
      </c>
    </row>
    <row r="25" spans="1:20" x14ac:dyDescent="0.25">
      <c r="A25" s="4">
        <v>91000</v>
      </c>
      <c r="B25" s="5">
        <v>34</v>
      </c>
      <c r="C25" s="5">
        <v>112</v>
      </c>
      <c r="I25" s="5">
        <f t="shared" si="14"/>
        <v>0.2074</v>
      </c>
      <c r="J25" s="5">
        <f t="shared" si="15"/>
        <v>1.9068916241990334E-4</v>
      </c>
      <c r="K25" s="5">
        <f t="shared" si="16"/>
        <v>4.429436829925194E-9</v>
      </c>
      <c r="L25" s="5">
        <f t="shared" si="17"/>
        <v>0.34160000000000001</v>
      </c>
      <c r="M25" s="10">
        <f t="shared" si="18"/>
        <v>3.4052167614303098E-4</v>
      </c>
      <c r="N25" s="5">
        <f t="shared" si="19"/>
        <v>3.463365642589785E-4</v>
      </c>
      <c r="O25" s="11">
        <f t="shared" si="20"/>
        <v>0.55058917278313291</v>
      </c>
      <c r="P25" s="11">
        <f t="shared" si="21"/>
        <v>5.6631373966471645E-2</v>
      </c>
      <c r="Q25" s="5">
        <v>0.79603373589595205</v>
      </c>
      <c r="R25" s="5">
        <v>0.577010092702679</v>
      </c>
      <c r="S25" s="5">
        <f t="shared" si="22"/>
        <v>3.8967218892682984</v>
      </c>
      <c r="T25" s="5">
        <f t="shared" si="23"/>
        <v>2.8245635293742746</v>
      </c>
    </row>
    <row r="26" spans="1:20" x14ac:dyDescent="0.25">
      <c r="A26" s="4">
        <v>92000</v>
      </c>
      <c r="B26" s="5">
        <v>36</v>
      </c>
      <c r="C26" s="5">
        <v>116</v>
      </c>
      <c r="I26" s="5">
        <f t="shared" si="14"/>
        <v>0.21960000000000002</v>
      </c>
      <c r="J26" s="5">
        <f t="shared" si="15"/>
        <v>1.9514571770195194E-4</v>
      </c>
      <c r="K26" s="5">
        <f t="shared" si="16"/>
        <v>4.4836849791128842E-9</v>
      </c>
      <c r="L26" s="5">
        <f t="shared" si="17"/>
        <v>0.3538</v>
      </c>
      <c r="M26" s="10">
        <f t="shared" si="18"/>
        <v>3.440136336292335E-4</v>
      </c>
      <c r="N26" s="5">
        <f t="shared" si="19"/>
        <v>3.498583503046067E-4</v>
      </c>
      <c r="O26" s="11">
        <f t="shared" si="20"/>
        <v>0.55778493648085548</v>
      </c>
      <c r="P26" s="11">
        <f t="shared" si="21"/>
        <v>5.7954893591693965E-2</v>
      </c>
      <c r="Q26" s="5">
        <v>0.79500919372076095</v>
      </c>
      <c r="R26" s="5">
        <v>0.58079198477459903</v>
      </c>
      <c r="S26" s="5">
        <f t="shared" si="22"/>
        <v>3.9369200539020683</v>
      </c>
      <c r="T26" s="5">
        <f t="shared" si="23"/>
        <v>2.8761071319230873</v>
      </c>
    </row>
    <row r="27" spans="1:20" x14ac:dyDescent="0.25">
      <c r="A27" s="4">
        <v>95000</v>
      </c>
      <c r="B27" s="5">
        <v>37</v>
      </c>
      <c r="C27" s="5">
        <v>120</v>
      </c>
      <c r="I27" s="5">
        <f t="shared" si="14"/>
        <v>0.22570000000000001</v>
      </c>
      <c r="J27" s="5">
        <f t="shared" si="15"/>
        <v>2.0884134086556941E-4</v>
      </c>
      <c r="K27" s="5">
        <f t="shared" si="16"/>
        <v>4.6468297507541088E-9</v>
      </c>
      <c r="L27" s="5">
        <f t="shared" si="17"/>
        <v>0.36600000000000005</v>
      </c>
      <c r="M27" s="10">
        <f t="shared" si="18"/>
        <v>3.5447448636881287E-4</v>
      </c>
      <c r="N27" s="5">
        <f t="shared" si="19"/>
        <v>3.6040802086908825E-4</v>
      </c>
      <c r="O27" s="11">
        <f t="shared" si="20"/>
        <v>0.57945808298597024</v>
      </c>
      <c r="P27" s="11">
        <f t="shared" si="21"/>
        <v>6.2022256137315691E-2</v>
      </c>
      <c r="Q27" s="5">
        <v>0.79181493649184598</v>
      </c>
      <c r="R27" s="5">
        <v>0.59178838958098801</v>
      </c>
      <c r="S27" s="5">
        <f t="shared" si="22"/>
        <v>4.0563634266412034</v>
      </c>
      <c r="T27" s="5">
        <f t="shared" si="23"/>
        <v>3.0316538236102546</v>
      </c>
    </row>
    <row r="28" spans="1:20" x14ac:dyDescent="0.25">
      <c r="A28" s="4">
        <v>100000</v>
      </c>
      <c r="B28" s="5">
        <v>37</v>
      </c>
      <c r="C28" s="5">
        <v>120</v>
      </c>
      <c r="I28" s="5">
        <f t="shared" si="14"/>
        <v>0.22570000000000001</v>
      </c>
      <c r="J28" s="5">
        <f t="shared" si="15"/>
        <v>2.3275783882171464E-4</v>
      </c>
      <c r="K28" s="5">
        <f t="shared" si="16"/>
        <v>4.9200351970134115E-9</v>
      </c>
      <c r="L28" s="5">
        <f t="shared" si="17"/>
        <v>0.36600000000000005</v>
      </c>
      <c r="M28" s="10">
        <f t="shared" si="18"/>
        <v>3.7186083648366088E-4</v>
      </c>
      <c r="N28" s="5">
        <f t="shared" si="19"/>
        <v>3.7794034361048322E-4</v>
      </c>
      <c r="O28" s="11">
        <f t="shared" si="20"/>
        <v>0.61585867388002891</v>
      </c>
      <c r="P28" s="11">
        <f t="shared" si="21"/>
        <v>6.9125041227641543E-2</v>
      </c>
      <c r="Q28" s="5">
        <v>0.78593632261016599</v>
      </c>
      <c r="R28" s="5">
        <v>0.60887760464557505</v>
      </c>
      <c r="S28" s="5">
        <f t="shared" si="22"/>
        <v>4.2505433572709199</v>
      </c>
      <c r="T28" s="5">
        <f t="shared" si="23"/>
        <v>3.2929648158035167</v>
      </c>
    </row>
    <row r="29" spans="1:20" x14ac:dyDescent="0.25">
      <c r="A29" s="4">
        <v>105000</v>
      </c>
      <c r="B29" s="5">
        <v>40</v>
      </c>
      <c r="C29" s="5">
        <v>128</v>
      </c>
      <c r="I29" s="5">
        <f t="shared" si="14"/>
        <v>0.24400000000000002</v>
      </c>
      <c r="J29" s="5">
        <f t="shared" si="15"/>
        <v>2.58044291781595E-4</v>
      </c>
      <c r="K29" s="5">
        <f t="shared" si="16"/>
        <v>5.1948002282660506E-9</v>
      </c>
      <c r="L29" s="5">
        <f t="shared" si="17"/>
        <v>0.39040000000000002</v>
      </c>
      <c r="M29" s="10">
        <f t="shared" si="18"/>
        <v>3.8918946549163386E-4</v>
      </c>
      <c r="N29" s="5">
        <f t="shared" si="19"/>
        <v>3.9541265546933516E-4</v>
      </c>
      <c r="O29" s="11">
        <f t="shared" si="20"/>
        <v>0.6525949238405363</v>
      </c>
      <c r="P29" s="11">
        <f t="shared" si="21"/>
        <v>7.6634679193868793E-2</v>
      </c>
      <c r="Q29" s="5">
        <v>0.77910648373946301</v>
      </c>
      <c r="R29" s="5">
        <v>0.62429207502910899</v>
      </c>
      <c r="S29" s="5">
        <f t="shared" si="22"/>
        <v>4.436585738347226</v>
      </c>
      <c r="T29" s="5">
        <f t="shared" si="23"/>
        <v>3.5550022679102113</v>
      </c>
    </row>
    <row r="30" spans="1:20" x14ac:dyDescent="0.25">
      <c r="B30" t="s">
        <v>30</v>
      </c>
    </row>
    <row r="31" spans="1:20" x14ac:dyDescent="0.25">
      <c r="A31" s="1" t="s">
        <v>0</v>
      </c>
      <c r="B31" s="2" t="s">
        <v>40</v>
      </c>
      <c r="C31" s="2" t="s">
        <v>41</v>
      </c>
      <c r="I31" s="2" t="s">
        <v>43</v>
      </c>
      <c r="J31" s="2" t="s">
        <v>54</v>
      </c>
      <c r="K31" s="2" t="s">
        <v>55</v>
      </c>
      <c r="L31" s="2" t="s">
        <v>44</v>
      </c>
      <c r="M31" s="2" t="s">
        <v>56</v>
      </c>
      <c r="N31" s="2" t="s">
        <v>57</v>
      </c>
      <c r="O31" s="2" t="s">
        <v>51</v>
      </c>
      <c r="P31" s="2" t="s">
        <v>49</v>
      </c>
      <c r="Q31" s="2" t="s">
        <v>46</v>
      </c>
      <c r="R31" s="2" t="s">
        <v>47</v>
      </c>
      <c r="S31" s="2" t="s">
        <v>48</v>
      </c>
      <c r="T31" s="2" t="s">
        <v>50</v>
      </c>
    </row>
    <row r="32" spans="1:20" x14ac:dyDescent="0.25">
      <c r="A32" s="4">
        <v>0</v>
      </c>
      <c r="B32" s="5"/>
      <c r="C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5">
      <c r="A33" s="4">
        <v>20000</v>
      </c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5">
      <c r="A34" s="4">
        <v>50000</v>
      </c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5">
      <c r="A35" s="4">
        <v>80000</v>
      </c>
      <c r="B35" s="5"/>
      <c r="C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5">
      <c r="A36" s="4">
        <v>90000</v>
      </c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5">
      <c r="A37" s="4">
        <v>91000</v>
      </c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5">
      <c r="A38" s="4">
        <v>92000</v>
      </c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5">
      <c r="A39" s="4">
        <v>95000</v>
      </c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 s="4">
        <v>100000</v>
      </c>
      <c r="B40" s="5">
        <v>20</v>
      </c>
      <c r="C40" s="5">
        <v>60</v>
      </c>
      <c r="I40" s="5">
        <f t="shared" ref="I40:I41" si="24">B40*$B$1</f>
        <v>0.12200000000000001</v>
      </c>
      <c r="J40" s="5">
        <f>2.1465E-32*A40^6.1509*0.001</f>
        <v>1.2196378474833443E-4</v>
      </c>
      <c r="K40" s="5">
        <f>2.1465E-32*6.1509*A40^(6.1509-1)*0.001</f>
        <v>7.5018704360852877E-9</v>
      </c>
      <c r="L40" s="5">
        <f>C40*$B$1/2</f>
        <v>0.18300000000000002</v>
      </c>
      <c r="M40" s="10">
        <f>1.461E-21*A40^4.0196*0.001</f>
        <v>1.8308392565894059E-4</v>
      </c>
      <c r="N40" s="5">
        <f t="shared" ref="N40:N41" si="25">2*J40*M40/SQRT(-2*$B$3*$B$3+2*$B$3*SQRT($B$3*$B$3-4*M40*M40)+4*J40*J40+4*M40*M40)</f>
        <v>1.837005070651396E-4</v>
      </c>
      <c r="O40" s="11">
        <f t="shared" ref="O40" si="26">J40/N40</f>
        <v>0.66392731678789796</v>
      </c>
      <c r="P40" s="11">
        <f t="shared" ref="P40" si="27">J40/$B$3</f>
        <v>3.622112875633595E-2</v>
      </c>
      <c r="Q40" s="5">
        <v>0.71642104083473901</v>
      </c>
      <c r="R40" s="5">
        <v>0.55089949612096301</v>
      </c>
      <c r="S40" s="5">
        <f>Q40*$B$4*SQRT(PI()*$J40)</f>
        <v>2.8047148292832196</v>
      </c>
      <c r="T40" s="5">
        <f>R40*$B$4*SQRT(PI()*$J40)</f>
        <v>2.1567149736624489</v>
      </c>
    </row>
    <row r="41" spans="1:20" x14ac:dyDescent="0.25">
      <c r="A41" s="4">
        <v>105000</v>
      </c>
      <c r="B41" s="5">
        <v>27</v>
      </c>
      <c r="C41" s="5">
        <v>73</v>
      </c>
      <c r="I41" s="5">
        <f t="shared" si="24"/>
        <v>0.16470000000000001</v>
      </c>
      <c r="J41" s="5">
        <f>2.1465E-32*A41^6.1509*0.001</f>
        <v>1.6465091649514935E-4</v>
      </c>
      <c r="K41" s="5">
        <f>2.1465E-32*6.1509*A41^(6.1509-1)*0.001</f>
        <v>9.6452506882858968E-9</v>
      </c>
      <c r="L41" s="5">
        <f>C41*$B$1/2</f>
        <v>0.22265000000000001</v>
      </c>
      <c r="M41" s="10">
        <f>1.461E-21*A41^4.0196*0.001</f>
        <v>2.2275256952842174E-4</v>
      </c>
      <c r="N41" s="5">
        <f t="shared" si="25"/>
        <v>2.2365806390966608E-4</v>
      </c>
      <c r="O41" s="11">
        <f t="shared" ref="O41" si="28">J41/N41</f>
        <v>0.73617250197449036</v>
      </c>
      <c r="P41" s="11">
        <f t="shared" ref="P41" si="29">J41/$B$3</f>
        <v>4.8898466528614078E-2</v>
      </c>
      <c r="Q41" s="5">
        <v>0.71012005350318497</v>
      </c>
      <c r="R41" s="5">
        <v>0.58632123389355195</v>
      </c>
      <c r="S41" s="5">
        <f>Q41*$B$4*SQRT(PI()*$J41)</f>
        <v>3.2301209561441588</v>
      </c>
      <c r="T41" s="5">
        <f>R41*$B$4*SQRT(PI()*$J41)</f>
        <v>2.6669976369331874</v>
      </c>
    </row>
    <row r="42" spans="1:20" x14ac:dyDescent="0.25">
      <c r="B42" t="s">
        <v>31</v>
      </c>
    </row>
    <row r="43" spans="1:20" x14ac:dyDescent="0.25">
      <c r="A43" s="1" t="s">
        <v>0</v>
      </c>
      <c r="B43" s="2" t="s">
        <v>40</v>
      </c>
      <c r="C43" s="2" t="s">
        <v>41</v>
      </c>
      <c r="I43" s="2" t="s">
        <v>43</v>
      </c>
      <c r="J43" s="2" t="s">
        <v>54</v>
      </c>
      <c r="K43" s="2" t="s">
        <v>55</v>
      </c>
      <c r="L43" s="2" t="s">
        <v>44</v>
      </c>
      <c r="M43" s="2" t="s">
        <v>56</v>
      </c>
      <c r="N43" s="2" t="s">
        <v>57</v>
      </c>
      <c r="O43" s="2" t="s">
        <v>51</v>
      </c>
      <c r="P43" s="2" t="s">
        <v>49</v>
      </c>
      <c r="Q43" s="2" t="s">
        <v>46</v>
      </c>
      <c r="R43" s="2" t="s">
        <v>47</v>
      </c>
      <c r="S43" s="2" t="s">
        <v>48</v>
      </c>
      <c r="T43" s="2" t="s">
        <v>50</v>
      </c>
    </row>
    <row r="44" spans="1:20" x14ac:dyDescent="0.25">
      <c r="A44" s="4">
        <v>0</v>
      </c>
      <c r="B44" s="5"/>
      <c r="C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5">
      <c r="A45" s="4">
        <v>20000</v>
      </c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5">
      <c r="A46" s="4">
        <v>50000</v>
      </c>
      <c r="B46" s="5"/>
      <c r="C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5">
      <c r="A47" s="4">
        <v>80000</v>
      </c>
      <c r="B47" s="5"/>
      <c r="C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4">
        <v>90000</v>
      </c>
      <c r="B48" s="5"/>
      <c r="C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5">
      <c r="A49" s="4">
        <v>91000</v>
      </c>
      <c r="B49" s="5"/>
      <c r="C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5">
      <c r="A50" s="4">
        <v>92000</v>
      </c>
      <c r="B50" s="5"/>
      <c r="C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5">
      <c r="A51" s="4">
        <v>95000</v>
      </c>
      <c r="B51" s="5">
        <v>10</v>
      </c>
      <c r="C51" s="5">
        <v>35</v>
      </c>
      <c r="I51" s="5">
        <f t="shared" ref="I51:I53" si="30">B51*$B$1</f>
        <v>6.1000000000000006E-2</v>
      </c>
      <c r="J51" s="5">
        <f>2.5162E-28*A51^5.3003*0.001</f>
        <v>6.083781152916614E-5</v>
      </c>
      <c r="K51" s="5">
        <f>2.5162E-28*5.3003*A51^(5.3003-1)*0.001</f>
        <v>3.3943016047162127E-9</v>
      </c>
      <c r="L51" s="5">
        <f>C51*$B$1/2</f>
        <v>0.10675000000000001</v>
      </c>
      <c r="M51" s="10">
        <f>1.9489E-21*A51^3.9674*0.001</f>
        <v>1.0924716789947306E-4</v>
      </c>
      <c r="N51" s="5">
        <f t="shared" ref="N51:N53" si="31">2*J51*M51/SQRT(-2*$B$3*$B$3+2*$B$3*SQRT($B$3*$B$3-4*M51*M51)+4*J51*J51+4*M51*M51)</f>
        <v>1.0943344582216867E-4</v>
      </c>
      <c r="O51" s="11">
        <f t="shared" ref="O51:O52" si="32">J51/N51</f>
        <v>0.55593434961399901</v>
      </c>
      <c r="P51" s="11">
        <f t="shared" ref="P51:P52" si="33">J51/$B$3</f>
        <v>1.8067774866110161E-2</v>
      </c>
      <c r="Q51" s="5">
        <v>0.71678645440665301</v>
      </c>
      <c r="R51" s="5">
        <v>0.47825408289895599</v>
      </c>
      <c r="S51" s="5">
        <f>Q51*$B$4*SQRT(PI()*$J51)</f>
        <v>1.9818989754409562</v>
      </c>
      <c r="T51" s="5">
        <f>R51*$B$4*SQRT(PI()*$J51)</f>
        <v>1.3223621499411768</v>
      </c>
    </row>
    <row r="52" spans="1:20" x14ac:dyDescent="0.25">
      <c r="A52" s="4">
        <v>100000</v>
      </c>
      <c r="B52" s="5">
        <v>13</v>
      </c>
      <c r="C52" s="5">
        <v>46</v>
      </c>
      <c r="I52" s="5">
        <f t="shared" si="30"/>
        <v>7.9300000000000009E-2</v>
      </c>
      <c r="J52" s="5">
        <f t="shared" ref="J52:J53" si="34">2.5162E-28*A52^5.3003*0.001</f>
        <v>7.9844528019444916E-5</v>
      </c>
      <c r="K52" s="5">
        <f t="shared" ref="K52:K53" si="35">2.5162E-28*5.3003*A52^(5.3003-1)*0.001</f>
        <v>4.23199951861466E-9</v>
      </c>
      <c r="L52" s="5">
        <f>C52*$B$1/2</f>
        <v>0.14030000000000001</v>
      </c>
      <c r="M52" s="10">
        <f t="shared" ref="M52:M53" si="36">1.9489E-21*A52^3.9674*0.001</f>
        <v>1.3390276827437419E-4</v>
      </c>
      <c r="N52" s="5">
        <f t="shared" si="31"/>
        <v>1.3420249313503223E-4</v>
      </c>
      <c r="O52" s="11">
        <f t="shared" si="32"/>
        <v>0.59495562380578682</v>
      </c>
      <c r="P52" s="11">
        <f t="shared" si="33"/>
        <v>2.3712440015278245E-2</v>
      </c>
      <c r="Q52" s="5">
        <v>0.71563080363556397</v>
      </c>
      <c r="R52" s="5">
        <v>0.50501493830209099</v>
      </c>
      <c r="S52" s="5">
        <f t="shared" ref="S52:S53" si="37">Q52*$B$4*SQRT(PI()*$J52)</f>
        <v>2.2668173973517702</v>
      </c>
      <c r="T52" s="5">
        <f t="shared" ref="T52:T53" si="38">R52*$B$4*SQRT(PI()*$J52)</f>
        <v>1.5996749193159243</v>
      </c>
    </row>
    <row r="53" spans="1:20" x14ac:dyDescent="0.25">
      <c r="A53" s="4">
        <v>105000</v>
      </c>
      <c r="B53" s="5">
        <v>17</v>
      </c>
      <c r="C53" s="5">
        <v>52</v>
      </c>
      <c r="I53" s="5">
        <f t="shared" si="30"/>
        <v>0.1037</v>
      </c>
      <c r="J53" s="5">
        <f t="shared" si="34"/>
        <v>1.0340815745867041E-4</v>
      </c>
      <c r="K53" s="5">
        <f t="shared" si="35"/>
        <v>5.2199453045541865E-9</v>
      </c>
      <c r="L53" s="5">
        <f>C53*$B$1/2</f>
        <v>0.15860000000000002</v>
      </c>
      <c r="M53" s="10">
        <f t="shared" si="36"/>
        <v>1.6250097861563351E-4</v>
      </c>
      <c r="N53" s="5">
        <f t="shared" si="31"/>
        <v>1.6297251987201937E-4</v>
      </c>
      <c r="O53" s="11">
        <f t="shared" ref="O53" si="39">J53/N53</f>
        <v>0.63451284633676741</v>
      </c>
      <c r="P53" s="11">
        <f t="shared" ref="P53" si="40">J53/$B$3</f>
        <v>3.0710429276155381E-2</v>
      </c>
      <c r="Q53" s="5">
        <v>0.71639891206847905</v>
      </c>
      <c r="R53" s="5">
        <v>0.53233423019992798</v>
      </c>
      <c r="S53" s="5">
        <f t="shared" si="37"/>
        <v>2.5824816815648073</v>
      </c>
      <c r="T53" s="5">
        <f t="shared" si="38"/>
        <v>1.9189635478254445</v>
      </c>
    </row>
    <row r="54" spans="1:20" x14ac:dyDescent="0.25">
      <c r="B54" t="s">
        <v>32</v>
      </c>
    </row>
    <row r="55" spans="1:20" x14ac:dyDescent="0.25">
      <c r="A55" s="1" t="s">
        <v>0</v>
      </c>
      <c r="B55" s="2" t="s">
        <v>40</v>
      </c>
      <c r="C55" s="2" t="s">
        <v>41</v>
      </c>
      <c r="I55" s="2" t="s">
        <v>43</v>
      </c>
      <c r="J55" s="2" t="s">
        <v>54</v>
      </c>
      <c r="K55" s="2" t="s">
        <v>55</v>
      </c>
      <c r="L55" s="2" t="s">
        <v>44</v>
      </c>
      <c r="M55" s="2" t="s">
        <v>56</v>
      </c>
      <c r="N55" s="2" t="s">
        <v>57</v>
      </c>
      <c r="O55" s="2" t="s">
        <v>51</v>
      </c>
      <c r="P55" s="2" t="s">
        <v>49</v>
      </c>
      <c r="Q55" s="2" t="s">
        <v>46</v>
      </c>
      <c r="R55" s="2" t="s">
        <v>47</v>
      </c>
      <c r="S55" s="2" t="s">
        <v>48</v>
      </c>
      <c r="T55" s="2" t="s">
        <v>50</v>
      </c>
    </row>
    <row r="56" spans="1:20" x14ac:dyDescent="0.25">
      <c r="A56" s="4">
        <v>0</v>
      </c>
      <c r="B56" s="5"/>
      <c r="C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5">
      <c r="A57" s="4">
        <v>20000</v>
      </c>
      <c r="B57" s="5"/>
      <c r="C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x14ac:dyDescent="0.25">
      <c r="A58" s="4">
        <v>50000</v>
      </c>
      <c r="B58" s="5"/>
      <c r="C58" s="5"/>
      <c r="I58" s="5"/>
      <c r="J58" s="5"/>
      <c r="K58" s="5"/>
      <c r="L58" s="5"/>
      <c r="M58" s="10"/>
      <c r="N58" s="5"/>
      <c r="O58" s="5"/>
      <c r="P58" s="5"/>
      <c r="Q58" s="5"/>
      <c r="R58" s="5"/>
      <c r="S58" s="5"/>
      <c r="T58" s="5"/>
    </row>
    <row r="59" spans="1:20" x14ac:dyDescent="0.25">
      <c r="A59" s="4">
        <v>80000</v>
      </c>
      <c r="B59" s="5">
        <v>46</v>
      </c>
      <c r="C59" s="5">
        <v>286</v>
      </c>
      <c r="I59" s="5">
        <f t="shared" ref="I59:I65" si="41">B59*$B$1</f>
        <v>0.28060000000000002</v>
      </c>
      <c r="J59" s="5">
        <f>4.5362E-23*A59^4.4356*0.001</f>
        <v>2.5400258737843216E-4</v>
      </c>
      <c r="K59" s="5">
        <f>4.5362E-23*4.4356*A59^(4.4356-1)*0.001</f>
        <v>1.408317345719723E-8</v>
      </c>
      <c r="L59" s="5">
        <f>C59*$B$1/2</f>
        <v>0.87230000000000008</v>
      </c>
      <c r="M59" s="10">
        <f>0.0000000010519*A59^1.8155*0.001</f>
        <v>8.3856035553900017E-4</v>
      </c>
      <c r="N59" s="5">
        <f t="shared" ref="N59:N65" si="42">2*J59*M59/SQRT(-2*$B$3*$B$3+2*$B$3*SQRT($B$3*$B$3-4*M59*M59)+4*J59*J59+4*M59*M59)</f>
        <v>1.7701645494930241E-3</v>
      </c>
      <c r="O59" s="11">
        <f t="shared" ref="O59" si="43">J59/N59</f>
        <v>0.14349094690161918</v>
      </c>
      <c r="P59" s="11">
        <f t="shared" ref="P59" si="44">J59/$B$3</f>
        <v>7.54343630845902E-2</v>
      </c>
      <c r="Q59" s="5">
        <v>0.99488963719791901</v>
      </c>
      <c r="R59" s="5">
        <v>0.55865901565291998</v>
      </c>
      <c r="S59" s="5">
        <f>Q59*$B$4*SQRT(PI()*$J59)</f>
        <v>5.6208100575580957</v>
      </c>
      <c r="T59" s="5">
        <f>R59*$B$4*SQRT(PI()*$J59)</f>
        <v>3.1562457749298654</v>
      </c>
    </row>
    <row r="60" spans="1:20" x14ac:dyDescent="0.25">
      <c r="A60" s="4">
        <v>90000</v>
      </c>
      <c r="B60" s="5">
        <v>65</v>
      </c>
      <c r="C60" s="5">
        <v>335</v>
      </c>
      <c r="I60" s="5">
        <f t="shared" si="41"/>
        <v>0.39650000000000002</v>
      </c>
      <c r="J60" s="5">
        <f t="shared" ref="J60:J65" si="45">4.5362E-23*A60^4.4356*0.001</f>
        <v>4.2828244084461482E-4</v>
      </c>
      <c r="K60" s="5">
        <f t="shared" ref="K60:K65" si="46">4.5362E-23*4.4356*A60^(4.4356-1)*0.001</f>
        <v>2.1107662162337488E-8</v>
      </c>
      <c r="L60" s="5">
        <f t="shared" ref="L60:L65" si="47">C60*$B$1/2</f>
        <v>1.0217500000000002</v>
      </c>
      <c r="M60" s="10">
        <f t="shared" ref="M60:M65" si="48">0.0000000010519*A60^1.8155*0.001</f>
        <v>1.038488594174882E-3</v>
      </c>
      <c r="N60" s="5">
        <f t="shared" si="42"/>
        <v>1.8974050742798338E-3</v>
      </c>
      <c r="O60" s="11">
        <f t="shared" ref="O60:O65" si="49">J60/N60</f>
        <v>0.22572008826695628</v>
      </c>
      <c r="P60" s="11">
        <f t="shared" ref="P60:P65" si="50">J60/$B$3</f>
        <v>0.12719245689136813</v>
      </c>
      <c r="Q60" s="5">
        <v>1.00632513923406</v>
      </c>
      <c r="R60" s="5">
        <v>0.68301760788506505</v>
      </c>
      <c r="S60" s="5">
        <f t="shared" ref="S60:S65" si="51">Q60*$B$4*SQRT(PI()*$J60)</f>
        <v>7.3825838551552101</v>
      </c>
      <c r="T60" s="5">
        <f t="shared" ref="T60:T65" si="52">R60*$B$4*SQRT(PI()*$J60)</f>
        <v>5.0107411294494142</v>
      </c>
    </row>
    <row r="61" spans="1:20" x14ac:dyDescent="0.25">
      <c r="A61" s="4">
        <v>91000</v>
      </c>
      <c r="B61" s="5">
        <v>70</v>
      </c>
      <c r="C61" s="5">
        <v>337</v>
      </c>
      <c r="I61" s="5">
        <f t="shared" si="41"/>
        <v>0.42700000000000005</v>
      </c>
      <c r="J61" s="5">
        <f t="shared" si="45"/>
        <v>4.4979662665540544E-4</v>
      </c>
      <c r="K61" s="5">
        <f t="shared" si="46"/>
        <v>2.1924372716403451E-8</v>
      </c>
      <c r="L61" s="5">
        <f t="shared" si="47"/>
        <v>1.0278500000000002</v>
      </c>
      <c r="M61" s="10">
        <f t="shared" si="48"/>
        <v>1.0595320611287075E-3</v>
      </c>
      <c r="N61" s="5">
        <f t="shared" si="42"/>
        <v>1.9211201216997478E-3</v>
      </c>
      <c r="O61" s="11">
        <f t="shared" si="49"/>
        <v>0.23413248425998434</v>
      </c>
      <c r="P61" s="11">
        <f t="shared" si="50"/>
        <v>0.13358179693971411</v>
      </c>
      <c r="Q61" s="5">
        <v>1.00939128683462</v>
      </c>
      <c r="R61" s="5">
        <v>0.69657073225058397</v>
      </c>
      <c r="S61" s="5">
        <f t="shared" si="51"/>
        <v>7.5887907958015015</v>
      </c>
      <c r="T61" s="5">
        <f t="shared" si="52"/>
        <v>5.236947881831707</v>
      </c>
    </row>
    <row r="62" spans="1:20" x14ac:dyDescent="0.25">
      <c r="A62" s="4">
        <v>92000</v>
      </c>
      <c r="B62" s="5">
        <v>72</v>
      </c>
      <c r="C62" s="5">
        <v>346</v>
      </c>
      <c r="I62" s="5">
        <f t="shared" si="41"/>
        <v>0.43920000000000003</v>
      </c>
      <c r="J62" s="5">
        <f t="shared" si="45"/>
        <v>4.7213857098557559E-4</v>
      </c>
      <c r="K62" s="5">
        <f t="shared" si="46"/>
        <v>2.2763237450691434E-8</v>
      </c>
      <c r="L62" s="5">
        <f t="shared" si="47"/>
        <v>1.0553000000000001</v>
      </c>
      <c r="M62" s="10">
        <f t="shared" si="48"/>
        <v>1.0807649597106728E-3</v>
      </c>
      <c r="N62" s="5">
        <f t="shared" si="42"/>
        <v>1.9466394973091938E-3</v>
      </c>
      <c r="O62" s="11">
        <f t="shared" si="49"/>
        <v>0.24254032225186256</v>
      </c>
      <c r="P62" s="11">
        <f t="shared" si="50"/>
        <v>0.14021696691184829</v>
      </c>
      <c r="Q62" s="5">
        <v>1.0128808520481201</v>
      </c>
      <c r="R62" s="5">
        <v>0.71042035512244195</v>
      </c>
      <c r="S62" s="5">
        <f t="shared" si="51"/>
        <v>7.8018578597504735</v>
      </c>
      <c r="T62" s="5">
        <f t="shared" si="52"/>
        <v>5.472113151444419</v>
      </c>
    </row>
    <row r="63" spans="1:20" x14ac:dyDescent="0.25">
      <c r="A63" s="4">
        <v>95000</v>
      </c>
      <c r="B63" s="5">
        <v>88</v>
      </c>
      <c r="C63" s="5">
        <v>368</v>
      </c>
      <c r="I63" s="5">
        <f t="shared" si="41"/>
        <v>0.53680000000000005</v>
      </c>
      <c r="J63" s="5">
        <f t="shared" si="45"/>
        <v>5.4435600464508148E-4</v>
      </c>
      <c r="K63" s="5">
        <f t="shared" si="46"/>
        <v>2.5416268360039266E-8</v>
      </c>
      <c r="L63" s="5">
        <f t="shared" si="47"/>
        <v>1.1224000000000001</v>
      </c>
      <c r="M63" s="10">
        <f t="shared" si="48"/>
        <v>1.1455964535547149E-3</v>
      </c>
      <c r="N63" s="5">
        <f t="shared" si="42"/>
        <v>2.0345331330425321E-3</v>
      </c>
      <c r="O63" s="11">
        <f t="shared" si="49"/>
        <v>0.26755819101900152</v>
      </c>
      <c r="P63" s="11">
        <f t="shared" si="50"/>
        <v>0.16166429218492559</v>
      </c>
      <c r="Q63" s="5">
        <v>1.0263426284196999</v>
      </c>
      <c r="R63" s="5">
        <v>0.754272194324345</v>
      </c>
      <c r="S63" s="5">
        <f t="shared" si="51"/>
        <v>8.4886535380762513</v>
      </c>
      <c r="T63" s="5">
        <f t="shared" si="52"/>
        <v>6.2384189779610564</v>
      </c>
    </row>
    <row r="64" spans="1:20" x14ac:dyDescent="0.25">
      <c r="A64" s="4">
        <v>100000</v>
      </c>
      <c r="B64" s="5">
        <v>120</v>
      </c>
      <c r="C64" s="5">
        <v>426</v>
      </c>
      <c r="I64" s="5">
        <f t="shared" si="41"/>
        <v>0.7320000000000001</v>
      </c>
      <c r="J64" s="5">
        <f t="shared" si="45"/>
        <v>6.8342709736362976E-4</v>
      </c>
      <c r="K64" s="5">
        <f t="shared" si="46"/>
        <v>3.0314092330661101E-8</v>
      </c>
      <c r="L64" s="5">
        <f t="shared" si="47"/>
        <v>1.2993000000000001</v>
      </c>
      <c r="M64" s="10">
        <f t="shared" si="48"/>
        <v>1.2574028926561826E-3</v>
      </c>
      <c r="N64" s="5">
        <f t="shared" si="42"/>
        <v>2.226638195579641E-3</v>
      </c>
      <c r="O64" s="11">
        <f t="shared" si="49"/>
        <v>0.30693226170303761</v>
      </c>
      <c r="P64" s="11">
        <f t="shared" si="50"/>
        <v>0.20296599470290738</v>
      </c>
      <c r="Q64" s="5">
        <v>1.06295422236938</v>
      </c>
      <c r="R64" s="5">
        <v>0.83955882221382905</v>
      </c>
      <c r="S64" s="5">
        <f t="shared" si="51"/>
        <v>9.85066592219078</v>
      </c>
      <c r="T64" s="5">
        <f t="shared" si="52"/>
        <v>7.7804041845016236</v>
      </c>
    </row>
    <row r="65" spans="1:20" x14ac:dyDescent="0.25">
      <c r="A65" s="4">
        <v>105000</v>
      </c>
      <c r="B65" s="5">
        <v>146</v>
      </c>
      <c r="C65" s="5">
        <v>460</v>
      </c>
      <c r="I65" s="5">
        <f t="shared" si="41"/>
        <v>0.89060000000000006</v>
      </c>
      <c r="J65" s="5">
        <f t="shared" si="45"/>
        <v>8.485539300157229E-4</v>
      </c>
      <c r="K65" s="5">
        <f t="shared" si="46"/>
        <v>3.5846150590264111E-8</v>
      </c>
      <c r="L65" s="5">
        <f t="shared" si="47"/>
        <v>1.403</v>
      </c>
      <c r="M65" s="10">
        <f t="shared" si="48"/>
        <v>1.3738636327602553E-3</v>
      </c>
      <c r="N65" s="5">
        <f t="shared" si="42"/>
        <v>2.5125007777170344E-3</v>
      </c>
      <c r="O65" s="11">
        <f t="shared" si="49"/>
        <v>0.33773280292743046</v>
      </c>
      <c r="P65" s="11">
        <f t="shared" si="50"/>
        <v>0.25200580007594525</v>
      </c>
      <c r="Q65" s="5">
        <v>1.12987696504665</v>
      </c>
      <c r="R65" s="5">
        <v>0.95252572264782098</v>
      </c>
      <c r="S65" s="5">
        <f t="shared" si="51"/>
        <v>11.667446316824215</v>
      </c>
      <c r="T65" s="5">
        <f t="shared" si="52"/>
        <v>9.8360645257767434</v>
      </c>
    </row>
    <row r="66" spans="1:20" x14ac:dyDescent="0.25">
      <c r="B66" t="s">
        <v>33</v>
      </c>
    </row>
    <row r="67" spans="1:20" x14ac:dyDescent="0.25">
      <c r="A67" s="1" t="s">
        <v>0</v>
      </c>
      <c r="B67" s="2" t="s">
        <v>40</v>
      </c>
      <c r="C67" s="2" t="s">
        <v>41</v>
      </c>
      <c r="I67" s="2" t="s">
        <v>43</v>
      </c>
      <c r="J67" s="2" t="s">
        <v>54</v>
      </c>
      <c r="K67" s="2" t="s">
        <v>55</v>
      </c>
      <c r="L67" s="2" t="s">
        <v>44</v>
      </c>
      <c r="M67" s="2" t="s">
        <v>56</v>
      </c>
      <c r="N67" s="2" t="s">
        <v>57</v>
      </c>
      <c r="O67" s="2" t="s">
        <v>51</v>
      </c>
      <c r="P67" s="2" t="s">
        <v>49</v>
      </c>
      <c r="Q67" s="2" t="s">
        <v>46</v>
      </c>
      <c r="R67" s="2" t="s">
        <v>47</v>
      </c>
      <c r="S67" s="2" t="s">
        <v>48</v>
      </c>
      <c r="T67" s="2" t="s">
        <v>50</v>
      </c>
    </row>
    <row r="68" spans="1:20" x14ac:dyDescent="0.25">
      <c r="A68" s="4">
        <v>0</v>
      </c>
      <c r="B68" s="5"/>
      <c r="C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25">
      <c r="A69" s="4">
        <v>20000</v>
      </c>
      <c r="B69" s="5"/>
      <c r="C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x14ac:dyDescent="0.25">
      <c r="A70" s="4">
        <v>50000</v>
      </c>
      <c r="B70" s="5"/>
      <c r="C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x14ac:dyDescent="0.25">
      <c r="A71" s="4">
        <v>80000</v>
      </c>
      <c r="B71" s="5">
        <v>24</v>
      </c>
      <c r="C71" s="5">
        <v>66</v>
      </c>
      <c r="I71" s="5">
        <f t="shared" ref="I71:I77" si="53">B71*$B$1</f>
        <v>0.1464</v>
      </c>
      <c r="J71" s="5">
        <f>4.8836E-20*A71^3.7558*0.001</f>
        <v>1.2698881138197091E-4</v>
      </c>
      <c r="K71" s="5">
        <f>4.8836E-20*3.7558*A71^(3.7558-1)*0.001</f>
        <v>5.9618072223550818E-9</v>
      </c>
      <c r="L71" s="5">
        <f>C71*$B$1/2</f>
        <v>0.20130000000000001</v>
      </c>
      <c r="M71" s="10">
        <f>1.1319E-20*A71^3.9229*0.001</f>
        <v>1.9415106174343219E-4</v>
      </c>
      <c r="N71" s="5">
        <f t="shared" ref="N71:N77" si="54">2*J71*M71/SQRT(-2*$B$3*$B$3+2*$B$3*SQRT($B$3*$B$3-4*M71*M71)+4*J71*J71+4*M71*M71)</f>
        <v>1.9491500263377058E-4</v>
      </c>
      <c r="O71" s="11">
        <f t="shared" ref="O71" si="55">J71/N71</f>
        <v>0.65150865590665974</v>
      </c>
      <c r="P71" s="11">
        <f t="shared" ref="P71" si="56">J71/$B$3</f>
        <v>3.7713474513533768E-2</v>
      </c>
      <c r="Q71" s="5">
        <v>0.72360685308113404</v>
      </c>
      <c r="R71" s="5">
        <v>0.55160352305551397</v>
      </c>
      <c r="S71" s="5">
        <f>Q71*$B$4*SQRT(PI()*$J71)</f>
        <v>2.8906155352183562</v>
      </c>
      <c r="T71" s="5">
        <f>R71*$B$4*SQRT(PI()*$J71)</f>
        <v>2.2035083087399476</v>
      </c>
    </row>
    <row r="72" spans="1:20" x14ac:dyDescent="0.25">
      <c r="A72" s="4">
        <v>90000</v>
      </c>
      <c r="B72" s="5">
        <v>30</v>
      </c>
      <c r="C72" s="5">
        <v>104</v>
      </c>
      <c r="I72" s="5">
        <f t="shared" si="53"/>
        <v>0.18300000000000002</v>
      </c>
      <c r="J72" s="5">
        <f t="shared" ref="J72:J77" si="57">4.8836E-20*A72^3.7558*0.001</f>
        <v>1.9764421265527579E-4</v>
      </c>
      <c r="K72" s="5">
        <f t="shared" ref="K72:K77" si="58">4.8836E-20*3.7558*A72^(3.7558-1)*0.001</f>
        <v>8.2479125987853886E-9</v>
      </c>
      <c r="L72" s="5">
        <f t="shared" ref="L72:L77" si="59">C72*$B$1/2</f>
        <v>0.31720000000000004</v>
      </c>
      <c r="M72" s="10">
        <f t="shared" ref="M72:M77" si="60">1.1319E-20*A72^3.9229*0.001</f>
        <v>3.0818109945302409E-4</v>
      </c>
      <c r="N72" s="5">
        <f t="shared" si="54"/>
        <v>3.1142356468799419E-4</v>
      </c>
      <c r="O72" s="11">
        <f t="shared" ref="O72:O77" si="61">J72/N72</f>
        <v>0.63464758311815461</v>
      </c>
      <c r="P72" s="11">
        <f t="shared" ref="P72:P77" si="62">J72/$B$3</f>
        <v>5.8696903259466554E-2</v>
      </c>
      <c r="Q72" s="5">
        <v>0.76387032923223896</v>
      </c>
      <c r="R72" s="5">
        <v>0.591276136824471</v>
      </c>
      <c r="S72" s="5">
        <f t="shared" ref="S72:S77" si="63">Q72*$B$4*SQRT(PI()*$J72)</f>
        <v>3.8068575333213475</v>
      </c>
      <c r="T72" s="5">
        <f t="shared" ref="T72:T77" si="64">R72*$B$4*SQRT(PI()*$J72)</f>
        <v>2.9467095783203803</v>
      </c>
    </row>
    <row r="73" spans="1:20" x14ac:dyDescent="0.25">
      <c r="A73" s="4">
        <v>91000</v>
      </c>
      <c r="B73" s="5">
        <v>30</v>
      </c>
      <c r="C73" s="5">
        <v>106</v>
      </c>
      <c r="I73" s="5">
        <f t="shared" si="53"/>
        <v>0.18300000000000002</v>
      </c>
      <c r="J73" s="5">
        <f t="shared" si="57"/>
        <v>2.0601922368417759E-4</v>
      </c>
      <c r="K73" s="5">
        <f t="shared" si="58"/>
        <v>8.5029340693739925E-9</v>
      </c>
      <c r="L73" s="5">
        <f t="shared" si="59"/>
        <v>0.32330000000000003</v>
      </c>
      <c r="M73" s="10">
        <f t="shared" si="60"/>
        <v>3.2183371457442052E-4</v>
      </c>
      <c r="N73" s="5">
        <f t="shared" si="54"/>
        <v>3.255515957729789E-4</v>
      </c>
      <c r="O73" s="11">
        <f t="shared" si="61"/>
        <v>0.63283125120309236</v>
      </c>
      <c r="P73" s="11">
        <f t="shared" si="62"/>
        <v>6.1184136280641947E-2</v>
      </c>
      <c r="Q73" s="5">
        <v>0.76811858863369398</v>
      </c>
      <c r="R73" s="5">
        <v>0.59576084122249795</v>
      </c>
      <c r="S73" s="5">
        <f t="shared" si="63"/>
        <v>3.908292690788068</v>
      </c>
      <c r="T73" s="5">
        <f t="shared" si="64"/>
        <v>3.0313128410931189</v>
      </c>
    </row>
    <row r="74" spans="1:20" x14ac:dyDescent="0.25">
      <c r="A74" s="4">
        <v>92000</v>
      </c>
      <c r="B74" s="5">
        <v>33</v>
      </c>
      <c r="C74" s="5">
        <v>106</v>
      </c>
      <c r="I74" s="5">
        <f t="shared" si="53"/>
        <v>0.20130000000000001</v>
      </c>
      <c r="J74" s="5">
        <f t="shared" si="57"/>
        <v>2.1465173689582149E-4</v>
      </c>
      <c r="K74" s="5">
        <f t="shared" si="58"/>
        <v>8.7629238416666204E-9</v>
      </c>
      <c r="L74" s="5">
        <f t="shared" si="59"/>
        <v>0.32330000000000003</v>
      </c>
      <c r="M74" s="10">
        <f t="shared" si="60"/>
        <v>3.3593196306532977E-4</v>
      </c>
      <c r="N74" s="5">
        <f t="shared" si="54"/>
        <v>3.4018984589436884E-4</v>
      </c>
      <c r="O74" s="11">
        <f t="shared" si="61"/>
        <v>0.63097631950623312</v>
      </c>
      <c r="P74" s="11">
        <f t="shared" si="62"/>
        <v>6.3747842984028705E-2</v>
      </c>
      <c r="Q74" s="5">
        <v>0.77240212632079697</v>
      </c>
      <c r="R74" s="5">
        <v>0.60033526083021305</v>
      </c>
      <c r="S74" s="5">
        <f t="shared" si="63"/>
        <v>4.0115812815174943</v>
      </c>
      <c r="T74" s="5">
        <f t="shared" si="64"/>
        <v>3.1179273242719994</v>
      </c>
    </row>
    <row r="75" spans="1:20" x14ac:dyDescent="0.25">
      <c r="A75" s="4">
        <v>95000</v>
      </c>
      <c r="B75" s="5">
        <v>38</v>
      </c>
      <c r="C75" s="5">
        <v>110</v>
      </c>
      <c r="I75" s="5">
        <f t="shared" si="53"/>
        <v>0.23180000000000001</v>
      </c>
      <c r="J75" s="5">
        <f t="shared" si="57"/>
        <v>2.4214438444654593E-4</v>
      </c>
      <c r="K75" s="5">
        <f t="shared" si="58"/>
        <v>9.573114516887755E-9</v>
      </c>
      <c r="L75" s="5">
        <f t="shared" si="59"/>
        <v>0.33550000000000002</v>
      </c>
      <c r="M75" s="10">
        <f t="shared" si="60"/>
        <v>3.8099562713933099E-4</v>
      </c>
      <c r="N75" s="5">
        <f t="shared" si="54"/>
        <v>3.8734866936872622E-4</v>
      </c>
      <c r="O75" s="11">
        <f t="shared" si="61"/>
        <v>0.62513286760782194</v>
      </c>
      <c r="P75" s="11">
        <f t="shared" si="62"/>
        <v>7.1912682479967308E-2</v>
      </c>
      <c r="Q75" s="5">
        <v>0.78545907684053595</v>
      </c>
      <c r="R75" s="5">
        <v>0.61458259601669896</v>
      </c>
      <c r="S75" s="5">
        <f t="shared" si="63"/>
        <v>4.3327705995195496</v>
      </c>
      <c r="T75" s="5">
        <f t="shared" si="64"/>
        <v>3.390177135273166</v>
      </c>
    </row>
    <row r="76" spans="1:20" x14ac:dyDescent="0.25">
      <c r="A76" s="4">
        <v>100000</v>
      </c>
      <c r="B76" s="5">
        <v>51</v>
      </c>
      <c r="C76" s="5">
        <v>162</v>
      </c>
      <c r="I76" s="5">
        <f t="shared" si="53"/>
        <v>0.31110000000000004</v>
      </c>
      <c r="J76" s="5">
        <f t="shared" si="57"/>
        <v>2.9358920643733394E-4</v>
      </c>
      <c r="K76" s="5">
        <f t="shared" si="58"/>
        <v>1.1026623415373368E-8</v>
      </c>
      <c r="L76" s="5">
        <f t="shared" si="59"/>
        <v>0.49410000000000004</v>
      </c>
      <c r="M76" s="10">
        <f t="shared" si="60"/>
        <v>4.6591646681199935E-4</v>
      </c>
      <c r="N76" s="5">
        <f t="shared" si="54"/>
        <v>4.7806005345308943E-4</v>
      </c>
      <c r="O76" s="11">
        <f t="shared" si="61"/>
        <v>0.61412620510059612</v>
      </c>
      <c r="P76" s="11">
        <f t="shared" si="62"/>
        <v>8.7190902363190159E-2</v>
      </c>
      <c r="Q76" s="5">
        <v>0.80799347502632402</v>
      </c>
      <c r="R76" s="5">
        <v>0.64009629396358103</v>
      </c>
      <c r="S76" s="5">
        <f t="shared" si="63"/>
        <v>4.9077544800561643</v>
      </c>
      <c r="T76" s="5">
        <f t="shared" si="64"/>
        <v>3.8879465632624899</v>
      </c>
    </row>
    <row r="77" spans="1:20" x14ac:dyDescent="0.25">
      <c r="A77" s="4">
        <v>105000</v>
      </c>
      <c r="B77" s="5">
        <v>64</v>
      </c>
      <c r="C77" s="5">
        <v>192</v>
      </c>
      <c r="I77" s="5">
        <f t="shared" si="53"/>
        <v>0.39040000000000002</v>
      </c>
      <c r="J77" s="5">
        <f t="shared" si="57"/>
        <v>3.5263292093308936E-4</v>
      </c>
      <c r="K77" s="5">
        <f t="shared" si="58"/>
        <v>1.2613511661338039E-8</v>
      </c>
      <c r="L77" s="5">
        <f t="shared" si="59"/>
        <v>0.58560000000000001</v>
      </c>
      <c r="M77" s="10">
        <f t="shared" si="60"/>
        <v>5.6419802459343495E-4</v>
      </c>
      <c r="N77" s="5">
        <f t="shared" si="54"/>
        <v>5.870099515410971E-4</v>
      </c>
      <c r="O77" s="11">
        <f t="shared" si="61"/>
        <v>0.60072733010285462</v>
      </c>
      <c r="P77" s="11">
        <f t="shared" si="62"/>
        <v>0.10472586152681436</v>
      </c>
      <c r="Q77" s="5">
        <v>0.83195318675760999</v>
      </c>
      <c r="R77" s="5">
        <v>0.66807166055209799</v>
      </c>
      <c r="S77" s="5">
        <f t="shared" si="63"/>
        <v>5.5381568162273256</v>
      </c>
      <c r="T77" s="5">
        <f t="shared" si="64"/>
        <v>4.4472281367591817</v>
      </c>
    </row>
    <row r="78" spans="1:20" x14ac:dyDescent="0.25">
      <c r="B78" t="s">
        <v>34</v>
      </c>
    </row>
    <row r="79" spans="1:20" x14ac:dyDescent="0.25">
      <c r="A79" s="1" t="s">
        <v>0</v>
      </c>
      <c r="B79" s="2" t="s">
        <v>40</v>
      </c>
      <c r="C79" s="2" t="s">
        <v>41</v>
      </c>
      <c r="I79" s="2" t="s">
        <v>43</v>
      </c>
      <c r="J79" s="2" t="s">
        <v>54</v>
      </c>
      <c r="K79" s="2" t="s">
        <v>55</v>
      </c>
      <c r="L79" s="2" t="s">
        <v>44</v>
      </c>
      <c r="M79" s="2" t="s">
        <v>56</v>
      </c>
      <c r="N79" s="2" t="s">
        <v>57</v>
      </c>
      <c r="O79" s="2" t="s">
        <v>51</v>
      </c>
      <c r="P79" s="2" t="s">
        <v>49</v>
      </c>
      <c r="Q79" s="2" t="s">
        <v>46</v>
      </c>
      <c r="R79" s="2" t="s">
        <v>47</v>
      </c>
      <c r="S79" s="2" t="s">
        <v>48</v>
      </c>
      <c r="T79" s="2" t="s">
        <v>50</v>
      </c>
    </row>
    <row r="80" spans="1:20" x14ac:dyDescent="0.25">
      <c r="A80" s="4">
        <v>0</v>
      </c>
      <c r="B80" s="5"/>
      <c r="C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25">
      <c r="A81" s="4">
        <v>20000</v>
      </c>
      <c r="B81" s="5"/>
      <c r="C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x14ac:dyDescent="0.25">
      <c r="A82" s="4">
        <v>50000</v>
      </c>
      <c r="B82" s="5"/>
      <c r="C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25">
      <c r="A83" s="4">
        <v>80000</v>
      </c>
      <c r="B83" s="5"/>
      <c r="C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x14ac:dyDescent="0.25">
      <c r="A84" s="4">
        <v>90000</v>
      </c>
      <c r="B84" s="5"/>
      <c r="C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x14ac:dyDescent="0.25">
      <c r="A85" s="4">
        <v>91000</v>
      </c>
      <c r="B85" s="5"/>
      <c r="C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x14ac:dyDescent="0.25">
      <c r="A86" s="4">
        <v>92000</v>
      </c>
      <c r="B86" s="5"/>
      <c r="C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x14ac:dyDescent="0.25">
      <c r="A87" s="4">
        <v>95000</v>
      </c>
      <c r="B87" s="5">
        <v>22</v>
      </c>
      <c r="C87" s="5">
        <v>64</v>
      </c>
      <c r="I87" s="5">
        <f t="shared" ref="I87:I89" si="65">B87*$B$1</f>
        <v>0.13420000000000001</v>
      </c>
      <c r="J87" s="5">
        <f>8.8645E-29*A87^5.4602*0.001</f>
        <v>1.3397404622810059E-4</v>
      </c>
      <c r="K87" s="5">
        <f>8.8645E-29*5.4602*A87^(5.4602-1)*0.001</f>
        <v>7.7002640759439691E-9</v>
      </c>
      <c r="L87" s="5">
        <f>C87*$B$1/2</f>
        <v>0.19520000000000001</v>
      </c>
      <c r="M87" s="10">
        <f>1.108E-32*A87^6.2764*0.001</f>
        <v>1.9351926087908002E-4</v>
      </c>
      <c r="N87" s="5">
        <f t="shared" ref="N87" si="66">2*J87*M87/SQRT(-2*$B$3*$B$3+2*$B$3*SQRT($B$3*$B$3-4*M87*M87)+4*J87*J87+4*M87*M87)</f>
        <v>1.9419404055082758E-4</v>
      </c>
      <c r="O87" s="11">
        <f t="shared" ref="O87" si="67">J87/N87</f>
        <v>0.68989782512422027</v>
      </c>
      <c r="P87" s="11">
        <f t="shared" ref="P87" si="68">J87/$B$3</f>
        <v>3.9787968112408104E-2</v>
      </c>
      <c r="Q87" s="5">
        <v>0.71332595218198303</v>
      </c>
      <c r="R87" s="5">
        <v>0.56305446065839404</v>
      </c>
      <c r="S87" s="5">
        <f>Q87*$B$4*SQRT(PI()*$J87)</f>
        <v>2.9268690602115757</v>
      </c>
      <c r="T87" s="5">
        <f>R87*$B$4*SQRT(PI()*$J87)</f>
        <v>2.3102856065648045</v>
      </c>
    </row>
    <row r="88" spans="1:20" x14ac:dyDescent="0.25">
      <c r="A88" s="4">
        <v>100000</v>
      </c>
      <c r="B88" s="5">
        <v>29</v>
      </c>
      <c r="C88" s="5">
        <v>86</v>
      </c>
      <c r="I88" s="5">
        <f t="shared" si="65"/>
        <v>0.1769</v>
      </c>
      <c r="J88" s="5">
        <f t="shared" ref="J88:J89" si="69">8.8645E-29*A88^5.4602*0.001</f>
        <v>1.7727775543359574E-4</v>
      </c>
      <c r="K88" s="5">
        <f t="shared" ref="K88:K89" si="70">8.8645E-29*5.4602*A88^(5.4602-1)*0.001</f>
        <v>9.679720002185176E-9</v>
      </c>
      <c r="L88" s="5">
        <f>C88*$B$1/2</f>
        <v>0.26230000000000003</v>
      </c>
      <c r="M88" s="10">
        <f t="shared" ref="M88:M89" si="71">1.108E-32*A88^6.2764*0.001</f>
        <v>2.670175214984728E-4</v>
      </c>
      <c r="N88" s="5">
        <f t="shared" ref="N88:N89" si="72">2*J88*M88/SQRT(-2*$B$3*$B$3+2*$B$3*SQRT($B$3*$B$3-4*M88*M88)+4*J88*J88+4*M88*M88)</f>
        <v>2.6896770051710683E-4</v>
      </c>
      <c r="O88" s="11">
        <f t="shared" ref="O88:O89" si="73">J88/N88</f>
        <v>0.65910425338346734</v>
      </c>
      <c r="P88" s="11">
        <f t="shared" ref="P88:P89" si="74">J88/$B$3</f>
        <v>5.2648418696126076E-2</v>
      </c>
      <c r="Q88" s="5">
        <v>0.745122518286362</v>
      </c>
      <c r="R88" s="5">
        <v>0.58273691478683398</v>
      </c>
      <c r="S88" s="5">
        <f t="shared" ref="S88:S89" si="75">Q88*$B$4*SQRT(PI()*$J88)</f>
        <v>3.516897755689611</v>
      </c>
      <c r="T88" s="5">
        <f t="shared" ref="T88:T89" si="76">R88*$B$4*SQRT(PI()*$J88)</f>
        <v>2.7504552573241101</v>
      </c>
    </row>
    <row r="89" spans="1:20" x14ac:dyDescent="0.25">
      <c r="A89" s="4">
        <v>105000</v>
      </c>
      <c r="B89" s="5">
        <v>38</v>
      </c>
      <c r="C89" s="5">
        <v>120</v>
      </c>
      <c r="I89" s="5">
        <f t="shared" si="65"/>
        <v>0.23180000000000001</v>
      </c>
      <c r="J89" s="5">
        <f t="shared" si="69"/>
        <v>2.313939795084728E-4</v>
      </c>
      <c r="K89" s="5">
        <f t="shared" si="70"/>
        <v>1.2032927684877718E-8</v>
      </c>
      <c r="L89" s="5">
        <f>C89*$B$1/2</f>
        <v>0.36600000000000005</v>
      </c>
      <c r="M89" s="10">
        <f t="shared" si="71"/>
        <v>3.6268724041706841E-4</v>
      </c>
      <c r="N89" s="5">
        <f t="shared" si="72"/>
        <v>3.6809829740728009E-4</v>
      </c>
      <c r="O89" s="11">
        <f t="shared" si="73"/>
        <v>0.6286200755024095</v>
      </c>
      <c r="P89" s="11">
        <f t="shared" si="74"/>
        <v>6.8719998666094309E-2</v>
      </c>
      <c r="Q89" s="5">
        <v>0.77993341547518702</v>
      </c>
      <c r="R89" s="5">
        <v>0.60916264639732698</v>
      </c>
      <c r="S89" s="5">
        <f t="shared" si="75"/>
        <v>4.205701905528243</v>
      </c>
      <c r="T89" s="5">
        <f t="shared" si="76"/>
        <v>3.2848400285157062</v>
      </c>
    </row>
    <row r="90" spans="1:20" x14ac:dyDescent="0.25">
      <c r="B90" t="s">
        <v>35</v>
      </c>
    </row>
    <row r="91" spans="1:20" x14ac:dyDescent="0.25">
      <c r="A91" s="1" t="s">
        <v>0</v>
      </c>
      <c r="B91" s="2" t="s">
        <v>40</v>
      </c>
      <c r="C91" s="2" t="s">
        <v>41</v>
      </c>
      <c r="I91" s="2" t="s">
        <v>43</v>
      </c>
      <c r="J91" s="2" t="s">
        <v>54</v>
      </c>
      <c r="K91" s="2" t="s">
        <v>55</v>
      </c>
      <c r="L91" s="2" t="s">
        <v>44</v>
      </c>
      <c r="M91" s="2" t="s">
        <v>56</v>
      </c>
      <c r="N91" s="2" t="s">
        <v>57</v>
      </c>
      <c r="O91" s="2" t="s">
        <v>51</v>
      </c>
      <c r="P91" s="2" t="s">
        <v>49</v>
      </c>
      <c r="Q91" s="2" t="s">
        <v>46</v>
      </c>
      <c r="R91" s="2" t="s">
        <v>47</v>
      </c>
      <c r="S91" s="2" t="s">
        <v>48</v>
      </c>
      <c r="T91" s="2" t="s">
        <v>50</v>
      </c>
    </row>
    <row r="92" spans="1:20" x14ac:dyDescent="0.25">
      <c r="A92" s="4">
        <v>0</v>
      </c>
      <c r="B92" s="5"/>
      <c r="C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x14ac:dyDescent="0.25">
      <c r="A93" s="4">
        <v>20000</v>
      </c>
      <c r="B93" s="5"/>
      <c r="C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x14ac:dyDescent="0.25">
      <c r="A94" s="4">
        <v>50000</v>
      </c>
      <c r="B94" s="5"/>
      <c r="C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x14ac:dyDescent="0.25">
      <c r="A95" s="4">
        <v>80000</v>
      </c>
      <c r="B95" s="5"/>
      <c r="C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x14ac:dyDescent="0.25">
      <c r="A96" s="4">
        <v>90000</v>
      </c>
      <c r="B96" s="5">
        <v>18</v>
      </c>
      <c r="C96" s="5">
        <v>56</v>
      </c>
      <c r="I96" s="5">
        <f t="shared" ref="I96:I101" si="77">B96*$B$1</f>
        <v>0.10980000000000001</v>
      </c>
      <c r="J96" s="5">
        <f>1.8044E-20*A96^3.7923*0.001</f>
        <v>1.1074055276406857E-4</v>
      </c>
      <c r="K96" s="5">
        <f>1.8044E-20*3.7923*A96^(3.7923-1)*0.001</f>
        <v>4.6662377583019543E-9</v>
      </c>
      <c r="L96" s="5">
        <f t="shared" ref="L96:L101" si="78">C96*$B$1/2</f>
        <v>0.17080000000000001</v>
      </c>
      <c r="M96" s="10">
        <f>0.00000082622*A96^1.0743*0.001</f>
        <v>1.7355552013322649E-4</v>
      </c>
      <c r="N96" s="5">
        <f t="shared" ref="N96" si="79">2*J96*M96/SQRT(-2*$B$3*$B$3+2*$B$3*SQRT($B$3*$B$3-4*M96*M96)+4*J96*J96+4*M96*M96)</f>
        <v>1.7412761892601335E-4</v>
      </c>
      <c r="O96" s="11">
        <f t="shared" ref="O96" si="80">J96/N96</f>
        <v>0.63597350866620483</v>
      </c>
      <c r="P96" s="11">
        <f t="shared" ref="P96" si="81">J96/$B$3</f>
        <v>3.2888023510355358E-2</v>
      </c>
      <c r="Q96" s="5">
        <v>0.72020240904270505</v>
      </c>
      <c r="R96" s="5">
        <v>0.53772073444413704</v>
      </c>
      <c r="S96" s="5">
        <f>Q96*$B$4*SQRT(PI()*$J96)</f>
        <v>2.6866608400884568</v>
      </c>
      <c r="T96" s="5">
        <f>R96*$B$4*SQRT(PI()*$J96)</f>
        <v>2.0059266978222561</v>
      </c>
    </row>
    <row r="97" spans="1:20" x14ac:dyDescent="0.25">
      <c r="A97" s="4">
        <v>91000</v>
      </c>
      <c r="B97" s="5">
        <v>18</v>
      </c>
      <c r="C97" s="5">
        <v>58</v>
      </c>
      <c r="I97" s="5">
        <f t="shared" si="77"/>
        <v>0.10980000000000001</v>
      </c>
      <c r="J97" s="5">
        <f t="shared" ref="J97:J101" si="82">1.8044E-20*A97^3.7923*0.001</f>
        <v>1.1547965839985597E-4</v>
      </c>
      <c r="K97" s="5">
        <f t="shared" ref="K97:K101" si="83">1.8044E-20*3.7923*A97^(3.7923-1)*0.001</f>
        <v>4.812456137909614E-9</v>
      </c>
      <c r="L97" s="5">
        <f t="shared" si="78"/>
        <v>0.1769</v>
      </c>
      <c r="M97" s="10">
        <f t="shared" ref="M97:M101" si="84">0.00000082622*A97^1.0743*0.001</f>
        <v>1.7562804675008288E-4</v>
      </c>
      <c r="N97" s="5">
        <f t="shared" ref="N97:N101" si="85">2*J97*M97/SQRT(-2*$B$3*$B$3+2*$B$3*SQRT($B$3*$B$3-4*M97*M97)+4*J97*J97+4*M97*M97)</f>
        <v>1.7618629851200827E-4</v>
      </c>
      <c r="O97" s="11">
        <f t="shared" ref="O97:O101" si="86">J97/N97</f>
        <v>0.65544062946520931</v>
      </c>
      <c r="P97" s="11">
        <f t="shared" ref="P97:P101" si="87">J97/$B$3</f>
        <v>3.4295455690144916E-2</v>
      </c>
      <c r="Q97" s="5">
        <v>0.71590556133390004</v>
      </c>
      <c r="R97" s="5">
        <v>0.54503520533620398</v>
      </c>
      <c r="S97" s="5">
        <f t="shared" ref="S97:S101" si="88">Q97*$B$4*SQRT(PI()*$J97)</f>
        <v>2.7271775516924346</v>
      </c>
      <c r="T97" s="5">
        <f t="shared" ref="T97:T101" si="89">R97*$B$4*SQRT(PI()*$J97)</f>
        <v>2.0762623691670248</v>
      </c>
    </row>
    <row r="98" spans="1:20" x14ac:dyDescent="0.25">
      <c r="A98" s="4">
        <v>92000</v>
      </c>
      <c r="B98" s="5">
        <v>19</v>
      </c>
      <c r="C98" s="5">
        <v>59</v>
      </c>
      <c r="I98" s="5">
        <f t="shared" si="77"/>
        <v>0.1159</v>
      </c>
      <c r="J98" s="5">
        <f t="shared" si="82"/>
        <v>1.2036643451149511E-4</v>
      </c>
      <c r="K98" s="5">
        <f t="shared" si="83"/>
        <v>4.9615829304124064E-9</v>
      </c>
      <c r="L98" s="5">
        <f t="shared" si="78"/>
        <v>0.17995</v>
      </c>
      <c r="M98" s="10">
        <f t="shared" si="84"/>
        <v>1.777022662745886E-4</v>
      </c>
      <c r="N98" s="5">
        <f t="shared" si="85"/>
        <v>1.7824715710041246E-4</v>
      </c>
      <c r="O98" s="11">
        <f t="shared" si="86"/>
        <v>0.67527828476775509</v>
      </c>
      <c r="P98" s="11">
        <f t="shared" si="87"/>
        <v>3.5746743440097144E-2</v>
      </c>
      <c r="Q98" s="5">
        <v>0.71155993256623795</v>
      </c>
      <c r="R98" s="5">
        <v>0.55222399822366997</v>
      </c>
      <c r="S98" s="5">
        <f t="shared" si="88"/>
        <v>2.767382022429286</v>
      </c>
      <c r="T98" s="5">
        <f t="shared" si="89"/>
        <v>2.1476964835930348</v>
      </c>
    </row>
    <row r="99" spans="1:20" x14ac:dyDescent="0.25">
      <c r="A99" s="4">
        <v>95000</v>
      </c>
      <c r="B99" s="5">
        <v>26</v>
      </c>
      <c r="C99" s="5">
        <v>61</v>
      </c>
      <c r="I99" s="5">
        <f t="shared" si="77"/>
        <v>0.15860000000000002</v>
      </c>
      <c r="J99" s="5">
        <f t="shared" si="82"/>
        <v>1.3594212261574881E-4</v>
      </c>
      <c r="K99" s="5">
        <f t="shared" si="83"/>
        <v>5.426666437849534E-9</v>
      </c>
      <c r="L99" s="5">
        <f t="shared" si="78"/>
        <v>0.18605000000000002</v>
      </c>
      <c r="M99" s="10">
        <f t="shared" si="84"/>
        <v>1.8393491363297713E-4</v>
      </c>
      <c r="N99" s="5">
        <f t="shared" si="85"/>
        <v>1.8444242175842256E-4</v>
      </c>
      <c r="O99" s="11">
        <f t="shared" si="86"/>
        <v>0.73704368723699543</v>
      </c>
      <c r="P99" s="11">
        <f t="shared" si="87"/>
        <v>4.0372452665641718E-2</v>
      </c>
      <c r="Q99" s="5">
        <v>0.697885070229324</v>
      </c>
      <c r="R99" s="5">
        <v>0.57269043656375895</v>
      </c>
      <c r="S99" s="5">
        <f t="shared" si="88"/>
        <v>2.8844689146144238</v>
      </c>
      <c r="T99" s="5">
        <f t="shared" si="89"/>
        <v>2.3670197750788846</v>
      </c>
    </row>
    <row r="100" spans="1:20" x14ac:dyDescent="0.25">
      <c r="A100" s="4">
        <v>100000</v>
      </c>
      <c r="B100" s="5">
        <v>26</v>
      </c>
      <c r="C100" s="5">
        <v>62</v>
      </c>
      <c r="I100" s="5">
        <f t="shared" si="77"/>
        <v>0.15860000000000002</v>
      </c>
      <c r="J100" s="5">
        <f t="shared" si="82"/>
        <v>1.6513259982471325E-4</v>
      </c>
      <c r="K100" s="5">
        <f t="shared" si="83"/>
        <v>6.2623235831525881E-9</v>
      </c>
      <c r="L100" s="5">
        <f t="shared" si="78"/>
        <v>0.18910000000000002</v>
      </c>
      <c r="M100" s="10">
        <f t="shared" si="84"/>
        <v>1.9435499362278183E-4</v>
      </c>
      <c r="N100" s="5">
        <f t="shared" si="85"/>
        <v>1.9480806850488908E-4</v>
      </c>
      <c r="O100" s="11">
        <f t="shared" si="86"/>
        <v>0.8476681745888206</v>
      </c>
      <c r="P100" s="11">
        <f t="shared" si="87"/>
        <v>4.9041518123281433E-2</v>
      </c>
      <c r="Q100" s="5">
        <v>0.67070941672044404</v>
      </c>
      <c r="R100" s="5">
        <v>0.60103169857417404</v>
      </c>
      <c r="S100" s="5">
        <f t="shared" si="88"/>
        <v>3.0553132612786627</v>
      </c>
      <c r="T100" s="5">
        <f t="shared" si="89"/>
        <v>2.7379071671330246</v>
      </c>
    </row>
    <row r="101" spans="1:20" x14ac:dyDescent="0.25">
      <c r="A101" s="4">
        <v>105000</v>
      </c>
      <c r="B101" s="5">
        <v>32</v>
      </c>
      <c r="C101" s="5">
        <v>68</v>
      </c>
      <c r="I101" s="5">
        <f t="shared" si="77"/>
        <v>0.19520000000000001</v>
      </c>
      <c r="J101" s="5">
        <f t="shared" si="82"/>
        <v>1.9869594188839319E-4</v>
      </c>
      <c r="K101" s="5">
        <f t="shared" si="83"/>
        <v>7.1763297183176376E-9</v>
      </c>
      <c r="L101" s="5">
        <f t="shared" si="78"/>
        <v>0.2074</v>
      </c>
      <c r="M101" s="10">
        <f t="shared" si="84"/>
        <v>2.0481387180694335E-4</v>
      </c>
      <c r="N101" s="5">
        <f t="shared" si="85"/>
        <v>2.0522066624355554E-4</v>
      </c>
      <c r="O101" s="11">
        <f t="shared" si="86"/>
        <v>0.96820629971340788</v>
      </c>
      <c r="P101" s="11">
        <f t="shared" si="87"/>
        <v>5.900924860073449E-2</v>
      </c>
      <c r="Q101" s="5">
        <v>0.63324107392490803</v>
      </c>
      <c r="R101" s="5">
        <v>0.61804152056763695</v>
      </c>
      <c r="S101" s="5">
        <f t="shared" si="88"/>
        <v>3.1642333781208447</v>
      </c>
      <c r="T101" s="5">
        <f t="shared" si="89"/>
        <v>3.0882829446350515</v>
      </c>
    </row>
    <row r="102" spans="1:20" x14ac:dyDescent="0.25">
      <c r="B102" t="s">
        <v>36</v>
      </c>
    </row>
    <row r="103" spans="1:20" x14ac:dyDescent="0.25">
      <c r="A103" s="1" t="s">
        <v>0</v>
      </c>
      <c r="B103" s="2" t="s">
        <v>40</v>
      </c>
      <c r="C103" s="2" t="s">
        <v>41</v>
      </c>
      <c r="I103" s="2" t="s">
        <v>43</v>
      </c>
      <c r="J103" s="2" t="s">
        <v>54</v>
      </c>
      <c r="K103" s="2" t="s">
        <v>55</v>
      </c>
      <c r="L103" s="2" t="s">
        <v>44</v>
      </c>
      <c r="M103" s="2" t="s">
        <v>56</v>
      </c>
      <c r="N103" s="2" t="s">
        <v>57</v>
      </c>
      <c r="O103" s="2" t="s">
        <v>51</v>
      </c>
      <c r="P103" s="2" t="s">
        <v>49</v>
      </c>
      <c r="Q103" s="2" t="s">
        <v>46</v>
      </c>
      <c r="R103" s="2" t="s">
        <v>47</v>
      </c>
      <c r="S103" s="2" t="s">
        <v>48</v>
      </c>
      <c r="T103" s="2" t="s">
        <v>50</v>
      </c>
    </row>
    <row r="104" spans="1:20" x14ac:dyDescent="0.25">
      <c r="A104" s="4">
        <v>0</v>
      </c>
      <c r="B104" s="5"/>
      <c r="C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x14ac:dyDescent="0.25">
      <c r="A105" s="4">
        <v>20000</v>
      </c>
      <c r="B105" s="5"/>
      <c r="C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x14ac:dyDescent="0.25">
      <c r="A106" s="4">
        <v>50000</v>
      </c>
      <c r="B106" s="5"/>
      <c r="C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25">
      <c r="A107" s="4">
        <v>80000</v>
      </c>
      <c r="B107" s="5">
        <v>21</v>
      </c>
      <c r="C107" s="5">
        <v>52</v>
      </c>
      <c r="I107" s="5">
        <f t="shared" ref="I107:I113" si="90">B107*$B$1</f>
        <v>0.12810000000000002</v>
      </c>
      <c r="J107" s="5">
        <f>0.00000000000021592*A107^2.399*0.001</f>
        <v>1.2496999439438303E-4</v>
      </c>
      <c r="K107" s="5">
        <f>0.00000000000021592*2.399*A107^(2.399-1)*0.001</f>
        <v>3.7475377069015572E-9</v>
      </c>
      <c r="L107" s="5">
        <f>C107*$B$1/2</f>
        <v>0.15860000000000002</v>
      </c>
      <c r="M107" s="10">
        <f>0.00000000003019*A107^1.9854*0.001</f>
        <v>1.6385434912829708E-4</v>
      </c>
      <c r="N107" s="5">
        <f t="shared" ref="N107" si="91">2*J107*M107/SQRT(-2*$B$3*$B$3+2*$B$3*SQRT($B$3*$B$3-4*M107*M107)+4*J107*J107+4*M107*M107)</f>
        <v>1.6419048082251162E-4</v>
      </c>
      <c r="O107" s="11">
        <f t="shared" ref="O107" si="92">J107/N107</f>
        <v>0.76112813464182749</v>
      </c>
      <c r="P107" s="11">
        <f t="shared" ref="P107" si="93">J107/$B$3</f>
        <v>3.7113920882152235E-2</v>
      </c>
      <c r="Q107" s="5">
        <v>0.68532651820327095</v>
      </c>
      <c r="R107" s="5">
        <v>0.57208810295405899</v>
      </c>
      <c r="S107" s="5">
        <f>Q107*$B$4*SQRT(PI()*$J107)</f>
        <v>2.7158472761032084</v>
      </c>
      <c r="T107" s="5">
        <f>R107*$B$4*SQRT(PI()*$J107)</f>
        <v>2.2671002432128233</v>
      </c>
    </row>
    <row r="108" spans="1:20" x14ac:dyDescent="0.25">
      <c r="A108" s="4">
        <v>90000</v>
      </c>
      <c r="B108" s="5">
        <v>26</v>
      </c>
      <c r="C108" s="5">
        <v>70</v>
      </c>
      <c r="I108" s="5">
        <f t="shared" si="90"/>
        <v>0.15860000000000002</v>
      </c>
      <c r="J108" s="5">
        <f t="shared" ref="J108:J113" si="94">0.00000000000021592*A108^2.399*0.001</f>
        <v>1.6577561650622392E-4</v>
      </c>
      <c r="K108" s="5">
        <f t="shared" ref="K108:K113" si="95">0.00000000000021592*2.399*A108^(2.399-1)*0.001</f>
        <v>4.4188411555381177E-9</v>
      </c>
      <c r="L108" s="5">
        <f t="shared" ref="L108:L113" si="96">C108*$B$1/2</f>
        <v>0.21350000000000002</v>
      </c>
      <c r="M108" s="10">
        <f t="shared" ref="M108:M113" si="97">0.00000000003019*A108^1.9854*0.001</f>
        <v>2.0702185287488128E-4</v>
      </c>
      <c r="N108" s="5">
        <f t="shared" ref="N108:N113" si="98">2*J108*M108/SQRT(-2*$B$3*$B$3+2*$B$3*SQRT($B$3*$B$3-4*M108*M108)+4*J108*J108+4*M108*M108)</f>
        <v>2.076394623756513E-4</v>
      </c>
      <c r="O108" s="11">
        <f t="shared" ref="O108:O113" si="99">J108/N108</f>
        <v>0.79838203494435311</v>
      </c>
      <c r="P108" s="11">
        <f t="shared" ref="P108:P113" si="100">J108/$B$3</f>
        <v>4.9232482925345662E-2</v>
      </c>
      <c r="Q108" s="5">
        <v>0.68800564945615295</v>
      </c>
      <c r="R108" s="5">
        <v>0.595010392066879</v>
      </c>
      <c r="S108" s="5">
        <f t="shared" ref="S108:S113" si="101">Q108*$B$4*SQRT(PI()*$J108)</f>
        <v>3.1401996600999436</v>
      </c>
      <c r="T108" s="5">
        <f t="shared" ref="T108:T113" si="102">R108*$B$4*SQRT(PI()*$J108)</f>
        <v>2.7157501285073753</v>
      </c>
    </row>
    <row r="109" spans="1:20" x14ac:dyDescent="0.25">
      <c r="A109" s="4">
        <v>91000</v>
      </c>
      <c r="B109" s="5">
        <v>26</v>
      </c>
      <c r="C109" s="5">
        <v>70</v>
      </c>
      <c r="I109" s="5">
        <f t="shared" si="90"/>
        <v>0.15860000000000002</v>
      </c>
      <c r="J109" s="5">
        <f t="shared" si="94"/>
        <v>1.7022885254587637E-4</v>
      </c>
      <c r="K109" s="5">
        <f t="shared" si="95"/>
        <v>4.4876815083248007E-9</v>
      </c>
      <c r="L109" s="5">
        <f t="shared" si="96"/>
        <v>0.21350000000000002</v>
      </c>
      <c r="M109" s="10">
        <f t="shared" si="97"/>
        <v>2.1161375485286422E-4</v>
      </c>
      <c r="N109" s="5">
        <f t="shared" si="98"/>
        <v>2.1226770688821575E-4</v>
      </c>
      <c r="O109" s="11">
        <f t="shared" si="99"/>
        <v>0.80195360397199822</v>
      </c>
      <c r="P109" s="11">
        <f t="shared" si="100"/>
        <v>5.0555016793144558E-2</v>
      </c>
      <c r="Q109" s="5">
        <v>0.68814946130992005</v>
      </c>
      <c r="R109" s="5">
        <v>0.59710317483342601</v>
      </c>
      <c r="S109" s="5">
        <f t="shared" si="101"/>
        <v>3.182762937146336</v>
      </c>
      <c r="T109" s="5">
        <f t="shared" si="102"/>
        <v>2.7616643786869757</v>
      </c>
    </row>
    <row r="110" spans="1:20" x14ac:dyDescent="0.25">
      <c r="A110" s="4">
        <v>92000</v>
      </c>
      <c r="B110" s="5">
        <v>28</v>
      </c>
      <c r="C110" s="5">
        <v>71</v>
      </c>
      <c r="I110" s="5">
        <f t="shared" si="90"/>
        <v>0.17080000000000001</v>
      </c>
      <c r="J110" s="5">
        <f t="shared" si="94"/>
        <v>1.7475108035783124E-4</v>
      </c>
      <c r="K110" s="5">
        <f t="shared" si="95"/>
        <v>4.5568243671569263E-9</v>
      </c>
      <c r="L110" s="5">
        <f t="shared" si="96"/>
        <v>0.21655000000000002</v>
      </c>
      <c r="M110" s="10">
        <f t="shared" si="97"/>
        <v>2.1625565127554624E-4</v>
      </c>
      <c r="N110" s="5">
        <f t="shared" si="98"/>
        <v>2.1694766637315164E-4</v>
      </c>
      <c r="O110" s="11">
        <f t="shared" si="99"/>
        <v>0.80549877894172894</v>
      </c>
      <c r="P110" s="11">
        <f t="shared" si="100"/>
        <v>5.189804002073866E-2</v>
      </c>
      <c r="Q110" s="5">
        <v>0.68826800589158299</v>
      </c>
      <c r="R110" s="5">
        <v>0.59916089979201304</v>
      </c>
      <c r="S110" s="5">
        <f t="shared" si="101"/>
        <v>3.2253173184863204</v>
      </c>
      <c r="T110" s="5">
        <f t="shared" si="102"/>
        <v>2.8077493216551379</v>
      </c>
    </row>
    <row r="111" spans="1:20" x14ac:dyDescent="0.25">
      <c r="A111" s="4">
        <v>95000</v>
      </c>
      <c r="B111" s="5">
        <v>35</v>
      </c>
      <c r="C111" s="5">
        <v>78</v>
      </c>
      <c r="I111" s="5">
        <f t="shared" si="90"/>
        <v>0.21350000000000002</v>
      </c>
      <c r="J111" s="5">
        <f t="shared" si="94"/>
        <v>1.8873471977337098E-4</v>
      </c>
      <c r="K111" s="5">
        <f t="shared" si="95"/>
        <v>4.7660483445928072E-9</v>
      </c>
      <c r="L111" s="5">
        <f t="shared" si="96"/>
        <v>0.23790000000000003</v>
      </c>
      <c r="M111" s="10">
        <f t="shared" si="97"/>
        <v>2.3048122787876733E-4</v>
      </c>
      <c r="N111" s="5">
        <f t="shared" si="98"/>
        <v>2.3129839284641488E-4</v>
      </c>
      <c r="O111" s="11">
        <f t="shared" si="99"/>
        <v>0.81597938252296143</v>
      </c>
      <c r="P111" s="11">
        <f t="shared" si="100"/>
        <v>5.6050938397888737E-2</v>
      </c>
      <c r="Q111" s="5">
        <v>0.68847151237951099</v>
      </c>
      <c r="R111" s="5">
        <v>0.60513504813976104</v>
      </c>
      <c r="S111" s="5">
        <f t="shared" si="101"/>
        <v>3.3528707107673639</v>
      </c>
      <c r="T111" s="5">
        <f t="shared" si="102"/>
        <v>2.9470203813577358</v>
      </c>
    </row>
    <row r="112" spans="1:20" x14ac:dyDescent="0.25">
      <c r="A112" s="4">
        <v>100000</v>
      </c>
      <c r="B112" s="5">
        <v>36</v>
      </c>
      <c r="C112" s="5">
        <v>82</v>
      </c>
      <c r="I112" s="5">
        <f t="shared" si="90"/>
        <v>0.21960000000000002</v>
      </c>
      <c r="J112" s="5">
        <f t="shared" si="94"/>
        <v>2.1344838419832605E-4</v>
      </c>
      <c r="K112" s="5">
        <f t="shared" si="95"/>
        <v>5.1206267369178492E-9</v>
      </c>
      <c r="L112" s="5">
        <f t="shared" si="96"/>
        <v>0.25009999999999999</v>
      </c>
      <c r="M112" s="10">
        <f t="shared" si="97"/>
        <v>2.551896833538922E-4</v>
      </c>
      <c r="N112" s="5">
        <f t="shared" si="98"/>
        <v>2.5625605850082637E-4</v>
      </c>
      <c r="O112" s="11">
        <f t="shared" si="99"/>
        <v>0.83294961081920227</v>
      </c>
      <c r="P112" s="11">
        <f t="shared" si="100"/>
        <v>6.3390468103565578E-2</v>
      </c>
      <c r="Q112" s="5">
        <v>0.68829800652926298</v>
      </c>
      <c r="R112" s="5">
        <v>0.61447565379657998</v>
      </c>
      <c r="S112" s="5">
        <f t="shared" si="101"/>
        <v>3.5647401653218824</v>
      </c>
      <c r="T112" s="5">
        <f t="shared" si="102"/>
        <v>3.1824093966890858</v>
      </c>
    </row>
    <row r="113" spans="1:20" x14ac:dyDescent="0.25">
      <c r="A113" s="4">
        <v>105000</v>
      </c>
      <c r="B113" s="5">
        <v>38</v>
      </c>
      <c r="C113" s="5">
        <v>90</v>
      </c>
      <c r="I113" s="5">
        <f t="shared" si="90"/>
        <v>0.23180000000000001</v>
      </c>
      <c r="J113" s="5">
        <f t="shared" si="94"/>
        <v>2.399528983214831E-4</v>
      </c>
      <c r="K113" s="5">
        <f t="shared" si="95"/>
        <v>5.4823524102213225E-9</v>
      </c>
      <c r="L113" s="5">
        <f t="shared" si="96"/>
        <v>0.27450000000000002</v>
      </c>
      <c r="M113" s="10">
        <f t="shared" si="97"/>
        <v>2.8114628381984932E-4</v>
      </c>
      <c r="N113" s="5">
        <f t="shared" si="98"/>
        <v>2.8252076042506631E-4</v>
      </c>
      <c r="O113" s="11">
        <f t="shared" si="99"/>
        <v>0.84932837487929103</v>
      </c>
      <c r="P113" s="11">
        <f t="shared" si="100"/>
        <v>7.1261849109492487E-2</v>
      </c>
      <c r="Q113" s="5">
        <v>0.68750928559959001</v>
      </c>
      <c r="R113" s="5">
        <v>0.62314955458553101</v>
      </c>
      <c r="S113" s="5">
        <f t="shared" si="101"/>
        <v>3.7752568149157444</v>
      </c>
      <c r="T113" s="5">
        <f t="shared" si="102"/>
        <v>3.421844114598442</v>
      </c>
    </row>
    <row r="114" spans="1:20" x14ac:dyDescent="0.25">
      <c r="B114" t="s">
        <v>37</v>
      </c>
    </row>
    <row r="115" spans="1:20" x14ac:dyDescent="0.25">
      <c r="A115" s="1" t="s">
        <v>0</v>
      </c>
      <c r="B115" s="2" t="s">
        <v>40</v>
      </c>
      <c r="C115" s="2" t="s">
        <v>41</v>
      </c>
      <c r="I115" s="2" t="s">
        <v>43</v>
      </c>
      <c r="J115" s="2" t="s">
        <v>54</v>
      </c>
      <c r="K115" s="2" t="s">
        <v>55</v>
      </c>
      <c r="L115" s="2" t="s">
        <v>44</v>
      </c>
      <c r="M115" s="2" t="s">
        <v>56</v>
      </c>
      <c r="N115" s="2" t="s">
        <v>57</v>
      </c>
      <c r="O115" s="2" t="s">
        <v>51</v>
      </c>
      <c r="P115" s="2" t="s">
        <v>49</v>
      </c>
      <c r="Q115" s="2" t="s">
        <v>46</v>
      </c>
      <c r="R115" s="2" t="s">
        <v>47</v>
      </c>
      <c r="S115" s="2" t="s">
        <v>48</v>
      </c>
      <c r="T115" s="2" t="s">
        <v>50</v>
      </c>
    </row>
    <row r="116" spans="1:20" x14ac:dyDescent="0.25">
      <c r="A116" s="4">
        <v>0</v>
      </c>
      <c r="B116" s="5"/>
      <c r="C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x14ac:dyDescent="0.25">
      <c r="A117" s="4">
        <v>20000</v>
      </c>
      <c r="B117" s="5"/>
      <c r="C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x14ac:dyDescent="0.25">
      <c r="A118" s="4">
        <v>50000</v>
      </c>
      <c r="B118" s="5"/>
      <c r="C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x14ac:dyDescent="0.25">
      <c r="A119" s="4">
        <v>80000</v>
      </c>
      <c r="B119" s="5"/>
      <c r="C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x14ac:dyDescent="0.25">
      <c r="A120" s="4">
        <v>90000</v>
      </c>
      <c r="B120" s="5">
        <v>28</v>
      </c>
      <c r="C120" s="5">
        <v>64</v>
      </c>
      <c r="I120" s="5">
        <f t="shared" ref="I120" si="103">B120*$B$1</f>
        <v>0.17080000000000001</v>
      </c>
      <c r="J120" s="5">
        <f>0.00000000000014698*A120^2.4339*0.001</f>
        <v>1.6803087416386125E-4</v>
      </c>
      <c r="K120" s="5">
        <f>0.00000000000014698*2.4339*A120^(2.4339-1)*0.001</f>
        <v>4.5441149403046891E-9</v>
      </c>
      <c r="L120" s="5">
        <f t="shared" ref="L120" si="104">C120*$B$1/2</f>
        <v>0.19520000000000001</v>
      </c>
      <c r="M120" s="10">
        <f>0.00000000006988*A120^1.9109*0.001</f>
        <v>2.0484006623833542E-4</v>
      </c>
      <c r="N120" s="5">
        <f t="shared" ref="N120" si="105">2*J120*M120/SQRT(-2*$B$3*$B$3+2*$B$3*SQRT($B$3*$B$3-4*M120*M120)+4*J120*J120+4*M120*M120)</f>
        <v>2.0540992909551372E-4</v>
      </c>
      <c r="O120" s="11">
        <f t="shared" ref="O120" si="106">J120/N120</f>
        <v>0.8180270296755151</v>
      </c>
      <c r="P120" s="11">
        <f t="shared" ref="P120" si="107">J120/$B$3</f>
        <v>4.990225533495523E-2</v>
      </c>
      <c r="Q120" s="5">
        <v>0.68176456320994006</v>
      </c>
      <c r="R120" s="5">
        <v>0.59828082030152097</v>
      </c>
      <c r="S120" s="5">
        <f t="shared" ref="S120:T125" si="108">Q120*$B$4*SQRT(PI()*$J120)</f>
        <v>3.1328088652554014</v>
      </c>
      <c r="T120" s="5">
        <f t="shared" si="108"/>
        <v>2.749188735959152</v>
      </c>
    </row>
    <row r="121" spans="1:20" x14ac:dyDescent="0.25">
      <c r="A121" s="4">
        <v>91000</v>
      </c>
      <c r="B121" s="5">
        <v>28</v>
      </c>
      <c r="C121" s="5">
        <v>64</v>
      </c>
      <c r="I121" s="5">
        <f t="shared" ref="I121:I125" si="109">B121*$B$1</f>
        <v>0.17080000000000001</v>
      </c>
      <c r="J121" s="5">
        <f t="shared" ref="J121:J125" si="110">0.00000000000014698*A121^2.4339*0.001</f>
        <v>1.7261124611053463E-4</v>
      </c>
      <c r="K121" s="5">
        <f t="shared" ref="K121:K125" si="111">0.00000000000014698*2.4339*A121^(2.4339-1)*0.001</f>
        <v>4.6166869440486782E-9</v>
      </c>
      <c r="L121" s="5">
        <f t="shared" ref="L121:L125" si="112">C121*$B$1/2</f>
        <v>0.19520000000000001</v>
      </c>
      <c r="M121" s="10">
        <f t="shared" ref="M121:M125" si="113">0.00000000006988*A121^1.9109*0.001</f>
        <v>2.0921127822133462E-4</v>
      </c>
      <c r="N121" s="5">
        <f t="shared" ref="N121:N125" si="114">2*J121*M121/SQRT(-2*$B$3*$B$3+2*$B$3*SQRT($B$3*$B$3-4*M121*M121)+4*J121*J121+4*M121*M121)</f>
        <v>2.0981170303492372E-4</v>
      </c>
      <c r="O121" s="11">
        <f t="shared" ref="O121:O125" si="115">J121/N121</f>
        <v>0.82269598699078772</v>
      </c>
      <c r="P121" s="11">
        <f t="shared" ref="P121:P125" si="116">J121/$B$3</f>
        <v>5.1262546362121228E-2</v>
      </c>
      <c r="Q121" s="5">
        <v>0.68143586114304799</v>
      </c>
      <c r="R121" s="5">
        <v>0.60037805283086199</v>
      </c>
      <c r="S121" s="5">
        <f t="shared" si="108"/>
        <v>3.1736896889602733</v>
      </c>
      <c r="T121" s="5">
        <f t="shared" si="108"/>
        <v>2.7961745842832388</v>
      </c>
    </row>
    <row r="122" spans="1:20" x14ac:dyDescent="0.25">
      <c r="A122" s="4">
        <v>92000</v>
      </c>
      <c r="B122" s="5">
        <v>28</v>
      </c>
      <c r="C122" s="5">
        <v>76</v>
      </c>
      <c r="I122" s="5">
        <f t="shared" si="109"/>
        <v>0.17080000000000001</v>
      </c>
      <c r="J122" s="5">
        <f t="shared" si="110"/>
        <v>1.7726436367309357E-4</v>
      </c>
      <c r="K122" s="5">
        <f t="shared" si="111"/>
        <v>4.6896058124341577E-9</v>
      </c>
      <c r="L122" s="5">
        <f t="shared" si="112"/>
        <v>0.23180000000000001</v>
      </c>
      <c r="M122" s="10">
        <f t="shared" si="113"/>
        <v>2.13626465765978E-4</v>
      </c>
      <c r="N122" s="5">
        <f t="shared" si="114"/>
        <v>2.1425874187777747E-4</v>
      </c>
      <c r="O122" s="11">
        <f t="shared" si="115"/>
        <v>0.82733783517786585</v>
      </c>
      <c r="P122" s="11">
        <f t="shared" si="116"/>
        <v>5.2644441575520777E-2</v>
      </c>
      <c r="Q122" s="5">
        <v>0.68106674628213004</v>
      </c>
      <c r="R122" s="5">
        <v>0.60242118072293904</v>
      </c>
      <c r="S122" s="5">
        <f t="shared" si="108"/>
        <v>3.2144400167052734</v>
      </c>
      <c r="T122" s="5">
        <f t="shared" si="108"/>
        <v>2.8432554676872845</v>
      </c>
    </row>
    <row r="123" spans="1:20" x14ac:dyDescent="0.25">
      <c r="A123" s="4">
        <v>95000</v>
      </c>
      <c r="B123" s="5">
        <v>32</v>
      </c>
      <c r="C123" s="5">
        <v>78</v>
      </c>
      <c r="I123" s="5">
        <f t="shared" si="109"/>
        <v>0.19520000000000001</v>
      </c>
      <c r="J123" s="5">
        <f t="shared" si="110"/>
        <v>1.9166363740356104E-4</v>
      </c>
      <c r="K123" s="5">
        <f t="shared" si="111"/>
        <v>4.9104223902792311E-9</v>
      </c>
      <c r="L123" s="5">
        <f t="shared" si="112"/>
        <v>0.23790000000000003</v>
      </c>
      <c r="M123" s="10">
        <f t="shared" si="113"/>
        <v>2.271354562511161E-4</v>
      </c>
      <c r="N123" s="5">
        <f t="shared" si="114"/>
        <v>2.2787143244962823E-4</v>
      </c>
      <c r="O123" s="11">
        <f t="shared" si="115"/>
        <v>0.84110428123072845</v>
      </c>
      <c r="P123" s="11">
        <f t="shared" si="116"/>
        <v>5.6920776135531308E-2</v>
      </c>
      <c r="Q123" s="5">
        <v>0.67972523314856503</v>
      </c>
      <c r="R123" s="5">
        <v>0.60824789345193997</v>
      </c>
      <c r="S123" s="5">
        <f t="shared" si="108"/>
        <v>3.3358628538603488</v>
      </c>
      <c r="T123" s="5">
        <f t="shared" si="108"/>
        <v>2.985076108336346</v>
      </c>
    </row>
    <row r="124" spans="1:20" x14ac:dyDescent="0.25">
      <c r="A124" s="4">
        <v>100000</v>
      </c>
      <c r="B124" s="5">
        <v>37</v>
      </c>
      <c r="C124" s="5">
        <v>85</v>
      </c>
      <c r="I124" s="5">
        <f t="shared" si="109"/>
        <v>0.22570000000000001</v>
      </c>
      <c r="J124" s="5">
        <f t="shared" si="110"/>
        <v>2.1714920466404117E-4</v>
      </c>
      <c r="K124" s="5">
        <f t="shared" si="111"/>
        <v>5.2851944923181058E-9</v>
      </c>
      <c r="L124" s="5">
        <f t="shared" si="112"/>
        <v>0.25925000000000004</v>
      </c>
      <c r="M124" s="10">
        <f t="shared" si="113"/>
        <v>2.5052605305565719E-4</v>
      </c>
      <c r="N124" s="5">
        <f t="shared" si="114"/>
        <v>2.5146461733103651E-4</v>
      </c>
      <c r="O124" s="11">
        <f t="shared" si="115"/>
        <v>0.86353780889252751</v>
      </c>
      <c r="P124" s="11">
        <f t="shared" si="116"/>
        <v>6.4489547595640642E-2</v>
      </c>
      <c r="Q124" s="5">
        <v>0.67668591691827396</v>
      </c>
      <c r="R124" s="5">
        <v>0.61699363997714096</v>
      </c>
      <c r="S124" s="5">
        <f t="shared" si="108"/>
        <v>3.5348516460644568</v>
      </c>
      <c r="T124" s="5">
        <f t="shared" si="108"/>
        <v>3.2230329157979258</v>
      </c>
    </row>
    <row r="125" spans="1:20" x14ac:dyDescent="0.25">
      <c r="A125" s="4">
        <v>105000</v>
      </c>
      <c r="B125" s="5">
        <v>39</v>
      </c>
      <c r="C125" s="5">
        <v>86</v>
      </c>
      <c r="I125" s="5">
        <f t="shared" si="109"/>
        <v>0.23790000000000003</v>
      </c>
      <c r="J125" s="5">
        <f t="shared" si="110"/>
        <v>2.4452928503462617E-4</v>
      </c>
      <c r="K125" s="5">
        <f t="shared" si="111"/>
        <v>5.6681888271026419E-9</v>
      </c>
      <c r="L125" s="5">
        <f t="shared" si="112"/>
        <v>0.26230000000000003</v>
      </c>
      <c r="M125" s="10">
        <f t="shared" si="113"/>
        <v>2.7500686033892966E-4</v>
      </c>
      <c r="N125" s="5">
        <f t="shared" si="114"/>
        <v>2.761902751180477E-4</v>
      </c>
      <c r="O125" s="11">
        <f t="shared" si="115"/>
        <v>0.88536529727598423</v>
      </c>
      <c r="P125" s="11">
        <f t="shared" si="116"/>
        <v>7.2620956591419025E-2</v>
      </c>
      <c r="Q125" s="5">
        <v>0.67266735510050402</v>
      </c>
      <c r="R125" s="5">
        <v>0.62465723707155196</v>
      </c>
      <c r="S125" s="5">
        <f t="shared" si="108"/>
        <v>3.7288140187646075</v>
      </c>
      <c r="T125" s="5">
        <f t="shared" si="108"/>
        <v>3.4626783132164296</v>
      </c>
    </row>
    <row r="126" spans="1:20" x14ac:dyDescent="0.25">
      <c r="B126" t="s">
        <v>38</v>
      </c>
    </row>
    <row r="127" spans="1:20" x14ac:dyDescent="0.25">
      <c r="A127" s="1" t="s">
        <v>0</v>
      </c>
      <c r="B127" s="2" t="s">
        <v>40</v>
      </c>
      <c r="C127" s="2" t="s">
        <v>41</v>
      </c>
      <c r="I127" s="2" t="s">
        <v>43</v>
      </c>
      <c r="J127" s="2" t="s">
        <v>54</v>
      </c>
      <c r="K127" s="2" t="s">
        <v>55</v>
      </c>
      <c r="L127" s="2" t="s">
        <v>44</v>
      </c>
      <c r="M127" s="2" t="s">
        <v>56</v>
      </c>
      <c r="N127" s="2" t="s">
        <v>57</v>
      </c>
      <c r="O127" s="2" t="s">
        <v>51</v>
      </c>
      <c r="P127" s="2" t="s">
        <v>49</v>
      </c>
      <c r="Q127" s="2" t="s">
        <v>46</v>
      </c>
      <c r="R127" s="2" t="s">
        <v>47</v>
      </c>
      <c r="S127" s="2" t="s">
        <v>48</v>
      </c>
      <c r="T127" s="2" t="s">
        <v>50</v>
      </c>
    </row>
    <row r="128" spans="1:20" x14ac:dyDescent="0.25">
      <c r="A128" s="4">
        <v>0</v>
      </c>
      <c r="B128" s="5"/>
      <c r="C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x14ac:dyDescent="0.25">
      <c r="A129" s="4">
        <v>20000</v>
      </c>
      <c r="B129" s="5"/>
      <c r="C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x14ac:dyDescent="0.25">
      <c r="A130" s="4">
        <v>50000</v>
      </c>
      <c r="B130" s="5"/>
      <c r="C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x14ac:dyDescent="0.25">
      <c r="A131" s="4">
        <v>80000</v>
      </c>
      <c r="B131" s="5">
        <v>28</v>
      </c>
      <c r="C131" s="5">
        <v>66</v>
      </c>
      <c r="I131" s="5">
        <f t="shared" ref="I131:I137" si="117">B131*$B$1</f>
        <v>0.17080000000000001</v>
      </c>
      <c r="J131" s="5">
        <f>0.000000000000007719*A131^2.723*0.001</f>
        <v>1.7325073091808242E-4</v>
      </c>
      <c r="K131" s="5">
        <f>0.000000000000007719*2.723*A131^(2.723-1)*0.001</f>
        <v>5.8970217536242341E-9</v>
      </c>
      <c r="L131" s="5">
        <f>C131*$B$1/2</f>
        <v>0.20130000000000001</v>
      </c>
      <c r="M131" s="10">
        <f>0.00000000000086372*A131^2.3221*0.001</f>
        <v>2.0981582203764536E-4</v>
      </c>
      <c r="N131" s="5">
        <f t="shared" ref="N131" si="118">2*J131*M131/SQRT(-2*$B$3*$B$3+2*$B$3*SQRT($B$3*$B$3-4*M131*M131)+4*J131*J131+4*M131*M131)</f>
        <v>2.1042052188811948E-4</v>
      </c>
      <c r="O131" s="11">
        <f t="shared" ref="O131" si="119">J131/N131</f>
        <v>0.82335472492649631</v>
      </c>
      <c r="P131" s="11">
        <f t="shared" ref="P131" si="120">J131/$B$3</f>
        <v>5.1452462258874551E-2</v>
      </c>
      <c r="Q131" s="5">
        <v>0.68138095374026197</v>
      </c>
      <c r="R131" s="5">
        <v>0.60066468018068297</v>
      </c>
      <c r="S131" s="5">
        <f t="shared" ref="S131:T137" si="121">Q131*$B$4*SQRT(PI()*$J131)</f>
        <v>3.1793069511473306</v>
      </c>
      <c r="T131" s="5">
        <f t="shared" si="121"/>
        <v>2.8026867826644564</v>
      </c>
    </row>
    <row r="132" spans="1:20" x14ac:dyDescent="0.25">
      <c r="A132" s="4">
        <v>90000</v>
      </c>
      <c r="B132" s="5">
        <v>37</v>
      </c>
      <c r="C132" s="5">
        <v>79</v>
      </c>
      <c r="I132" s="5">
        <f t="shared" si="117"/>
        <v>0.22570000000000001</v>
      </c>
      <c r="J132" s="5">
        <f t="shared" ref="J132:J137" si="122">0.000000000000007719*A132^2.723*0.001</f>
        <v>2.3876100272639001E-4</v>
      </c>
      <c r="K132" s="5">
        <f t="shared" ref="K132:K137" si="123">0.000000000000007719*2.723*A132^(2.723-1)*0.001</f>
        <v>7.2238467824884456E-9</v>
      </c>
      <c r="L132" s="5">
        <f t="shared" ref="L132:L137" si="124">C132*$B$1/2</f>
        <v>0.24095000000000003</v>
      </c>
      <c r="M132" s="10">
        <f t="shared" ref="M132:M137" si="125">0.00000000000086372*A132^2.3221*0.001</f>
        <v>2.7581603264198782E-4</v>
      </c>
      <c r="N132" s="5">
        <f t="shared" ref="N132:N137" si="126">2*J132*M132/SQRT(-2*$B$3*$B$3+2*$B$3*SQRT($B$3*$B$3-4*M132*M132)+4*J132*J132+4*M132*M132)</f>
        <v>2.7707628951266695E-4</v>
      </c>
      <c r="O132" s="11">
        <f t="shared" ref="O132:O137" si="127">J132/N132</f>
        <v>0.86171575036728176</v>
      </c>
      <c r="P132" s="11">
        <f t="shared" ref="P132:P137" si="128">J132/$B$3</f>
        <v>7.0907876789733301E-2</v>
      </c>
      <c r="Q132" s="5">
        <v>0.68188976575592097</v>
      </c>
      <c r="R132" s="5">
        <v>0.62297130726329997</v>
      </c>
      <c r="S132" s="5">
        <f t="shared" si="121"/>
        <v>3.7350876817319962</v>
      </c>
      <c r="T132" s="5">
        <f t="shared" si="121"/>
        <v>3.4123586724492876</v>
      </c>
    </row>
    <row r="133" spans="1:20" x14ac:dyDescent="0.25">
      <c r="A133" s="4">
        <v>91000</v>
      </c>
      <c r="B133" s="5">
        <v>38</v>
      </c>
      <c r="C133" s="5">
        <v>99</v>
      </c>
      <c r="I133" s="5">
        <f t="shared" si="117"/>
        <v>0.23180000000000001</v>
      </c>
      <c r="J133" s="5">
        <f t="shared" si="122"/>
        <v>2.4605418279720164E-4</v>
      </c>
      <c r="K133" s="5">
        <f t="shared" si="123"/>
        <v>7.3626982390854859E-9</v>
      </c>
      <c r="L133" s="5">
        <f t="shared" si="124"/>
        <v>0.30195</v>
      </c>
      <c r="M133" s="10">
        <f t="shared" si="125"/>
        <v>2.8298472465016698E-4</v>
      </c>
      <c r="N133" s="5">
        <f t="shared" si="126"/>
        <v>2.8433520020017803E-4</v>
      </c>
      <c r="O133" s="11">
        <f t="shared" si="127"/>
        <v>0.86536659064362853</v>
      </c>
      <c r="P133" s="11">
        <f t="shared" si="128"/>
        <v>7.3073824779401761E-2</v>
      </c>
      <c r="Q133" s="5">
        <v>0.68175249362296197</v>
      </c>
      <c r="R133" s="5">
        <v>0.62504403541638598</v>
      </c>
      <c r="S133" s="5">
        <f t="shared" si="121"/>
        <v>3.7909411559829098</v>
      </c>
      <c r="T133" s="5">
        <f t="shared" si="121"/>
        <v>3.4756090814858887</v>
      </c>
    </row>
    <row r="134" spans="1:20" x14ac:dyDescent="0.25">
      <c r="A134" s="4">
        <v>92000</v>
      </c>
      <c r="B134" s="5">
        <v>46</v>
      </c>
      <c r="C134" s="5">
        <v>106</v>
      </c>
      <c r="I134" s="5">
        <f t="shared" si="117"/>
        <v>0.28060000000000002</v>
      </c>
      <c r="J134" s="5">
        <f t="shared" si="122"/>
        <v>2.5348676840096729E-4</v>
      </c>
      <c r="K134" s="5">
        <f t="shared" si="123"/>
        <v>7.5026572864764566E-9</v>
      </c>
      <c r="L134" s="5">
        <f t="shared" si="124"/>
        <v>0.32330000000000003</v>
      </c>
      <c r="M134" s="10">
        <f t="shared" si="125"/>
        <v>2.9025832849205707E-4</v>
      </c>
      <c r="N134" s="5">
        <f t="shared" si="126"/>
        <v>2.9170446295619996E-4</v>
      </c>
      <c r="O134" s="11">
        <f t="shared" si="127"/>
        <v>0.86898488227459469</v>
      </c>
      <c r="P134" s="11">
        <f t="shared" si="128"/>
        <v>7.5281173794537679E-2</v>
      </c>
      <c r="Q134" s="5">
        <v>0.68158605453531595</v>
      </c>
      <c r="R134" s="5">
        <v>0.62709681342389501</v>
      </c>
      <c r="S134" s="5">
        <f t="shared" si="121"/>
        <v>3.8468324904744153</v>
      </c>
      <c r="T134" s="5">
        <f t="shared" si="121"/>
        <v>3.5392983475823421</v>
      </c>
    </row>
    <row r="135" spans="1:20" x14ac:dyDescent="0.25">
      <c r="A135" s="4">
        <v>95000</v>
      </c>
      <c r="B135" s="5">
        <v>50</v>
      </c>
      <c r="C135" s="5">
        <v>110</v>
      </c>
      <c r="I135" s="5">
        <f t="shared" si="117"/>
        <v>0.30499999999999999</v>
      </c>
      <c r="J135" s="5">
        <f t="shared" si="122"/>
        <v>2.7663200095961917E-4</v>
      </c>
      <c r="K135" s="5">
        <f t="shared" si="123"/>
        <v>7.929146722242554E-9</v>
      </c>
      <c r="L135" s="5">
        <f t="shared" si="124"/>
        <v>0.33550000000000002</v>
      </c>
      <c r="M135" s="10">
        <f t="shared" si="125"/>
        <v>3.127122972081687E-4</v>
      </c>
      <c r="N135" s="5">
        <f t="shared" si="126"/>
        <v>3.1448083576310712E-4</v>
      </c>
      <c r="O135" s="11">
        <f t="shared" si="127"/>
        <v>0.87964660958864027</v>
      </c>
      <c r="P135" s="11">
        <f t="shared" si="128"/>
        <v>8.2154906438470884E-2</v>
      </c>
      <c r="Q135" s="5">
        <v>0.68093146294117202</v>
      </c>
      <c r="R135" s="5">
        <v>0.63316406958336302</v>
      </c>
      <c r="S135" s="5">
        <f t="shared" si="121"/>
        <v>4.0147595756395216</v>
      </c>
      <c r="T135" s="5">
        <f t="shared" si="121"/>
        <v>3.7331238893426004</v>
      </c>
    </row>
    <row r="136" spans="1:20" x14ac:dyDescent="0.25">
      <c r="A136" s="4">
        <v>100000</v>
      </c>
      <c r="B136" s="5">
        <v>50</v>
      </c>
      <c r="C136" s="5">
        <v>118</v>
      </c>
      <c r="I136" s="5">
        <f t="shared" si="117"/>
        <v>0.30499999999999999</v>
      </c>
      <c r="J136" s="5">
        <f t="shared" si="122"/>
        <v>3.1809807499122845E-4</v>
      </c>
      <c r="K136" s="5">
        <f t="shared" si="123"/>
        <v>8.6618105820111652E-9</v>
      </c>
      <c r="L136" s="5">
        <f t="shared" si="124"/>
        <v>0.3599</v>
      </c>
      <c r="M136" s="10">
        <f t="shared" si="125"/>
        <v>3.522678234930805E-4</v>
      </c>
      <c r="N136" s="5">
        <f t="shared" si="126"/>
        <v>3.5471035537300337E-4</v>
      </c>
      <c r="O136" s="11">
        <f t="shared" si="127"/>
        <v>0.89678260071298321</v>
      </c>
      <c r="P136" s="11">
        <f t="shared" si="128"/>
        <v>9.4469611247098018E-2</v>
      </c>
      <c r="Q136" s="5">
        <v>0.67945693262436901</v>
      </c>
      <c r="R136" s="5">
        <v>0.64312467068687995</v>
      </c>
      <c r="S136" s="5">
        <f t="shared" si="121"/>
        <v>4.2958329682433307</v>
      </c>
      <c r="T136" s="5">
        <f t="shared" si="121"/>
        <v>4.0661240328453552</v>
      </c>
    </row>
    <row r="137" spans="1:20" x14ac:dyDescent="0.25">
      <c r="A137" s="4">
        <v>105000</v>
      </c>
      <c r="B137" s="5">
        <v>58</v>
      </c>
      <c r="C137" s="5">
        <v>118</v>
      </c>
      <c r="I137" s="5">
        <f t="shared" si="117"/>
        <v>0.3538</v>
      </c>
      <c r="J137" s="5">
        <f t="shared" si="122"/>
        <v>3.6329506822119055E-4</v>
      </c>
      <c r="K137" s="5">
        <f t="shared" si="123"/>
        <v>9.4214521025362224E-9</v>
      </c>
      <c r="L137" s="5">
        <f t="shared" si="124"/>
        <v>0.3599</v>
      </c>
      <c r="M137" s="10">
        <f t="shared" si="125"/>
        <v>3.9452692491942872E-4</v>
      </c>
      <c r="N137" s="5">
        <f t="shared" si="126"/>
        <v>3.9785305472576888E-4</v>
      </c>
      <c r="O137" s="11">
        <f t="shared" si="127"/>
        <v>0.91313881822926213</v>
      </c>
      <c r="P137" s="11">
        <f t="shared" si="128"/>
        <v>0.10789233434936758</v>
      </c>
      <c r="Q137" s="5">
        <v>0.67778917816334106</v>
      </c>
      <c r="R137" s="5">
        <v>0.65318494709128205</v>
      </c>
      <c r="S137" s="5">
        <f t="shared" si="121"/>
        <v>4.5796186319522478</v>
      </c>
      <c r="T137" s="5">
        <f t="shared" si="121"/>
        <v>4.413375206012943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2" sqref="C22"/>
    </sheetView>
  </sheetViews>
  <sheetFormatPr defaultRowHeight="13.8" x14ac:dyDescent="0.25"/>
  <cols>
    <col min="1" max="2" width="10.69921875" customWidth="1"/>
    <col min="3" max="3" width="9.19921875" customWidth="1"/>
    <col min="4" max="4" width="8.19921875" customWidth="1"/>
    <col min="5" max="5" width="13" customWidth="1"/>
    <col min="6" max="6" width="9.69921875" customWidth="1"/>
    <col min="7" max="7" width="10.69921875" customWidth="1"/>
    <col min="8" max="8" width="13.59765625" customWidth="1"/>
    <col min="9" max="10" width="10.19921875" customWidth="1"/>
    <col min="11" max="11" width="10.59765625" customWidth="1"/>
    <col min="12" max="12" width="11.69921875" customWidth="1"/>
    <col min="13" max="13" width="10.19921875" customWidth="1"/>
    <col min="14" max="14" width="11.3984375" customWidth="1"/>
    <col min="15" max="15" width="9.5" customWidth="1"/>
    <col min="16" max="1024" width="10.699218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22"/>
    </sheetView>
  </sheetViews>
  <sheetFormatPr defaultRowHeight="13.8" x14ac:dyDescent="0.25"/>
  <cols>
    <col min="1" max="16" width="10.69921875" customWidth="1"/>
    <col min="17" max="17" width="12.19921875" customWidth="1"/>
    <col min="18" max="1024" width="10.699218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36"/>
  <sheetViews>
    <sheetView topLeftCell="K31" workbookViewId="0">
      <selection activeCell="G36" sqref="G36"/>
    </sheetView>
  </sheetViews>
  <sheetFormatPr defaultRowHeight="13.8" x14ac:dyDescent="0.25"/>
  <cols>
    <col min="1" max="26" width="10.69921875" customWidth="1"/>
    <col min="32" max="1024" width="10.69921875" customWidth="1"/>
  </cols>
  <sheetData>
    <row r="2" spans="1:24" x14ac:dyDescent="0.25">
      <c r="A2" s="1" t="s">
        <v>0</v>
      </c>
      <c r="B2" s="2" t="s">
        <v>1</v>
      </c>
      <c r="C2" s="2" t="s">
        <v>3</v>
      </c>
      <c r="D2" s="2" t="s">
        <v>2</v>
      </c>
      <c r="F2" s="1" t="s">
        <v>0</v>
      </c>
      <c r="G2" s="2" t="s">
        <v>10</v>
      </c>
      <c r="H2" s="2" t="s">
        <v>12</v>
      </c>
      <c r="I2" s="2" t="s">
        <v>11</v>
      </c>
      <c r="K2" s="1" t="s">
        <v>0</v>
      </c>
      <c r="L2" s="2" t="s">
        <v>4</v>
      </c>
      <c r="M2" s="2" t="s">
        <v>6</v>
      </c>
      <c r="N2" s="2" t="s">
        <v>5</v>
      </c>
      <c r="P2" s="1" t="s">
        <v>0</v>
      </c>
      <c r="Q2" s="2" t="s">
        <v>19</v>
      </c>
      <c r="R2" s="2" t="s">
        <v>21</v>
      </c>
      <c r="S2" s="2" t="s">
        <v>20</v>
      </c>
      <c r="U2" s="1" t="s">
        <v>0</v>
      </c>
      <c r="V2" s="2" t="s">
        <v>25</v>
      </c>
      <c r="W2" s="2" t="s">
        <v>27</v>
      </c>
      <c r="X2" s="2" t="s">
        <v>26</v>
      </c>
    </row>
    <row r="3" spans="1:24" x14ac:dyDescent="0.25">
      <c r="A3">
        <v>80000</v>
      </c>
      <c r="B3">
        <v>6.4931449999999996E-3</v>
      </c>
      <c r="C3">
        <v>5.87949161703381E-2</v>
      </c>
      <c r="D3">
        <v>0.16042405264937001</v>
      </c>
      <c r="F3">
        <v>80000</v>
      </c>
      <c r="K3">
        <v>80000</v>
      </c>
      <c r="P3">
        <v>80000</v>
      </c>
      <c r="U3">
        <v>80000</v>
      </c>
    </row>
    <row r="4" spans="1:24" x14ac:dyDescent="0.25">
      <c r="A4">
        <v>90000</v>
      </c>
      <c r="B4">
        <v>3.6558825000000003E-2</v>
      </c>
      <c r="C4">
        <v>0.179512509541568</v>
      </c>
      <c r="D4">
        <v>0.38839825513531001</v>
      </c>
      <c r="F4">
        <v>90000</v>
      </c>
      <c r="K4">
        <v>90000</v>
      </c>
      <c r="P4">
        <v>90000</v>
      </c>
      <c r="U4">
        <v>90000</v>
      </c>
    </row>
    <row r="5" spans="1:24" x14ac:dyDescent="0.25">
      <c r="A5">
        <v>100000</v>
      </c>
      <c r="B5">
        <v>2.7628425000000002E-2</v>
      </c>
      <c r="C5">
        <v>0.112824028447178</v>
      </c>
      <c r="D5">
        <v>0.31672711784669999</v>
      </c>
      <c r="F5">
        <v>100000</v>
      </c>
      <c r="K5">
        <v>100000</v>
      </c>
      <c r="P5">
        <v>100000</v>
      </c>
      <c r="U5">
        <v>100000</v>
      </c>
    </row>
    <row r="6" spans="1:24" x14ac:dyDescent="0.25">
      <c r="A6">
        <v>105000</v>
      </c>
      <c r="B6">
        <v>1.6930549999999999E-2</v>
      </c>
      <c r="C6">
        <v>0.11025536662226</v>
      </c>
      <c r="D6">
        <v>0.26834005046673998</v>
      </c>
      <c r="F6">
        <v>105000</v>
      </c>
      <c r="K6">
        <v>105000</v>
      </c>
      <c r="P6">
        <v>105000</v>
      </c>
      <c r="U6">
        <v>105000</v>
      </c>
    </row>
    <row r="7" spans="1:24" x14ac:dyDescent="0.25">
      <c r="A7">
        <v>115000</v>
      </c>
      <c r="B7">
        <v>2.6251654999999999E-2</v>
      </c>
      <c r="C7">
        <v>0.11292695895240799</v>
      </c>
      <c r="D7">
        <v>0.288916026848134</v>
      </c>
      <c r="F7">
        <v>115000</v>
      </c>
      <c r="K7">
        <v>115000</v>
      </c>
      <c r="P7">
        <v>115000</v>
      </c>
      <c r="U7">
        <v>115000</v>
      </c>
    </row>
    <row r="8" spans="1:24" x14ac:dyDescent="0.25">
      <c r="A8">
        <v>125000</v>
      </c>
      <c r="B8">
        <v>2.2921360000000002E-2</v>
      </c>
      <c r="C8">
        <v>0.115427606569919</v>
      </c>
      <c r="D8">
        <v>0.26565835308795399</v>
      </c>
      <c r="F8">
        <v>125000</v>
      </c>
      <c r="K8">
        <v>125000</v>
      </c>
      <c r="P8">
        <v>125000</v>
      </c>
      <c r="U8">
        <v>125000</v>
      </c>
    </row>
    <row r="9" spans="1:24" x14ac:dyDescent="0.25">
      <c r="A9">
        <v>135000</v>
      </c>
      <c r="B9">
        <v>2.2549260000000002E-2</v>
      </c>
      <c r="C9">
        <v>0.110127871161371</v>
      </c>
      <c r="D9">
        <v>0.25878776171026802</v>
      </c>
      <c r="F9">
        <v>135000</v>
      </c>
      <c r="K9">
        <v>135000</v>
      </c>
      <c r="P9">
        <v>135000</v>
      </c>
      <c r="Q9">
        <v>3.6279749999999999E-3</v>
      </c>
      <c r="R9">
        <v>3.3194262247655003E-2</v>
      </c>
      <c r="S9">
        <v>0.151015869682955</v>
      </c>
      <c r="U9">
        <v>135000</v>
      </c>
    </row>
    <row r="10" spans="1:24" x14ac:dyDescent="0.25">
      <c r="A10">
        <v>145000</v>
      </c>
      <c r="B10">
        <v>2.1749245E-2</v>
      </c>
      <c r="C10">
        <v>0.110992775564457</v>
      </c>
      <c r="D10">
        <v>0.26634585815289302</v>
      </c>
      <c r="F10">
        <v>145000</v>
      </c>
      <c r="K10">
        <v>145000</v>
      </c>
      <c r="P10">
        <v>145000</v>
      </c>
      <c r="Q10">
        <v>2.82796E-3</v>
      </c>
      <c r="R10">
        <v>6.9151163224336606E-2</v>
      </c>
      <c r="S10">
        <v>5.3388576289807699E-2</v>
      </c>
      <c r="U10">
        <v>145000</v>
      </c>
    </row>
    <row r="11" spans="1:24" x14ac:dyDescent="0.25">
      <c r="A11">
        <v>155000</v>
      </c>
      <c r="B11">
        <v>6.5861699999999997E-3</v>
      </c>
      <c r="C11">
        <v>6.7382806686205096E-2</v>
      </c>
      <c r="D11">
        <v>0.17930039099103601</v>
      </c>
      <c r="F11">
        <v>155000</v>
      </c>
      <c r="K11">
        <v>155000</v>
      </c>
      <c r="P11">
        <v>155000</v>
      </c>
      <c r="Q11">
        <v>1.7302649999999999E-3</v>
      </c>
      <c r="R11">
        <v>3.6748824414860798E-2</v>
      </c>
      <c r="S11">
        <v>6.5247529686335695E-2</v>
      </c>
      <c r="U11">
        <v>155000</v>
      </c>
      <c r="V11">
        <v>1.209325E-3</v>
      </c>
      <c r="W11">
        <v>4.5665479435570998E-2</v>
      </c>
      <c r="X11">
        <v>3.92469713729365E-2</v>
      </c>
    </row>
    <row r="12" spans="1:24" x14ac:dyDescent="0.25">
      <c r="A12">
        <v>175000</v>
      </c>
      <c r="B12">
        <v>2.3367880000000001E-2</v>
      </c>
      <c r="C12">
        <v>0.109035783119197</v>
      </c>
      <c r="D12">
        <v>0.28030165441996302</v>
      </c>
      <c r="F12">
        <v>175000</v>
      </c>
      <c r="G12">
        <v>3.7209999999999999E-4</v>
      </c>
      <c r="H12">
        <v>2.0520929688968102E-2</v>
      </c>
      <c r="I12">
        <v>3.0675613252181301E-2</v>
      </c>
      <c r="K12">
        <v>175000</v>
      </c>
      <c r="P12">
        <v>175000</v>
      </c>
      <c r="Q12">
        <v>1.3451415E-2</v>
      </c>
      <c r="R12">
        <v>0.113733819968314</v>
      </c>
      <c r="S12">
        <v>0.17836961776847099</v>
      </c>
      <c r="U12">
        <v>175000</v>
      </c>
      <c r="V12">
        <v>1.320955E-3</v>
      </c>
      <c r="W12">
        <v>3.4210162247356603E-2</v>
      </c>
      <c r="X12">
        <v>5.0838484916259502E-2</v>
      </c>
    </row>
    <row r="13" spans="1:24" x14ac:dyDescent="0.25">
      <c r="A13">
        <v>195000</v>
      </c>
      <c r="B13">
        <v>3.047499E-2</v>
      </c>
      <c r="C13">
        <v>0.164532476746826</v>
      </c>
      <c r="D13">
        <v>0.31853724805283101</v>
      </c>
      <c r="F13">
        <v>195000</v>
      </c>
      <c r="G13">
        <v>1.8977099999999999E-3</v>
      </c>
      <c r="H13">
        <v>4.8712008267813599E-2</v>
      </c>
      <c r="I13">
        <v>5.4212335244631697E-2</v>
      </c>
      <c r="K13">
        <v>195000</v>
      </c>
      <c r="P13">
        <v>195000</v>
      </c>
      <c r="Q13">
        <v>3.3302949999999998E-2</v>
      </c>
      <c r="R13">
        <v>0.13387997881671199</v>
      </c>
      <c r="S13">
        <v>0.38068265291282899</v>
      </c>
      <c r="U13">
        <v>195000</v>
      </c>
      <c r="V13">
        <v>5.9163899999999997E-3</v>
      </c>
      <c r="W13">
        <v>7.9015829058002196E-2</v>
      </c>
      <c r="X13">
        <v>0.12621611691672899</v>
      </c>
    </row>
    <row r="14" spans="1:24" x14ac:dyDescent="0.25">
      <c r="A14">
        <v>215000</v>
      </c>
      <c r="B14">
        <v>7.7247960000000004E-2</v>
      </c>
      <c r="C14">
        <v>0.24243716059999701</v>
      </c>
      <c r="D14">
        <v>0.43308284718400197</v>
      </c>
      <c r="F14">
        <v>215000</v>
      </c>
      <c r="G14">
        <v>9.6187849999999995E-3</v>
      </c>
      <c r="H14">
        <v>9.6720279157100894E-2</v>
      </c>
      <c r="I14">
        <v>0.183209157214859</v>
      </c>
      <c r="K14">
        <v>215000</v>
      </c>
      <c r="L14">
        <v>1.00467E-3</v>
      </c>
      <c r="M14">
        <v>6.03365250415243E-2</v>
      </c>
      <c r="N14">
        <v>4.0027747302443101E-2</v>
      </c>
      <c r="P14">
        <v>215000</v>
      </c>
      <c r="Q14">
        <v>5.9703445000000001E-2</v>
      </c>
      <c r="R14">
        <v>0.17168523952133699</v>
      </c>
      <c r="S14">
        <v>0.47396110952795301</v>
      </c>
      <c r="U14">
        <v>215000</v>
      </c>
      <c r="V14">
        <v>1.246535E-3</v>
      </c>
      <c r="W14">
        <v>3.05476444340535E-2</v>
      </c>
      <c r="X14">
        <v>5.14299852570844E-2</v>
      </c>
    </row>
    <row r="15" spans="1:24" x14ac:dyDescent="0.25">
      <c r="A15">
        <v>225000</v>
      </c>
      <c r="B15">
        <v>7.6429339999999998E-2</v>
      </c>
      <c r="C15">
        <v>0.20500582944134799</v>
      </c>
      <c r="D15">
        <v>0.68032875180532604</v>
      </c>
      <c r="F15">
        <v>225000</v>
      </c>
      <c r="G15">
        <v>4.7089254999999997E-2</v>
      </c>
      <c r="H15">
        <v>0.16525965422146799</v>
      </c>
      <c r="I15">
        <v>0.458626435096809</v>
      </c>
      <c r="K15">
        <v>225000</v>
      </c>
      <c r="L15">
        <v>1.3451415E-2</v>
      </c>
      <c r="M15">
        <v>8.3773207764026802E-2</v>
      </c>
      <c r="N15">
        <v>0.28983622046608398</v>
      </c>
      <c r="P15">
        <v>225000</v>
      </c>
      <c r="Q15">
        <v>7.5833979999999995E-2</v>
      </c>
      <c r="R15">
        <v>0.217307171309541</v>
      </c>
      <c r="S15">
        <v>0.70506466744104601</v>
      </c>
      <c r="U15">
        <v>225000</v>
      </c>
      <c r="V15">
        <v>2.400045E-3</v>
      </c>
      <c r="W15">
        <v>4.1352688247662701E-2</v>
      </c>
      <c r="X15">
        <v>0.11391790821570499</v>
      </c>
    </row>
    <row r="16" spans="1:24" x14ac:dyDescent="0.25">
      <c r="A16">
        <v>235000</v>
      </c>
      <c r="B16">
        <v>0.16828222500000001</v>
      </c>
      <c r="C16">
        <v>0.227577120977283</v>
      </c>
      <c r="D16">
        <v>0.99425121161866703</v>
      </c>
      <c r="F16">
        <v>235000</v>
      </c>
      <c r="G16">
        <v>7.3359515E-2</v>
      </c>
      <c r="H16">
        <v>0.18765680877531399</v>
      </c>
      <c r="I16">
        <v>0.58294843278846198</v>
      </c>
      <c r="K16">
        <v>235000</v>
      </c>
      <c r="L16">
        <v>4.6084584999999997E-2</v>
      </c>
      <c r="M16">
        <v>0.160050852423616</v>
      </c>
      <c r="N16">
        <v>0.38061451766478799</v>
      </c>
      <c r="P16">
        <v>235000</v>
      </c>
      <c r="Q16">
        <v>0.33366206999999998</v>
      </c>
      <c r="R16">
        <v>0.37470694332155102</v>
      </c>
      <c r="S16">
        <v>1.1985004392947001</v>
      </c>
      <c r="U16">
        <v>235000</v>
      </c>
      <c r="V16">
        <v>4.3349649999999997E-3</v>
      </c>
      <c r="W16">
        <v>0.13254490159475499</v>
      </c>
      <c r="X16">
        <v>6.5728018841552396E-2</v>
      </c>
    </row>
    <row r="17" spans="1:24" x14ac:dyDescent="0.25">
      <c r="A17">
        <v>245000</v>
      </c>
      <c r="B17">
        <v>0.22087856</v>
      </c>
      <c r="C17">
        <v>0.29032339358050302</v>
      </c>
      <c r="D17">
        <v>0.975171858851133</v>
      </c>
      <c r="F17">
        <v>245000</v>
      </c>
      <c r="G17">
        <v>7.2261820000000004E-2</v>
      </c>
      <c r="H17">
        <v>0.19693066431467399</v>
      </c>
      <c r="I17">
        <v>0.56151833472469104</v>
      </c>
      <c r="K17">
        <v>245000</v>
      </c>
      <c r="L17">
        <v>4.413106E-2</v>
      </c>
      <c r="M17">
        <v>0.170228036867799</v>
      </c>
      <c r="N17">
        <v>0.38957248563069502</v>
      </c>
      <c r="P17">
        <v>245000</v>
      </c>
      <c r="Q17">
        <v>0.34130872499999998</v>
      </c>
      <c r="R17">
        <v>0.36989013492398798</v>
      </c>
      <c r="S17">
        <v>1.2505064505599099</v>
      </c>
      <c r="U17">
        <v>245000</v>
      </c>
      <c r="V17">
        <v>1.618635E-3</v>
      </c>
      <c r="W17">
        <v>7.0640182483685698E-2</v>
      </c>
      <c r="X17">
        <v>6.4449969207186694E-2</v>
      </c>
    </row>
    <row r="21" spans="1:24" x14ac:dyDescent="0.25">
      <c r="A21" s="1" t="s">
        <v>0</v>
      </c>
      <c r="B21" s="2" t="s">
        <v>7</v>
      </c>
      <c r="C21" s="2" t="s">
        <v>9</v>
      </c>
      <c r="D21" s="2" t="s">
        <v>8</v>
      </c>
      <c r="F21" s="1" t="s">
        <v>0</v>
      </c>
      <c r="G21" s="2" t="s">
        <v>13</v>
      </c>
      <c r="H21" s="2" t="s">
        <v>15</v>
      </c>
      <c r="I21" s="2" t="s">
        <v>14</v>
      </c>
      <c r="K21" s="1" t="s">
        <v>0</v>
      </c>
      <c r="L21" s="2" t="s">
        <v>16</v>
      </c>
      <c r="M21" s="2" t="s">
        <v>18</v>
      </c>
      <c r="N21" s="2" t="s">
        <v>17</v>
      </c>
      <c r="P21" s="1" t="s">
        <v>0</v>
      </c>
      <c r="Q21" s="2" t="s">
        <v>22</v>
      </c>
      <c r="R21" s="2" t="s">
        <v>24</v>
      </c>
      <c r="S21" s="2" t="s">
        <v>23</v>
      </c>
    </row>
    <row r="22" spans="1:24" x14ac:dyDescent="0.25">
      <c r="A22">
        <v>80000</v>
      </c>
      <c r="F22">
        <v>80000</v>
      </c>
      <c r="K22">
        <v>80000</v>
      </c>
      <c r="P22">
        <v>80000</v>
      </c>
    </row>
    <row r="23" spans="1:24" x14ac:dyDescent="0.25">
      <c r="A23">
        <v>90000</v>
      </c>
      <c r="F23">
        <v>90000</v>
      </c>
      <c r="K23">
        <v>90000</v>
      </c>
      <c r="P23">
        <v>90000</v>
      </c>
    </row>
    <row r="24" spans="1:24" x14ac:dyDescent="0.25">
      <c r="A24">
        <v>100000</v>
      </c>
      <c r="F24">
        <v>100000</v>
      </c>
      <c r="K24">
        <v>100000</v>
      </c>
      <c r="P24">
        <v>100000</v>
      </c>
    </row>
    <row r="25" spans="1:24" x14ac:dyDescent="0.25">
      <c r="A25">
        <v>105000</v>
      </c>
      <c r="F25">
        <v>105000</v>
      </c>
      <c r="K25">
        <v>105000</v>
      </c>
      <c r="P25">
        <v>105000</v>
      </c>
    </row>
    <row r="26" spans="1:24" x14ac:dyDescent="0.25">
      <c r="A26">
        <v>115000</v>
      </c>
      <c r="F26">
        <v>115000</v>
      </c>
      <c r="K26">
        <v>115000</v>
      </c>
      <c r="P26">
        <v>115000</v>
      </c>
    </row>
    <row r="27" spans="1:24" x14ac:dyDescent="0.25">
      <c r="A27">
        <v>125000</v>
      </c>
      <c r="F27">
        <v>125000</v>
      </c>
      <c r="K27">
        <v>125000</v>
      </c>
      <c r="P27">
        <v>125000</v>
      </c>
    </row>
    <row r="28" spans="1:24" x14ac:dyDescent="0.25">
      <c r="A28">
        <v>135000</v>
      </c>
      <c r="F28">
        <v>135000</v>
      </c>
      <c r="G28">
        <v>1.655845E-3</v>
      </c>
      <c r="H28">
        <v>4.8126224388443099E-2</v>
      </c>
      <c r="I28">
        <v>5.1211448985390699E-2</v>
      </c>
      <c r="K28">
        <v>135000</v>
      </c>
      <c r="P28">
        <v>135000</v>
      </c>
      <c r="Q28">
        <v>9.6559950000000005E-3</v>
      </c>
      <c r="R28">
        <v>8.19048333785133E-2</v>
      </c>
      <c r="S28">
        <v>0.28842538296747899</v>
      </c>
    </row>
    <row r="29" spans="1:24" x14ac:dyDescent="0.25">
      <c r="A29">
        <v>145000</v>
      </c>
      <c r="F29">
        <v>145000</v>
      </c>
      <c r="G29">
        <v>6.3257000000000001E-3</v>
      </c>
      <c r="H29">
        <v>5.0014090221737903E-2</v>
      </c>
      <c r="I29">
        <v>0.17361058365618001</v>
      </c>
      <c r="K29">
        <v>145000</v>
      </c>
      <c r="P29">
        <v>145000</v>
      </c>
      <c r="Q29">
        <v>2.1172489999999999E-2</v>
      </c>
      <c r="R29">
        <v>0.13364142956625899</v>
      </c>
      <c r="S29">
        <v>0.24612916781514799</v>
      </c>
    </row>
    <row r="30" spans="1:24" x14ac:dyDescent="0.25">
      <c r="A30">
        <v>155000</v>
      </c>
      <c r="F30">
        <v>155000</v>
      </c>
      <c r="G30">
        <v>4.8559049999999998E-3</v>
      </c>
      <c r="H30">
        <v>6.3075670274497203E-2</v>
      </c>
      <c r="I30">
        <v>0.117857019500073</v>
      </c>
      <c r="K30">
        <v>155000</v>
      </c>
      <c r="P30">
        <v>155000</v>
      </c>
      <c r="Q30">
        <v>2.9042405E-2</v>
      </c>
      <c r="R30">
        <v>9.6500973196350898E-2</v>
      </c>
      <c r="S30">
        <v>0.41710503614362299</v>
      </c>
    </row>
    <row r="31" spans="1:24" x14ac:dyDescent="0.25">
      <c r="A31">
        <v>175000</v>
      </c>
      <c r="B31">
        <v>9.5257599999999994E-3</v>
      </c>
      <c r="C31">
        <v>8.21016649022491E-2</v>
      </c>
      <c r="D31">
        <v>0.213160570815352</v>
      </c>
      <c r="F31">
        <v>175000</v>
      </c>
      <c r="G31">
        <v>1.652124E-2</v>
      </c>
      <c r="H31">
        <v>0.14456461373148299</v>
      </c>
      <c r="I31">
        <v>0.257778583511098</v>
      </c>
      <c r="K31">
        <v>175000</v>
      </c>
      <c r="P31">
        <v>175000</v>
      </c>
      <c r="Q31">
        <v>7.442E-2</v>
      </c>
      <c r="R31">
        <v>0.20300408158574801</v>
      </c>
      <c r="S31">
        <v>0.48465204324982197</v>
      </c>
    </row>
    <row r="32" spans="1:24" x14ac:dyDescent="0.25">
      <c r="A32">
        <v>195000</v>
      </c>
      <c r="B32">
        <v>1.9516644999999999E-2</v>
      </c>
      <c r="C32">
        <v>0.10598836967272</v>
      </c>
      <c r="D32">
        <v>0.24040536997190501</v>
      </c>
      <c r="F32">
        <v>195000</v>
      </c>
      <c r="G32">
        <v>5.3991709999999998E-2</v>
      </c>
      <c r="H32">
        <v>0.15067297224245099</v>
      </c>
      <c r="I32">
        <v>0.51488912746651505</v>
      </c>
      <c r="K32">
        <v>195000</v>
      </c>
      <c r="L32">
        <v>3.64658E-3</v>
      </c>
      <c r="M32">
        <v>4.0480150351227998E-2</v>
      </c>
      <c r="N32">
        <v>0.117895216400434</v>
      </c>
      <c r="P32">
        <v>195000</v>
      </c>
      <c r="Q32">
        <v>0.111499765</v>
      </c>
      <c r="R32">
        <v>0.29040919573006502</v>
      </c>
      <c r="S32">
        <v>0.550969778547587</v>
      </c>
    </row>
    <row r="33" spans="1:19" x14ac:dyDescent="0.25">
      <c r="A33">
        <v>215000</v>
      </c>
      <c r="B33">
        <v>9.9648379999999995E-2</v>
      </c>
      <c r="C33">
        <v>0.23192914943465301</v>
      </c>
      <c r="D33">
        <v>0.63089430620517595</v>
      </c>
      <c r="F33">
        <v>215000</v>
      </c>
      <c r="G33">
        <v>0.25751180499999998</v>
      </c>
      <c r="H33">
        <v>0.31460215216253801</v>
      </c>
      <c r="I33">
        <v>1.19512475394925</v>
      </c>
      <c r="K33">
        <v>215000</v>
      </c>
      <c r="L33">
        <v>3.0233125E-2</v>
      </c>
      <c r="M33">
        <v>0.125229532323055</v>
      </c>
      <c r="N33">
        <v>0.33484160753983599</v>
      </c>
      <c r="P33">
        <v>215000</v>
      </c>
      <c r="Q33">
        <v>0.23946495500000001</v>
      </c>
      <c r="R33">
        <v>0.30613804595421301</v>
      </c>
      <c r="S33">
        <v>1.0405666476426001</v>
      </c>
    </row>
    <row r="34" spans="1:19" x14ac:dyDescent="0.25">
      <c r="A34">
        <v>225000</v>
      </c>
      <c r="B34">
        <v>0.14712834</v>
      </c>
      <c r="C34">
        <v>0.250357242471</v>
      </c>
      <c r="D34">
        <v>1.0201082218892401</v>
      </c>
      <c r="F34">
        <v>225000</v>
      </c>
      <c r="G34">
        <v>0.42609171000000001</v>
      </c>
      <c r="H34">
        <v>0.37897724963774798</v>
      </c>
      <c r="I34">
        <v>1.6284324310790701</v>
      </c>
      <c r="K34">
        <v>225000</v>
      </c>
      <c r="L34">
        <v>6.2587219999999999E-2</v>
      </c>
      <c r="M34">
        <v>0.18608144750774799</v>
      </c>
      <c r="N34">
        <v>0.48982272038924102</v>
      </c>
      <c r="P34">
        <v>225000</v>
      </c>
      <c r="Q34">
        <v>0.474855415</v>
      </c>
      <c r="R34">
        <v>0.504873682529554</v>
      </c>
      <c r="S34">
        <v>1.3650029220936299</v>
      </c>
    </row>
    <row r="35" spans="1:19" x14ac:dyDescent="0.25">
      <c r="A35">
        <v>235000</v>
      </c>
      <c r="B35">
        <v>0.38290950499999998</v>
      </c>
      <c r="C35">
        <v>0.37609894993093801</v>
      </c>
      <c r="D35">
        <v>1.4516921779360199</v>
      </c>
      <c r="F35">
        <v>235000</v>
      </c>
      <c r="G35">
        <v>0.58589005500000002</v>
      </c>
      <c r="H35">
        <v>0.404288624508718</v>
      </c>
      <c r="I35">
        <v>2.0693467716674001</v>
      </c>
      <c r="K35">
        <v>235000</v>
      </c>
      <c r="L35">
        <v>0.106550835</v>
      </c>
      <c r="M35">
        <v>0.24476079161370001</v>
      </c>
      <c r="N35">
        <v>0.55245021979416298</v>
      </c>
      <c r="P35">
        <v>235000</v>
      </c>
      <c r="Q35">
        <v>0.45647367500000002</v>
      </c>
      <c r="R35">
        <v>0.455288854120657</v>
      </c>
      <c r="S35">
        <v>1.5028270584451799</v>
      </c>
    </row>
    <row r="36" spans="1:19" x14ac:dyDescent="0.25">
      <c r="A36">
        <v>245000</v>
      </c>
      <c r="B36">
        <v>0.63048623999999998</v>
      </c>
      <c r="C36">
        <v>0.439165518157907</v>
      </c>
      <c r="D36">
        <v>1.9951710691233799</v>
      </c>
      <c r="F36">
        <v>245000</v>
      </c>
      <c r="G36">
        <v>1.2130460000000001</v>
      </c>
      <c r="H36">
        <v>0.62468765795083603</v>
      </c>
      <c r="I36">
        <v>2.9118495996191598</v>
      </c>
      <c r="K36">
        <v>245000</v>
      </c>
      <c r="L36">
        <v>0.11959293999999999</v>
      </c>
      <c r="M36">
        <v>0.25846717692973598</v>
      </c>
      <c r="N36">
        <v>0.58203660470230101</v>
      </c>
      <c r="P36">
        <v>245000</v>
      </c>
      <c r="Q36">
        <v>0.99164649999999999</v>
      </c>
      <c r="R36">
        <v>0.66458041578098004</v>
      </c>
      <c r="S36">
        <v>2.26590212351651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9"/>
  <sheetViews>
    <sheetView tabSelected="1" topLeftCell="P1" zoomScale="115" zoomScaleNormal="115" workbookViewId="0">
      <selection activeCell="S3" sqref="S3"/>
    </sheetView>
  </sheetViews>
  <sheetFormatPr defaultRowHeight="13.8" x14ac:dyDescent="0.25"/>
  <cols>
    <col min="1" max="6" width="10.69921875" customWidth="1"/>
    <col min="7" max="7" width="10.3984375" customWidth="1"/>
    <col min="8" max="1024" width="10.69921875" customWidth="1"/>
  </cols>
  <sheetData>
    <row r="1" spans="1:20" x14ac:dyDescent="0.25">
      <c r="A1" s="9" t="s">
        <v>39</v>
      </c>
      <c r="B1" s="9">
        <v>6.1000000000000004E-3</v>
      </c>
    </row>
    <row r="2" spans="1:20" x14ac:dyDescent="0.25">
      <c r="A2" s="9" t="s">
        <v>42</v>
      </c>
      <c r="B2" s="9">
        <v>551</v>
      </c>
    </row>
    <row r="3" spans="1:20" x14ac:dyDescent="0.25">
      <c r="A3" s="9" t="s">
        <v>53</v>
      </c>
      <c r="B3" s="9">
        <f>B1*B2*0.001</f>
        <v>3.3611000000000005E-3</v>
      </c>
    </row>
    <row r="4" spans="1:20" x14ac:dyDescent="0.25">
      <c r="A4" s="9" t="s">
        <v>45</v>
      </c>
      <c r="B4" s="9">
        <v>200</v>
      </c>
    </row>
    <row r="5" spans="1:20" x14ac:dyDescent="0.25">
      <c r="A5" s="3"/>
      <c r="B5" s="3"/>
    </row>
    <row r="6" spans="1:20" x14ac:dyDescent="0.25">
      <c r="B6" t="s">
        <v>28</v>
      </c>
      <c r="S6" t="s">
        <v>52</v>
      </c>
    </row>
    <row r="7" spans="1:20" x14ac:dyDescent="0.25">
      <c r="A7" s="1" t="s">
        <v>0</v>
      </c>
      <c r="B7" s="2" t="s">
        <v>40</v>
      </c>
      <c r="C7" s="2" t="s">
        <v>41</v>
      </c>
      <c r="I7" s="2" t="s">
        <v>43</v>
      </c>
      <c r="J7" s="2" t="s">
        <v>54</v>
      </c>
      <c r="K7" s="2" t="s">
        <v>55</v>
      </c>
      <c r="L7" s="2" t="s">
        <v>44</v>
      </c>
      <c r="M7" s="2" t="s">
        <v>56</v>
      </c>
      <c r="N7" s="2" t="s">
        <v>57</v>
      </c>
      <c r="O7" s="2" t="s">
        <v>51</v>
      </c>
      <c r="P7" s="2" t="s">
        <v>49</v>
      </c>
      <c r="Q7" s="2" t="s">
        <v>46</v>
      </c>
      <c r="R7" s="2" t="s">
        <v>47</v>
      </c>
      <c r="S7" s="2" t="s">
        <v>48</v>
      </c>
      <c r="T7" s="2" t="s">
        <v>50</v>
      </c>
    </row>
    <row r="8" spans="1:20" x14ac:dyDescent="0.25">
      <c r="A8" s="4">
        <v>0</v>
      </c>
      <c r="B8" s="5"/>
      <c r="C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5">
      <c r="A9" s="4">
        <v>80000</v>
      </c>
      <c r="B9" s="5">
        <v>22</v>
      </c>
      <c r="C9" s="5">
        <v>39</v>
      </c>
      <c r="I9" s="5">
        <f>B9*$B$1</f>
        <v>0.13420000000000001</v>
      </c>
      <c r="J9" s="5">
        <f>0.019586*EXP(0.000024019*A9)*0.001</f>
        <v>1.3379851183175474E-4</v>
      </c>
      <c r="K9" s="5">
        <f>0.019586*0.000024019*EXP(0.000024019*A9)*0.001</f>
        <v>3.2137064556869178E-9</v>
      </c>
      <c r="L9" s="5">
        <f>C9*$B$1/2</f>
        <v>0.11895000000000001</v>
      </c>
      <c r="M9" s="5">
        <f>0.012909*EXP(0.000028801*A9)*0.001</f>
        <v>1.292831218590438E-4</v>
      </c>
      <c r="N9" s="5">
        <f t="shared" ref="N9:N19" si="0">2*J9*M9/SQRT(-2*$B$3*$B$3+2*$B$3*SQRT($B$3*$B$3-4*M9*M9)+4*J9*J9+4*M9*M9)</f>
        <v>1.293727724662908E-4</v>
      </c>
      <c r="O9" s="11">
        <f>J9/N9</f>
        <v>1.0342092024549996</v>
      </c>
      <c r="P9" s="11">
        <f>J9/$B$3</f>
        <v>3.9807953298549498E-2</v>
      </c>
      <c r="Q9" s="5">
        <v>0.61605812860258702</v>
      </c>
      <c r="R9" s="5">
        <v>0.62654616912703098</v>
      </c>
      <c r="S9" s="5">
        <f t="shared" ref="S9:S11" si="1">Q9*$B$4*SQRT(PI()*$J9)</f>
        <v>2.5261100448728233</v>
      </c>
      <c r="T9" s="5">
        <f t="shared" ref="T9:T11" si="2">R9*$B$4*SQRT(PI()*$J9)</f>
        <v>2.5691156368612411</v>
      </c>
    </row>
    <row r="10" spans="1:20" x14ac:dyDescent="0.25">
      <c r="A10" s="4">
        <v>90000</v>
      </c>
      <c r="B10" s="5">
        <v>32</v>
      </c>
      <c r="C10" s="5">
        <v>58</v>
      </c>
      <c r="I10" s="5">
        <f>B10*$B$1</f>
        <v>0.19520000000000001</v>
      </c>
      <c r="J10" s="5">
        <f t="shared" ref="J10:J19" si="3">0.019586*EXP(0.000024019*A10)*0.001</f>
        <v>1.7012356488717935E-4</v>
      </c>
      <c r="K10" s="5">
        <f t="shared" ref="K10:K19" si="4">0.019586*0.000024019*EXP(0.000024019*A10)*0.001</f>
        <v>4.0861979050251606E-9</v>
      </c>
      <c r="L10" s="5">
        <f>C10*$B$1/2</f>
        <v>0.1769</v>
      </c>
      <c r="M10" s="5">
        <f t="shared" ref="M10:M19" si="5">0.012909*EXP(0.000028801*A10)*0.001</f>
        <v>1.7243403241107579E-4</v>
      </c>
      <c r="N10" s="5">
        <f t="shared" si="0"/>
        <v>1.7266887389031597E-4</v>
      </c>
      <c r="O10" s="11">
        <f>J10/N10</f>
        <v>0.98525901660334292</v>
      </c>
      <c r="P10" s="11">
        <f>J10/$B$3</f>
        <v>5.061544282740154E-2</v>
      </c>
      <c r="Q10" s="5">
        <v>0.62651178779671701</v>
      </c>
      <c r="R10" s="5">
        <v>0.61744979539643896</v>
      </c>
      <c r="S10" s="5">
        <f t="shared" si="1"/>
        <v>2.8967860205565574</v>
      </c>
      <c r="T10" s="5">
        <f t="shared" si="2"/>
        <v>2.8548863254273846</v>
      </c>
    </row>
    <row r="11" spans="1:20" x14ac:dyDescent="0.25">
      <c r="A11" s="4">
        <v>100000</v>
      </c>
      <c r="B11" s="5">
        <v>37</v>
      </c>
      <c r="C11" s="5">
        <v>81</v>
      </c>
      <c r="I11" s="5">
        <f t="shared" ref="I11:I19" si="6">B11*$B$1</f>
        <v>0.22570000000000001</v>
      </c>
      <c r="J11" s="5">
        <f t="shared" si="3"/>
        <v>2.1631053240947506E-4</v>
      </c>
      <c r="K11" s="5">
        <f t="shared" si="4"/>
        <v>5.1955626779431821E-9</v>
      </c>
      <c r="L11" s="5">
        <f t="shared" ref="L11:L19" si="7">C11*$B$1/2</f>
        <v>0.24705000000000002</v>
      </c>
      <c r="M11" s="5">
        <f t="shared" si="5"/>
        <v>2.2998745007072206E-4</v>
      </c>
      <c r="N11" s="5">
        <f t="shared" si="0"/>
        <v>2.3060434735956549E-4</v>
      </c>
      <c r="O11" s="11">
        <f t="shared" ref="O11:O16" si="8">J11/N11</f>
        <v>0.93801584786342707</v>
      </c>
      <c r="P11" s="11">
        <f t="shared" ref="P11:P19" si="9">J11/$B$3</f>
        <v>6.4357065368324362E-2</v>
      </c>
      <c r="Q11" s="5">
        <v>0.64641766658030297</v>
      </c>
      <c r="R11" s="5">
        <v>0.61934516891990599</v>
      </c>
      <c r="S11" s="5">
        <f t="shared" si="1"/>
        <v>3.3702101508263089</v>
      </c>
      <c r="T11" s="5">
        <f t="shared" si="2"/>
        <v>3.2290630084439358</v>
      </c>
    </row>
    <row r="12" spans="1:20" x14ac:dyDescent="0.25">
      <c r="A12" s="4">
        <v>105000</v>
      </c>
      <c r="B12" s="5">
        <v>40</v>
      </c>
      <c r="C12" s="5">
        <v>90</v>
      </c>
      <c r="I12" s="5">
        <f t="shared" si="6"/>
        <v>0.24400000000000002</v>
      </c>
      <c r="J12" s="5">
        <f t="shared" si="3"/>
        <v>2.4391261485293177E-4</v>
      </c>
      <c r="K12" s="5">
        <f t="shared" si="4"/>
        <v>5.8585370961525681E-9</v>
      </c>
      <c r="L12" s="5">
        <f t="shared" si="7"/>
        <v>0.27450000000000002</v>
      </c>
      <c r="M12" s="5">
        <f t="shared" si="5"/>
        <v>2.6561017929442029E-4</v>
      </c>
      <c r="N12" s="5">
        <f>2*J12*M12/SQRT(-2*$B$3*$B$3+2*$B$3*SQRT($B$3*$B$3-4*M12*M12)+4*J12*J12+4*M12*M12)</f>
        <v>2.6661176728640898E-4</v>
      </c>
      <c r="O12" s="11">
        <f t="shared" si="8"/>
        <v>0.91486065050875065</v>
      </c>
      <c r="P12" s="11">
        <f t="shared" si="9"/>
        <v>7.2569282334036991E-2</v>
      </c>
      <c r="Q12" s="5">
        <v>0.65967076293747995</v>
      </c>
      <c r="R12" s="5">
        <v>0.62448126542990701</v>
      </c>
      <c r="S12" s="5">
        <f>Q12*$B$4*SQRT(PI()*$J12)</f>
        <v>3.6521558266679648</v>
      </c>
      <c r="T12" s="5">
        <f>R12*$B$4*SQRT(PI()*$J12)</f>
        <v>3.4573351136996981</v>
      </c>
    </row>
    <row r="13" spans="1:20" x14ac:dyDescent="0.25">
      <c r="A13" s="4">
        <v>115000</v>
      </c>
      <c r="B13" s="5">
        <v>42</v>
      </c>
      <c r="C13" s="5">
        <v>124</v>
      </c>
      <c r="I13" s="5">
        <f t="shared" si="6"/>
        <v>0.25620000000000004</v>
      </c>
      <c r="J13" s="5">
        <f t="shared" si="3"/>
        <v>3.1013262398547941E-4</v>
      </c>
      <c r="K13" s="5">
        <f t="shared" si="4"/>
        <v>7.4490754955072317E-9</v>
      </c>
      <c r="L13" s="5">
        <f t="shared" si="7"/>
        <v>0.37820000000000004</v>
      </c>
      <c r="M13" s="5">
        <f t="shared" si="5"/>
        <v>3.5426305929633461E-4</v>
      </c>
      <c r="N13" s="5">
        <f t="shared" si="0"/>
        <v>3.5691900135948254E-4</v>
      </c>
      <c r="O13" s="11">
        <f t="shared" si="8"/>
        <v>0.86891598038827667</v>
      </c>
      <c r="P13" s="11">
        <f t="shared" si="9"/>
        <v>9.227116836317853E-2</v>
      </c>
      <c r="Q13" s="5">
        <v>0.69223686731745404</v>
      </c>
      <c r="R13" s="5">
        <v>0.64317009532373304</v>
      </c>
      <c r="S13" s="5">
        <f t="shared" ref="S13:S19" si="10">Q13*$B$4*SQRT(PI()*$J13)</f>
        <v>4.3214887243874447</v>
      </c>
      <c r="T13" s="5">
        <f t="shared" ref="T13:T19" si="11">R13*$B$4*SQRT(PI()*$J13)</f>
        <v>4.0151752182393903</v>
      </c>
    </row>
    <row r="14" spans="1:20" x14ac:dyDescent="0.25">
      <c r="A14" s="4">
        <v>125000</v>
      </c>
      <c r="B14" s="5">
        <v>62</v>
      </c>
      <c r="C14" s="5">
        <v>152</v>
      </c>
      <c r="I14" s="5">
        <f t="shared" si="6"/>
        <v>0.37820000000000004</v>
      </c>
      <c r="J14" s="5">
        <f t="shared" si="3"/>
        <v>3.9433075045385539E-4</v>
      </c>
      <c r="K14" s="5">
        <f t="shared" si="4"/>
        <v>9.471430295151154E-9</v>
      </c>
      <c r="L14" s="5">
        <f t="shared" si="7"/>
        <v>0.46360000000000001</v>
      </c>
      <c r="M14" s="5">
        <f t="shared" si="5"/>
        <v>4.7250566795063644E-4</v>
      </c>
      <c r="N14" s="5">
        <f t="shared" si="0"/>
        <v>4.7964699810067369E-4</v>
      </c>
      <c r="O14" s="11">
        <f t="shared" si="8"/>
        <v>0.82212700593424504</v>
      </c>
      <c r="P14" s="11">
        <f t="shared" si="9"/>
        <v>0.11732193343067904</v>
      </c>
      <c r="Q14" s="5">
        <v>0.73267038091273895</v>
      </c>
      <c r="R14" s="5">
        <v>0.67347873969736605</v>
      </c>
      <c r="S14" s="5">
        <f t="shared" si="10"/>
        <v>5.1575552575794541</v>
      </c>
      <c r="T14" s="5">
        <f t="shared" si="11"/>
        <v>4.7408819917995695</v>
      </c>
    </row>
    <row r="15" spans="1:20" x14ac:dyDescent="0.25">
      <c r="A15" s="6">
        <v>130000</v>
      </c>
      <c r="B15" s="7">
        <v>66</v>
      </c>
      <c r="C15" s="7">
        <v>182</v>
      </c>
      <c r="I15" s="5">
        <f t="shared" si="6"/>
        <v>0.40260000000000001</v>
      </c>
      <c r="J15" s="5">
        <f t="shared" si="3"/>
        <v>4.4464891925856935E-4</v>
      </c>
      <c r="K15" s="5">
        <f t="shared" si="4"/>
        <v>1.0680022391671579E-8</v>
      </c>
      <c r="L15" s="5">
        <f t="shared" si="7"/>
        <v>0.55510000000000004</v>
      </c>
      <c r="M15" s="5">
        <f t="shared" si="5"/>
        <v>5.4569201555739627E-4</v>
      </c>
      <c r="N15" s="5">
        <f t="shared" si="0"/>
        <v>5.5750880509065827E-4</v>
      </c>
      <c r="O15" s="11">
        <f t="shared" si="8"/>
        <v>0.79756394015384846</v>
      </c>
      <c r="P15" s="11">
        <f t="shared" si="9"/>
        <v>0.13229267777173226</v>
      </c>
      <c r="Q15" s="5">
        <v>0.75629072965373201</v>
      </c>
      <c r="R15" s="5">
        <v>0.69358177004368304</v>
      </c>
      <c r="S15" s="5">
        <f t="shared" si="10"/>
        <v>5.6533038668250164</v>
      </c>
      <c r="T15" s="5">
        <f t="shared" si="11"/>
        <v>5.1845518513000108</v>
      </c>
    </row>
    <row r="16" spans="1:20" x14ac:dyDescent="0.25">
      <c r="A16" s="8">
        <v>135000</v>
      </c>
      <c r="B16" s="5">
        <v>80</v>
      </c>
      <c r="C16" s="5">
        <v>198</v>
      </c>
      <c r="I16" s="5">
        <f t="shared" si="6"/>
        <v>0.48800000000000004</v>
      </c>
      <c r="J16" s="5">
        <f t="shared" si="3"/>
        <v>5.013878861089481E-4</v>
      </c>
      <c r="K16" s="5">
        <f t="shared" si="4"/>
        <v>1.2042835636450828E-8</v>
      </c>
      <c r="L16" s="5">
        <f t="shared" si="7"/>
        <v>0.60389999999999999</v>
      </c>
      <c r="M16" s="5">
        <f t="shared" si="5"/>
        <v>6.3021418797922901E-4</v>
      </c>
      <c r="N16" s="5">
        <f t="shared" si="0"/>
        <v>6.499579807214312E-4</v>
      </c>
      <c r="O16" s="11">
        <f t="shared" si="8"/>
        <v>0.77141584684047515</v>
      </c>
      <c r="P16" s="11">
        <f t="shared" si="9"/>
        <v>0.14917374850761597</v>
      </c>
      <c r="Q16" s="5">
        <v>0.78302802450882703</v>
      </c>
      <c r="R16" s="5">
        <v>0.71782850834038803</v>
      </c>
      <c r="S16" s="5">
        <f t="shared" si="10"/>
        <v>6.2154010404401232</v>
      </c>
      <c r="T16" s="5">
        <f t="shared" si="11"/>
        <v>5.6978702140259516</v>
      </c>
    </row>
    <row r="17" spans="1:20" x14ac:dyDescent="0.25">
      <c r="A17" s="4">
        <v>140000</v>
      </c>
      <c r="B17" s="5">
        <v>98</v>
      </c>
      <c r="C17" s="5">
        <v>210</v>
      </c>
      <c r="I17" s="5">
        <f t="shared" si="6"/>
        <v>0.5978</v>
      </c>
      <c r="J17" s="5">
        <f t="shared" si="3"/>
        <v>5.6536697031892035E-4</v>
      </c>
      <c r="K17" s="5">
        <f t="shared" si="4"/>
        <v>1.3579549260090149E-8</v>
      </c>
      <c r="L17" s="5">
        <f t="shared" si="7"/>
        <v>0.64050000000000007</v>
      </c>
      <c r="M17" s="5">
        <f t="shared" si="5"/>
        <v>7.2782798979499532E-4</v>
      </c>
      <c r="N17" s="5">
        <f t="shared" si="0"/>
        <v>7.6129377198869521E-4</v>
      </c>
      <c r="O17" s="11">
        <f t="shared" ref="O17:O19" si="12">J17/N17</f>
        <v>0.74263968933048852</v>
      </c>
      <c r="P17" s="11">
        <f t="shared" si="9"/>
        <v>0.16820891086814443</v>
      </c>
      <c r="Q17" s="5">
        <v>0.81424810541430603</v>
      </c>
      <c r="R17" s="5">
        <v>0.74748829682705697</v>
      </c>
      <c r="S17" s="5">
        <f t="shared" si="10"/>
        <v>6.8632039549101469</v>
      </c>
      <c r="T17" s="5">
        <f t="shared" si="11"/>
        <v>6.3004931800512765</v>
      </c>
    </row>
    <row r="18" spans="1:20" x14ac:dyDescent="0.25">
      <c r="A18" s="4">
        <v>150000</v>
      </c>
      <c r="B18" s="5">
        <v>120</v>
      </c>
      <c r="C18" s="5">
        <v>306</v>
      </c>
      <c r="I18" s="5">
        <f t="shared" si="6"/>
        <v>0.7320000000000001</v>
      </c>
      <c r="J18" s="5">
        <f t="shared" si="3"/>
        <v>7.1885885084479399E-4</v>
      </c>
      <c r="K18" s="5">
        <f t="shared" si="4"/>
        <v>1.7266270738441107E-8</v>
      </c>
      <c r="L18" s="5">
        <f t="shared" si="7"/>
        <v>0.93330000000000002</v>
      </c>
      <c r="M18" s="5">
        <f t="shared" si="5"/>
        <v>9.7075560504202778E-4</v>
      </c>
      <c r="N18" s="5">
        <f t="shared" si="0"/>
        <v>1.0749410197980036E-3</v>
      </c>
      <c r="O18" s="11">
        <f t="shared" si="12"/>
        <v>0.66874259852868734</v>
      </c>
      <c r="P18" s="11">
        <f t="shared" si="9"/>
        <v>0.21387606761024483</v>
      </c>
      <c r="Q18" s="5">
        <v>0.90144311452165904</v>
      </c>
      <c r="R18" s="5">
        <v>0.83275633441479802</v>
      </c>
      <c r="S18" s="5">
        <f t="shared" si="10"/>
        <v>8.5677161532526629</v>
      </c>
      <c r="T18" s="5">
        <f t="shared" si="11"/>
        <v>7.9148864561189258</v>
      </c>
    </row>
    <row r="19" spans="1:20" x14ac:dyDescent="0.25">
      <c r="A19" s="4">
        <v>160000</v>
      </c>
      <c r="B19" s="5">
        <v>166</v>
      </c>
      <c r="C19" s="5">
        <v>469</v>
      </c>
      <c r="I19" s="5">
        <f t="shared" si="6"/>
        <v>1.0126000000000002</v>
      </c>
      <c r="J19" s="5">
        <f t="shared" si="3"/>
        <v>9.1402235108711382E-4</v>
      </c>
      <c r="K19" s="5">
        <f t="shared" si="4"/>
        <v>2.1953902850761389E-8</v>
      </c>
      <c r="L19" s="5">
        <f t="shared" si="7"/>
        <v>1.43045</v>
      </c>
      <c r="M19" s="5">
        <f t="shared" si="5"/>
        <v>1.2947653263320452E-3</v>
      </c>
      <c r="N19" s="5">
        <f t="shared" si="0"/>
        <v>1.7367292647854707E-3</v>
      </c>
      <c r="O19" s="11">
        <f t="shared" si="12"/>
        <v>0.52628948542536269</v>
      </c>
      <c r="P19" s="11">
        <f t="shared" si="9"/>
        <v>0.27194143318768071</v>
      </c>
      <c r="Q19" s="5">
        <v>1.07088341488881</v>
      </c>
      <c r="R19" s="5">
        <v>0.98579076313527603</v>
      </c>
      <c r="S19" s="5">
        <f t="shared" si="10"/>
        <v>11.476924707325033</v>
      </c>
      <c r="T19" s="5">
        <f t="shared" si="11"/>
        <v>10.564965530682692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Ref_Cao 2018</vt:lpstr>
      <vt:lpstr>AMS2</vt:lpstr>
      <vt:lpstr>Yellow 6</vt:lpstr>
      <vt:lpstr>Yellow 6a</vt:lpstr>
      <vt:lpstr>Green 5</vt:lpstr>
      <vt:lpstr>Green 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孟昶宇</cp:lastModifiedBy>
  <cp:revision>35</cp:revision>
  <dcterms:created xsi:type="dcterms:W3CDTF">2009-04-16T11:32:48Z</dcterms:created>
  <dcterms:modified xsi:type="dcterms:W3CDTF">2021-09-17T04:52:58Z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