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usaskca1-my.sharepoint.com/personal/lol553_usask_ca/Documents/teaching/stat348_2024/"/>
    </mc:Choice>
  </mc:AlternateContent>
  <xr:revisionPtr revIDLastSave="7" documentId="8_{B9E92876-2793-EF4E-80E9-3B24041D9831}" xr6:coauthVersionLast="47" xr6:coauthVersionMax="47" xr10:uidLastSave="{F6D76B9E-5870-4B98-A508-7211D11147D2}"/>
  <bookViews>
    <workbookView xWindow="14480" yWindow="760" windowWidth="31920" windowHeight="25320" firstSheet="2" activeTab="1" xr2:uid="{00000000-000D-0000-FFFF-FFFF00000000}"/>
  </bookViews>
  <sheets>
    <sheet name="Stratified Sampling" sheetId="4" r:id="rId1"/>
    <sheet name="Poststratified" sheetId="5" r:id="rId2"/>
    <sheet name="Ratio Estimators" sheetId="3" r:id="rId3"/>
    <sheet name="cluster Sampling" sheetId="6" r:id="rId4"/>
    <sheet name="UPSWR" sheetId="7" r:id="rId5"/>
  </sheets>
  <calcPr calcId="191028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H4" i="4"/>
  <c r="K4" i="4"/>
  <c r="G5" i="4"/>
  <c r="H5" i="4"/>
  <c r="K5" i="4"/>
  <c r="G6" i="4"/>
  <c r="H6" i="4"/>
  <c r="K6" i="4"/>
  <c r="G7" i="4"/>
  <c r="H7" i="4"/>
  <c r="K7" i="4"/>
  <c r="K12" i="4"/>
  <c r="K13" i="4"/>
  <c r="C16" i="4"/>
  <c r="C17" i="4"/>
  <c r="E14" i="5"/>
  <c r="D14" i="5"/>
  <c r="E13" i="5"/>
  <c r="D13" i="5"/>
  <c r="E17" i="4"/>
  <c r="D17" i="4"/>
  <c r="E16" i="4"/>
  <c r="D16" i="4"/>
  <c r="F37" i="3"/>
  <c r="E37" i="3"/>
  <c r="F36" i="3"/>
  <c r="E36" i="3"/>
  <c r="F35" i="3"/>
  <c r="E35" i="3"/>
  <c r="F32" i="6"/>
  <c r="E32" i="6"/>
  <c r="F31" i="6"/>
  <c r="E31" i="6"/>
  <c r="F19" i="7"/>
  <c r="E19" i="7"/>
  <c r="F18" i="7"/>
  <c r="E18" i="7"/>
  <c r="D31" i="3"/>
  <c r="C25" i="3"/>
  <c r="B25" i="3"/>
  <c r="B35" i="3"/>
  <c r="B27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F25" i="3"/>
  <c r="F27" i="3"/>
  <c r="F26" i="3"/>
  <c r="B26" i="3"/>
  <c r="C35" i="3"/>
  <c r="D35" i="3"/>
  <c r="B36" i="3"/>
  <c r="C36" i="3"/>
  <c r="D36" i="3"/>
  <c r="B37" i="3"/>
  <c r="C37" i="3"/>
  <c r="D37" i="3"/>
  <c r="B5" i="7"/>
  <c r="F5" i="7"/>
  <c r="E5" i="7"/>
  <c r="G5" i="7"/>
  <c r="E6" i="7"/>
  <c r="B6" i="7"/>
  <c r="G6" i="7"/>
  <c r="E7" i="7"/>
  <c r="B7" i="7"/>
  <c r="G7" i="7"/>
  <c r="E8" i="7"/>
  <c r="B8" i="7"/>
  <c r="G8" i="7"/>
  <c r="E9" i="7"/>
  <c r="B9" i="7"/>
  <c r="G9" i="7"/>
  <c r="G12" i="7"/>
  <c r="F6" i="7"/>
  <c r="F7" i="7"/>
  <c r="F8" i="7"/>
  <c r="F9" i="7"/>
  <c r="F12" i="7"/>
  <c r="B18" i="7"/>
  <c r="H5" i="7"/>
  <c r="H6" i="7"/>
  <c r="H7" i="7"/>
  <c r="H8" i="7"/>
  <c r="H9" i="7"/>
  <c r="H12" i="7"/>
  <c r="H14" i="7"/>
  <c r="H13" i="7"/>
  <c r="I5" i="7"/>
  <c r="J5" i="7"/>
  <c r="I6" i="7"/>
  <c r="J6" i="7"/>
  <c r="I7" i="7"/>
  <c r="J7" i="7"/>
  <c r="I8" i="7"/>
  <c r="J8" i="7"/>
  <c r="I9" i="7"/>
  <c r="J9" i="7"/>
  <c r="J14" i="7"/>
  <c r="I14" i="7"/>
  <c r="E12" i="4"/>
  <c r="D12" i="4"/>
  <c r="F7" i="4"/>
  <c r="F6" i="4"/>
  <c r="F5" i="4"/>
  <c r="F4" i="4"/>
  <c r="I5" i="4"/>
  <c r="I7" i="4"/>
  <c r="I6" i="4"/>
  <c r="I4" i="4"/>
  <c r="C12" i="4"/>
  <c r="K8" i="4"/>
  <c r="K9" i="4"/>
  <c r="K10" i="4"/>
  <c r="K11" i="4"/>
  <c r="J4" i="4"/>
  <c r="J5" i="4"/>
  <c r="J6" i="4"/>
  <c r="J7" i="4"/>
  <c r="J8" i="4"/>
  <c r="J9" i="4"/>
  <c r="J10" i="4"/>
  <c r="J11" i="4"/>
  <c r="J12" i="4"/>
  <c r="B16" i="4"/>
  <c r="F12" i="4"/>
  <c r="G12" i="4"/>
  <c r="B17" i="4"/>
  <c r="H8" i="4"/>
  <c r="H9" i="4"/>
  <c r="H10" i="4"/>
  <c r="H11" i="4"/>
  <c r="H12" i="4"/>
  <c r="I8" i="4"/>
  <c r="I9" i="4"/>
  <c r="I10" i="4"/>
  <c r="I11" i="4"/>
  <c r="I12" i="4"/>
  <c r="E29" i="4"/>
  <c r="E30" i="4"/>
  <c r="E31" i="4"/>
  <c r="E24" i="4"/>
  <c r="E25" i="4"/>
  <c r="E26" i="4"/>
  <c r="E27" i="4"/>
  <c r="E28" i="4"/>
  <c r="E32" i="4"/>
  <c r="F29" i="4"/>
  <c r="F30" i="4"/>
  <c r="F31" i="4"/>
  <c r="G29" i="4"/>
  <c r="G30" i="4"/>
  <c r="G31" i="4"/>
  <c r="C32" i="4"/>
  <c r="D32" i="4"/>
  <c r="F24" i="4"/>
  <c r="F25" i="4"/>
  <c r="F26" i="4"/>
  <c r="F27" i="4"/>
  <c r="F28" i="4"/>
  <c r="F32" i="4"/>
  <c r="B32" i="4"/>
  <c r="A25" i="4"/>
  <c r="A26" i="4"/>
  <c r="A27" i="4"/>
  <c r="A28" i="4"/>
  <c r="A29" i="4"/>
  <c r="A30" i="4"/>
  <c r="A31" i="4"/>
  <c r="G28" i="4"/>
  <c r="G27" i="4"/>
  <c r="A5" i="4"/>
  <c r="A6" i="4"/>
  <c r="A7" i="4"/>
  <c r="A8" i="4"/>
  <c r="A9" i="4"/>
  <c r="A10" i="4"/>
  <c r="A11" i="4"/>
  <c r="C38" i="4"/>
  <c r="C39" i="4"/>
  <c r="C40" i="4"/>
  <c r="B38" i="4"/>
  <c r="B39" i="4"/>
  <c r="B40" i="4"/>
  <c r="I37" i="4"/>
  <c r="C26" i="3"/>
  <c r="C27" i="3"/>
  <c r="G15" i="7"/>
  <c r="J12" i="7"/>
  <c r="C14" i="7"/>
  <c r="J13" i="7"/>
  <c r="F14" i="7"/>
  <c r="F13" i="7"/>
  <c r="C18" i="7"/>
  <c r="G14" i="7"/>
  <c r="G13" i="7"/>
  <c r="B19" i="7"/>
  <c r="C19" i="7"/>
  <c r="D19" i="7"/>
  <c r="D18" i="7"/>
  <c r="D5" i="6"/>
  <c r="D6" i="6"/>
  <c r="D7" i="6"/>
  <c r="D8" i="6"/>
  <c r="D9" i="6"/>
  <c r="D10" i="6"/>
  <c r="D11" i="6"/>
  <c r="D12" i="6"/>
  <c r="D13" i="6"/>
  <c r="D14" i="6"/>
  <c r="D15" i="6"/>
  <c r="D16" i="6"/>
  <c r="D19" i="6"/>
  <c r="C19" i="6"/>
  <c r="B31" i="6"/>
  <c r="C21" i="6"/>
  <c r="C23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G19" i="6"/>
  <c r="G20" i="6"/>
  <c r="C20" i="6"/>
  <c r="C22" i="6"/>
  <c r="C31" i="6"/>
  <c r="D31" i="6"/>
  <c r="B32" i="6"/>
  <c r="C32" i="6"/>
  <c r="D32" i="6"/>
  <c r="D28" i="6"/>
  <c r="B33" i="6"/>
  <c r="C33" i="6"/>
  <c r="D33" i="6"/>
  <c r="E33" i="6"/>
  <c r="F33" i="6"/>
  <c r="G21" i="6"/>
  <c r="F21" i="6"/>
  <c r="E21" i="6"/>
  <c r="D21" i="6"/>
  <c r="A6" i="7"/>
  <c r="A7" i="7"/>
  <c r="A8" i="7"/>
  <c r="A9" i="7"/>
  <c r="A10" i="7"/>
  <c r="A11" i="7"/>
  <c r="D12" i="7"/>
  <c r="D14" i="7"/>
  <c r="D13" i="7"/>
  <c r="E12" i="7"/>
  <c r="E14" i="7"/>
  <c r="E13" i="7"/>
  <c r="B14" i="7"/>
  <c r="B13" i="7"/>
  <c r="C12" i="7"/>
  <c r="C13" i="7"/>
  <c r="I12" i="7"/>
  <c r="E19" i="6"/>
  <c r="B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B21" i="6"/>
  <c r="B20" i="6"/>
  <c r="D8" i="5"/>
  <c r="F4" i="5"/>
  <c r="E4" i="5"/>
  <c r="F5" i="5"/>
  <c r="E5" i="5"/>
  <c r="F6" i="5"/>
  <c r="E6" i="5"/>
  <c r="F3" i="5"/>
  <c r="E3" i="5"/>
  <c r="G3" i="5"/>
  <c r="G4" i="5"/>
  <c r="G5" i="5"/>
  <c r="G6" i="5"/>
  <c r="G8" i="5"/>
  <c r="B13" i="5"/>
  <c r="H3" i="5"/>
  <c r="H4" i="5"/>
  <c r="H5" i="5"/>
  <c r="H6" i="5"/>
  <c r="H8" i="5"/>
  <c r="C13" i="5"/>
  <c r="B14" i="5"/>
  <c r="C14" i="5"/>
  <c r="A4" i="5"/>
  <c r="A5" i="5"/>
  <c r="A6" i="5"/>
  <c r="A7" i="5"/>
  <c r="F8" i="5"/>
  <c r="H9" i="5"/>
  <c r="A38" i="4"/>
  <c r="A39" i="4"/>
  <c r="D45" i="4"/>
  <c r="E37" i="4"/>
  <c r="F37" i="4"/>
  <c r="E38" i="4"/>
  <c r="F38" i="4"/>
  <c r="E39" i="4"/>
  <c r="F39" i="4"/>
  <c r="E40" i="4"/>
  <c r="F40" i="4"/>
  <c r="F45" i="4"/>
  <c r="G37" i="4"/>
  <c r="H37" i="4"/>
  <c r="G38" i="4"/>
  <c r="H38" i="4"/>
  <c r="G39" i="4"/>
  <c r="H39" i="4"/>
  <c r="G40" i="4"/>
  <c r="H40" i="4"/>
  <c r="H45" i="4"/>
  <c r="B51" i="4"/>
  <c r="C51" i="4"/>
  <c r="D51" i="4"/>
  <c r="I38" i="4"/>
  <c r="I39" i="4"/>
  <c r="I40" i="4"/>
  <c r="I45" i="4"/>
  <c r="B52" i="4"/>
  <c r="C52" i="4"/>
  <c r="D52" i="4"/>
  <c r="G51" i="4"/>
  <c r="H51" i="4"/>
  <c r="B53" i="4"/>
  <c r="C53" i="4"/>
  <c r="D53" i="4"/>
  <c r="F51" i="4"/>
  <c r="E51" i="4"/>
  <c r="G45" i="4"/>
  <c r="E45" i="4"/>
  <c r="A40" i="4"/>
  <c r="G26" i="4"/>
  <c r="G25" i="4"/>
  <c r="G24" i="4"/>
  <c r="E27" i="3"/>
  <c r="D27" i="3"/>
  <c r="D26" i="3"/>
  <c r="E25" i="3"/>
  <c r="D25" i="3"/>
  <c r="D20" i="6"/>
</calcChain>
</file>

<file path=xl/sharedStrings.xml><?xml version="1.0" encoding="utf-8"?>
<sst xmlns="http://schemas.openxmlformats.org/spreadsheetml/2006/main" count="151" uniqueCount="93">
  <si>
    <t>Estimating Population Mean and Total</t>
  </si>
  <si>
    <t>Post-stratified?</t>
  </si>
  <si>
    <t>Stratum</t>
  </si>
  <si>
    <t>ybar_h</t>
  </si>
  <si>
    <r>
      <t>S</t>
    </r>
    <r>
      <rPr>
        <b/>
        <vertAlign val="subscript"/>
        <sz val="10"/>
        <color indexed="8"/>
        <rFont val="Helvetica Neue"/>
        <family val="2"/>
      </rPr>
      <t>h</t>
    </r>
    <r>
      <rPr>
        <b/>
        <vertAlign val="superscript"/>
        <sz val="10"/>
        <color indexed="8"/>
        <rFont val="Helvetica Neue"/>
        <family val="2"/>
      </rPr>
      <t xml:space="preserve">2 </t>
    </r>
  </si>
  <si>
    <r>
      <rPr>
        <b/>
        <sz val="10"/>
        <color indexed="8"/>
        <rFont val="Helvetica Neue"/>
        <family val="2"/>
      </rPr>
      <t>N</t>
    </r>
    <r>
      <rPr>
        <b/>
        <vertAlign val="subscript"/>
        <sz val="10"/>
        <color indexed="8"/>
        <rFont val="Helvetica Neue"/>
        <family val="2"/>
      </rPr>
      <t>h</t>
    </r>
  </si>
  <si>
    <r>
      <rPr>
        <b/>
        <sz val="10"/>
        <color indexed="8"/>
        <rFont val="Helvetica Neue"/>
        <family val="2"/>
      </rPr>
      <t>observed n</t>
    </r>
    <r>
      <rPr>
        <b/>
        <vertAlign val="subscript"/>
        <sz val="10"/>
        <color indexed="8"/>
        <rFont val="Helvetica Neue"/>
        <family val="2"/>
      </rPr>
      <t xml:space="preserve">h </t>
    </r>
  </si>
  <si>
    <r>
      <t>Proportional n</t>
    </r>
    <r>
      <rPr>
        <b/>
        <vertAlign val="subscript"/>
        <sz val="10"/>
        <color indexed="8"/>
        <rFont val="Helvetica Neue"/>
        <family val="2"/>
      </rPr>
      <t xml:space="preserve">h </t>
    </r>
  </si>
  <si>
    <r>
      <rPr>
        <b/>
        <sz val="10"/>
        <color indexed="8"/>
        <rFont val="Helvetica Neue"/>
        <family val="2"/>
      </rPr>
      <t>n</t>
    </r>
    <r>
      <rPr>
        <b/>
        <vertAlign val="subscript"/>
        <sz val="10"/>
        <color indexed="8"/>
        <rFont val="Helvetica Neue"/>
        <family val="2"/>
      </rPr>
      <t xml:space="preserve">h </t>
    </r>
  </si>
  <si>
    <t>FPC_h</t>
  </si>
  <si>
    <r>
      <rPr>
        <b/>
        <sz val="10"/>
        <color indexed="8"/>
        <rFont val="Helvetica Neue"/>
        <family val="2"/>
      </rPr>
      <t>Pi</t>
    </r>
    <r>
      <rPr>
        <b/>
        <vertAlign val="subscript"/>
        <sz val="10"/>
        <color indexed="8"/>
        <rFont val="Helvetica Neue"/>
        <family val="2"/>
      </rPr>
      <t>h</t>
    </r>
  </si>
  <si>
    <t>Pi_h * ybar_h</t>
  </si>
  <si>
    <r>
      <rPr>
        <b/>
        <sz val="10"/>
        <color indexed="8"/>
        <rFont val="Helvetica Neue"/>
        <family val="2"/>
      </rPr>
      <t>(1-n</t>
    </r>
    <r>
      <rPr>
        <b/>
        <vertAlign val="subscript"/>
        <sz val="10"/>
        <color indexed="8"/>
        <rFont val="Helvetica Neue"/>
        <family val="2"/>
      </rPr>
      <t xml:space="preserve">h </t>
    </r>
    <r>
      <rPr>
        <b/>
        <sz val="10"/>
        <color indexed="8"/>
        <rFont val="Helvetica Neue"/>
        <family val="2"/>
      </rPr>
      <t>/</t>
    </r>
    <r>
      <rPr>
        <b/>
        <vertAlign val="subscript"/>
        <sz val="10"/>
        <color indexed="8"/>
        <rFont val="Helvetica Neue"/>
        <family val="2"/>
      </rPr>
      <t xml:space="preserve"> </t>
    </r>
    <r>
      <rPr>
        <b/>
        <sz val="10"/>
        <color indexed="8"/>
        <rFont val="Helvetica Neue"/>
        <family val="2"/>
      </rPr>
      <t>N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>)S</t>
    </r>
    <r>
      <rPr>
        <b/>
        <vertAlign val="subscript"/>
        <sz val="10"/>
        <color indexed="8"/>
        <rFont val="Helvetica Neue"/>
        <family val="2"/>
      </rPr>
      <t>h</t>
    </r>
    <r>
      <rPr>
        <b/>
        <vertAlign val="superscript"/>
        <sz val="10"/>
        <color indexed="8"/>
        <rFont val="Helvetica Neue"/>
        <family val="2"/>
      </rPr>
      <t>2</t>
    </r>
    <r>
      <rPr>
        <b/>
        <sz val="10"/>
        <color indexed="8"/>
        <rFont val="Helvetica Neue"/>
        <family val="2"/>
      </rPr>
      <t>/n</t>
    </r>
    <r>
      <rPr>
        <b/>
        <vertAlign val="subscript"/>
        <sz val="10"/>
        <color indexed="8"/>
        <rFont val="Helvetica Neue"/>
        <family val="2"/>
      </rPr>
      <t xml:space="preserve">h </t>
    </r>
    <r>
      <rPr>
        <b/>
        <sz val="10"/>
        <color indexed="8"/>
        <rFont val="Helvetica Neue"/>
        <family val="2"/>
      </rPr>
      <t>* Pi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>^2</t>
    </r>
  </si>
  <si>
    <t>SUM</t>
  </si>
  <si>
    <t>SQRT</t>
  </si>
  <si>
    <t>Estimates of Population Mean and Total</t>
  </si>
  <si>
    <t>Estimate</t>
  </si>
  <si>
    <t>SE</t>
  </si>
  <si>
    <t>CI_low</t>
  </si>
  <si>
    <t>CI_up</t>
  </si>
  <si>
    <t>yhat_str</t>
  </si>
  <si>
    <t>t hat_str</t>
  </si>
  <si>
    <t>Optimal (Neyman) Allocation</t>
  </si>
  <si>
    <r>
      <rPr>
        <b/>
        <sz val="10"/>
        <color indexed="8"/>
        <rFont val="Helvetica Neue"/>
        <family val="2"/>
      </rPr>
      <t>C</t>
    </r>
    <r>
      <rPr>
        <b/>
        <vertAlign val="subscript"/>
        <sz val="10"/>
        <color indexed="8"/>
        <rFont val="Helvetica Neue"/>
        <family val="2"/>
      </rPr>
      <t>h</t>
    </r>
  </si>
  <si>
    <r>
      <rPr>
        <b/>
        <sz val="10"/>
        <color indexed="8"/>
        <rFont val="Helvetica Neue"/>
        <family val="2"/>
      </rPr>
      <t>S</t>
    </r>
    <r>
      <rPr>
        <b/>
        <vertAlign val="subscript"/>
        <sz val="10"/>
        <color indexed="8"/>
        <rFont val="Helvetica Neue"/>
        <family val="2"/>
      </rPr>
      <t>h</t>
    </r>
    <r>
      <rPr>
        <b/>
        <vertAlign val="superscript"/>
        <sz val="10"/>
        <color indexed="8"/>
        <rFont val="Helvetica Neue"/>
        <family val="2"/>
      </rPr>
      <t>2</t>
    </r>
  </si>
  <si>
    <r>
      <rPr>
        <b/>
        <sz val="10"/>
        <color indexed="8"/>
        <rFont val="Helvetica Neue"/>
        <family val="2"/>
      </rPr>
      <t>C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>N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>S</t>
    </r>
    <r>
      <rPr>
        <b/>
        <vertAlign val="subscript"/>
        <sz val="10"/>
        <color indexed="8"/>
        <rFont val="Helvetica Neue"/>
        <family val="2"/>
      </rPr>
      <t>h</t>
    </r>
  </si>
  <si>
    <r>
      <t>Allocation Proportion (L</t>
    </r>
    <r>
      <rPr>
        <b/>
        <sz val="9"/>
        <color rgb="FF000000"/>
        <rFont val="Helvetica Neue"/>
        <family val="2"/>
      </rPr>
      <t>h</t>
    </r>
    <r>
      <rPr>
        <b/>
        <sz val="10"/>
        <color indexed="8"/>
        <rFont val="Helvetica Neue"/>
        <family val="2"/>
      </rPr>
      <t>)</t>
    </r>
  </si>
  <si>
    <r>
      <t>Allocated n</t>
    </r>
    <r>
      <rPr>
        <b/>
        <vertAlign val="subscript"/>
        <sz val="10"/>
        <color indexed="8"/>
        <rFont val="Helvetica Neue"/>
        <family val="2"/>
      </rPr>
      <t xml:space="preserve">h </t>
    </r>
  </si>
  <si>
    <t>Analysis of Variance Given Grouped Means and Variances</t>
  </si>
  <si>
    <r>
      <rPr>
        <b/>
        <sz val="10"/>
        <color indexed="8"/>
        <rFont val="Helvetica Neue"/>
        <family val="2"/>
      </rPr>
      <t>ybar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 xml:space="preserve"> </t>
    </r>
  </si>
  <si>
    <r>
      <rPr>
        <b/>
        <sz val="10"/>
        <color indexed="8"/>
        <rFont val="Helvetica Neue"/>
        <family val="2"/>
      </rPr>
      <t>Pi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 xml:space="preserve"> * ybar</t>
    </r>
    <r>
      <rPr>
        <b/>
        <vertAlign val="subscript"/>
        <sz val="10"/>
        <color indexed="8"/>
        <rFont val="Helvetica Neue"/>
        <family val="2"/>
      </rPr>
      <t>h</t>
    </r>
  </si>
  <si>
    <r>
      <rPr>
        <b/>
        <sz val="10"/>
        <color indexed="8"/>
        <rFont val="Helvetica Neue"/>
        <family val="2"/>
      </rPr>
      <t>ybar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 xml:space="preserve"> - ybar</t>
    </r>
  </si>
  <si>
    <r>
      <rPr>
        <b/>
        <sz val="10"/>
        <color indexed="8"/>
        <rFont val="Helvetica Neue"/>
        <family val="2"/>
      </rPr>
      <t>N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>*(ybar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 xml:space="preserve"> - ybar)</t>
    </r>
    <r>
      <rPr>
        <b/>
        <vertAlign val="superscript"/>
        <sz val="10"/>
        <color indexed="8"/>
        <rFont val="Helvetica Neue"/>
        <family val="2"/>
      </rPr>
      <t>2</t>
    </r>
  </si>
  <si>
    <r>
      <rPr>
        <b/>
        <sz val="10"/>
        <color indexed="8"/>
        <rFont val="Helvetica Neue"/>
        <family val="2"/>
      </rPr>
      <t>(N</t>
    </r>
    <r>
      <rPr>
        <b/>
        <vertAlign val="subscript"/>
        <sz val="10"/>
        <color indexed="8"/>
        <rFont val="Helvetica Neue"/>
        <family val="2"/>
      </rPr>
      <t>h</t>
    </r>
    <r>
      <rPr>
        <b/>
        <sz val="10"/>
        <color indexed="8"/>
        <rFont val="Helvetica Neue"/>
        <family val="2"/>
      </rPr>
      <t>-1)*S</t>
    </r>
    <r>
      <rPr>
        <b/>
        <vertAlign val="subscript"/>
        <sz val="10"/>
        <color indexed="8"/>
        <rFont val="Helvetica Neue"/>
        <family val="2"/>
      </rPr>
      <t>h</t>
    </r>
    <r>
      <rPr>
        <b/>
        <vertAlign val="superscript"/>
        <sz val="10"/>
        <color indexed="8"/>
        <rFont val="Helvetica Neue"/>
        <family val="2"/>
      </rPr>
      <t>2</t>
    </r>
  </si>
  <si>
    <t>N</t>
  </si>
  <si>
    <t>grand ybar</t>
  </si>
  <si>
    <t>SSB</t>
  </si>
  <si>
    <t>SSW</t>
  </si>
  <si>
    <t>ANOVA Table</t>
  </si>
  <si>
    <t>Source</t>
  </si>
  <si>
    <t>SS</t>
  </si>
  <si>
    <t>DF</t>
  </si>
  <si>
    <t>MS</t>
  </si>
  <si>
    <t>R^2</t>
  </si>
  <si>
    <t>adjusted R^2</t>
  </si>
  <si>
    <t>F^obs</t>
  </si>
  <si>
    <t>P(&gt;F^obs)</t>
  </si>
  <si>
    <t>Groups</t>
  </si>
  <si>
    <t>Residuals</t>
  </si>
  <si>
    <t>Total</t>
  </si>
  <si>
    <t>Post-stratified Estimator for Population Mean and Variance</t>
  </si>
  <si>
    <r>
      <rPr>
        <b/>
        <sz val="10"/>
        <color indexed="8"/>
        <rFont val="Helvetica Neue"/>
        <family val="2"/>
      </rPr>
      <t>Proportional n</t>
    </r>
    <r>
      <rPr>
        <b/>
        <vertAlign val="subscript"/>
        <sz val="10"/>
        <color indexed="8"/>
        <rFont val="Helvetica Neue"/>
        <family val="2"/>
      </rPr>
      <t xml:space="preserve">h </t>
    </r>
  </si>
  <si>
    <t>Estimates of Pop Mean and Total</t>
  </si>
  <si>
    <t>Ratio Estimator</t>
  </si>
  <si>
    <t>Sample Data</t>
  </si>
  <si>
    <t>x_i</t>
  </si>
  <si>
    <t>y_i</t>
  </si>
  <si>
    <t>yhat_i</t>
  </si>
  <si>
    <t>e_i</t>
  </si>
  <si>
    <t>e_i^2</t>
  </si>
  <si>
    <t>sum</t>
  </si>
  <si>
    <t>average</t>
  </si>
  <si>
    <r>
      <t xml:space="preserve"> s</t>
    </r>
    <r>
      <rPr>
        <b/>
        <vertAlign val="subscript"/>
        <sz val="10"/>
        <color indexed="8"/>
        <rFont val="Helvetica Neue"/>
        <family val="2"/>
      </rPr>
      <t>e</t>
    </r>
    <r>
      <rPr>
        <b/>
        <vertAlign val="superscript"/>
        <sz val="10"/>
        <color indexed="8"/>
        <rFont val="Helvetica Neue"/>
        <family val="2"/>
      </rPr>
      <t>2</t>
    </r>
  </si>
  <si>
    <t>count</t>
  </si>
  <si>
    <t>Population Information</t>
  </si>
  <si>
    <t>Pop Mean of X</t>
  </si>
  <si>
    <t>Pop Total of X</t>
  </si>
  <si>
    <t>Estimates</t>
  </si>
  <si>
    <t>Variance</t>
  </si>
  <si>
    <t>Bhat</t>
  </si>
  <si>
    <t>ybar</t>
  </si>
  <si>
    <t xml:space="preserve">t hat </t>
  </si>
  <si>
    <t>Ratio Estimator for Two/One-Stage Clustering Sampling</t>
  </si>
  <si>
    <t>Cluster Summary</t>
  </si>
  <si>
    <t>Cluster ID</t>
  </si>
  <si>
    <t>ybar_i</t>
  </si>
  <si>
    <t>M_i</t>
  </si>
  <si>
    <t xml:space="preserve">hat t_i </t>
  </si>
  <si>
    <t xml:space="preserve"> hat t_i_ratio</t>
  </si>
  <si>
    <t>bar M</t>
  </si>
  <si>
    <t>n</t>
  </si>
  <si>
    <t>Pop Mbar</t>
  </si>
  <si>
    <t>M_0</t>
  </si>
  <si>
    <t xml:space="preserve">ssu-level mean </t>
  </si>
  <si>
    <t>psu-level mean</t>
  </si>
  <si>
    <t xml:space="preserve">Population total </t>
  </si>
  <si>
    <t>Ratio Estimator for UPSWR</t>
  </si>
  <si>
    <t>psi_i</t>
  </si>
  <si>
    <t>x_i=M_i/psi_i</t>
  </si>
  <si>
    <t>y_i=u_i=hat t_i _/psi_i</t>
  </si>
  <si>
    <t>t_i hat_ratio</t>
  </si>
  <si>
    <t>variance</t>
  </si>
  <si>
    <t>Population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</si>
</sst>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???/???"/>
    <numFmt numFmtId="165" formatCode="0.00000"/>
    <numFmt numFmtId="166" formatCode="0.000"/>
    <numFmt numFmtId="167" formatCode="0.0000"/>
  </numFmts>
  <fonts count="13">
    <font>
      <sz val="10"/>
      <color indexed="8"/>
      <name val="Helvetica Neue"/>
    </font>
    <font>
      <sz val="12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0"/>
      <color indexed="12"/>
      <name val="Helvetica Neue"/>
      <family val="2"/>
    </font>
    <font>
      <b/>
      <sz val="10"/>
      <color indexed="8"/>
      <name val="Helvetica Neue"/>
      <family val="2"/>
    </font>
    <font>
      <b/>
      <vertAlign val="subscript"/>
      <sz val="10"/>
      <color indexed="8"/>
      <name val="Helvetica Neue"/>
      <family val="2"/>
    </font>
    <font>
      <b/>
      <vertAlign val="superscript"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6"/>
      <color indexed="8"/>
      <name val="Helvetica Neue"/>
      <family val="2"/>
    </font>
    <font>
      <b/>
      <sz val="11"/>
      <color indexed="8"/>
      <name val="Helvetica Neue"/>
      <family val="2"/>
    </font>
    <font>
      <b/>
      <sz val="10"/>
      <color theme="1"/>
      <name val="Helvetica Neue"/>
      <family val="2"/>
    </font>
    <font>
      <b/>
      <sz val="9"/>
      <color rgb="FF000000"/>
      <name val="Helvetica Neue"/>
      <family val="2"/>
    </font>
    <font>
      <b/>
      <sz val="18"/>
      <color indexed="8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4">
    <xf numFmtId="0" fontId="0" fillId="0" borderId="0" xfId="0">
      <alignment vertical="top" wrapText="1"/>
    </xf>
    <xf numFmtId="0" fontId="0" fillId="0" borderId="1" xfId="0" applyNumberFormat="1" applyBorder="1">
      <alignment vertical="top" wrapText="1"/>
    </xf>
    <xf numFmtId="49" fontId="4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right" vertical="center" wrapText="1"/>
    </xf>
    <xf numFmtId="0" fontId="0" fillId="2" borderId="1" xfId="0" applyNumberForma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top" wrapText="1"/>
    </xf>
    <xf numFmtId="49" fontId="4" fillId="0" borderId="0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right" vertical="center" wrapText="1"/>
    </xf>
    <xf numFmtId="49" fontId="4" fillId="0" borderId="0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top" wrapText="1"/>
    </xf>
    <xf numFmtId="0" fontId="0" fillId="0" borderId="1" xfId="0" applyBorder="1">
      <alignment vertical="top" wrapText="1"/>
    </xf>
    <xf numFmtId="2" fontId="0" fillId="0" borderId="1" xfId="0" applyNumberForma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2" fontId="0" fillId="4" borderId="1" xfId="0" applyNumberFormat="1" applyFill="1" applyBorder="1" applyAlignment="1">
      <alignment horizontal="right" vertical="center" wrapText="1"/>
    </xf>
    <xf numFmtId="2" fontId="0" fillId="0" borderId="1" xfId="0" applyNumberFormat="1" applyBorder="1">
      <alignment vertical="top" wrapText="1"/>
    </xf>
    <xf numFmtId="2" fontId="4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right" vertical="top" wrapText="1"/>
    </xf>
    <xf numFmtId="0" fontId="7" fillId="0" borderId="0" xfId="0" applyFont="1" applyBorder="1" applyAlignment="1">
      <alignment horizontal="right" vertical="top" wrapText="1"/>
    </xf>
    <xf numFmtId="49" fontId="0" fillId="2" borderId="1" xfId="0" applyNumberFormat="1" applyFill="1" applyBorder="1" applyAlignment="1">
      <alignment horizontal="right" vertical="center" wrapText="1"/>
    </xf>
    <xf numFmtId="49" fontId="0" fillId="3" borderId="1" xfId="0" applyNumberForma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top" wrapText="1"/>
    </xf>
    <xf numFmtId="0" fontId="0" fillId="0" borderId="0" xfId="0" applyNumberForma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1" fontId="0" fillId="0" borderId="0" xfId="0" applyNumberFormat="1" applyBorder="1" applyAlignment="1">
      <alignment horizontal="right" vertical="center" wrapText="1"/>
    </xf>
    <xf numFmtId="165" fontId="0" fillId="0" borderId="0" xfId="0" applyNumberFormat="1" applyFill="1" applyBorder="1" applyAlignment="1">
      <alignment horizontal="right" vertical="center" wrapText="1"/>
    </xf>
    <xf numFmtId="2" fontId="0" fillId="3" borderId="1" xfId="0" applyNumberFormat="1" applyFill="1" applyBorder="1" applyAlignment="1">
      <alignment horizontal="right" vertical="center" wrapText="1"/>
    </xf>
    <xf numFmtId="1" fontId="0" fillId="4" borderId="1" xfId="0" applyNumberFormat="1" applyFill="1" applyBorder="1" applyAlignment="1">
      <alignment horizontal="right" vertical="center" wrapText="1"/>
    </xf>
    <xf numFmtId="1" fontId="0" fillId="2" borderId="1" xfId="0" applyNumberFormat="1" applyFill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49" fontId="4" fillId="3" borderId="1" xfId="0" applyNumberFormat="1" applyFont="1" applyFill="1" applyBorder="1" applyAlignment="1">
      <alignment horizontal="right" vertical="center" wrapText="1"/>
    </xf>
    <xf numFmtId="164" fontId="0" fillId="3" borderId="1" xfId="0" applyNumberForma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 wrapText="1"/>
    </xf>
    <xf numFmtId="166" fontId="0" fillId="0" borderId="0" xfId="0" applyNumberFormat="1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right" vertical="center" wrapText="1"/>
    </xf>
    <xf numFmtId="1" fontId="0" fillId="0" borderId="0" xfId="0" applyNumberFormat="1" applyFill="1" applyBorder="1" applyAlignment="1">
      <alignment horizontal="right" vertical="center" wrapText="1"/>
    </xf>
    <xf numFmtId="4" fontId="0" fillId="0" borderId="0" xfId="0" applyNumberFormat="1" applyFill="1" applyBorder="1" applyAlignment="1">
      <alignment horizontal="right" vertical="center" wrapText="1"/>
    </xf>
    <xf numFmtId="2" fontId="0" fillId="5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top" wrapText="1"/>
    </xf>
    <xf numFmtId="166" fontId="0" fillId="5" borderId="1" xfId="0" applyNumberFormat="1" applyFill="1" applyBorder="1" applyAlignment="1">
      <alignment horizontal="right" vertical="top" wrapText="1"/>
    </xf>
    <xf numFmtId="166" fontId="7" fillId="5" borderId="1" xfId="0" applyNumberFormat="1" applyFont="1" applyFill="1" applyBorder="1" applyAlignment="1">
      <alignment horizontal="right" vertical="top" wrapText="1"/>
    </xf>
    <xf numFmtId="1" fontId="0" fillId="5" borderId="1" xfId="0" applyNumberFormat="1" applyFill="1" applyBorder="1" applyAlignment="1">
      <alignment horizontal="right" vertical="top" wrapText="1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top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horizontal="right" vertical="center" wrapText="1"/>
    </xf>
    <xf numFmtId="2" fontId="10" fillId="0" borderId="1" xfId="0" applyNumberFormat="1" applyFont="1" applyBorder="1" applyAlignment="1">
      <alignment horizontal="right" vertical="center" wrapText="1"/>
    </xf>
    <xf numFmtId="166" fontId="10" fillId="0" borderId="1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2" fontId="4" fillId="5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" fontId="4" fillId="5" borderId="1" xfId="0" applyNumberFormat="1" applyFont="1" applyFill="1" applyBorder="1" applyAlignment="1">
      <alignment horizontal="right" vertical="center" wrapText="1"/>
    </xf>
    <xf numFmtId="0" fontId="4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0" fillId="0" borderId="0" xfId="0" applyAlignment="1">
      <alignment vertical="center" wrapText="1"/>
    </xf>
    <xf numFmtId="49" fontId="4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 wrapText="1"/>
    </xf>
    <xf numFmtId="167" fontId="0" fillId="3" borderId="1" xfId="0" applyNumberForma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0" fillId="7" borderId="1" xfId="0" applyFill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2" xfId="0" applyBorder="1">
      <alignment vertical="top" wrapText="1"/>
    </xf>
    <xf numFmtId="0" fontId="0" fillId="2" borderId="4" xfId="0" applyFill="1" applyBorder="1" applyAlignment="1">
      <alignment horizontal="right" vertical="center" wrapText="1"/>
    </xf>
    <xf numFmtId="49" fontId="4" fillId="0" borderId="7" xfId="0" applyNumberFormat="1" applyFont="1" applyBorder="1" applyAlignment="1">
      <alignment horizontal="righ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 wrapText="1"/>
    </xf>
    <xf numFmtId="2" fontId="0" fillId="0" borderId="2" xfId="0" applyNumberFormat="1" applyBorder="1">
      <alignment vertical="top" wrapText="1"/>
    </xf>
    <xf numFmtId="0" fontId="0" fillId="0" borderId="4" xfId="0" applyBorder="1" applyAlignment="1">
      <alignment horizontal="right" vertical="center" wrapText="1"/>
    </xf>
    <xf numFmtId="49" fontId="4" fillId="0" borderId="4" xfId="0" applyNumberFormat="1" applyFont="1" applyBorder="1" applyAlignment="1">
      <alignment horizontal="right" vertical="center" wrapText="1"/>
    </xf>
    <xf numFmtId="2" fontId="0" fillId="7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vertical="center" wrapText="1"/>
    </xf>
    <xf numFmtId="2" fontId="4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49" fontId="4" fillId="9" borderId="7" xfId="0" applyNumberFormat="1" applyFont="1" applyFill="1" applyBorder="1" applyAlignment="1">
      <alignment horizontal="right" vertical="center" wrapText="1"/>
    </xf>
    <xf numFmtId="49" fontId="4" fillId="9" borderId="1" xfId="0" applyNumberFormat="1" applyFont="1" applyFill="1" applyBorder="1" applyAlignment="1">
      <alignment horizontal="right" vertical="center" wrapText="1"/>
    </xf>
    <xf numFmtId="2" fontId="0" fillId="10" borderId="1" xfId="0" applyNumberFormat="1" applyFill="1" applyBorder="1" applyAlignment="1">
      <alignment horizontal="right" vertical="center" wrapText="1"/>
    </xf>
    <xf numFmtId="2" fontId="0" fillId="8" borderId="1" xfId="0" applyNumberFormat="1" applyFill="1" applyBorder="1" applyAlignment="1">
      <alignment horizontal="right" vertical="center" wrapText="1"/>
    </xf>
    <xf numFmtId="0" fontId="0" fillId="0" borderId="7" xfId="0" applyBorder="1" applyAlignment="1">
      <alignment vertical="center" wrapText="1"/>
    </xf>
    <xf numFmtId="1" fontId="0" fillId="0" borderId="1" xfId="0" applyNumberFormat="1" applyBorder="1">
      <alignment vertical="top" wrapText="1"/>
    </xf>
    <xf numFmtId="0" fontId="4" fillId="0" borderId="2" xfId="0" applyFont="1" applyBorder="1" applyAlignment="1">
      <alignment horizontal="right" vertical="center" wrapText="1"/>
    </xf>
    <xf numFmtId="1" fontId="0" fillId="0" borderId="2" xfId="0" applyNumberFormat="1" applyBorder="1">
      <alignment vertical="top" wrapText="1"/>
    </xf>
    <xf numFmtId="0" fontId="0" fillId="0" borderId="2" xfId="0" applyNumberFormat="1" applyBorder="1">
      <alignment vertical="top" wrapText="1"/>
    </xf>
    <xf numFmtId="0" fontId="0" fillId="0" borderId="4" xfId="0" applyNumberFormat="1" applyBorder="1" applyAlignment="1">
      <alignment horizontal="right" vertical="center" wrapText="1"/>
    </xf>
    <xf numFmtId="2" fontId="0" fillId="5" borderId="1" xfId="0" applyNumberFormat="1" applyFill="1" applyBorder="1" applyAlignment="1">
      <alignment horizontal="right" vertical="top" wrapText="1"/>
    </xf>
    <xf numFmtId="12" fontId="0" fillId="3" borderId="1" xfId="0" applyNumberForma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top" wrapText="1"/>
    </xf>
    <xf numFmtId="166" fontId="4" fillId="0" borderId="0" xfId="0" applyNumberFormat="1" applyFont="1" applyFill="1" applyBorder="1" applyAlignment="1">
      <alignment horizontal="right" vertical="center" wrapText="1"/>
    </xf>
    <xf numFmtId="166" fontId="4" fillId="0" borderId="1" xfId="0" applyNumberFormat="1" applyFont="1" applyFill="1" applyBorder="1" applyAlignment="1">
      <alignment horizontal="right" vertical="center" wrapText="1"/>
    </xf>
    <xf numFmtId="49" fontId="4" fillId="7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49" fontId="4" fillId="7" borderId="0" xfId="0" applyNumberFormat="1" applyFont="1" applyFill="1" applyBorder="1" applyAlignment="1">
      <alignment horizontal="right" vertical="center" wrapText="1"/>
    </xf>
    <xf numFmtId="49" fontId="0" fillId="0" borderId="1" xfId="0" applyNumberFormat="1" applyFill="1" applyBorder="1" applyAlignment="1">
      <alignment horizontal="right" vertical="center" wrapText="1"/>
    </xf>
    <xf numFmtId="0" fontId="0" fillId="0" borderId="1" xfId="0" applyNumberFormat="1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top" wrapText="1"/>
    </xf>
    <xf numFmtId="4" fontId="0" fillId="2" borderId="1" xfId="0" applyNumberFormat="1" applyFill="1" applyBorder="1" applyAlignment="1">
      <alignment horizontal="right" vertical="center" wrapText="1"/>
    </xf>
    <xf numFmtId="3" fontId="0" fillId="2" borderId="1" xfId="0" applyNumberFormat="1" applyFill="1" applyBorder="1" applyAlignment="1">
      <alignment horizontal="righ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1" fontId="0" fillId="0" borderId="1" xfId="0" applyNumberFormat="1" applyFill="1" applyBorder="1" applyAlignment="1">
      <alignment horizontal="right" vertical="center" wrapText="1"/>
    </xf>
    <xf numFmtId="0" fontId="0" fillId="2" borderId="1" xfId="0" applyNumberFormat="1" applyFill="1" applyBorder="1" applyAlignment="1">
      <alignment horizontal="left" vertical="center" wrapText="1"/>
    </xf>
    <xf numFmtId="166" fontId="0" fillId="8" borderId="1" xfId="0" applyNumberFormat="1" applyFill="1" applyBorder="1" applyAlignment="1">
      <alignment vertical="center" wrapText="1"/>
    </xf>
    <xf numFmtId="0" fontId="4" fillId="0" borderId="1" xfId="0" applyFont="1" applyBorder="1">
      <alignment vertical="top" wrapText="1"/>
    </xf>
    <xf numFmtId="49" fontId="0" fillId="0" borderId="0" xfId="0" applyNumberForma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12" borderId="1" xfId="0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right" vertical="center" wrapText="1"/>
    </xf>
    <xf numFmtId="2" fontId="10" fillId="0" borderId="7" xfId="0" applyNumberFormat="1" applyFont="1" applyBorder="1" applyAlignment="1">
      <alignment horizontal="right" vertical="center" wrapText="1"/>
    </xf>
    <xf numFmtId="166" fontId="10" fillId="0" borderId="7" xfId="0" applyNumberFormat="1" applyFont="1" applyBorder="1" applyAlignment="1">
      <alignment horizontal="right" vertical="center" wrapText="1"/>
    </xf>
    <xf numFmtId="0" fontId="0" fillId="0" borderId="9" xfId="0" applyBorder="1" applyAlignment="1">
      <alignment horizontal="right" vertical="top" wrapText="1"/>
    </xf>
    <xf numFmtId="0" fontId="0" fillId="0" borderId="9" xfId="0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 wrapText="1"/>
    </xf>
    <xf numFmtId="164" fontId="10" fillId="0" borderId="7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ED220B"/>
      <rgbColor rgb="FFA5A5A5"/>
      <rgbColor rgb="FF88F94E"/>
      <rgbColor rgb="FFFEFFFE"/>
      <rgbColor rgb="FF72FCE9"/>
      <rgbColor rgb="FFFFD93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1B7E-5934-ED4D-AE70-C57E763DB418}">
  <dimension ref="A1:AJ76"/>
  <sheetViews>
    <sheetView defaultGridColor="0" colorId="13" zoomScale="150" zoomScaleNormal="150" workbookViewId="0">
      <selection activeCell="D12" sqref="D12"/>
    </sheetView>
  </sheetViews>
  <sheetFormatPr defaultColWidth="10.85546875" defaultRowHeight="12.95"/>
  <cols>
    <col min="1" max="1" width="14.85546875" style="27" customWidth="1"/>
    <col min="2" max="2" width="12.85546875" style="27" customWidth="1"/>
    <col min="3" max="3" width="20.42578125" style="27" customWidth="1"/>
    <col min="4" max="4" width="14.5703125" style="27" customWidth="1"/>
    <col min="5" max="5" width="14.28515625" style="27" customWidth="1"/>
    <col min="6" max="6" width="13.7109375" style="27" customWidth="1"/>
    <col min="7" max="7" width="13.28515625" style="27" customWidth="1"/>
    <col min="8" max="8" width="16.85546875" style="27" customWidth="1"/>
    <col min="9" max="9" width="12" style="27" customWidth="1"/>
    <col min="10" max="10" width="15.140625" style="27" customWidth="1"/>
    <col min="11" max="11" width="21.140625" style="27" customWidth="1"/>
    <col min="12" max="12" width="8.7109375" style="27" bestFit="1" customWidth="1"/>
    <col min="13" max="13" width="11.7109375" style="27" bestFit="1" customWidth="1"/>
    <col min="14" max="16384" width="10.85546875" style="27"/>
  </cols>
  <sheetData>
    <row r="1" spans="1:36" ht="29.1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</row>
    <row r="2" spans="1:36" ht="29.1" customHeight="1">
      <c r="A2" s="77" t="s">
        <v>1</v>
      </c>
      <c r="B2" s="125">
        <v>0</v>
      </c>
      <c r="C2"/>
      <c r="D2"/>
      <c r="E2"/>
      <c r="F2"/>
      <c r="G2"/>
      <c r="H2"/>
      <c r="I2"/>
    </row>
    <row r="3" spans="1:36" ht="26.25" customHeight="1">
      <c r="A3" s="13" t="s">
        <v>2</v>
      </c>
      <c r="B3" s="26" t="s">
        <v>3</v>
      </c>
      <c r="C3" s="26" t="s">
        <v>4</v>
      </c>
      <c r="D3" s="23" t="s">
        <v>5</v>
      </c>
      <c r="E3" s="26" t="s">
        <v>6</v>
      </c>
      <c r="F3" s="72" t="s">
        <v>7</v>
      </c>
      <c r="G3" s="118" t="s">
        <v>8</v>
      </c>
      <c r="H3" s="72" t="s">
        <v>9</v>
      </c>
      <c r="I3" s="39" t="s">
        <v>10</v>
      </c>
      <c r="J3" s="13" t="s">
        <v>11</v>
      </c>
      <c r="K3" s="13" t="s">
        <v>12</v>
      </c>
      <c r="Q3" s="6"/>
      <c r="R3" s="6"/>
      <c r="S3" s="6"/>
      <c r="V3" s="6"/>
      <c r="W3" s="7"/>
      <c r="X3" s="6"/>
      <c r="Y3" s="6"/>
      <c r="Z3" s="6"/>
      <c r="AA3" s="28"/>
      <c r="AC3" s="29"/>
      <c r="AD3" s="6"/>
      <c r="AE3" s="6"/>
      <c r="AI3" s="6"/>
      <c r="AJ3" s="7"/>
    </row>
    <row r="4" spans="1:36">
      <c r="A4" s="18">
        <v>1</v>
      </c>
      <c r="B4" s="121">
        <v>97629.8</v>
      </c>
      <c r="C4" s="122">
        <v>7647472708</v>
      </c>
      <c r="D4" s="4">
        <v>220</v>
      </c>
      <c r="E4" s="4">
        <v>21</v>
      </c>
      <c r="F4" s="124">
        <f>D4/D$12*E$12</f>
        <v>21.442495126705651</v>
      </c>
      <c r="G4" s="123">
        <f>IF(B$2=1,F4,E4)</f>
        <v>21</v>
      </c>
      <c r="H4" s="120">
        <f xml:space="preserve"> IF(ISBLANK(D4), "",1-G4/D4)</f>
        <v>0.90454545454545454</v>
      </c>
      <c r="I4" s="74">
        <f t="shared" ref="I4:I11" si="0">IF(ISBLANK(D4), "",D4/D$12)</f>
        <v>7.1474983755685506E-2</v>
      </c>
      <c r="J4" s="12">
        <f t="shared" ref="J4:J11" si="1">IF(ISBLANK(D4),"",B4*I4)</f>
        <v>6978.0883690708251</v>
      </c>
      <c r="K4" s="41">
        <f>IF(ISBLANK(D4),"",H4*(C4/G4)*I4^2)</f>
        <v>1682818.0718415375</v>
      </c>
      <c r="P4" s="8"/>
      <c r="AA4" s="28"/>
      <c r="AB4" s="8"/>
    </row>
    <row r="5" spans="1:36">
      <c r="A5" s="18">
        <f t="shared" ref="A5:A11" si="2">A4+1</f>
        <v>2</v>
      </c>
      <c r="B5" s="121">
        <v>300504.2</v>
      </c>
      <c r="C5" s="122">
        <v>29618183543</v>
      </c>
      <c r="D5" s="4">
        <v>1054</v>
      </c>
      <c r="E5" s="4">
        <v>103</v>
      </c>
      <c r="F5" s="124">
        <f t="shared" ref="F5:F7" si="3">D5/D$12*E$12</f>
        <v>102.72904483430798</v>
      </c>
      <c r="G5" s="123">
        <f t="shared" ref="G5:G7" si="4">IF(B$2=1,F5,E5)</f>
        <v>103</v>
      </c>
      <c r="H5" s="120">
        <f t="shared" ref="H5:H7" si="5" xml:space="preserve"> IF(ISBLANK(D5), "",1-G5/D5)</f>
        <v>0.9022770398481974</v>
      </c>
      <c r="I5" s="74">
        <f t="shared" si="0"/>
        <v>0.34243014944769329</v>
      </c>
      <c r="J5" s="12">
        <f t="shared" si="1"/>
        <v>102901.69811565951</v>
      </c>
      <c r="K5" s="41">
        <f>IF(ISBLANK(D5),"",H5*(C5/G5)*I5^2)</f>
        <v>30423213.993343819</v>
      </c>
      <c r="P5" s="30"/>
      <c r="AA5" s="28"/>
      <c r="AB5" s="8"/>
    </row>
    <row r="6" spans="1:36">
      <c r="A6" s="18">
        <f t="shared" si="2"/>
        <v>3</v>
      </c>
      <c r="B6" s="121">
        <v>211315</v>
      </c>
      <c r="C6" s="122">
        <v>53587487856</v>
      </c>
      <c r="D6" s="4">
        <v>1382</v>
      </c>
      <c r="E6" s="4">
        <v>135</v>
      </c>
      <c r="F6" s="124">
        <f t="shared" si="3"/>
        <v>134.69785575048732</v>
      </c>
      <c r="G6" s="123">
        <f t="shared" si="4"/>
        <v>135</v>
      </c>
      <c r="H6" s="120">
        <f t="shared" si="5"/>
        <v>0.90231548480463097</v>
      </c>
      <c r="I6" s="74">
        <f t="shared" si="0"/>
        <v>0.44899285250162441</v>
      </c>
      <c r="J6" s="12">
        <f t="shared" si="1"/>
        <v>94878.924626380758</v>
      </c>
      <c r="K6" s="41">
        <f>IF(ISBLANK(D6),"",H6*(C6/G6)*I6^2)</f>
        <v>72204937.288485572</v>
      </c>
      <c r="P6" s="30"/>
      <c r="AA6" s="28"/>
      <c r="AB6" s="8"/>
    </row>
    <row r="7" spans="1:36">
      <c r="A7" s="18">
        <f t="shared" si="2"/>
        <v>4</v>
      </c>
      <c r="B7" s="121">
        <v>662295.5</v>
      </c>
      <c r="C7" s="122">
        <v>396185950266</v>
      </c>
      <c r="D7" s="4">
        <v>422</v>
      </c>
      <c r="E7" s="4">
        <v>41</v>
      </c>
      <c r="F7" s="124">
        <f t="shared" si="3"/>
        <v>41.130604288499022</v>
      </c>
      <c r="G7" s="123">
        <f t="shared" si="4"/>
        <v>41</v>
      </c>
      <c r="H7" s="120">
        <f t="shared" si="5"/>
        <v>0.90284360189573465</v>
      </c>
      <c r="I7" s="74">
        <f t="shared" si="0"/>
        <v>0.13710201429499674</v>
      </c>
      <c r="J7" s="12">
        <f t="shared" si="1"/>
        <v>90802.047108512023</v>
      </c>
      <c r="K7" s="41">
        <f>IF(ISBLANK(D7),"",H7*(C7/G7)*I7^2)</f>
        <v>163989261.17861083</v>
      </c>
      <c r="P7" s="30"/>
      <c r="AA7" s="28"/>
      <c r="AB7" s="8"/>
    </row>
    <row r="8" spans="1:36" ht="14.1">
      <c r="A8" s="18">
        <f t="shared" si="2"/>
        <v>5</v>
      </c>
      <c r="B8" s="4"/>
      <c r="C8" s="4"/>
      <c r="D8" s="4"/>
      <c r="E8" s="4"/>
      <c r="F8" s="119"/>
      <c r="G8" s="119"/>
      <c r="H8" s="120" t="str">
        <f xml:space="preserve"> IF(ISBLANK(D8), "",G8/D8)</f>
        <v/>
      </c>
      <c r="I8" s="40" t="str">
        <f t="shared" si="0"/>
        <v/>
      </c>
      <c r="J8" s="12" t="str">
        <f t="shared" si="1"/>
        <v/>
      </c>
      <c r="K8" s="41" t="str">
        <f>IF(ISBLANK(D8),"",H8*C8/G8*I8^2)</f>
        <v/>
      </c>
      <c r="P8" s="30"/>
      <c r="AA8" s="28"/>
      <c r="AB8" s="8"/>
    </row>
    <row r="9" spans="1:36" ht="12.95" customHeight="1">
      <c r="A9" s="18">
        <f t="shared" si="2"/>
        <v>6</v>
      </c>
      <c r="B9" s="4"/>
      <c r="C9" s="4"/>
      <c r="D9" s="4"/>
      <c r="E9" s="4"/>
      <c r="F9" s="119"/>
      <c r="G9" s="119"/>
      <c r="H9" s="120" t="str">
        <f xml:space="preserve"> IF(ISBLANK(D9), "",G9/D9)</f>
        <v/>
      </c>
      <c r="I9" s="40" t="str">
        <f t="shared" si="0"/>
        <v/>
      </c>
      <c r="J9" s="12" t="str">
        <f t="shared" si="1"/>
        <v/>
      </c>
      <c r="K9" s="41" t="str">
        <f>IF(ISBLANK(D9),"",H9*C9/G9*I9^2)</f>
        <v/>
      </c>
      <c r="M9" s="22"/>
      <c r="P9" s="8"/>
      <c r="AA9" s="28"/>
      <c r="AB9" s="31"/>
    </row>
    <row r="10" spans="1:36" ht="14.1">
      <c r="A10" s="18">
        <f t="shared" si="2"/>
        <v>7</v>
      </c>
      <c r="B10" s="4"/>
      <c r="C10" s="4"/>
      <c r="D10" s="4"/>
      <c r="E10" s="4"/>
      <c r="F10" s="119"/>
      <c r="G10" s="119"/>
      <c r="H10" s="120" t="str">
        <f xml:space="preserve"> IF(ISBLANK(D10), "",G10/D10)</f>
        <v/>
      </c>
      <c r="I10" s="40" t="str">
        <f t="shared" si="0"/>
        <v/>
      </c>
      <c r="J10" s="12" t="str">
        <f t="shared" si="1"/>
        <v/>
      </c>
      <c r="K10" s="41" t="str">
        <f>IF(ISBLANK(D10),"",H10*C10/G10*I10^2)</f>
        <v/>
      </c>
      <c r="P10" s="8"/>
      <c r="AA10" s="28"/>
      <c r="AB10" s="8"/>
    </row>
    <row r="11" spans="1:36" ht="14.1">
      <c r="A11" s="55">
        <f t="shared" si="2"/>
        <v>8</v>
      </c>
      <c r="B11" s="4"/>
      <c r="C11" s="4"/>
      <c r="D11" s="4"/>
      <c r="E11" s="4"/>
      <c r="F11" s="119"/>
      <c r="G11" s="119"/>
      <c r="H11" s="120" t="str">
        <f xml:space="preserve"> IF(ISBLANK(D11), "",G11/D11)</f>
        <v/>
      </c>
      <c r="I11" s="40" t="str">
        <f t="shared" si="0"/>
        <v/>
      </c>
      <c r="J11" s="12" t="str">
        <f t="shared" si="1"/>
        <v/>
      </c>
      <c r="K11" s="41" t="str">
        <f>IF(ISBLANK(D11),"",H11*C11/G11*I11^2)</f>
        <v/>
      </c>
    </row>
    <row r="12" spans="1:36" ht="14.1">
      <c r="A12" s="13" t="s">
        <v>13</v>
      </c>
      <c r="B12" s="58"/>
      <c r="C12" s="59">
        <f>SUMIF(C4:C11,"&lt;&gt;#N/A")</f>
        <v>487039094373</v>
      </c>
      <c r="D12" s="59">
        <f>SUMIF(D4:D11,"&lt;&gt;#N/A")</f>
        <v>3078</v>
      </c>
      <c r="E12" s="59">
        <f>SUMIF(E4:E11,"&lt;&gt;#N/A")</f>
        <v>300</v>
      </c>
      <c r="F12" s="59">
        <f>SUMIF(F4:F11,"&lt;&gt;#N/A")</f>
        <v>299.99999999999994</v>
      </c>
      <c r="G12" s="59">
        <f t="shared" ref="G12:K12" si="6">SUMIF(G4:G11,"&lt;&gt;#N/A")</f>
        <v>300</v>
      </c>
      <c r="H12" s="59">
        <f t="shared" si="6"/>
        <v>3.6119815810940175</v>
      </c>
      <c r="I12" s="59">
        <f t="shared" si="6"/>
        <v>1</v>
      </c>
      <c r="J12" s="59">
        <f t="shared" si="6"/>
        <v>295560.75821962312</v>
      </c>
      <c r="K12" s="60">
        <f t="shared" si="6"/>
        <v>268300230.53228176</v>
      </c>
    </row>
    <row r="13" spans="1:36" ht="14.1">
      <c r="A13" s="54"/>
      <c r="B13" s="3"/>
      <c r="C13" s="3"/>
      <c r="D13" s="53"/>
      <c r="E13" s="3"/>
      <c r="F13" s="3"/>
      <c r="H13" s="55"/>
      <c r="I13" s="114"/>
      <c r="J13" s="55" t="s">
        <v>14</v>
      </c>
      <c r="K13" s="114">
        <f t="shared" ref="K13" si="7">SQRT(K12)</f>
        <v>16379.872726376165</v>
      </c>
    </row>
    <row r="14" spans="1:36">
      <c r="A14" s="54"/>
      <c r="B14" s="131" t="s">
        <v>15</v>
      </c>
      <c r="C14" s="132"/>
      <c r="D14" s="132"/>
      <c r="E14" s="133"/>
      <c r="F14" s="3"/>
      <c r="H14" s="55"/>
      <c r="I14" s="113"/>
      <c r="J14" s="57"/>
      <c r="K14" s="113"/>
    </row>
    <row r="15" spans="1:36" ht="14.1">
      <c r="A15" s="54"/>
      <c r="B15" s="10" t="s">
        <v>16</v>
      </c>
      <c r="C15" s="10" t="s">
        <v>17</v>
      </c>
      <c r="D15" s="10" t="s">
        <v>18</v>
      </c>
      <c r="E15" s="112" t="s">
        <v>19</v>
      </c>
      <c r="F15" s="3"/>
      <c r="G15" s="82"/>
      <c r="H15" s="82"/>
    </row>
    <row r="16" spans="1:36" ht="14.1">
      <c r="A16" s="10" t="s">
        <v>20</v>
      </c>
      <c r="B16" s="47">
        <f>J12</f>
        <v>295560.75821962312</v>
      </c>
      <c r="C16" s="47">
        <f>K13</f>
        <v>16379.872726376165</v>
      </c>
      <c r="D16" s="47">
        <f>$B16-$C16*1.96</f>
        <v>263456.20767592586</v>
      </c>
      <c r="E16" s="47">
        <f>$B16+$C16*1.96</f>
        <v>327665.30876332038</v>
      </c>
      <c r="F16" s="3"/>
      <c r="G16" s="82"/>
      <c r="H16" s="82"/>
    </row>
    <row r="17" spans="1:33" ht="14.1">
      <c r="A17" s="55" t="s">
        <v>21</v>
      </c>
      <c r="B17" s="47">
        <f>B16*D12</f>
        <v>909736013.79999995</v>
      </c>
      <c r="C17" s="47">
        <f>C16*D12</f>
        <v>50417248.251785837</v>
      </c>
      <c r="D17" s="47">
        <f>$B17-$C17*1.96</f>
        <v>810918207.22649968</v>
      </c>
      <c r="E17" s="47">
        <f>$B17+$C17*1.96</f>
        <v>1008553820.3735002</v>
      </c>
      <c r="F17" s="54"/>
      <c r="G17" s="54"/>
      <c r="H17" s="54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</row>
    <row r="20" spans="1:33">
      <c r="A20" s="70"/>
      <c r="B20" s="38"/>
      <c r="C20" s="38"/>
      <c r="D20" s="38"/>
      <c r="E20" s="70"/>
      <c r="F20" s="70"/>
      <c r="G20" s="38"/>
      <c r="H20" s="38"/>
    </row>
    <row r="21" spans="1:33">
      <c r="A21" s="8"/>
      <c r="B21" s="8"/>
      <c r="C21" s="8"/>
      <c r="D21" s="8"/>
    </row>
    <row r="22" spans="1:33" ht="33" customHeight="1">
      <c r="A22" s="134" t="s">
        <v>22</v>
      </c>
      <c r="B22" s="134"/>
      <c r="C22" s="134"/>
      <c r="D22" s="134"/>
      <c r="E22" s="134"/>
      <c r="F22" s="134"/>
      <c r="G22" s="134"/>
      <c r="I22" s="46"/>
    </row>
    <row r="23" spans="1:33" ht="27.95">
      <c r="A23" s="13" t="s">
        <v>2</v>
      </c>
      <c r="B23" s="23" t="s">
        <v>23</v>
      </c>
      <c r="C23" s="23" t="s">
        <v>5</v>
      </c>
      <c r="D23" s="23" t="s">
        <v>24</v>
      </c>
      <c r="E23" s="24" t="s">
        <v>25</v>
      </c>
      <c r="F23" s="39" t="s">
        <v>26</v>
      </c>
      <c r="G23" s="13" t="s">
        <v>27</v>
      </c>
      <c r="I23" s="38"/>
    </row>
    <row r="24" spans="1:33" ht="21" customHeight="1">
      <c r="A24" s="18">
        <v>1</v>
      </c>
      <c r="B24" s="4">
        <v>3</v>
      </c>
      <c r="C24" s="4">
        <v>2000</v>
      </c>
      <c r="D24" s="4">
        <v>200</v>
      </c>
      <c r="E24" s="32">
        <f>B24*C24*SQRT(D24)</f>
        <v>84852.813742385712</v>
      </c>
      <c r="F24" s="111">
        <f>E24/E$32</f>
        <v>0.33333333333333331</v>
      </c>
      <c r="G24" s="33">
        <f>ROUND(F24*G$32,0)</f>
        <v>333</v>
      </c>
      <c r="I24" s="38"/>
    </row>
    <row r="25" spans="1:33">
      <c r="A25" s="18">
        <f>A24+1</f>
        <v>2</v>
      </c>
      <c r="B25" s="4">
        <v>3</v>
      </c>
      <c r="C25" s="4">
        <v>1000</v>
      </c>
      <c r="D25" s="4">
        <v>200</v>
      </c>
      <c r="E25" s="32">
        <f>B25*C25*SQRT(D25)</f>
        <v>42426.406871192856</v>
      </c>
      <c r="F25" s="111">
        <f>E25/E$32</f>
        <v>0.16666666666666666</v>
      </c>
      <c r="G25" s="33">
        <f>ROUND(F25*G$32,0)</f>
        <v>167</v>
      </c>
    </row>
    <row r="26" spans="1:33">
      <c r="A26" s="18">
        <f>A25+1</f>
        <v>3</v>
      </c>
      <c r="B26" s="4">
        <v>3</v>
      </c>
      <c r="C26" s="4">
        <v>1000</v>
      </c>
      <c r="D26" s="4">
        <v>200</v>
      </c>
      <c r="E26" s="32">
        <f>B26*C26*SQRT(D26)</f>
        <v>42426.406871192856</v>
      </c>
      <c r="F26" s="111">
        <f>E26/E$32</f>
        <v>0.16666666666666666</v>
      </c>
      <c r="G26" s="33">
        <f>ROUND(F26*G$32,0)</f>
        <v>167</v>
      </c>
    </row>
    <row r="27" spans="1:33">
      <c r="A27" s="18">
        <f t="shared" ref="A27" si="8">A26+1</f>
        <v>4</v>
      </c>
      <c r="B27" s="4">
        <v>3</v>
      </c>
      <c r="C27" s="4">
        <v>1000</v>
      </c>
      <c r="D27" s="4">
        <v>200</v>
      </c>
      <c r="E27" s="32">
        <f>B27*C27*SQRT(D27)</f>
        <v>42426.406871192856</v>
      </c>
      <c r="F27" s="111">
        <f>E27/E$32</f>
        <v>0.16666666666666666</v>
      </c>
      <c r="G27" s="33">
        <f>ROUND(F27*G$32,0)</f>
        <v>167</v>
      </c>
    </row>
    <row r="28" spans="1:33">
      <c r="A28" s="18">
        <f>A27+1</f>
        <v>5</v>
      </c>
      <c r="B28" s="4">
        <v>3</v>
      </c>
      <c r="C28" s="4">
        <v>1000</v>
      </c>
      <c r="D28" s="4">
        <v>200</v>
      </c>
      <c r="E28" s="32">
        <f>B28*C28*SQRT(D28)</f>
        <v>42426.406871192856</v>
      </c>
      <c r="F28" s="111">
        <f>E28/E$32</f>
        <v>0.16666666666666666</v>
      </c>
      <c r="G28" s="33">
        <f>ROUND(F28*G$32,0)</f>
        <v>167</v>
      </c>
    </row>
    <row r="29" spans="1:33">
      <c r="A29" s="18">
        <f>A28+1</f>
        <v>6</v>
      </c>
      <c r="B29" s="4"/>
      <c r="C29" s="4"/>
      <c r="D29" s="4"/>
      <c r="E29" s="32">
        <f t="shared" ref="E29:E31" si="9">B29*C29*SQRT(D29)</f>
        <v>0</v>
      </c>
      <c r="F29" s="111">
        <f t="shared" ref="F29:F31" si="10">E29/E$32</f>
        <v>0</v>
      </c>
      <c r="G29" s="33">
        <f t="shared" ref="G29:G31" si="11">ROUND(F29*G$32,0)</f>
        <v>0</v>
      </c>
    </row>
    <row r="30" spans="1:33">
      <c r="A30" s="18">
        <f t="shared" ref="A30:A31" si="12">A29+1</f>
        <v>7</v>
      </c>
      <c r="B30" s="4"/>
      <c r="C30" s="4"/>
      <c r="D30" s="4"/>
      <c r="E30" s="32">
        <f t="shared" si="9"/>
        <v>0</v>
      </c>
      <c r="F30" s="111">
        <f t="shared" si="10"/>
        <v>0</v>
      </c>
      <c r="G30" s="33">
        <f t="shared" si="11"/>
        <v>0</v>
      </c>
    </row>
    <row r="31" spans="1:33">
      <c r="A31" s="18">
        <f t="shared" si="12"/>
        <v>8</v>
      </c>
      <c r="B31" s="4"/>
      <c r="C31" s="4"/>
      <c r="D31" s="4"/>
      <c r="E31" s="32">
        <f t="shared" si="9"/>
        <v>0</v>
      </c>
      <c r="F31" s="111">
        <f t="shared" si="10"/>
        <v>0</v>
      </c>
      <c r="G31" s="33">
        <f t="shared" si="11"/>
        <v>0</v>
      </c>
    </row>
    <row r="32" spans="1:33" ht="14.1">
      <c r="A32" s="13" t="s">
        <v>13</v>
      </c>
      <c r="B32" s="18">
        <f>SUM(B24:B31)</f>
        <v>15</v>
      </c>
      <c r="C32" s="18">
        <f t="shared" ref="C32:F32" si="13">SUM(C24:C31)</f>
        <v>6000</v>
      </c>
      <c r="D32" s="18">
        <f t="shared" si="13"/>
        <v>1000</v>
      </c>
      <c r="E32" s="18">
        <f t="shared" si="13"/>
        <v>254558.44122715713</v>
      </c>
      <c r="F32" s="18">
        <f t="shared" si="13"/>
        <v>0.99999999999999989</v>
      </c>
      <c r="G32" s="66">
        <v>1000</v>
      </c>
    </row>
    <row r="33" spans="1:12">
      <c r="A33" s="8"/>
      <c r="B33" s="8"/>
      <c r="C33" s="8"/>
      <c r="D33" s="8"/>
      <c r="E33" s="8"/>
      <c r="F33" s="8"/>
      <c r="G33" s="8"/>
    </row>
    <row r="34" spans="1:12">
      <c r="A34" s="8"/>
      <c r="B34" s="8"/>
      <c r="C34" s="8"/>
      <c r="D34" s="8"/>
      <c r="E34" s="8"/>
      <c r="F34" s="8"/>
      <c r="G34" s="8"/>
    </row>
    <row r="35" spans="1:12" ht="29.1" customHeight="1">
      <c r="A35" s="134" t="s">
        <v>28</v>
      </c>
      <c r="B35" s="134"/>
      <c r="C35" s="134"/>
      <c r="D35" s="134"/>
      <c r="E35" s="134"/>
      <c r="F35" s="134"/>
      <c r="G35" s="134"/>
      <c r="H35" s="134"/>
      <c r="I35" s="134"/>
    </row>
    <row r="36" spans="1:12" ht="33" customHeight="1">
      <c r="A36" s="13" t="s">
        <v>2</v>
      </c>
      <c r="B36" s="26" t="s">
        <v>29</v>
      </c>
      <c r="C36" s="23" t="s">
        <v>24</v>
      </c>
      <c r="D36" s="23" t="s">
        <v>5</v>
      </c>
      <c r="E36" s="13" t="s">
        <v>10</v>
      </c>
      <c r="F36" s="13" t="s">
        <v>30</v>
      </c>
      <c r="G36" s="13" t="s">
        <v>31</v>
      </c>
      <c r="H36" s="13" t="s">
        <v>32</v>
      </c>
      <c r="I36" s="13" t="s">
        <v>33</v>
      </c>
    </row>
    <row r="37" spans="1:12">
      <c r="A37" s="18">
        <v>1</v>
      </c>
      <c r="B37" s="4">
        <v>80</v>
      </c>
      <c r="C37" s="4">
        <v>100</v>
      </c>
      <c r="D37" s="34">
        <v>10</v>
      </c>
      <c r="E37" s="35">
        <f>D37/D$45</f>
        <v>0.25</v>
      </c>
      <c r="F37" s="12">
        <f>B37*E37</f>
        <v>20</v>
      </c>
      <c r="G37" s="12">
        <f>B37-F$45</f>
        <v>-30</v>
      </c>
      <c r="H37" s="36">
        <f>G37^2*D37</f>
        <v>9000</v>
      </c>
      <c r="I37" s="36">
        <f>(D37-1)*C37</f>
        <v>900</v>
      </c>
    </row>
    <row r="38" spans="1:12">
      <c r="A38" s="18">
        <f>A37+1</f>
        <v>2</v>
      </c>
      <c r="B38" s="4">
        <f>B37+20</f>
        <v>100</v>
      </c>
      <c r="C38" s="4">
        <f>C37+10</f>
        <v>110</v>
      </c>
      <c r="D38" s="34">
        <v>10</v>
      </c>
      <c r="E38" s="35">
        <f>D38/D$45</f>
        <v>0.25</v>
      </c>
      <c r="F38" s="12">
        <f>B38*E38</f>
        <v>25</v>
      </c>
      <c r="G38" s="12">
        <f>B38-F$45</f>
        <v>-10</v>
      </c>
      <c r="H38" s="36">
        <f>G38^2*D38</f>
        <v>1000</v>
      </c>
      <c r="I38" s="36">
        <f>(D38-1)*C38</f>
        <v>990</v>
      </c>
    </row>
    <row r="39" spans="1:12" ht="18.95" customHeight="1">
      <c r="A39" s="18">
        <f>A38+1</f>
        <v>3</v>
      </c>
      <c r="B39" s="4">
        <f>B38+20</f>
        <v>120</v>
      </c>
      <c r="C39" s="4">
        <f>C38+10</f>
        <v>120</v>
      </c>
      <c r="D39" s="34">
        <v>10</v>
      </c>
      <c r="E39" s="35">
        <f>D39/D$45</f>
        <v>0.25</v>
      </c>
      <c r="F39" s="12">
        <f>B39*E39</f>
        <v>30</v>
      </c>
      <c r="G39" s="12">
        <f>B39-F$45</f>
        <v>10</v>
      </c>
      <c r="H39" s="36">
        <f>G39^2*D39</f>
        <v>1000</v>
      </c>
      <c r="I39" s="36">
        <f>(D39-1)*C39</f>
        <v>1080</v>
      </c>
      <c r="J39" s="8"/>
      <c r="K39" s="8"/>
      <c r="L39" s="8"/>
    </row>
    <row r="40" spans="1:12">
      <c r="A40" s="18">
        <f>A39+1</f>
        <v>4</v>
      </c>
      <c r="B40" s="4">
        <f>B39+20</f>
        <v>140</v>
      </c>
      <c r="C40" s="4">
        <f>C39+10</f>
        <v>130</v>
      </c>
      <c r="D40" s="34">
        <v>10</v>
      </c>
      <c r="E40" s="35">
        <f>D40/D$45</f>
        <v>0.25</v>
      </c>
      <c r="F40" s="12">
        <f>B40*E40</f>
        <v>35</v>
      </c>
      <c r="G40" s="12">
        <f>B40-F$45</f>
        <v>30</v>
      </c>
      <c r="H40" s="36">
        <f>G40^2*D40</f>
        <v>9000</v>
      </c>
      <c r="I40" s="36">
        <f>(D40-1)*C40</f>
        <v>1170</v>
      </c>
      <c r="J40" s="8"/>
      <c r="K40" s="8"/>
      <c r="L40" s="8"/>
    </row>
    <row r="41" spans="1:12">
      <c r="A41" s="18"/>
      <c r="B41" s="4"/>
      <c r="C41" s="4"/>
      <c r="D41" s="34"/>
      <c r="E41" s="35"/>
      <c r="F41" s="12"/>
      <c r="G41" s="12"/>
      <c r="H41" s="36"/>
      <c r="I41" s="36"/>
      <c r="J41" s="8"/>
      <c r="K41" s="8"/>
      <c r="L41" s="8"/>
    </row>
    <row r="42" spans="1:12">
      <c r="A42" s="18"/>
      <c r="B42" s="4"/>
      <c r="C42" s="4"/>
      <c r="D42" s="34"/>
      <c r="E42" s="35"/>
      <c r="F42" s="12"/>
      <c r="G42" s="12"/>
      <c r="H42" s="36"/>
      <c r="I42" s="36"/>
      <c r="J42" s="8"/>
      <c r="K42" s="8"/>
      <c r="L42" s="8"/>
    </row>
    <row r="43" spans="1:12">
      <c r="A43" s="18"/>
      <c r="B43" s="4"/>
      <c r="C43" s="4"/>
      <c r="D43" s="34"/>
      <c r="E43" s="35"/>
      <c r="F43" s="12"/>
      <c r="G43" s="12"/>
      <c r="H43" s="36"/>
      <c r="I43" s="36"/>
      <c r="J43" s="8"/>
      <c r="K43" s="8"/>
      <c r="L43" s="8"/>
    </row>
    <row r="44" spans="1:12">
      <c r="A44" s="18"/>
      <c r="B44" s="4"/>
      <c r="C44" s="4"/>
      <c r="D44" s="34"/>
      <c r="E44" s="35"/>
      <c r="F44" s="12"/>
      <c r="G44" s="12"/>
      <c r="H44" s="36"/>
      <c r="I44" s="36"/>
      <c r="J44" s="8"/>
      <c r="K44" s="8"/>
      <c r="L44" s="8"/>
    </row>
    <row r="45" spans="1:12" ht="14.1">
      <c r="A45" s="13" t="s">
        <v>13</v>
      </c>
      <c r="B45" s="18"/>
      <c r="C45" s="18"/>
      <c r="D45" s="61">
        <f t="shared" ref="D45:I45" si="14">SUM(D37:D40)</f>
        <v>40</v>
      </c>
      <c r="E45" s="62">
        <f t="shared" si="14"/>
        <v>1</v>
      </c>
      <c r="F45" s="63">
        <f t="shared" si="14"/>
        <v>110</v>
      </c>
      <c r="G45" s="64">
        <f t="shared" si="14"/>
        <v>0</v>
      </c>
      <c r="H45" s="65">
        <f t="shared" si="14"/>
        <v>20000</v>
      </c>
      <c r="I45" s="65">
        <f t="shared" si="14"/>
        <v>4140</v>
      </c>
      <c r="J45" s="8"/>
      <c r="K45" s="8"/>
      <c r="L45" s="8"/>
    </row>
    <row r="46" spans="1:12" ht="14.1">
      <c r="A46" s="25"/>
      <c r="B46" s="8"/>
      <c r="C46" s="8"/>
      <c r="D46" s="57" t="s">
        <v>34</v>
      </c>
      <c r="E46" s="57"/>
      <c r="F46" s="115" t="s">
        <v>35</v>
      </c>
      <c r="G46" s="116"/>
      <c r="H46" s="117" t="s">
        <v>36</v>
      </c>
      <c r="I46" s="117" t="s">
        <v>37</v>
      </c>
      <c r="J46" s="8"/>
      <c r="K46" s="8"/>
      <c r="L46" s="8"/>
    </row>
    <row r="47" spans="1:12">
      <c r="A47" s="8"/>
      <c r="B47" s="8"/>
      <c r="C47" s="8"/>
      <c r="D47" s="8"/>
      <c r="E47" s="8"/>
      <c r="F47" s="8"/>
      <c r="G47" s="8"/>
      <c r="H47" s="45"/>
      <c r="I47" s="42"/>
      <c r="J47" s="8"/>
      <c r="K47" s="8"/>
      <c r="L47" s="8"/>
    </row>
    <row r="48" spans="1:12">
      <c r="A48" s="8"/>
      <c r="B48" s="8"/>
      <c r="C48" s="8"/>
      <c r="D48" s="8"/>
      <c r="E48" s="8"/>
      <c r="F48" s="8"/>
      <c r="G48" s="8"/>
      <c r="H48" s="38"/>
      <c r="I48" s="42"/>
      <c r="J48" s="8"/>
      <c r="K48" s="8"/>
      <c r="L48" s="8"/>
    </row>
    <row r="49" spans="1:13">
      <c r="A49" s="130" t="s">
        <v>38</v>
      </c>
      <c r="B49" s="130"/>
      <c r="C49" s="130"/>
      <c r="D49" s="130"/>
      <c r="E49" s="130"/>
      <c r="F49" s="130"/>
      <c r="G49" s="130"/>
      <c r="H49" s="130"/>
      <c r="I49" s="43"/>
      <c r="J49" s="37"/>
      <c r="K49" s="44"/>
      <c r="L49" s="43"/>
    </row>
    <row r="50" spans="1:13" ht="14.1">
      <c r="A50" s="55" t="s">
        <v>39</v>
      </c>
      <c r="B50" s="55" t="s">
        <v>40</v>
      </c>
      <c r="C50" s="10" t="s">
        <v>41</v>
      </c>
      <c r="D50" s="56" t="s">
        <v>42</v>
      </c>
      <c r="E50" s="56" t="s">
        <v>43</v>
      </c>
      <c r="F50" s="56" t="s">
        <v>44</v>
      </c>
      <c r="G50" s="56" t="s">
        <v>45</v>
      </c>
      <c r="H50" s="56" t="s">
        <v>46</v>
      </c>
      <c r="I50" s="128"/>
      <c r="J50" s="37"/>
      <c r="K50" s="128"/>
      <c r="L50" s="128"/>
      <c r="M50" s="21"/>
    </row>
    <row r="51" spans="1:13" ht="14.1">
      <c r="A51" s="55" t="s">
        <v>47</v>
      </c>
      <c r="B51" s="47">
        <f>H45</f>
        <v>20000</v>
      </c>
      <c r="C51" s="52">
        <f>COUNT(B37:B40)-1</f>
        <v>3</v>
      </c>
      <c r="D51" s="110">
        <f>B51/C51</f>
        <v>6666.666666666667</v>
      </c>
      <c r="E51" s="50">
        <f>B51/B53</f>
        <v>0.82850041425020715</v>
      </c>
      <c r="F51" s="51">
        <f>1-D52/D53</f>
        <v>0.81420878210439107</v>
      </c>
      <c r="G51" s="110">
        <f>D51/D52</f>
        <v>57.971014492753625</v>
      </c>
      <c r="H51" s="50">
        <f>1-_xlfn.F.DIST(G51,C51,C52,TRUE)</f>
        <v>7.3718808835110394E-14</v>
      </c>
      <c r="I51" s="129"/>
      <c r="J51" s="37"/>
      <c r="K51" s="129"/>
      <c r="L51" s="129"/>
      <c r="M51" s="21"/>
    </row>
    <row r="52" spans="1:13" ht="14.1">
      <c r="A52" s="55" t="s">
        <v>48</v>
      </c>
      <c r="B52" s="47">
        <f>I45</f>
        <v>4140</v>
      </c>
      <c r="C52" s="52">
        <f>D45-COUNT(B37:B40)</f>
        <v>36</v>
      </c>
      <c r="D52" s="110">
        <f>B52/C52</f>
        <v>115</v>
      </c>
      <c r="E52" s="49"/>
      <c r="F52" s="49"/>
      <c r="G52" s="49"/>
      <c r="H52" s="49"/>
      <c r="I52" s="129"/>
      <c r="J52" s="37"/>
      <c r="K52" s="129"/>
      <c r="L52" s="129"/>
      <c r="M52" s="21"/>
    </row>
    <row r="53" spans="1:13" ht="14.1">
      <c r="A53" s="55" t="s">
        <v>49</v>
      </c>
      <c r="B53" s="47">
        <f>B51+B52</f>
        <v>24140</v>
      </c>
      <c r="C53" s="48">
        <f>C51+C52</f>
        <v>39</v>
      </c>
      <c r="D53" s="110">
        <f>B53/C53</f>
        <v>618.97435897435901</v>
      </c>
      <c r="E53" s="49"/>
      <c r="F53" s="49"/>
      <c r="G53" s="49"/>
      <c r="H53" s="49"/>
    </row>
    <row r="54" spans="1:13">
      <c r="A54" s="8"/>
      <c r="B54" s="8"/>
      <c r="C54" s="8"/>
      <c r="D54" s="8"/>
      <c r="E54" s="8"/>
      <c r="F54" s="8"/>
      <c r="G54" s="8"/>
      <c r="H54" s="38"/>
    </row>
    <row r="55" spans="1:13">
      <c r="A55" s="8"/>
      <c r="B55" s="8"/>
      <c r="C55" s="8"/>
      <c r="D55" s="8"/>
      <c r="E55" s="8"/>
      <c r="F55" s="8"/>
      <c r="G55" s="8"/>
      <c r="H55" s="38"/>
    </row>
    <row r="56" spans="1:13">
      <c r="A56" s="8"/>
      <c r="B56" s="8"/>
      <c r="C56" s="8"/>
      <c r="D56" s="8"/>
      <c r="E56" s="8"/>
      <c r="F56" s="8"/>
      <c r="G56" s="8"/>
      <c r="H56" s="38"/>
    </row>
    <row r="57" spans="1:13">
      <c r="A57" s="8"/>
      <c r="B57" s="8"/>
      <c r="C57" s="8"/>
      <c r="D57" s="8"/>
      <c r="E57" s="8"/>
      <c r="F57" s="8"/>
      <c r="G57" s="8"/>
      <c r="H57" s="38"/>
    </row>
    <row r="58" spans="1:13">
      <c r="A58" s="8"/>
      <c r="B58" s="8"/>
      <c r="C58" s="8"/>
      <c r="D58" s="8"/>
      <c r="E58" s="8"/>
      <c r="F58" s="8"/>
      <c r="G58" s="8"/>
      <c r="H58"/>
      <c r="I58" s="38"/>
      <c r="J58" s="38"/>
      <c r="K58" s="38"/>
      <c r="L58" s="38"/>
      <c r="M58" s="38"/>
    </row>
    <row r="59" spans="1:13">
      <c r="I59" s="38"/>
      <c r="J59" s="38"/>
      <c r="K59" s="38"/>
      <c r="L59" s="38"/>
      <c r="M59" s="38"/>
    </row>
    <row r="60" spans="1:13">
      <c r="I60" s="38"/>
      <c r="J60" s="38"/>
      <c r="K60" s="38"/>
      <c r="L60" s="38"/>
      <c r="M60" s="38"/>
    </row>
    <row r="61" spans="1:13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</row>
    <row r="62" spans="1:13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1:1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</row>
    <row r="64" spans="1:13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1:13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</row>
    <row r="66" spans="1:13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</row>
    <row r="67" spans="1:13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 spans="1:13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 spans="1:13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 spans="1:13">
      <c r="A71" s="38"/>
      <c r="B71" s="38"/>
      <c r="C71" s="38"/>
      <c r="D71" s="38"/>
      <c r="E71" s="38"/>
      <c r="F71" s="38"/>
      <c r="G71" s="38"/>
      <c r="H71" s="38"/>
    </row>
    <row r="72" spans="1:13">
      <c r="A72" s="38"/>
      <c r="B72" s="38"/>
      <c r="C72" s="38"/>
      <c r="D72" s="38"/>
      <c r="E72" s="38"/>
      <c r="F72" s="38"/>
      <c r="G72" s="38"/>
      <c r="H72" s="38"/>
    </row>
    <row r="73" spans="1:13">
      <c r="A73" s="38"/>
      <c r="B73" s="38"/>
      <c r="C73" s="38"/>
      <c r="D73" s="38"/>
      <c r="E73" s="38"/>
      <c r="F73" s="38"/>
      <c r="G73" s="38"/>
      <c r="H73" s="38"/>
    </row>
    <row r="74" spans="1:13">
      <c r="B74" s="38"/>
      <c r="C74" s="38"/>
      <c r="D74" s="38"/>
      <c r="E74" s="38"/>
    </row>
    <row r="75" spans="1:13">
      <c r="A75" s="38"/>
      <c r="B75" s="38"/>
      <c r="C75" s="38"/>
      <c r="D75" s="38"/>
      <c r="E75" s="38"/>
    </row>
    <row r="76" spans="1:13">
      <c r="A76" s="38"/>
      <c r="B76" s="38"/>
      <c r="C76" s="38"/>
      <c r="D76" s="38"/>
      <c r="E76" s="38"/>
    </row>
  </sheetData>
  <mergeCells count="8">
    <mergeCell ref="K50:K52"/>
    <mergeCell ref="L50:L52"/>
    <mergeCell ref="A49:H49"/>
    <mergeCell ref="B14:E14"/>
    <mergeCell ref="A1:I1"/>
    <mergeCell ref="A22:G22"/>
    <mergeCell ref="A35:I35"/>
    <mergeCell ref="I50:I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5209-5166-6444-A5F5-6623F4032248}">
  <dimension ref="A1:H14"/>
  <sheetViews>
    <sheetView tabSelected="1" zoomScale="125" zoomScaleNormal="125" workbookViewId="0">
      <selection activeCell="H16" sqref="H16"/>
    </sheetView>
  </sheetViews>
  <sheetFormatPr defaultColWidth="11.42578125" defaultRowHeight="20.100000000000001" customHeight="1"/>
  <cols>
    <col min="2" max="2" width="13.140625" customWidth="1"/>
    <col min="3" max="3" width="18.85546875" customWidth="1"/>
    <col min="4" max="4" width="15.7109375" customWidth="1"/>
    <col min="5" max="5" width="14.42578125" customWidth="1"/>
    <col min="7" max="7" width="18.28515625" customWidth="1"/>
    <col min="8" max="8" width="28" customWidth="1"/>
  </cols>
  <sheetData>
    <row r="1" spans="1:8" ht="54.95" customHeight="1">
      <c r="A1" s="135" t="s">
        <v>50</v>
      </c>
      <c r="B1" s="135"/>
      <c r="C1" s="135"/>
      <c r="D1" s="135"/>
      <c r="E1" s="135"/>
      <c r="F1" s="135"/>
      <c r="G1" s="135"/>
      <c r="H1" s="135"/>
    </row>
    <row r="2" spans="1:8" ht="20.100000000000001" customHeight="1">
      <c r="A2" s="13" t="s">
        <v>2</v>
      </c>
      <c r="B2" s="26" t="s">
        <v>3</v>
      </c>
      <c r="C2" s="26" t="s">
        <v>4</v>
      </c>
      <c r="D2" s="23" t="s">
        <v>5</v>
      </c>
      <c r="E2" s="72" t="s">
        <v>51</v>
      </c>
      <c r="F2" s="39" t="s">
        <v>10</v>
      </c>
      <c r="G2" s="13" t="s">
        <v>11</v>
      </c>
      <c r="H2" s="13" t="s">
        <v>12</v>
      </c>
    </row>
    <row r="3" spans="1:8" ht="20.100000000000001" customHeight="1">
      <c r="A3" s="55">
        <v>1</v>
      </c>
      <c r="B3" s="121">
        <v>97629.8</v>
      </c>
      <c r="C3" s="122">
        <v>7647472708</v>
      </c>
      <c r="D3" s="4">
        <v>220</v>
      </c>
      <c r="E3" s="73">
        <f>E$8*F3</f>
        <v>21.442495126705651</v>
      </c>
      <c r="F3" s="74">
        <f>D3/D$8</f>
        <v>7.1474983755685506E-2</v>
      </c>
      <c r="G3" s="12">
        <f>B3*F3</f>
        <v>6978.0883690708251</v>
      </c>
      <c r="H3" s="41">
        <f>(1-E3/D3)*C3/E3*F3^2</f>
        <v>1644426.1419613338</v>
      </c>
    </row>
    <row r="4" spans="1:8" ht="20.100000000000001" customHeight="1">
      <c r="A4" s="55">
        <f>A3+1</f>
        <v>2</v>
      </c>
      <c r="B4" s="121">
        <v>300504.2</v>
      </c>
      <c r="C4" s="122">
        <v>29618183543</v>
      </c>
      <c r="D4" s="4">
        <v>1054</v>
      </c>
      <c r="E4" s="73">
        <f>E$8*F4</f>
        <v>102.72904483430798</v>
      </c>
      <c r="F4" s="74">
        <f>D4/D$8</f>
        <v>0.34243014944769329</v>
      </c>
      <c r="G4" s="12">
        <f>B4*F4</f>
        <v>102901.69811565951</v>
      </c>
      <c r="H4" s="41">
        <f>(1-E4/D4)*C4/E4*F4^2</f>
        <v>30512148.309749175</v>
      </c>
    </row>
    <row r="5" spans="1:8" ht="20.100000000000001" customHeight="1">
      <c r="A5" s="55">
        <f>A4+1</f>
        <v>3</v>
      </c>
      <c r="B5" s="121">
        <v>211315</v>
      </c>
      <c r="C5" s="122">
        <v>53587487856</v>
      </c>
      <c r="D5" s="4">
        <v>1382</v>
      </c>
      <c r="E5" s="73">
        <f>E$8*F5</f>
        <v>134.69785575048732</v>
      </c>
      <c r="F5" s="74">
        <f>D5/D$8</f>
        <v>0.44899285250162441</v>
      </c>
      <c r="G5" s="12">
        <f>B5*F5</f>
        <v>94878.924626380758</v>
      </c>
      <c r="H5" s="41">
        <f>(1-E5/D5)*C5/E5*F5^2</f>
        <v>72384436.330662251</v>
      </c>
    </row>
    <row r="6" spans="1:8" ht="20.100000000000001" customHeight="1">
      <c r="A6" s="55">
        <f>A5+1</f>
        <v>4</v>
      </c>
      <c r="B6" s="121">
        <v>662295.5</v>
      </c>
      <c r="C6" s="122">
        <v>396185950266</v>
      </c>
      <c r="D6" s="4">
        <v>422</v>
      </c>
      <c r="E6" s="73">
        <f>E$8*F6</f>
        <v>41.130604288499022</v>
      </c>
      <c r="F6" s="74">
        <f>D6/D$8</f>
        <v>0.13710201429499674</v>
      </c>
      <c r="G6" s="12">
        <f>B6*F6</f>
        <v>90802.047108512023</v>
      </c>
      <c r="H6" s="41">
        <f>(1-E6/D6)*C6/E6*F6^2</f>
        <v>163412501.04743147</v>
      </c>
    </row>
    <row r="7" spans="1:8" ht="20.100000000000001" customHeight="1">
      <c r="A7" s="55">
        <f>A6+1</f>
        <v>5</v>
      </c>
      <c r="B7" s="67"/>
      <c r="C7" s="67"/>
      <c r="D7" s="67"/>
      <c r="E7" s="73"/>
      <c r="F7" s="74"/>
      <c r="G7" s="12"/>
      <c r="H7" s="41"/>
    </row>
    <row r="8" spans="1:8" ht="20.100000000000001" customHeight="1">
      <c r="A8" s="80" t="s">
        <v>13</v>
      </c>
      <c r="B8" s="161"/>
      <c r="C8" s="161"/>
      <c r="D8" s="161">
        <f>SUM(D3:D7)</f>
        <v>3078</v>
      </c>
      <c r="E8" s="162">
        <v>300</v>
      </c>
      <c r="F8" s="163">
        <f>SUM(F3:F7)</f>
        <v>1</v>
      </c>
      <c r="G8" s="156">
        <f>SUM(G3:G7)</f>
        <v>295560.75821962312</v>
      </c>
      <c r="H8" s="157">
        <f>SUM(H3:H7)</f>
        <v>267953511.82980424</v>
      </c>
    </row>
    <row r="9" spans="1:8" ht="20.100000000000001" customHeight="1">
      <c r="A9" s="158"/>
      <c r="B9" s="159"/>
      <c r="C9" s="159"/>
      <c r="D9" s="159"/>
      <c r="E9" s="159"/>
      <c r="F9" s="159"/>
      <c r="G9" s="160" t="s">
        <v>14</v>
      </c>
      <c r="H9" s="155">
        <f>SQRT(H8)</f>
        <v>16369.285623685728</v>
      </c>
    </row>
    <row r="10" spans="1:8" ht="20.100000000000001" customHeight="1">
      <c r="A10" s="68"/>
      <c r="B10" s="68"/>
      <c r="C10" s="68"/>
      <c r="D10" s="68"/>
      <c r="E10" s="68"/>
      <c r="F10" s="68"/>
      <c r="G10" s="68"/>
      <c r="H10" s="68"/>
    </row>
    <row r="11" spans="1:8" ht="20.100000000000001" customHeight="1">
      <c r="A11" s="68"/>
      <c r="B11" s="136" t="s">
        <v>52</v>
      </c>
      <c r="C11" s="136"/>
      <c r="D11" s="136"/>
      <c r="E11" s="136"/>
      <c r="F11" s="68"/>
      <c r="G11" s="68"/>
      <c r="H11" s="68"/>
    </row>
    <row r="12" spans="1:8" ht="20.100000000000001" customHeight="1">
      <c r="A12" s="38"/>
      <c r="B12" s="70" t="s">
        <v>16</v>
      </c>
      <c r="C12" s="70" t="s">
        <v>17</v>
      </c>
      <c r="D12" s="70" t="s">
        <v>18</v>
      </c>
      <c r="E12" s="70" t="s">
        <v>19</v>
      </c>
      <c r="F12" s="38"/>
      <c r="G12" s="38"/>
      <c r="H12" s="38"/>
    </row>
    <row r="13" spans="1:8" ht="20.100000000000001" customHeight="1">
      <c r="A13" s="70" t="s">
        <v>20</v>
      </c>
      <c r="B13" s="47">
        <f>G8</f>
        <v>295560.75821962312</v>
      </c>
      <c r="C13" s="47">
        <f>SQRT(H8)</f>
        <v>16369.285623685728</v>
      </c>
      <c r="D13" s="47">
        <f>$B13-$C13*1.96</f>
        <v>263476.95839719911</v>
      </c>
      <c r="E13" s="47">
        <f>$B13+$C13*1.96</f>
        <v>327644.55804204714</v>
      </c>
      <c r="F13" s="38"/>
      <c r="G13" s="38"/>
      <c r="H13" s="38"/>
    </row>
    <row r="14" spans="1:8" ht="20.100000000000001" customHeight="1">
      <c r="A14" s="69" t="s">
        <v>21</v>
      </c>
      <c r="B14" s="47">
        <f>B13*D8</f>
        <v>909736013.79999995</v>
      </c>
      <c r="C14" s="47">
        <f>C13*D8</f>
        <v>50384661.149704672</v>
      </c>
      <c r="D14" s="47">
        <f>$B14-$C14*1.96</f>
        <v>810982077.94657874</v>
      </c>
      <c r="E14" s="47">
        <f>$B14+$C14*1.96</f>
        <v>1008489949.6534212</v>
      </c>
      <c r="F14" s="38"/>
      <c r="G14" s="38"/>
      <c r="H14" s="70"/>
    </row>
  </sheetData>
  <mergeCells count="2">
    <mergeCell ref="A1:H1"/>
    <mergeCell ref="B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7"/>
  <sheetViews>
    <sheetView showGridLines="0" topLeftCell="A20" zoomScale="125" zoomScaleNormal="125" workbookViewId="0">
      <selection activeCell="I39" sqref="I39"/>
    </sheetView>
  </sheetViews>
  <sheetFormatPr defaultColWidth="16.28515625" defaultRowHeight="20.100000000000001" customHeight="1"/>
  <cols>
    <col min="1" max="1" width="10" style="1" customWidth="1"/>
    <col min="2" max="5" width="16.28515625" style="1" customWidth="1"/>
    <col min="6" max="6" width="11.28515625" style="108" customWidth="1"/>
    <col min="7" max="16384" width="16.28515625" style="1"/>
  </cols>
  <sheetData>
    <row r="1" spans="1:6" ht="27.75" customHeight="1">
      <c r="A1" s="145" t="s">
        <v>53</v>
      </c>
      <c r="B1" s="145"/>
      <c r="C1" s="145"/>
      <c r="D1" s="145"/>
      <c r="E1" s="145"/>
      <c r="F1" s="145"/>
    </row>
    <row r="2" spans="1:6" ht="27.75" customHeight="1">
      <c r="A2" s="5"/>
      <c r="B2" s="5"/>
      <c r="C2" s="5"/>
      <c r="D2" s="5"/>
      <c r="E2" s="5"/>
      <c r="F2" s="84"/>
    </row>
    <row r="3" spans="1:6" ht="20.100000000000001" customHeight="1">
      <c r="B3" s="137" t="s">
        <v>54</v>
      </c>
      <c r="C3" s="138"/>
      <c r="D3" s="75"/>
      <c r="E3" s="75"/>
      <c r="F3" s="106"/>
    </row>
    <row r="4" spans="1:6" ht="20.100000000000001" customHeight="1">
      <c r="A4" s="17"/>
      <c r="B4" s="13" t="s">
        <v>55</v>
      </c>
      <c r="C4" s="13" t="s">
        <v>56</v>
      </c>
      <c r="D4" s="127" t="s">
        <v>57</v>
      </c>
      <c r="E4" s="13" t="s">
        <v>58</v>
      </c>
      <c r="F4" s="85" t="s">
        <v>59</v>
      </c>
    </row>
    <row r="5" spans="1:6" ht="20.100000000000001" customHeight="1">
      <c r="A5" s="17"/>
      <c r="B5" s="4">
        <v>12</v>
      </c>
      <c r="C5" s="4">
        <v>125</v>
      </c>
      <c r="D5" s="17">
        <f t="shared" ref="D5:D24" si="0">B5*$B$35</f>
        <v>137.03349282296654</v>
      </c>
      <c r="E5" s="12">
        <f t="shared" ref="E5:E24" si="1">C5-D5</f>
        <v>-12.033492822966537</v>
      </c>
      <c r="F5" s="86">
        <f t="shared" ref="F5:F24" si="2">E5^2</f>
        <v>144.80494952038714</v>
      </c>
    </row>
    <row r="6" spans="1:6" ht="20.100000000000001" customHeight="1">
      <c r="A6" s="17"/>
      <c r="B6" s="4">
        <v>11.4</v>
      </c>
      <c r="C6" s="4">
        <v>119</v>
      </c>
      <c r="D6" s="17">
        <f t="shared" si="0"/>
        <v>130.18181818181819</v>
      </c>
      <c r="E6" s="12">
        <f t="shared" si="1"/>
        <v>-11.181818181818187</v>
      </c>
      <c r="F6" s="86">
        <f t="shared" si="2"/>
        <v>125.03305785123979</v>
      </c>
    </row>
    <row r="7" spans="1:6" ht="20.100000000000001" customHeight="1">
      <c r="A7" s="17"/>
      <c r="B7" s="4">
        <v>7.9</v>
      </c>
      <c r="C7" s="4">
        <v>83</v>
      </c>
      <c r="D7" s="17">
        <f t="shared" si="0"/>
        <v>90.213716108452971</v>
      </c>
      <c r="E7" s="12">
        <f t="shared" si="1"/>
        <v>-7.2137161084529708</v>
      </c>
      <c r="F7" s="86">
        <f t="shared" si="2"/>
        <v>52.037700093353877</v>
      </c>
    </row>
    <row r="8" spans="1:6" ht="20.100000000000001" customHeight="1">
      <c r="A8" s="17"/>
      <c r="B8" s="4">
        <v>9</v>
      </c>
      <c r="C8" s="4">
        <v>85</v>
      </c>
      <c r="D8" s="17">
        <f t="shared" si="0"/>
        <v>102.77511961722489</v>
      </c>
      <c r="E8" s="12">
        <f t="shared" si="1"/>
        <v>-17.775119617224888</v>
      </c>
      <c r="F8" s="86">
        <f t="shared" si="2"/>
        <v>315.95487740665305</v>
      </c>
    </row>
    <row r="9" spans="1:6" ht="20.100000000000001" customHeight="1">
      <c r="A9" s="17"/>
      <c r="B9" s="4">
        <v>10.5</v>
      </c>
      <c r="C9" s="4">
        <v>99</v>
      </c>
      <c r="D9" s="17">
        <f t="shared" si="0"/>
        <v>119.90430622009571</v>
      </c>
      <c r="E9" s="12">
        <f t="shared" si="1"/>
        <v>-20.904306220095705</v>
      </c>
      <c r="F9" s="86">
        <f t="shared" si="2"/>
        <v>436.99001854353202</v>
      </c>
    </row>
    <row r="10" spans="1:6" ht="20.100000000000001" customHeight="1">
      <c r="A10" s="17"/>
      <c r="B10" s="4">
        <v>7.9</v>
      </c>
      <c r="C10" s="4">
        <v>117</v>
      </c>
      <c r="D10" s="17">
        <f t="shared" si="0"/>
        <v>90.213716108452971</v>
      </c>
      <c r="E10" s="12">
        <f t="shared" si="1"/>
        <v>26.786283891547029</v>
      </c>
      <c r="F10" s="86">
        <f t="shared" si="2"/>
        <v>717.50500471855185</v>
      </c>
    </row>
    <row r="11" spans="1:6" ht="20.100000000000001" customHeight="1">
      <c r="A11" s="17"/>
      <c r="B11" s="4">
        <v>7.3</v>
      </c>
      <c r="C11" s="4">
        <v>69</v>
      </c>
      <c r="D11" s="17">
        <f t="shared" si="0"/>
        <v>83.362041467304635</v>
      </c>
      <c r="E11" s="12">
        <f t="shared" si="1"/>
        <v>-14.362041467304635</v>
      </c>
      <c r="F11" s="86">
        <f t="shared" si="2"/>
        <v>206.2682351085779</v>
      </c>
    </row>
    <row r="12" spans="1:6" ht="20.100000000000001" customHeight="1">
      <c r="A12" s="17"/>
      <c r="B12" s="4">
        <v>10.199999999999999</v>
      </c>
      <c r="C12" s="4">
        <v>133</v>
      </c>
      <c r="D12" s="17">
        <f t="shared" si="0"/>
        <v>116.47846889952153</v>
      </c>
      <c r="E12" s="12">
        <f t="shared" si="1"/>
        <v>16.52153110047847</v>
      </c>
      <c r="F12" s="86">
        <f t="shared" si="2"/>
        <v>272.96098990407728</v>
      </c>
    </row>
    <row r="13" spans="1:6" ht="20.100000000000001" customHeight="1">
      <c r="A13" s="17"/>
      <c r="B13" s="4">
        <v>11.7</v>
      </c>
      <c r="C13" s="4">
        <v>154</v>
      </c>
      <c r="D13" s="17">
        <f t="shared" si="0"/>
        <v>133.60765550239236</v>
      </c>
      <c r="E13" s="12">
        <f t="shared" si="1"/>
        <v>20.392344497607638</v>
      </c>
      <c r="F13" s="86">
        <f t="shared" si="2"/>
        <v>415.84771410910849</v>
      </c>
    </row>
    <row r="14" spans="1:6" ht="20.100000000000001" customHeight="1">
      <c r="A14" s="17"/>
      <c r="B14" s="4">
        <v>11.3</v>
      </c>
      <c r="C14" s="4">
        <v>168</v>
      </c>
      <c r="D14" s="17">
        <f t="shared" si="0"/>
        <v>129.03987240829349</v>
      </c>
      <c r="E14" s="12">
        <f t="shared" si="1"/>
        <v>38.96012759170651</v>
      </c>
      <c r="F14" s="86">
        <f t="shared" si="2"/>
        <v>1517.891541962051</v>
      </c>
    </row>
    <row r="15" spans="1:6" ht="20.100000000000001" customHeight="1">
      <c r="A15" s="17"/>
      <c r="B15" s="4">
        <v>5.7</v>
      </c>
      <c r="C15" s="4">
        <v>61</v>
      </c>
      <c r="D15" s="17">
        <f t="shared" si="0"/>
        <v>65.090909090909093</v>
      </c>
      <c r="E15" s="12">
        <f t="shared" si="1"/>
        <v>-4.0909090909090935</v>
      </c>
      <c r="F15" s="86">
        <f t="shared" si="2"/>
        <v>16.735537190082667</v>
      </c>
    </row>
    <row r="16" spans="1:6" ht="20.100000000000001" customHeight="1">
      <c r="A16" s="17"/>
      <c r="B16" s="4">
        <v>8</v>
      </c>
      <c r="C16" s="4">
        <v>80</v>
      </c>
      <c r="D16" s="17">
        <f t="shared" si="0"/>
        <v>91.355661881977682</v>
      </c>
      <c r="E16" s="12">
        <f t="shared" si="1"/>
        <v>-11.355661881977682</v>
      </c>
      <c r="F16" s="86">
        <f t="shared" si="2"/>
        <v>128.95105677780091</v>
      </c>
    </row>
    <row r="17" spans="1:6" ht="20.100000000000001" customHeight="1">
      <c r="A17" s="17"/>
      <c r="B17" s="4">
        <v>10.3</v>
      </c>
      <c r="C17" s="4">
        <v>114</v>
      </c>
      <c r="D17" s="17">
        <f t="shared" si="0"/>
        <v>117.62041467304627</v>
      </c>
      <c r="E17" s="12">
        <f t="shared" si="1"/>
        <v>-3.6204146730462696</v>
      </c>
      <c r="F17" s="86">
        <f t="shared" si="2"/>
        <v>13.107402404808727</v>
      </c>
    </row>
    <row r="18" spans="1:6" ht="20.100000000000001" customHeight="1">
      <c r="A18" s="17"/>
      <c r="B18" s="4">
        <v>12</v>
      </c>
      <c r="C18" s="4">
        <v>147</v>
      </c>
      <c r="D18" s="17">
        <f t="shared" si="0"/>
        <v>137.03349282296654</v>
      </c>
      <c r="E18" s="12">
        <f t="shared" si="1"/>
        <v>9.9665071770334634</v>
      </c>
      <c r="F18" s="86">
        <f t="shared" si="2"/>
        <v>99.331265309859532</v>
      </c>
    </row>
    <row r="19" spans="1:6" ht="20.100000000000001" customHeight="1">
      <c r="A19" s="17"/>
      <c r="B19" s="4">
        <v>9.1999999999999993</v>
      </c>
      <c r="C19" s="4">
        <v>122</v>
      </c>
      <c r="D19" s="17">
        <f t="shared" si="0"/>
        <v>105.05901116427432</v>
      </c>
      <c r="E19" s="12">
        <f t="shared" si="1"/>
        <v>16.940988835725676</v>
      </c>
      <c r="F19" s="86">
        <f t="shared" si="2"/>
        <v>286.99710273218199</v>
      </c>
    </row>
    <row r="20" spans="1:6" ht="20.100000000000001" customHeight="1">
      <c r="A20" s="17"/>
      <c r="B20" s="4">
        <v>8.5</v>
      </c>
      <c r="C20" s="4">
        <v>106</v>
      </c>
      <c r="D20" s="17">
        <f t="shared" si="0"/>
        <v>97.065390749601292</v>
      </c>
      <c r="E20" s="12">
        <f t="shared" si="1"/>
        <v>8.934609250398708</v>
      </c>
      <c r="F20" s="86">
        <f t="shared" si="2"/>
        <v>79.827242457310163</v>
      </c>
    </row>
    <row r="21" spans="1:6" ht="20.100000000000001" customHeight="1">
      <c r="A21" s="17"/>
      <c r="B21" s="4">
        <v>7</v>
      </c>
      <c r="C21" s="4">
        <v>82</v>
      </c>
      <c r="D21" s="17">
        <f t="shared" si="0"/>
        <v>79.936204146730475</v>
      </c>
      <c r="E21" s="12">
        <f t="shared" si="1"/>
        <v>2.0637958532695251</v>
      </c>
      <c r="F21" s="86">
        <f t="shared" si="2"/>
        <v>4.2592533239724872</v>
      </c>
    </row>
    <row r="22" spans="1:6" ht="20.100000000000001" customHeight="1">
      <c r="A22" s="17"/>
      <c r="B22" s="4">
        <v>10.7</v>
      </c>
      <c r="C22" s="4">
        <v>88</v>
      </c>
      <c r="D22" s="17">
        <f t="shared" si="0"/>
        <v>122.18819776714514</v>
      </c>
      <c r="E22" s="12">
        <f t="shared" si="1"/>
        <v>-34.188197767145141</v>
      </c>
      <c r="F22" s="86">
        <f t="shared" si="2"/>
        <v>1168.832866565428</v>
      </c>
    </row>
    <row r="23" spans="1:6" ht="20.100000000000001" customHeight="1">
      <c r="A23" s="17"/>
      <c r="B23" s="4">
        <v>9.3000000000000007</v>
      </c>
      <c r="C23" s="4">
        <v>97</v>
      </c>
      <c r="D23" s="17">
        <f t="shared" si="0"/>
        <v>106.20095693779906</v>
      </c>
      <c r="E23" s="12">
        <f t="shared" si="1"/>
        <v>-9.200956937799063</v>
      </c>
      <c r="F23" s="86">
        <f t="shared" si="2"/>
        <v>84.657608571232714</v>
      </c>
    </row>
    <row r="24" spans="1:6" ht="20.100000000000001" customHeight="1">
      <c r="A24" s="17"/>
      <c r="B24" s="4">
        <v>8.1999999999999993</v>
      </c>
      <c r="C24" s="4">
        <v>99</v>
      </c>
      <c r="D24" s="17">
        <f t="shared" si="0"/>
        <v>93.639553429027117</v>
      </c>
      <c r="E24" s="12">
        <f t="shared" si="1"/>
        <v>5.3604465709728828</v>
      </c>
      <c r="F24" s="86">
        <f t="shared" si="2"/>
        <v>28.734387440254938</v>
      </c>
    </row>
    <row r="25" spans="1:6" ht="20.100000000000001" customHeight="1">
      <c r="A25" s="2" t="s">
        <v>60</v>
      </c>
      <c r="B25" s="1">
        <f>SUM(B5:B24)</f>
        <v>188.09999999999997</v>
      </c>
      <c r="C25" s="1">
        <f>SUM(C5:C24)</f>
        <v>2148</v>
      </c>
      <c r="D25" s="1">
        <f>SUM(D5:D24)</f>
        <v>2148.0000000000005</v>
      </c>
      <c r="E25" s="15">
        <f>SUM(E5:E24)</f>
        <v>-2.7000623958883807E-13</v>
      </c>
      <c r="F25" s="87">
        <f>SUM(F5:F24)</f>
        <v>6116.727811990464</v>
      </c>
    </row>
    <row r="26" spans="1:6" ht="20.100000000000001" customHeight="1">
      <c r="A26" s="2" t="s">
        <v>61</v>
      </c>
      <c r="B26" s="15">
        <f>AVERAGE(B5:B24)</f>
        <v>9.4049999999999976</v>
      </c>
      <c r="C26" s="15">
        <f>AVERAGE(C5:C24)</f>
        <v>107.4</v>
      </c>
      <c r="D26" s="15">
        <f>AVERAGE(D5:D24)</f>
        <v>107.40000000000002</v>
      </c>
      <c r="E26" s="16" t="s">
        <v>62</v>
      </c>
      <c r="F26" s="87">
        <f>F25/(F27-1)</f>
        <v>321.93304273634021</v>
      </c>
    </row>
    <row r="27" spans="1:6" ht="20.100000000000001" customHeight="1">
      <c r="A27" s="2" t="s">
        <v>63</v>
      </c>
      <c r="B27" s="1">
        <f>COUNT(B5:B24)</f>
        <v>20</v>
      </c>
      <c r="C27" s="1">
        <f>COUNT(C5:C24)</f>
        <v>20</v>
      </c>
      <c r="D27" s="1">
        <f>COUNT(D5:D24)</f>
        <v>20</v>
      </c>
      <c r="E27" s="105">
        <f>COUNT(E5:E24)</f>
        <v>20</v>
      </c>
      <c r="F27" s="107">
        <f>COUNT(F5:F24)</f>
        <v>20</v>
      </c>
    </row>
    <row r="28" spans="1:6" ht="20.100000000000001" customHeight="1">
      <c r="A28" s="11"/>
      <c r="C28" s="11"/>
      <c r="D28" s="11"/>
      <c r="E28" s="11"/>
      <c r="F28" s="78"/>
    </row>
    <row r="29" spans="1:6" ht="20.100000000000001" customHeight="1">
      <c r="B29" s="142" t="s">
        <v>64</v>
      </c>
      <c r="C29" s="143"/>
      <c r="D29" s="144"/>
      <c r="F29" s="1"/>
    </row>
    <row r="30" spans="1:6" ht="20.100000000000001" customHeight="1">
      <c r="A30" s="109"/>
      <c r="B30" s="13" t="s">
        <v>34</v>
      </c>
      <c r="C30" s="13" t="s">
        <v>65</v>
      </c>
      <c r="D30" s="13" t="s">
        <v>66</v>
      </c>
      <c r="F30" s="1"/>
    </row>
    <row r="31" spans="1:6" ht="20.100000000000001" customHeight="1">
      <c r="A31" s="88"/>
      <c r="B31" s="4">
        <v>1132</v>
      </c>
      <c r="C31" s="4">
        <v>10.3</v>
      </c>
      <c r="D31" s="4">
        <f>B31*C31</f>
        <v>11659.6</v>
      </c>
      <c r="F31" s="1"/>
    </row>
    <row r="32" spans="1:6" ht="20.100000000000001" customHeight="1">
      <c r="A32" s="139" t="s">
        <v>67</v>
      </c>
      <c r="B32" s="140"/>
      <c r="C32" s="140"/>
      <c r="D32" s="141"/>
      <c r="F32" s="1"/>
    </row>
    <row r="33" spans="1:6" ht="20.100000000000001" customHeight="1">
      <c r="A33" s="88"/>
      <c r="B33" s="3"/>
      <c r="C33" s="3"/>
      <c r="D33" s="3"/>
      <c r="F33" s="1"/>
    </row>
    <row r="34" spans="1:6" ht="20.100000000000001" customHeight="1">
      <c r="A34" s="88"/>
      <c r="B34" s="3"/>
      <c r="C34" s="13" t="s">
        <v>68</v>
      </c>
      <c r="D34" s="13" t="s">
        <v>17</v>
      </c>
      <c r="E34" s="69" t="s">
        <v>18</v>
      </c>
      <c r="F34" s="69" t="s">
        <v>19</v>
      </c>
    </row>
    <row r="35" spans="1:6" ht="20.100000000000001" customHeight="1">
      <c r="A35" s="89" t="s">
        <v>69</v>
      </c>
      <c r="B35" s="14">
        <f>$C$25/$B$25</f>
        <v>11.41945773524721</v>
      </c>
      <c r="C35" s="14">
        <f>(1-$B$27/$B$31)*$F$26/($F$27*$B$26^2)</f>
        <v>0.17876245868431007</v>
      </c>
      <c r="D35" s="14">
        <f>SQRT(C35)</f>
        <v>0.42280309682440842</v>
      </c>
      <c r="E35" s="102">
        <f>$B35-$D35*1.96</f>
        <v>10.590763665471369</v>
      </c>
      <c r="F35" s="102">
        <f>$B35+$D35*1.96</f>
        <v>12.248151805023051</v>
      </c>
    </row>
    <row r="36" spans="1:6" ht="20.100000000000001" customHeight="1">
      <c r="A36" s="89" t="s">
        <v>70</v>
      </c>
      <c r="B36" s="14">
        <f>B35*C31</f>
        <v>117.62041467304627</v>
      </c>
      <c r="C36" s="14">
        <f>C35*C31^2</f>
        <v>18.964909241818457</v>
      </c>
      <c r="D36" s="14">
        <f>SQRT(C36)</f>
        <v>4.3548718972914067</v>
      </c>
      <c r="E36" s="102">
        <f>$B36-$D36*1.96</f>
        <v>109.08486575435511</v>
      </c>
      <c r="F36" s="102">
        <f>$B36+$D36*1.96</f>
        <v>126.15596359173743</v>
      </c>
    </row>
    <row r="37" spans="1:6" ht="20.100000000000001" customHeight="1">
      <c r="A37" s="89" t="s">
        <v>71</v>
      </c>
      <c r="B37" s="14">
        <f>B35*D31</f>
        <v>133146.30940988837</v>
      </c>
      <c r="C37" s="14">
        <f>C35*D31^2</f>
        <v>24302089.860287972</v>
      </c>
      <c r="D37" s="14">
        <f>SQRT(C37)</f>
        <v>4929.7149877338725</v>
      </c>
      <c r="E37" s="102">
        <f>$B37-$D37*1.96</f>
        <v>123484.06803392999</v>
      </c>
      <c r="F37" s="102">
        <f>$B37+$D37*1.96</f>
        <v>142808.55078584678</v>
      </c>
    </row>
  </sheetData>
  <mergeCells count="4">
    <mergeCell ref="B3:C3"/>
    <mergeCell ref="A32:D32"/>
    <mergeCell ref="B29:D29"/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6F48-88AD-3E47-B76D-9E3C1EB80D9B}">
  <dimension ref="A1:H33"/>
  <sheetViews>
    <sheetView zoomScale="125" zoomScaleNormal="125" workbookViewId="0">
      <selection activeCell="E31" sqref="E31:F31"/>
    </sheetView>
  </sheetViews>
  <sheetFormatPr defaultColWidth="10.85546875" defaultRowHeight="20.100000000000001" customHeight="1"/>
  <cols>
    <col min="1" max="1" width="15.7109375" style="68" customWidth="1"/>
    <col min="2" max="2" width="11" style="68" bestFit="1" customWidth="1"/>
    <col min="3" max="3" width="11.7109375" style="68" bestFit="1" customWidth="1"/>
    <col min="4" max="4" width="9" style="68" customWidth="1"/>
    <col min="5" max="6" width="13.7109375" style="68" customWidth="1"/>
    <col min="7" max="7" width="11" style="68" bestFit="1" customWidth="1"/>
    <col min="8" max="8" width="10.85546875" style="8"/>
    <col min="9" max="9" width="10.85546875" style="68"/>
    <col min="10" max="10" width="15.140625" style="68" customWidth="1"/>
    <col min="11" max="16384" width="10.85546875" style="68"/>
  </cols>
  <sheetData>
    <row r="1" spans="1:8" ht="57" customHeight="1">
      <c r="A1" s="149" t="s">
        <v>72</v>
      </c>
      <c r="B1" s="150"/>
      <c r="C1" s="150"/>
      <c r="D1" s="150"/>
      <c r="E1" s="150"/>
      <c r="F1" s="150"/>
      <c r="G1" s="150"/>
      <c r="H1" s="150"/>
    </row>
    <row r="2" spans="1:8" ht="20.100000000000001" customHeight="1">
      <c r="A2" s="93"/>
      <c r="B2" s="93"/>
      <c r="C2" s="93"/>
      <c r="D2" s="93"/>
      <c r="E2" s="93"/>
      <c r="F2" s="94"/>
      <c r="G2" s="93"/>
      <c r="H2" s="95"/>
    </row>
    <row r="3" spans="1:8" ht="20.100000000000001" customHeight="1">
      <c r="B3" s="146" t="s">
        <v>73</v>
      </c>
      <c r="C3" s="147"/>
      <c r="D3" s="96"/>
      <c r="E3" s="96"/>
      <c r="F3" s="97"/>
      <c r="G3" s="55"/>
    </row>
    <row r="4" spans="1:8" ht="20.100000000000001" customHeight="1">
      <c r="A4" s="69" t="s">
        <v>74</v>
      </c>
      <c r="B4" s="100" t="s">
        <v>75</v>
      </c>
      <c r="C4" s="101" t="s">
        <v>76</v>
      </c>
      <c r="D4" s="13" t="s">
        <v>77</v>
      </c>
      <c r="E4" s="13" t="s">
        <v>78</v>
      </c>
      <c r="F4" s="85" t="s">
        <v>58</v>
      </c>
      <c r="G4" s="13" t="s">
        <v>59</v>
      </c>
    </row>
    <row r="5" spans="1:8" ht="20.100000000000001" customHeight="1">
      <c r="A5" s="99">
        <v>1</v>
      </c>
      <c r="B5" s="67">
        <v>61.5</v>
      </c>
      <c r="C5" s="79">
        <v>20</v>
      </c>
      <c r="D5" s="76">
        <f t="shared" ref="D5:D16" si="0">B5*C5</f>
        <v>1230</v>
      </c>
      <c r="E5" s="12">
        <f t="shared" ref="E5:E16" si="1">C5*$B$31</f>
        <v>1251.4381270903009</v>
      </c>
      <c r="F5" s="86">
        <f t="shared" ref="F5:F16" si="2">D5-E5</f>
        <v>-21.438127090300895</v>
      </c>
      <c r="G5" s="12">
        <f t="shared" ref="G5:G16" si="3">F5^2</f>
        <v>459.59329313989315</v>
      </c>
    </row>
    <row r="6" spans="1:8" ht="20.100000000000001" customHeight="1">
      <c r="A6" s="99">
        <f t="shared" ref="A6:A18" si="4">A5+1</f>
        <v>2</v>
      </c>
      <c r="B6" s="67">
        <v>64.2</v>
      </c>
      <c r="C6" s="79">
        <v>26</v>
      </c>
      <c r="D6" s="76">
        <f t="shared" si="0"/>
        <v>1669.2</v>
      </c>
      <c r="E6" s="12">
        <f t="shared" si="1"/>
        <v>1626.8695652173913</v>
      </c>
      <c r="F6" s="86">
        <f t="shared" si="2"/>
        <v>42.330434782608791</v>
      </c>
      <c r="G6" s="12">
        <f t="shared" si="3"/>
        <v>1791.8657088846962</v>
      </c>
    </row>
    <row r="7" spans="1:8" ht="20.100000000000001" customHeight="1">
      <c r="A7" s="99">
        <f t="shared" si="4"/>
        <v>3</v>
      </c>
      <c r="B7" s="67">
        <v>58.4</v>
      </c>
      <c r="C7" s="79">
        <v>24</v>
      </c>
      <c r="D7" s="76">
        <f t="shared" si="0"/>
        <v>1401.6</v>
      </c>
      <c r="E7" s="12">
        <f t="shared" si="1"/>
        <v>1501.7257525083612</v>
      </c>
      <c r="F7" s="86">
        <f t="shared" si="2"/>
        <v>-100.1257525083613</v>
      </c>
      <c r="G7" s="12">
        <f t="shared" si="3"/>
        <v>10025.166315365619</v>
      </c>
    </row>
    <row r="8" spans="1:8" ht="20.100000000000001" customHeight="1">
      <c r="A8" s="99">
        <f t="shared" si="4"/>
        <v>4</v>
      </c>
      <c r="B8" s="67">
        <v>58</v>
      </c>
      <c r="C8" s="79">
        <v>34</v>
      </c>
      <c r="D8" s="76">
        <f t="shared" si="0"/>
        <v>1972</v>
      </c>
      <c r="E8" s="12">
        <f t="shared" si="1"/>
        <v>2127.4448160535117</v>
      </c>
      <c r="F8" s="86">
        <f t="shared" si="2"/>
        <v>-155.44481605351166</v>
      </c>
      <c r="G8" s="12">
        <f t="shared" si="3"/>
        <v>24163.090837910077</v>
      </c>
    </row>
    <row r="9" spans="1:8" ht="20.100000000000001" customHeight="1">
      <c r="A9" s="99">
        <f t="shared" si="4"/>
        <v>5</v>
      </c>
      <c r="B9" s="67">
        <v>58</v>
      </c>
      <c r="C9" s="79">
        <v>26</v>
      </c>
      <c r="D9" s="76">
        <f t="shared" si="0"/>
        <v>1508</v>
      </c>
      <c r="E9" s="12">
        <f t="shared" si="1"/>
        <v>1626.8695652173913</v>
      </c>
      <c r="F9" s="86">
        <f t="shared" si="2"/>
        <v>-118.86956521739125</v>
      </c>
      <c r="G9" s="12">
        <f t="shared" si="3"/>
        <v>14129.973534971632</v>
      </c>
    </row>
    <row r="10" spans="1:8" ht="20.100000000000001" customHeight="1">
      <c r="A10" s="99">
        <f t="shared" si="4"/>
        <v>6</v>
      </c>
      <c r="B10" s="67">
        <v>64.900000000000006</v>
      </c>
      <c r="C10" s="79">
        <v>28</v>
      </c>
      <c r="D10" s="76">
        <f t="shared" si="0"/>
        <v>1817.2000000000003</v>
      </c>
      <c r="E10" s="12">
        <f t="shared" si="1"/>
        <v>1752.0133779264215</v>
      </c>
      <c r="F10" s="86">
        <f t="shared" si="2"/>
        <v>65.186622073578746</v>
      </c>
      <c r="G10" s="12">
        <f t="shared" si="3"/>
        <v>4249.2956973635837</v>
      </c>
    </row>
    <row r="11" spans="1:8" ht="20.100000000000001" customHeight="1">
      <c r="A11" s="99">
        <f t="shared" si="4"/>
        <v>7</v>
      </c>
      <c r="B11" s="67">
        <v>55.2</v>
      </c>
      <c r="C11" s="79">
        <v>19</v>
      </c>
      <c r="D11" s="76">
        <f t="shared" si="0"/>
        <v>1048.8</v>
      </c>
      <c r="E11" s="12">
        <f t="shared" si="1"/>
        <v>1188.8662207357859</v>
      </c>
      <c r="F11" s="86">
        <f t="shared" si="2"/>
        <v>-140.06622073578592</v>
      </c>
      <c r="G11" s="12">
        <f t="shared" si="3"/>
        <v>19618.546191205904</v>
      </c>
    </row>
    <row r="12" spans="1:8" ht="20.100000000000001" customHeight="1">
      <c r="A12" s="99">
        <f t="shared" si="4"/>
        <v>8</v>
      </c>
      <c r="B12" s="67">
        <v>72.099999999999994</v>
      </c>
      <c r="C12" s="79">
        <v>32</v>
      </c>
      <c r="D12" s="76">
        <f t="shared" si="0"/>
        <v>2307.1999999999998</v>
      </c>
      <c r="E12" s="12">
        <f t="shared" si="1"/>
        <v>2002.3010033444816</v>
      </c>
      <c r="F12" s="86">
        <f t="shared" si="2"/>
        <v>304.8989966555182</v>
      </c>
      <c r="G12" s="12">
        <f t="shared" si="3"/>
        <v>92963.3981615417</v>
      </c>
    </row>
    <row r="13" spans="1:8" ht="20.100000000000001" customHeight="1">
      <c r="A13" s="99">
        <f t="shared" si="4"/>
        <v>9</v>
      </c>
      <c r="B13" s="67">
        <v>58.2</v>
      </c>
      <c r="C13" s="79">
        <v>17</v>
      </c>
      <c r="D13" s="76">
        <f t="shared" si="0"/>
        <v>989.40000000000009</v>
      </c>
      <c r="E13" s="12">
        <f t="shared" si="1"/>
        <v>1063.7224080267558</v>
      </c>
      <c r="F13" s="86">
        <f t="shared" si="2"/>
        <v>-74.322408026755738</v>
      </c>
      <c r="G13" s="12">
        <f t="shared" si="3"/>
        <v>5523.8203348955658</v>
      </c>
    </row>
    <row r="14" spans="1:8" ht="20.100000000000001" customHeight="1">
      <c r="A14" s="99">
        <f t="shared" si="4"/>
        <v>10</v>
      </c>
      <c r="B14" s="67">
        <v>66.599999999999994</v>
      </c>
      <c r="C14" s="79">
        <v>21</v>
      </c>
      <c r="D14" s="76">
        <f t="shared" si="0"/>
        <v>1398.6</v>
      </c>
      <c r="E14" s="12">
        <f t="shared" si="1"/>
        <v>1314.0100334448161</v>
      </c>
      <c r="F14" s="86">
        <f t="shared" si="2"/>
        <v>84.589966555183764</v>
      </c>
      <c r="G14" s="12">
        <f t="shared" si="3"/>
        <v>7155.462441807108</v>
      </c>
    </row>
    <row r="15" spans="1:8" ht="20.100000000000001" customHeight="1">
      <c r="A15" s="99">
        <f t="shared" si="4"/>
        <v>11</v>
      </c>
      <c r="B15" s="67">
        <v>62.3</v>
      </c>
      <c r="C15" s="79">
        <v>26</v>
      </c>
      <c r="D15" s="76">
        <f t="shared" si="0"/>
        <v>1619.8</v>
      </c>
      <c r="E15" s="12">
        <f t="shared" si="1"/>
        <v>1626.8695652173913</v>
      </c>
      <c r="F15" s="86">
        <f t="shared" si="2"/>
        <v>-7.0695652173913004</v>
      </c>
      <c r="G15" s="12">
        <f t="shared" si="3"/>
        <v>49.978752362948903</v>
      </c>
    </row>
    <row r="16" spans="1:8" ht="20.100000000000001" customHeight="1">
      <c r="A16" s="99">
        <f t="shared" si="4"/>
        <v>12</v>
      </c>
      <c r="B16" s="67">
        <v>67.2</v>
      </c>
      <c r="C16" s="79">
        <v>26</v>
      </c>
      <c r="D16" s="76">
        <f t="shared" si="0"/>
        <v>1747.2</v>
      </c>
      <c r="E16" s="12">
        <f t="shared" si="1"/>
        <v>1626.8695652173913</v>
      </c>
      <c r="F16" s="86">
        <f t="shared" si="2"/>
        <v>120.33043478260879</v>
      </c>
      <c r="G16" s="12">
        <f t="shared" si="3"/>
        <v>14479.413534971667</v>
      </c>
    </row>
    <row r="17" spans="1:7" ht="20.100000000000001" customHeight="1">
      <c r="A17" s="99">
        <f t="shared" si="4"/>
        <v>13</v>
      </c>
      <c r="B17" s="81"/>
      <c r="C17" s="79"/>
      <c r="D17" s="76"/>
      <c r="E17" s="12"/>
      <c r="F17" s="86"/>
      <c r="G17" s="12"/>
    </row>
    <row r="18" spans="1:7" ht="20.100000000000001" customHeight="1">
      <c r="A18" s="3">
        <f t="shared" si="4"/>
        <v>14</v>
      </c>
      <c r="B18" s="67"/>
      <c r="C18" s="67"/>
      <c r="D18" s="76"/>
      <c r="E18" s="12"/>
      <c r="F18" s="86"/>
      <c r="G18" s="12"/>
    </row>
    <row r="19" spans="1:7" ht="20.100000000000001" customHeight="1">
      <c r="A19" s="13" t="s">
        <v>60</v>
      </c>
      <c r="B19" s="3">
        <f>SUM(B5:B18)</f>
        <v>746.6</v>
      </c>
      <c r="C19" s="3">
        <f>SUM(C5:C18)</f>
        <v>299</v>
      </c>
      <c r="D19" s="3">
        <f>SUM(D5:D18)</f>
        <v>18709</v>
      </c>
      <c r="E19" s="3">
        <f>SUM(E5:E18)</f>
        <v>18709</v>
      </c>
      <c r="G19" s="12">
        <f>SUM(G5:G18)</f>
        <v>194609.60480442044</v>
      </c>
    </row>
    <row r="20" spans="1:7" ht="20.100000000000001" customHeight="1">
      <c r="A20" s="13" t="s">
        <v>61</v>
      </c>
      <c r="B20" s="12">
        <f>AVERAGE(D5:D16)</f>
        <v>1559.0833333333333</v>
      </c>
      <c r="C20" s="12">
        <f>AVERAGE(C5:C17)</f>
        <v>24.916666666666668</v>
      </c>
      <c r="D20" s="12">
        <f>AVERAGE(E5:E16)</f>
        <v>1559.0833333333333</v>
      </c>
      <c r="F20" s="92" t="s">
        <v>62</v>
      </c>
      <c r="G20" s="12">
        <f>G19/(C23-1)</f>
        <v>17691.782254947313</v>
      </c>
    </row>
    <row r="21" spans="1:7" ht="20.100000000000001" customHeight="1">
      <c r="A21" s="13" t="s">
        <v>63</v>
      </c>
      <c r="B21" s="3">
        <f t="shared" ref="B21:G21" si="5">COUNT(B5:B17)</f>
        <v>12</v>
      </c>
      <c r="C21" s="3">
        <f t="shared" si="5"/>
        <v>12</v>
      </c>
      <c r="D21" s="3">
        <f t="shared" si="5"/>
        <v>12</v>
      </c>
      <c r="E21" s="3">
        <f t="shared" si="5"/>
        <v>12</v>
      </c>
      <c r="F21" s="3">
        <f t="shared" si="5"/>
        <v>12</v>
      </c>
      <c r="G21" s="3">
        <f t="shared" si="5"/>
        <v>12</v>
      </c>
    </row>
    <row r="22" spans="1:7" ht="20.100000000000001" customHeight="1">
      <c r="A22" s="3"/>
      <c r="B22" s="13" t="s">
        <v>79</v>
      </c>
      <c r="C22" s="12">
        <f>C20</f>
        <v>24.916666666666668</v>
      </c>
      <c r="D22" s="3"/>
      <c r="E22" s="3"/>
      <c r="F22" s="99"/>
      <c r="G22" s="3"/>
    </row>
    <row r="23" spans="1:7" ht="20.100000000000001" customHeight="1">
      <c r="A23" s="55"/>
      <c r="B23" s="13" t="s">
        <v>80</v>
      </c>
      <c r="C23" s="3">
        <f>C21</f>
        <v>12</v>
      </c>
      <c r="D23" s="3"/>
      <c r="E23" s="3"/>
      <c r="F23" s="99"/>
      <c r="G23" s="3"/>
    </row>
    <row r="26" spans="1:7" ht="20.100000000000001" customHeight="1">
      <c r="A26" s="98"/>
      <c r="B26" s="148" t="s">
        <v>64</v>
      </c>
      <c r="C26" s="148"/>
      <c r="D26" s="148"/>
    </row>
    <row r="27" spans="1:7" ht="20.100000000000001" customHeight="1">
      <c r="A27" s="3"/>
      <c r="B27" s="101" t="s">
        <v>34</v>
      </c>
      <c r="C27" s="101" t="s">
        <v>81</v>
      </c>
      <c r="D27" s="101" t="s">
        <v>82</v>
      </c>
    </row>
    <row r="28" spans="1:7" ht="20.100000000000001" customHeight="1">
      <c r="A28" s="3"/>
      <c r="B28" s="67">
        <v>187</v>
      </c>
      <c r="C28" s="67">
        <v>25</v>
      </c>
      <c r="D28" s="67">
        <f>C28*B28</f>
        <v>4675</v>
      </c>
    </row>
    <row r="29" spans="1:7" ht="20.100000000000001" customHeight="1">
      <c r="A29" s="151" t="s">
        <v>67</v>
      </c>
      <c r="B29" s="152"/>
      <c r="C29" s="152"/>
      <c r="D29" s="152"/>
      <c r="E29" s="152"/>
      <c r="F29" s="152"/>
    </row>
    <row r="30" spans="1:7" ht="20.100000000000001" customHeight="1">
      <c r="A30" s="3"/>
      <c r="B30" s="55" t="s">
        <v>67</v>
      </c>
      <c r="C30" s="13" t="s">
        <v>68</v>
      </c>
      <c r="D30" s="13" t="s">
        <v>17</v>
      </c>
      <c r="E30" s="55" t="s">
        <v>18</v>
      </c>
      <c r="F30" s="55" t="s">
        <v>19</v>
      </c>
    </row>
    <row r="31" spans="1:7" ht="20.100000000000001" customHeight="1">
      <c r="A31" s="13" t="s">
        <v>83</v>
      </c>
      <c r="B31" s="14">
        <f>D19/C19</f>
        <v>62.57190635451505</v>
      </c>
      <c r="C31" s="14">
        <f>(1-C23/B28)*G20/(C23*C22^2)</f>
        <v>2.222321547168888</v>
      </c>
      <c r="D31" s="14">
        <f>SQRT(C31)</f>
        <v>1.4907452992274999</v>
      </c>
      <c r="E31" s="102">
        <f>$B31-$D31*1.96</f>
        <v>59.650045568029149</v>
      </c>
      <c r="F31" s="102">
        <f>$B31+$D31*1.96</f>
        <v>65.493767141000944</v>
      </c>
    </row>
    <row r="32" spans="1:7" ht="20.100000000000001" customHeight="1">
      <c r="A32" s="13" t="s">
        <v>84</v>
      </c>
      <c r="B32" s="14">
        <f>B31*C28</f>
        <v>1564.2976588628762</v>
      </c>
      <c r="C32" s="14">
        <f>C31*C28^2</f>
        <v>1388.950966980555</v>
      </c>
      <c r="D32" s="14">
        <f>SQRT(C32)</f>
        <v>37.268632480687494</v>
      </c>
      <c r="E32" s="102">
        <f>$B32-$D32*1.96</f>
        <v>1491.2511392007286</v>
      </c>
      <c r="F32" s="102">
        <f>$B32+$D32*1.96</f>
        <v>1637.3441785250238</v>
      </c>
    </row>
    <row r="33" spans="1:6" ht="20.100000000000001" customHeight="1">
      <c r="A33" s="13" t="s">
        <v>85</v>
      </c>
      <c r="B33" s="14">
        <f>B31*D28</f>
        <v>292523.66220735788</v>
      </c>
      <c r="C33" s="14">
        <f>C31*D28^2</f>
        <v>48570226.364343025</v>
      </c>
      <c r="D33" s="14">
        <f>SQRT(C33)</f>
        <v>6969.2342738885618</v>
      </c>
      <c r="E33" s="47">
        <f>B33-D33*1.96</f>
        <v>278863.96303053631</v>
      </c>
      <c r="F33" s="47">
        <f>C33+E33*1.96</f>
        <v>49116799.731882878</v>
      </c>
    </row>
  </sheetData>
  <mergeCells count="4">
    <mergeCell ref="B3:C3"/>
    <mergeCell ref="B26:D26"/>
    <mergeCell ref="A1:H1"/>
    <mergeCell ref="A29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8173-4777-7C46-9FDF-9CC8A4DCF150}">
  <dimension ref="A1:J19"/>
  <sheetViews>
    <sheetView zoomScale="125" zoomScaleNormal="125" workbookViewId="0">
      <selection activeCell="E18" sqref="E18:F19"/>
    </sheetView>
  </sheetViews>
  <sheetFormatPr defaultColWidth="11.42578125" defaultRowHeight="20.100000000000001" customHeight="1"/>
  <cols>
    <col min="1" max="1" width="15.140625" customWidth="1"/>
    <col min="2" max="2" width="13.7109375" customWidth="1"/>
    <col min="3" max="3" width="8.140625" customWidth="1"/>
    <col min="4" max="4" width="7.42578125" customWidth="1"/>
    <col min="5" max="5" width="8.7109375" customWidth="1"/>
    <col min="6" max="6" width="13.42578125" customWidth="1"/>
    <col min="7" max="7" width="19.140625" customWidth="1"/>
    <col min="8" max="8" width="13.7109375" customWidth="1"/>
    <col min="9" max="9" width="11" bestFit="1" customWidth="1"/>
    <col min="10" max="10" width="14.28515625" customWidth="1"/>
  </cols>
  <sheetData>
    <row r="1" spans="1:10" ht="51.95" customHeight="1">
      <c r="A1" s="149" t="s">
        <v>86</v>
      </c>
      <c r="B1" s="150"/>
      <c r="C1" s="153"/>
      <c r="D1" s="153"/>
      <c r="E1" s="153"/>
      <c r="F1" s="153"/>
      <c r="G1" s="153"/>
      <c r="H1" s="153"/>
      <c r="I1" s="153"/>
      <c r="J1" s="153"/>
    </row>
    <row r="2" spans="1:10" ht="20.10000000000000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20.100000000000001" customHeight="1">
      <c r="A3" s="71"/>
      <c r="B3" s="71"/>
      <c r="C3" s="137" t="s">
        <v>73</v>
      </c>
      <c r="D3" s="154"/>
      <c r="E3" s="154"/>
      <c r="F3" s="138"/>
      <c r="G3" s="75"/>
      <c r="H3" s="75"/>
      <c r="I3" s="75"/>
      <c r="J3" s="55"/>
    </row>
    <row r="4" spans="1:10" ht="20.100000000000001" customHeight="1">
      <c r="A4" s="55" t="s">
        <v>74</v>
      </c>
      <c r="B4" s="55" t="s">
        <v>87</v>
      </c>
      <c r="C4" s="13" t="s">
        <v>75</v>
      </c>
      <c r="D4" s="13" t="s">
        <v>76</v>
      </c>
      <c r="E4" s="13" t="s">
        <v>77</v>
      </c>
      <c r="F4" s="13" t="s">
        <v>88</v>
      </c>
      <c r="G4" s="13" t="s">
        <v>89</v>
      </c>
      <c r="H4" s="13" t="s">
        <v>90</v>
      </c>
      <c r="I4" s="13" t="s">
        <v>58</v>
      </c>
      <c r="J4" s="13" t="s">
        <v>59</v>
      </c>
    </row>
    <row r="5" spans="1:10" ht="20.100000000000001" customHeight="1">
      <c r="A5" s="17">
        <v>1</v>
      </c>
      <c r="B5" s="126">
        <f>D5/647</f>
        <v>3.7094281298299843E-2</v>
      </c>
      <c r="C5" s="103">
        <v>2.4</v>
      </c>
      <c r="D5" s="83">
        <v>24</v>
      </c>
      <c r="E5" s="82">
        <f>C5*D5</f>
        <v>57.599999999999994</v>
      </c>
      <c r="F5" s="90">
        <f>D5/B5</f>
        <v>647</v>
      </c>
      <c r="G5" s="76">
        <f>E5/B5</f>
        <v>1552.8</v>
      </c>
      <c r="H5" s="12">
        <f>F5*$B$18</f>
        <v>1617.5</v>
      </c>
      <c r="I5" s="12">
        <f>G5-H5</f>
        <v>-64.700000000000045</v>
      </c>
      <c r="J5" s="12">
        <f>I5^2</f>
        <v>4186.0900000000056</v>
      </c>
    </row>
    <row r="6" spans="1:10" ht="20.100000000000001" customHeight="1">
      <c r="A6" s="17">
        <f t="shared" ref="A6:A11" si="0">A5+1</f>
        <v>2</v>
      </c>
      <c r="B6" s="126">
        <f>D6/647</f>
        <v>0.15455950540958269</v>
      </c>
      <c r="C6" s="103">
        <v>1.6</v>
      </c>
      <c r="D6" s="83">
        <v>100</v>
      </c>
      <c r="E6" s="82">
        <f>C6*D6</f>
        <v>160</v>
      </c>
      <c r="F6" s="90">
        <f>D6/B6</f>
        <v>647</v>
      </c>
      <c r="G6" s="76">
        <f>E6/B6</f>
        <v>1035.2</v>
      </c>
      <c r="H6" s="12">
        <f>F6*$B$18</f>
        <v>1617.5</v>
      </c>
      <c r="I6" s="12">
        <f>G6-H6</f>
        <v>-582.29999999999995</v>
      </c>
      <c r="J6" s="12">
        <f>I6^2</f>
        <v>339073.28999999992</v>
      </c>
    </row>
    <row r="7" spans="1:10" ht="20.100000000000001" customHeight="1">
      <c r="A7" s="17">
        <f t="shared" si="0"/>
        <v>3</v>
      </c>
      <c r="B7" s="126">
        <f>D7/647</f>
        <v>0.15455950540958269</v>
      </c>
      <c r="C7" s="103">
        <v>2</v>
      </c>
      <c r="D7" s="83">
        <v>100</v>
      </c>
      <c r="E7" s="82">
        <f>C7*D7</f>
        <v>200</v>
      </c>
      <c r="F7" s="90">
        <f>D7/B7</f>
        <v>647</v>
      </c>
      <c r="G7" s="76">
        <f>E7/B7</f>
        <v>1294</v>
      </c>
      <c r="H7" s="12">
        <f>F7*$B$18</f>
        <v>1617.5</v>
      </c>
      <c r="I7" s="12">
        <f>G7-H7</f>
        <v>-323.5</v>
      </c>
      <c r="J7" s="12">
        <f>I7^2</f>
        <v>104652.25</v>
      </c>
    </row>
    <row r="8" spans="1:10" ht="20.100000000000001" customHeight="1">
      <c r="A8" s="17">
        <f t="shared" si="0"/>
        <v>4</v>
      </c>
      <c r="B8" s="126">
        <f>D8/647</f>
        <v>0.11746522411128284</v>
      </c>
      <c r="C8" s="103">
        <v>2.8</v>
      </c>
      <c r="D8" s="83">
        <v>76</v>
      </c>
      <c r="E8" s="82">
        <f>C8*D8</f>
        <v>212.79999999999998</v>
      </c>
      <c r="F8" s="90">
        <f>D8/B8</f>
        <v>647</v>
      </c>
      <c r="G8" s="76">
        <f>E8/B8</f>
        <v>1811.6</v>
      </c>
      <c r="H8" s="12">
        <f>F8*$B$18</f>
        <v>1617.5</v>
      </c>
      <c r="I8" s="12">
        <f>G8-H8</f>
        <v>194.09999999999991</v>
      </c>
      <c r="J8" s="12">
        <f>I8^2</f>
        <v>37674.809999999961</v>
      </c>
    </row>
    <row r="9" spans="1:10" ht="20.100000000000001" customHeight="1">
      <c r="A9" s="17">
        <f t="shared" si="0"/>
        <v>5</v>
      </c>
      <c r="B9" s="126">
        <f>D9/647</f>
        <v>6.8006182380216385E-2</v>
      </c>
      <c r="C9" s="103">
        <v>3.7</v>
      </c>
      <c r="D9" s="83">
        <v>44</v>
      </c>
      <c r="E9" s="82">
        <f>C9*D9</f>
        <v>162.80000000000001</v>
      </c>
      <c r="F9" s="90">
        <f>D9/B9</f>
        <v>647</v>
      </c>
      <c r="G9" s="76">
        <f>E9/B9</f>
        <v>2393.9</v>
      </c>
      <c r="H9" s="12">
        <f>F9*$B$18</f>
        <v>1617.5</v>
      </c>
      <c r="I9" s="12">
        <f>G9-H9</f>
        <v>776.40000000000009</v>
      </c>
      <c r="J9" s="12">
        <f>I9^2</f>
        <v>602796.9600000002</v>
      </c>
    </row>
    <row r="10" spans="1:10" ht="20.100000000000001" customHeight="1">
      <c r="A10" s="17">
        <f t="shared" si="0"/>
        <v>6</v>
      </c>
      <c r="B10" s="91"/>
      <c r="C10" s="83"/>
      <c r="D10" s="83"/>
      <c r="E10" s="82"/>
      <c r="F10" s="90"/>
      <c r="G10" s="76"/>
      <c r="H10" s="12"/>
      <c r="I10" s="12"/>
      <c r="J10" s="12"/>
    </row>
    <row r="11" spans="1:10" ht="20.100000000000001" customHeight="1">
      <c r="A11" s="17">
        <f t="shared" si="0"/>
        <v>7</v>
      </c>
      <c r="B11" s="91"/>
      <c r="C11" s="83"/>
      <c r="D11" s="83"/>
      <c r="E11" s="82"/>
      <c r="F11" s="76"/>
      <c r="G11" s="76"/>
      <c r="H11" s="12"/>
      <c r="I11" s="12"/>
      <c r="J11" s="12"/>
    </row>
    <row r="12" spans="1:10" ht="20.100000000000001" customHeight="1">
      <c r="A12" s="13" t="s">
        <v>60</v>
      </c>
      <c r="B12" s="13"/>
      <c r="C12" s="17">
        <f t="shared" ref="C12:J12" si="1">SUM(C5:C11)</f>
        <v>12.5</v>
      </c>
      <c r="D12" s="17">
        <f t="shared" si="1"/>
        <v>344</v>
      </c>
      <c r="E12" s="17">
        <f t="shared" si="1"/>
        <v>793.2</v>
      </c>
      <c r="F12" s="17">
        <f t="shared" si="1"/>
        <v>3235</v>
      </c>
      <c r="G12" s="17">
        <f t="shared" si="1"/>
        <v>8087.5</v>
      </c>
      <c r="H12" s="17">
        <f t="shared" si="1"/>
        <v>8087.5</v>
      </c>
      <c r="I12" s="17">
        <f t="shared" si="1"/>
        <v>0</v>
      </c>
      <c r="J12" s="17">
        <f t="shared" si="1"/>
        <v>1088383.4000000001</v>
      </c>
    </row>
    <row r="13" spans="1:10" ht="20.100000000000001" customHeight="1">
      <c r="A13" s="13" t="s">
        <v>61</v>
      </c>
      <c r="B13" s="19">
        <f t="shared" ref="B13:H13" si="2">B12/B14</f>
        <v>0</v>
      </c>
      <c r="C13" s="19">
        <f t="shared" si="2"/>
        <v>2.5</v>
      </c>
      <c r="D13" s="19">
        <f t="shared" si="2"/>
        <v>68.8</v>
      </c>
      <c r="E13" s="19">
        <f t="shared" si="2"/>
        <v>158.64000000000001</v>
      </c>
      <c r="F13" s="19">
        <f t="shared" si="2"/>
        <v>647</v>
      </c>
      <c r="G13" s="19">
        <f t="shared" si="2"/>
        <v>1617.5</v>
      </c>
      <c r="H13" s="19">
        <f t="shared" si="2"/>
        <v>1617.5</v>
      </c>
      <c r="I13" s="64" t="s">
        <v>62</v>
      </c>
      <c r="J13" s="19">
        <f>J12/(C14-1)</f>
        <v>272095.85000000003</v>
      </c>
    </row>
    <row r="14" spans="1:10" ht="20.100000000000001" customHeight="1">
      <c r="A14" s="80" t="s">
        <v>63</v>
      </c>
      <c r="B14" s="104">
        <f t="shared" ref="B14:J14" si="3">COUNT(B5:B10)</f>
        <v>5</v>
      </c>
      <c r="C14" s="104">
        <f t="shared" si="3"/>
        <v>5</v>
      </c>
      <c r="D14" s="104">
        <f t="shared" si="3"/>
        <v>5</v>
      </c>
      <c r="E14" s="104">
        <f t="shared" si="3"/>
        <v>5</v>
      </c>
      <c r="F14" s="104">
        <f t="shared" si="3"/>
        <v>5</v>
      </c>
      <c r="G14" s="104">
        <f t="shared" si="3"/>
        <v>5</v>
      </c>
      <c r="H14" s="104">
        <f t="shared" si="3"/>
        <v>5</v>
      </c>
      <c r="I14" s="104">
        <f t="shared" si="3"/>
        <v>5</v>
      </c>
      <c r="J14" s="104">
        <f t="shared" si="3"/>
        <v>5</v>
      </c>
    </row>
    <row r="15" spans="1:10" ht="20.100000000000001" customHeight="1">
      <c r="A15" s="55" t="s">
        <v>91</v>
      </c>
      <c r="B15" s="17"/>
      <c r="C15" s="13"/>
      <c r="D15" s="13"/>
      <c r="E15" s="13"/>
      <c r="F15" s="17"/>
      <c r="G15" s="17">
        <f>_xlfn.VAR.S(G5:G11)</f>
        <v>272095.85000000009</v>
      </c>
      <c r="H15" s="17"/>
      <c r="I15" s="17"/>
      <c r="J15" s="17"/>
    </row>
    <row r="16" spans="1:10" ht="20.100000000000001" customHeight="1">
      <c r="A16" s="57"/>
      <c r="B16" s="57"/>
      <c r="C16" s="9"/>
      <c r="D16" s="9"/>
      <c r="E16" s="9"/>
      <c r="F16" s="20"/>
      <c r="G16" s="20"/>
      <c r="H16" s="20"/>
      <c r="I16" s="20"/>
      <c r="J16" s="20"/>
    </row>
    <row r="17" spans="1:6" ht="20.100000000000001" customHeight="1">
      <c r="A17" s="3"/>
      <c r="B17" s="55" t="s">
        <v>67</v>
      </c>
      <c r="C17" s="13" t="s">
        <v>68</v>
      </c>
      <c r="D17" s="13" t="s">
        <v>17</v>
      </c>
      <c r="E17" s="55" t="s">
        <v>18</v>
      </c>
      <c r="F17" s="55" t="s">
        <v>19</v>
      </c>
    </row>
    <row r="18" spans="1:6" ht="20.100000000000001" customHeight="1">
      <c r="A18" s="13" t="s">
        <v>83</v>
      </c>
      <c r="B18" s="102">
        <f>G12/F12</f>
        <v>2.5</v>
      </c>
      <c r="C18" s="102">
        <f>J13/(F14*F13^2)</f>
        <v>0.13</v>
      </c>
      <c r="D18" s="102">
        <f>SQRT(C18)</f>
        <v>0.36055512754639896</v>
      </c>
      <c r="E18" s="102">
        <f>$B18-$D18*1.96</f>
        <v>1.7933119500090582</v>
      </c>
      <c r="F18" s="102">
        <f>$B18+$D18*1.96</f>
        <v>3.2066880499909418</v>
      </c>
    </row>
    <row r="19" spans="1:6" ht="20.100000000000001" customHeight="1">
      <c r="A19" s="13" t="s">
        <v>92</v>
      </c>
      <c r="B19" s="102">
        <f>G13</f>
        <v>1617.5</v>
      </c>
      <c r="C19" s="102">
        <f>_xlfn.VAR.S(G5:G11)/G14</f>
        <v>54419.17000000002</v>
      </c>
      <c r="D19" s="102">
        <f>SQRT(C19)</f>
        <v>233.27916752252014</v>
      </c>
      <c r="E19" s="102">
        <f>$B19-$D19*1.96</f>
        <v>1160.2728316558605</v>
      </c>
      <c r="F19" s="102">
        <f>$B19+$D19*1.96</f>
        <v>2074.7271683441395</v>
      </c>
    </row>
  </sheetData>
  <mergeCells count="2">
    <mergeCell ref="A1:J1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Li, Longhai</cp:lastModifiedBy>
  <cp:revision/>
  <dcterms:created xsi:type="dcterms:W3CDTF">2024-12-06T19:25:42Z</dcterms:created>
  <dcterms:modified xsi:type="dcterms:W3CDTF">2024-12-06T19:31:42Z</dcterms:modified>
  <cp:category/>
  <cp:contentStatus/>
</cp:coreProperties>
</file>